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\Dropbox (Personal)\0. FP\2021-09-28 Paquete FP y Anexos Galapagos\2. Annex Feasibility Study - Market study - PPTO Y EMISIONES\1. Appendix Energy\"/>
    </mc:Choice>
  </mc:AlternateContent>
  <xr:revisionPtr revIDLastSave="0" documentId="13_ncr:1_{62943620-227A-4E3D-BEC1-CCF66307122B}" xr6:coauthVersionLast="47" xr6:coauthVersionMax="47" xr10:uidLastSave="{00000000-0000-0000-0000-000000000000}"/>
  <bookViews>
    <workbookView xWindow="-120" yWindow="-120" windowWidth="29040" windowHeight="15840" activeTab="2" xr2:uid="{2A3B411C-7855-4733-A0AD-1EEB47520804}"/>
  </bookViews>
  <sheets>
    <sheet name="Summary GHG_C1" sheetId="1" r:id="rId1"/>
    <sheet name="Projections MWh" sheetId="4" r:id="rId2"/>
    <sheet name="Projections_CO2" sheetId="2" r:id="rId3"/>
    <sheet name="Savings Diesel transportation" sheetId="3" r:id="rId4"/>
  </sheets>
  <externalReferences>
    <externalReference r:id="rId5"/>
    <externalReference r:id="rId6"/>
    <externalReference r:id="rId7"/>
  </externalReferences>
  <definedNames>
    <definedName name="exchange">[1]Prices_N!$D$3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2" l="1"/>
  <c r="Q19" i="2" l="1"/>
  <c r="Q17" i="2"/>
  <c r="F19" i="2"/>
  <c r="F18" i="2"/>
  <c r="E17" i="2"/>
  <c r="D19" i="2"/>
  <c r="D18" i="2"/>
  <c r="D17" i="2"/>
  <c r="F33" i="3"/>
  <c r="F34" i="3"/>
  <c r="F32" i="3"/>
  <c r="E32" i="3"/>
  <c r="D32" i="3"/>
  <c r="AC23" i="3"/>
  <c r="AC24" i="3"/>
  <c r="AC22" i="3"/>
  <c r="AC9" i="3"/>
  <c r="AC10" i="3"/>
  <c r="AC8" i="3"/>
  <c r="AB24" i="3"/>
  <c r="Y24" i="3"/>
  <c r="X24" i="3"/>
  <c r="AB23" i="3"/>
  <c r="Y23" i="3"/>
  <c r="AA22" i="3"/>
  <c r="Z22" i="3"/>
  <c r="Y22" i="3"/>
  <c r="Y25" i="3" s="1"/>
  <c r="AB17" i="3"/>
  <c r="AA17" i="3"/>
  <c r="Z17" i="3"/>
  <c r="Y17" i="3"/>
  <c r="X17" i="3"/>
  <c r="AB16" i="3"/>
  <c r="AA16" i="3"/>
  <c r="Z16" i="3"/>
  <c r="Y16" i="3"/>
  <c r="X16" i="3"/>
  <c r="AB15" i="3"/>
  <c r="AA15" i="3"/>
  <c r="Z15" i="3"/>
  <c r="Y15" i="3"/>
  <c r="X15" i="3"/>
  <c r="AB10" i="3"/>
  <c r="AA10" i="3"/>
  <c r="AA24" i="3" s="1"/>
  <c r="Z10" i="3"/>
  <c r="Z24" i="3" s="1"/>
  <c r="Y10" i="3"/>
  <c r="X10" i="3"/>
  <c r="AB9" i="3"/>
  <c r="AA9" i="3"/>
  <c r="AA23" i="3" s="1"/>
  <c r="Z9" i="3"/>
  <c r="Z23" i="3" s="1"/>
  <c r="Y9" i="3"/>
  <c r="X9" i="3"/>
  <c r="X23" i="3" s="1"/>
  <c r="AB8" i="3"/>
  <c r="AB22" i="3" s="1"/>
  <c r="AB25" i="3" s="1"/>
  <c r="AA8" i="3"/>
  <c r="Z8" i="3"/>
  <c r="Y8" i="3"/>
  <c r="X8" i="3"/>
  <c r="X22" i="3" s="1"/>
  <c r="AP8" i="2"/>
  <c r="AP9" i="2"/>
  <c r="AP7" i="2"/>
  <c r="AO10" i="2"/>
  <c r="AO9" i="2"/>
  <c r="AO8" i="2"/>
  <c r="AO7" i="2"/>
  <c r="AM10" i="2"/>
  <c r="AL10" i="2"/>
  <c r="AN9" i="2"/>
  <c r="AM9" i="2"/>
  <c r="AL9" i="2"/>
  <c r="AK9" i="2"/>
  <c r="AJ9" i="2"/>
  <c r="AN8" i="2"/>
  <c r="AN10" i="2" s="1"/>
  <c r="AM8" i="2"/>
  <c r="AL8" i="2"/>
  <c r="AK8" i="2"/>
  <c r="AJ8" i="2"/>
  <c r="AN7" i="2"/>
  <c r="AM7" i="2"/>
  <c r="AL7" i="2"/>
  <c r="AK7" i="2"/>
  <c r="AK10" i="2" s="1"/>
  <c r="AJ7" i="2"/>
  <c r="AJ10" i="2" s="1"/>
  <c r="AB18" i="4"/>
  <c r="AB19" i="4"/>
  <c r="AB20" i="4"/>
  <c r="AB21" i="4"/>
  <c r="AB22" i="4"/>
  <c r="AB23" i="4"/>
  <c r="AB24" i="4"/>
  <c r="AB17" i="4"/>
  <c r="AB13" i="4"/>
  <c r="AB12" i="4"/>
  <c r="AB11" i="4"/>
  <c r="AB10" i="4"/>
  <c r="AB9" i="4"/>
  <c r="AB8" i="4"/>
  <c r="AB7" i="4"/>
  <c r="AB6" i="4"/>
  <c r="AB5" i="4"/>
  <c r="AB4" i="4"/>
  <c r="I17" i="2"/>
  <c r="W23" i="4"/>
  <c r="X21" i="4"/>
  <c r="W18" i="4"/>
  <c r="AA17" i="4"/>
  <c r="Z17" i="4"/>
  <c r="Y17" i="4"/>
  <c r="X17" i="4"/>
  <c r="W17" i="4"/>
  <c r="W12" i="4"/>
  <c r="X12" i="4" s="1"/>
  <c r="X11" i="4"/>
  <c r="X23" i="4" s="1"/>
  <c r="W11" i="4"/>
  <c r="X10" i="4"/>
  <c r="Y10" i="4" s="1"/>
  <c r="W10" i="4"/>
  <c r="W22" i="4" s="1"/>
  <c r="X9" i="4"/>
  <c r="W9" i="4"/>
  <c r="W21" i="4" s="1"/>
  <c r="W7" i="4"/>
  <c r="W20" i="4" s="1"/>
  <c r="W6" i="4"/>
  <c r="W19" i="4" s="1"/>
  <c r="W5" i="4"/>
  <c r="X5" i="4" s="1"/>
  <c r="I38" i="2"/>
  <c r="D7" i="2"/>
  <c r="E7" i="2"/>
  <c r="F7" i="2"/>
  <c r="G7" i="2"/>
  <c r="H7" i="2"/>
  <c r="I7" i="2"/>
  <c r="J7" i="2"/>
  <c r="K7" i="2"/>
  <c r="L7" i="2"/>
  <c r="M7" i="2"/>
  <c r="D8" i="2"/>
  <c r="G8" i="2"/>
  <c r="D9" i="2"/>
  <c r="E9" i="2"/>
  <c r="F9" i="2"/>
  <c r="G9" i="2"/>
  <c r="H9" i="2"/>
  <c r="I9" i="2"/>
  <c r="J9" i="2"/>
  <c r="K9" i="2"/>
  <c r="L9" i="2"/>
  <c r="M9" i="2"/>
  <c r="E20" i="1"/>
  <c r="E43" i="2"/>
  <c r="D43" i="2"/>
  <c r="I18" i="2"/>
  <c r="Z25" i="3" l="1"/>
  <c r="AA25" i="3"/>
  <c r="X25" i="3"/>
  <c r="D10" i="2"/>
  <c r="Z10" i="4"/>
  <c r="Y22" i="4"/>
  <c r="X24" i="4"/>
  <c r="Y12" i="4"/>
  <c r="X13" i="4"/>
  <c r="Y5" i="4"/>
  <c r="X18" i="4"/>
  <c r="X6" i="4"/>
  <c r="Y9" i="4"/>
  <c r="X7" i="4"/>
  <c r="W8" i="4"/>
  <c r="X22" i="4"/>
  <c r="Y11" i="4"/>
  <c r="W13" i="4"/>
  <c r="W24" i="4"/>
  <c r="G10" i="2"/>
  <c r="G44" i="2"/>
  <c r="F44" i="2" s="1"/>
  <c r="I36" i="2"/>
  <c r="X19" i="4" l="1"/>
  <c r="Y6" i="4"/>
  <c r="Y18" i="4"/>
  <c r="Z5" i="4"/>
  <c r="Z11" i="4"/>
  <c r="Y23" i="4"/>
  <c r="Y7" i="4"/>
  <c r="X20" i="4"/>
  <c r="Y21" i="4"/>
  <c r="Y13" i="4"/>
  <c r="Z9" i="4"/>
  <c r="Z22" i="4"/>
  <c r="AA10" i="4"/>
  <c r="AA22" i="4" s="1"/>
  <c r="X8" i="4"/>
  <c r="Y24" i="4"/>
  <c r="Z12" i="4"/>
  <c r="G20" i="1"/>
  <c r="S10" i="1"/>
  <c r="O10" i="1" s="1"/>
  <c r="R10" i="1"/>
  <c r="N10" i="1" s="1"/>
  <c r="Q10" i="1"/>
  <c r="M10" i="1" s="1"/>
  <c r="P10" i="1"/>
  <c r="L10" i="1" s="1"/>
  <c r="G7" i="4"/>
  <c r="G20" i="4" s="1"/>
  <c r="E7" i="4"/>
  <c r="E20" i="4" s="1"/>
  <c r="D7" i="4"/>
  <c r="E6" i="4"/>
  <c r="D6" i="4"/>
  <c r="G6" i="4"/>
  <c r="G19" i="4" s="1"/>
  <c r="E5" i="4"/>
  <c r="F8" i="2" s="1"/>
  <c r="F10" i="2" s="1"/>
  <c r="D5" i="4"/>
  <c r="G5" i="4"/>
  <c r="H8" i="1"/>
  <c r="AC15" i="1"/>
  <c r="AB13" i="1"/>
  <c r="AA14" i="1"/>
  <c r="AA15" i="1"/>
  <c r="AA16" i="1"/>
  <c r="AA13" i="1"/>
  <c r="Z14" i="1"/>
  <c r="Z15" i="1"/>
  <c r="Z16" i="1"/>
  <c r="Z13" i="1"/>
  <c r="AB16" i="1"/>
  <c r="AC16" i="1"/>
  <c r="AB15" i="1"/>
  <c r="AB14" i="1"/>
  <c r="AC14" i="1"/>
  <c r="AC13" i="1"/>
  <c r="F24" i="3"/>
  <c r="H22" i="3"/>
  <c r="Q22" i="3"/>
  <c r="N10" i="3"/>
  <c r="N24" i="3" s="1"/>
  <c r="O10" i="3"/>
  <c r="O24" i="3" s="1"/>
  <c r="V10" i="3"/>
  <c r="V24" i="3" s="1"/>
  <c r="W10" i="3"/>
  <c r="W24" i="3" s="1"/>
  <c r="N8" i="3"/>
  <c r="N22" i="3" s="1"/>
  <c r="O8" i="3"/>
  <c r="O22" i="3" s="1"/>
  <c r="P8" i="3"/>
  <c r="P22" i="3" s="1"/>
  <c r="Q8" i="3"/>
  <c r="R8" i="3"/>
  <c r="R22" i="3" s="1"/>
  <c r="S8" i="3"/>
  <c r="S22" i="3" s="1"/>
  <c r="T8" i="3"/>
  <c r="T22" i="3" s="1"/>
  <c r="U8" i="3"/>
  <c r="U22" i="3" s="1"/>
  <c r="V8" i="3"/>
  <c r="V22" i="3" s="1"/>
  <c r="W8" i="3"/>
  <c r="W22" i="3" s="1"/>
  <c r="F10" i="3"/>
  <c r="I10" i="3"/>
  <c r="I24" i="3" s="1"/>
  <c r="J10" i="3"/>
  <c r="J24" i="3" s="1"/>
  <c r="K10" i="3"/>
  <c r="K24" i="3" s="1"/>
  <c r="E8" i="3"/>
  <c r="E22" i="3" s="1"/>
  <c r="F8" i="3"/>
  <c r="F22" i="3" s="1"/>
  <c r="G8" i="3"/>
  <c r="G22" i="3" s="1"/>
  <c r="H8" i="3"/>
  <c r="I8" i="3"/>
  <c r="I22" i="3" s="1"/>
  <c r="J8" i="3"/>
  <c r="J22" i="3" s="1"/>
  <c r="K8" i="3"/>
  <c r="K22" i="3" s="1"/>
  <c r="L8" i="3"/>
  <c r="L22" i="3" s="1"/>
  <c r="M8" i="3"/>
  <c r="M22" i="3" s="1"/>
  <c r="D8" i="3"/>
  <c r="D13" i="4"/>
  <c r="E10" i="3" s="1"/>
  <c r="E24" i="3" s="1"/>
  <c r="E13" i="4"/>
  <c r="F13" i="4"/>
  <c r="G10" i="3" s="1"/>
  <c r="G24" i="3" s="1"/>
  <c r="G13" i="4"/>
  <c r="H10" i="3" s="1"/>
  <c r="H24" i="3" s="1"/>
  <c r="H13" i="4"/>
  <c r="I13" i="4"/>
  <c r="J13" i="4"/>
  <c r="K13" i="4"/>
  <c r="L10" i="3" s="1"/>
  <c r="L24" i="3" s="1"/>
  <c r="L13" i="4"/>
  <c r="M10" i="3" s="1"/>
  <c r="M24" i="3" s="1"/>
  <c r="M13" i="4"/>
  <c r="N13" i="4"/>
  <c r="O13" i="4"/>
  <c r="P10" i="3" s="1"/>
  <c r="P24" i="3" s="1"/>
  <c r="P13" i="4"/>
  <c r="Q10" i="3" s="1"/>
  <c r="Q24" i="3" s="1"/>
  <c r="Q13" i="4"/>
  <c r="R10" i="3" s="1"/>
  <c r="R24" i="3" s="1"/>
  <c r="R13" i="4"/>
  <c r="S10" i="3" s="1"/>
  <c r="S24" i="3" s="1"/>
  <c r="S13" i="4"/>
  <c r="T10" i="3" s="1"/>
  <c r="T24" i="3" s="1"/>
  <c r="T13" i="4"/>
  <c r="U10" i="3" s="1"/>
  <c r="U24" i="3" s="1"/>
  <c r="U13" i="4"/>
  <c r="V13" i="4"/>
  <c r="C13" i="4"/>
  <c r="D10" i="3" s="1"/>
  <c r="F8" i="4"/>
  <c r="G9" i="3" s="1"/>
  <c r="G23" i="3" s="1"/>
  <c r="C8" i="4"/>
  <c r="Q9" i="2"/>
  <c r="E17" i="3" s="1"/>
  <c r="R9" i="2"/>
  <c r="F17" i="3" s="1"/>
  <c r="S9" i="2"/>
  <c r="G17" i="3" s="1"/>
  <c r="T9" i="2"/>
  <c r="H17" i="3" s="1"/>
  <c r="U9" i="2"/>
  <c r="I17" i="3" s="1"/>
  <c r="V9" i="2"/>
  <c r="J17" i="3" s="1"/>
  <c r="W9" i="2"/>
  <c r="K17" i="3" s="1"/>
  <c r="X9" i="2"/>
  <c r="L17" i="3" s="1"/>
  <c r="Y9" i="2"/>
  <c r="M17" i="3" s="1"/>
  <c r="Z9" i="2"/>
  <c r="N17" i="3" s="1"/>
  <c r="AA9" i="2"/>
  <c r="O17" i="3" s="1"/>
  <c r="AB9" i="2"/>
  <c r="P17" i="3" s="1"/>
  <c r="AC9" i="2"/>
  <c r="Q17" i="3" s="1"/>
  <c r="AD9" i="2"/>
  <c r="R17" i="3" s="1"/>
  <c r="AE9" i="2"/>
  <c r="S17" i="3" s="1"/>
  <c r="AF9" i="2"/>
  <c r="T17" i="3" s="1"/>
  <c r="AG9" i="2"/>
  <c r="U17" i="3" s="1"/>
  <c r="AH9" i="2"/>
  <c r="V17" i="3" s="1"/>
  <c r="AI9" i="2"/>
  <c r="W17" i="3" s="1"/>
  <c r="P9" i="2"/>
  <c r="S8" i="2"/>
  <c r="G16" i="3" s="1"/>
  <c r="P8" i="2"/>
  <c r="G21" i="1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C24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C23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C22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C21" i="4"/>
  <c r="F20" i="4"/>
  <c r="C20" i="4"/>
  <c r="E19" i="4"/>
  <c r="F19" i="4"/>
  <c r="C19" i="4"/>
  <c r="F18" i="4"/>
  <c r="C18" i="4"/>
  <c r="Q7" i="2"/>
  <c r="E15" i="3" s="1"/>
  <c r="R7" i="2"/>
  <c r="F15" i="3" s="1"/>
  <c r="S7" i="2"/>
  <c r="G15" i="3" s="1"/>
  <c r="T7" i="2"/>
  <c r="H15" i="3" s="1"/>
  <c r="U7" i="2"/>
  <c r="I15" i="3" s="1"/>
  <c r="V7" i="2"/>
  <c r="J15" i="3" s="1"/>
  <c r="W7" i="2"/>
  <c r="K15" i="3" s="1"/>
  <c r="X7" i="2"/>
  <c r="L15" i="3" s="1"/>
  <c r="Y7" i="2"/>
  <c r="M15" i="3" s="1"/>
  <c r="Z7" i="2"/>
  <c r="N15" i="3" s="1"/>
  <c r="AA7" i="2"/>
  <c r="O15" i="3" s="1"/>
  <c r="AB7" i="2"/>
  <c r="P15" i="3" s="1"/>
  <c r="AC7" i="2"/>
  <c r="Q15" i="3" s="1"/>
  <c r="AD7" i="2"/>
  <c r="R15" i="3" s="1"/>
  <c r="AE7" i="2"/>
  <c r="S15" i="3" s="1"/>
  <c r="AF7" i="2"/>
  <c r="T15" i="3" s="1"/>
  <c r="AG7" i="2"/>
  <c r="U15" i="3" s="1"/>
  <c r="AH7" i="2"/>
  <c r="V15" i="3" s="1"/>
  <c r="AI7" i="2"/>
  <c r="W15" i="3" s="1"/>
  <c r="P7" i="2"/>
  <c r="P7" i="1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C17" i="4"/>
  <c r="F23" i="1"/>
  <c r="E21" i="1"/>
  <c r="Z21" i="4" l="1"/>
  <c r="Z13" i="4"/>
  <c r="AA9" i="4"/>
  <c r="Z7" i="4"/>
  <c r="Y20" i="4"/>
  <c r="Y19" i="4"/>
  <c r="Z6" i="4"/>
  <c r="Z23" i="4"/>
  <c r="AA11" i="4"/>
  <c r="AA23" i="4" s="1"/>
  <c r="AA5" i="4"/>
  <c r="Z8" i="4"/>
  <c r="Z18" i="4"/>
  <c r="Z24" i="4"/>
  <c r="AA12" i="4"/>
  <c r="AA24" i="4" s="1"/>
  <c r="Y8" i="4"/>
  <c r="J19" i="2"/>
  <c r="K19" i="2" s="1"/>
  <c r="D24" i="3"/>
  <c r="J17" i="2"/>
  <c r="D22" i="3"/>
  <c r="D8" i="4"/>
  <c r="E9" i="3" s="1"/>
  <c r="E23" i="3" s="1"/>
  <c r="E25" i="3" s="1"/>
  <c r="G25" i="3"/>
  <c r="D9" i="3"/>
  <c r="R8" i="2"/>
  <c r="F16" i="3" s="1"/>
  <c r="E18" i="4"/>
  <c r="E8" i="4"/>
  <c r="F9" i="3" s="1"/>
  <c r="F23" i="3" s="1"/>
  <c r="F25" i="3" s="1"/>
  <c r="D20" i="4"/>
  <c r="I19" i="2"/>
  <c r="G18" i="4"/>
  <c r="H8" i="2"/>
  <c r="H10" i="2" s="1"/>
  <c r="H5" i="4"/>
  <c r="D18" i="4"/>
  <c r="E8" i="2"/>
  <c r="E10" i="2" s="1"/>
  <c r="H7" i="4"/>
  <c r="I7" i="4" s="1"/>
  <c r="J7" i="4" s="1"/>
  <c r="D16" i="3"/>
  <c r="E19" i="2"/>
  <c r="D15" i="3"/>
  <c r="AC15" i="3" s="1"/>
  <c r="L17" i="2"/>
  <c r="D17" i="3"/>
  <c r="AC17" i="3" s="1"/>
  <c r="L19" i="2"/>
  <c r="F17" i="2"/>
  <c r="T8" i="2"/>
  <c r="H16" i="3" s="1"/>
  <c r="H6" i="4"/>
  <c r="Q8" i="2"/>
  <c r="E16" i="3" s="1"/>
  <c r="D19" i="4"/>
  <c r="G8" i="4"/>
  <c r="H9" i="3" s="1"/>
  <c r="H23" i="3" s="1"/>
  <c r="H25" i="3" s="1"/>
  <c r="H23" i="1"/>
  <c r="L7" i="1"/>
  <c r="AA8" i="4" l="1"/>
  <c r="AA18" i="4"/>
  <c r="AA6" i="4"/>
  <c r="AA19" i="4" s="1"/>
  <c r="Z19" i="4"/>
  <c r="AA13" i="4"/>
  <c r="AA21" i="4"/>
  <c r="Z20" i="4"/>
  <c r="AA7" i="4"/>
  <c r="AA20" i="4" s="1"/>
  <c r="H20" i="4"/>
  <c r="I5" i="4"/>
  <c r="I8" i="2"/>
  <c r="I10" i="2" s="1"/>
  <c r="H18" i="4"/>
  <c r="K17" i="2"/>
  <c r="D23" i="3"/>
  <c r="I20" i="4"/>
  <c r="E34" i="3"/>
  <c r="G45" i="2"/>
  <c r="F45" i="2" s="1"/>
  <c r="I20" i="2"/>
  <c r="I22" i="2" s="1"/>
  <c r="E45" i="2"/>
  <c r="D45" i="2"/>
  <c r="E18" i="2"/>
  <c r="E20" i="2" s="1"/>
  <c r="K7" i="4"/>
  <c r="J20" i="4"/>
  <c r="I6" i="4"/>
  <c r="H8" i="4"/>
  <c r="I9" i="3" s="1"/>
  <c r="I23" i="3" s="1"/>
  <c r="I25" i="3" s="1"/>
  <c r="U8" i="2"/>
  <c r="H19" i="4"/>
  <c r="P10" i="2"/>
  <c r="E33" i="3" l="1"/>
  <c r="E35" i="3" s="1"/>
  <c r="D34" i="3"/>
  <c r="M19" i="2"/>
  <c r="N19" i="2" s="1"/>
  <c r="D25" i="3"/>
  <c r="M17" i="2"/>
  <c r="J8" i="2"/>
  <c r="J10" i="2" s="1"/>
  <c r="I18" i="4"/>
  <c r="J5" i="4"/>
  <c r="E44" i="2"/>
  <c r="D44" i="2"/>
  <c r="E29" i="2"/>
  <c r="E31" i="2" s="1"/>
  <c r="I16" i="3"/>
  <c r="K20" i="4"/>
  <c r="L7" i="4"/>
  <c r="I8" i="4"/>
  <c r="J9" i="3" s="1"/>
  <c r="V8" i="2"/>
  <c r="J16" i="3" s="1"/>
  <c r="J6" i="4"/>
  <c r="I19" i="4"/>
  <c r="J23" i="3" l="1"/>
  <c r="N17" i="2"/>
  <c r="K8" i="2"/>
  <c r="K10" i="2" s="1"/>
  <c r="K5" i="4"/>
  <c r="J18" i="4"/>
  <c r="L20" i="4"/>
  <c r="M7" i="4"/>
  <c r="J8" i="4"/>
  <c r="W8" i="2"/>
  <c r="K16" i="3" s="1"/>
  <c r="K6" i="4"/>
  <c r="J19" i="4"/>
  <c r="K9" i="3" l="1"/>
  <c r="L8" i="2"/>
  <c r="L10" i="2" s="1"/>
  <c r="L5" i="4"/>
  <c r="K18" i="4"/>
  <c r="J25" i="3"/>
  <c r="M20" i="4"/>
  <c r="N7" i="4"/>
  <c r="K8" i="4"/>
  <c r="L9" i="3" s="1"/>
  <c r="L23" i="3" s="1"/>
  <c r="L25" i="3" s="1"/>
  <c r="X8" i="2"/>
  <c r="K19" i="4"/>
  <c r="L6" i="4"/>
  <c r="J23" i="1"/>
  <c r="I20" i="1"/>
  <c r="J10" i="1"/>
  <c r="J9" i="1"/>
  <c r="J7" i="1"/>
  <c r="I21" i="1"/>
  <c r="J8" i="1"/>
  <c r="M8" i="2" l="1"/>
  <c r="M10" i="2" s="1"/>
  <c r="L18" i="4"/>
  <c r="M5" i="4"/>
  <c r="K23" i="3"/>
  <c r="L16" i="3"/>
  <c r="N20" i="4"/>
  <c r="O7" i="4"/>
  <c r="L8" i="4"/>
  <c r="M9" i="3" s="1"/>
  <c r="M23" i="3" s="1"/>
  <c r="M25" i="3" s="1"/>
  <c r="Y8" i="2"/>
  <c r="M16" i="3" s="1"/>
  <c r="M6" i="4"/>
  <c r="L19" i="4"/>
  <c r="X10" i="2"/>
  <c r="W10" i="2"/>
  <c r="V10" i="2"/>
  <c r="U10" i="2"/>
  <c r="T10" i="2"/>
  <c r="S10" i="2"/>
  <c r="R10" i="2"/>
  <c r="Q10" i="2"/>
  <c r="G12" i="1"/>
  <c r="J12" i="1"/>
  <c r="I26" i="1"/>
  <c r="H26" i="1"/>
  <c r="G26" i="1"/>
  <c r="F26" i="1"/>
  <c r="E26" i="1"/>
  <c r="I25" i="1"/>
  <c r="H25" i="1"/>
  <c r="G25" i="1"/>
  <c r="F25" i="1"/>
  <c r="E25" i="1"/>
  <c r="D26" i="1"/>
  <c r="C26" i="1"/>
  <c r="B26" i="1"/>
  <c r="D25" i="1"/>
  <c r="C25" i="1"/>
  <c r="B25" i="1"/>
  <c r="K25" i="3" l="1"/>
  <c r="N5" i="4"/>
  <c r="M18" i="4"/>
  <c r="O20" i="4"/>
  <c r="P7" i="4"/>
  <c r="Y10" i="2"/>
  <c r="M8" i="4"/>
  <c r="N9" i="3" s="1"/>
  <c r="Z8" i="2"/>
  <c r="M19" i="4"/>
  <c r="N6" i="4"/>
  <c r="L26" i="1"/>
  <c r="I12" i="1"/>
  <c r="L25" i="1"/>
  <c r="E12" i="1"/>
  <c r="K26" i="1"/>
  <c r="H12" i="1"/>
  <c r="K25" i="1"/>
  <c r="F12" i="1"/>
  <c r="G27" i="1"/>
  <c r="H27" i="1"/>
  <c r="N23" i="3" l="1"/>
  <c r="N18" i="4"/>
  <c r="O5" i="4"/>
  <c r="Q7" i="4"/>
  <c r="P20" i="4"/>
  <c r="N16" i="3"/>
  <c r="Z10" i="2"/>
  <c r="N19" i="4"/>
  <c r="O6" i="4"/>
  <c r="AA8" i="2"/>
  <c r="N8" i="4"/>
  <c r="O9" i="3" s="1"/>
  <c r="O23" i="3" s="1"/>
  <c r="O25" i="3" s="1"/>
  <c r="N25" i="3" l="1"/>
  <c r="P5" i="4"/>
  <c r="O18" i="4"/>
  <c r="R7" i="4"/>
  <c r="Q20" i="4"/>
  <c r="O16" i="3"/>
  <c r="AA10" i="2"/>
  <c r="AB8" i="2"/>
  <c r="O19" i="4"/>
  <c r="O8" i="4"/>
  <c r="P9" i="3" s="1"/>
  <c r="P6" i="4"/>
  <c r="P23" i="3" l="1"/>
  <c r="P18" i="4"/>
  <c r="Q5" i="4"/>
  <c r="S7" i="4"/>
  <c r="R20" i="4"/>
  <c r="AC8" i="2"/>
  <c r="Q6" i="4"/>
  <c r="P19" i="4"/>
  <c r="P8" i="4"/>
  <c r="Q9" i="3" s="1"/>
  <c r="Q23" i="3" s="1"/>
  <c r="Q25" i="3" s="1"/>
  <c r="P16" i="3"/>
  <c r="AB10" i="2"/>
  <c r="R5" i="4" l="1"/>
  <c r="Q18" i="4"/>
  <c r="P25" i="3"/>
  <c r="S20" i="4"/>
  <c r="T7" i="4"/>
  <c r="Q8" i="4"/>
  <c r="R9" i="3" s="1"/>
  <c r="R23" i="3" s="1"/>
  <c r="R25" i="3" s="1"/>
  <c r="Q19" i="4"/>
  <c r="AD8" i="2"/>
  <c r="R6" i="4"/>
  <c r="Q16" i="3"/>
  <c r="AC10" i="2"/>
  <c r="R18" i="4" l="1"/>
  <c r="S5" i="4"/>
  <c r="T20" i="4"/>
  <c r="U7" i="4"/>
  <c r="R8" i="4"/>
  <c r="S9" i="3" s="1"/>
  <c r="S23" i="3" s="1"/>
  <c r="S25" i="3" s="1"/>
  <c r="S6" i="4"/>
  <c r="AE8" i="2"/>
  <c r="R19" i="4"/>
  <c r="R16" i="3"/>
  <c r="AD10" i="2"/>
  <c r="S18" i="4" l="1"/>
  <c r="T5" i="4"/>
  <c r="U20" i="4"/>
  <c r="V7" i="4"/>
  <c r="S16" i="3"/>
  <c r="AE10" i="2"/>
  <c r="T6" i="4"/>
  <c r="S8" i="4"/>
  <c r="T9" i="3" s="1"/>
  <c r="T23" i="3" s="1"/>
  <c r="T25" i="3" s="1"/>
  <c r="AF8" i="2"/>
  <c r="S19" i="4"/>
  <c r="T18" i="4" l="1"/>
  <c r="U5" i="4"/>
  <c r="R8" i="1"/>
  <c r="V20" i="4"/>
  <c r="N8" i="1"/>
  <c r="T16" i="3"/>
  <c r="AF10" i="2"/>
  <c r="T8" i="4"/>
  <c r="U9" i="3" s="1"/>
  <c r="U23" i="3" s="1"/>
  <c r="U25" i="3" s="1"/>
  <c r="T19" i="4"/>
  <c r="AG8" i="2"/>
  <c r="U6" i="4"/>
  <c r="U18" i="4" l="1"/>
  <c r="V5" i="4"/>
  <c r="U16" i="3"/>
  <c r="AG10" i="2"/>
  <c r="U8" i="4"/>
  <c r="V9" i="3" s="1"/>
  <c r="V23" i="3" s="1"/>
  <c r="V25" i="3" s="1"/>
  <c r="U19" i="4"/>
  <c r="AH8" i="2"/>
  <c r="V6" i="4"/>
  <c r="P8" i="1" l="1"/>
  <c r="L8" i="1" s="1"/>
  <c r="V18" i="4"/>
  <c r="Q8" i="1"/>
  <c r="AH10" i="2"/>
  <c r="V16" i="3"/>
  <c r="V8" i="4"/>
  <c r="AI8" i="2"/>
  <c r="V19" i="4"/>
  <c r="W9" i="3" l="1"/>
  <c r="D20" i="2"/>
  <c r="L18" i="2"/>
  <c r="M8" i="1"/>
  <c r="L12" i="1" s="1"/>
  <c r="P12" i="1"/>
  <c r="W16" i="3"/>
  <c r="AC16" i="3" s="1"/>
  <c r="AI10" i="2"/>
  <c r="W23" i="3" l="1"/>
  <c r="J18" i="2"/>
  <c r="L20" i="2"/>
  <c r="D29" i="2" s="1"/>
  <c r="D31" i="2" s="1"/>
  <c r="F29" i="2"/>
  <c r="F31" i="2" s="1"/>
  <c r="F20" i="2"/>
  <c r="K18" i="2" l="1"/>
  <c r="K20" i="2" s="1"/>
  <c r="J20" i="2"/>
  <c r="W25" i="3"/>
  <c r="F35" i="3"/>
  <c r="D36" i="2"/>
  <c r="D35" i="2"/>
  <c r="M18" i="2" l="1"/>
  <c r="D33" i="3"/>
  <c r="D35" i="3" s="1"/>
  <c r="M20" i="2" l="1"/>
  <c r="N18" i="2"/>
  <c r="N20" i="2" s="1"/>
</calcChain>
</file>

<file path=xl/sharedStrings.xml><?xml version="1.0" encoding="utf-8"?>
<sst xmlns="http://schemas.openxmlformats.org/spreadsheetml/2006/main" count="202" uniqueCount="123">
  <si>
    <t>Funding to LFI (million US$)</t>
  </si>
  <si>
    <t>Number of Projects</t>
  </si>
  <si>
    <t>Local Financial Institutions 
(Subject to change)</t>
  </si>
  <si>
    <t>Renewable energy</t>
  </si>
  <si>
    <t>Energy efficiency</t>
  </si>
  <si>
    <t>Total (mn USD)</t>
  </si>
  <si>
    <t>Total</t>
  </si>
  <si>
    <t>TOTAL FINANCING</t>
  </si>
  <si>
    <t>Indicator</t>
  </si>
  <si>
    <t>Annual Emission reduction</t>
  </si>
  <si>
    <t>Emission factor</t>
  </si>
  <si>
    <t>Renewable Energy</t>
  </si>
  <si>
    <t>Energy effciciency</t>
  </si>
  <si>
    <t>Energy generation (MWh/yr)</t>
  </si>
  <si>
    <t>Energy savings (MWh/yr)</t>
  </si>
  <si>
    <t>tCO2/year</t>
  </si>
  <si>
    <t>tCO2/MWh</t>
  </si>
  <si>
    <t>Bank 3</t>
  </si>
  <si>
    <t>Output</t>
  </si>
  <si>
    <t>1.1.1 Centralized ER</t>
  </si>
  <si>
    <t>1.1.2 Distributed ER</t>
  </si>
  <si>
    <t>1.2.1 Energy Efficiency</t>
  </si>
  <si>
    <t>Bank 2</t>
  </si>
  <si>
    <t>Indicators, annual emissions and emission factors per LFI</t>
  </si>
  <si>
    <t>Financing per technology solution per LFI (mn USD) and number of projects</t>
  </si>
  <si>
    <t>CAF GALAPAGOS - Emissions reductions Component 1 (summary)</t>
  </si>
  <si>
    <t>Projected tonnes CO2 reduction 10 years</t>
  </si>
  <si>
    <t>CAF GALAPAGOS - Emissions reductions Component 1 (projections)</t>
  </si>
  <si>
    <t>CAF GALAPAGOS - Emissions reductions Component 1 (savings of fuel transportation from mainland)</t>
  </si>
  <si>
    <t>1.1.1 Centralized ER (gallons)</t>
  </si>
  <si>
    <t>1.1.2 Distributed ER (gallons)</t>
  </si>
  <si>
    <t>1.2.1 Energy Efficiency (gallons)</t>
  </si>
  <si>
    <t>San Cristobal</t>
  </si>
  <si>
    <t xml:space="preserve">Isabela </t>
  </si>
  <si>
    <t>Floreana</t>
  </si>
  <si>
    <t>Santa  Cruz Baltra</t>
  </si>
  <si>
    <t>tCO2 reductions (2023-2042)</t>
  </si>
  <si>
    <t>*Diesel consumption yield: 13,70 kWh/gallon (ELECGALAPGOS, Energy Balance 2020)</t>
  </si>
  <si>
    <t>MWh  Generation / Reduction (efficiency)(2023-2042)</t>
  </si>
  <si>
    <t xml:space="preserve">System </t>
  </si>
  <si>
    <t>Santa Cruz Baltra (Conolophus)</t>
  </si>
  <si>
    <t>Output (MWh)</t>
  </si>
  <si>
    <t>Santa Cruz Baltra</t>
  </si>
  <si>
    <t xml:space="preserve">San Cristóbal </t>
  </si>
  <si>
    <t>Output (tonCO2)</t>
  </si>
  <si>
    <t>TOTAL Distributed ER</t>
  </si>
  <si>
    <t>TOTAL Energy Efficiency</t>
  </si>
  <si>
    <t>1.1.1 Centralized ER (Generation)</t>
  </si>
  <si>
    <t>1.1.2 Distributed ER (Generation)</t>
  </si>
  <si>
    <t>1.2.1 Energy Efficiency (Reduction)</t>
  </si>
  <si>
    <t>Bank 1</t>
  </si>
  <si>
    <t>Grid emission factors (tCO2/MWh)</t>
  </si>
  <si>
    <t>Source: IRENA 2021</t>
  </si>
  <si>
    <t>Table 23 Feasibility Study</t>
  </si>
  <si>
    <t>System</t>
  </si>
  <si>
    <t>Mitigation GHG emissions</t>
  </si>
  <si>
    <t>[kWp]</t>
  </si>
  <si>
    <t xml:space="preserve">Energy Impact in the grid </t>
  </si>
  <si>
    <t>Santa Cruz-Baltra</t>
  </si>
  <si>
    <t>Isabela</t>
  </si>
  <si>
    <t>Diesel reduction [million Gal.]</t>
  </si>
  <si>
    <t>Energy consumption [MWh/year]</t>
  </si>
  <si>
    <t>PV power</t>
  </si>
  <si>
    <t>[TonCO2/year]</t>
  </si>
  <si>
    <t>Potential Beneficiaries considered (accommodation, food and tourist services)</t>
  </si>
  <si>
    <t>Distributed PV beneficiaries</t>
  </si>
  <si>
    <t>Centralized ER</t>
  </si>
  <si>
    <t>Distributed ER</t>
  </si>
  <si>
    <t xml:space="preserve">Energy Efficiency </t>
  </si>
  <si>
    <t>Per year</t>
  </si>
  <si>
    <t>5 years of programme implementation</t>
  </si>
  <si>
    <t>Annual power generation / energy saved (GWh)</t>
  </si>
  <si>
    <t>Annual diesel displaced (gallons)</t>
  </si>
  <si>
    <t>Annual diesel displaced ('000 litres)</t>
  </si>
  <si>
    <t>Annual GHG reductions from RE generation / avoided from EE investments (tCO2e)</t>
  </si>
  <si>
    <t>Annual GHG reductions from Component 1 activities</t>
  </si>
  <si>
    <t>Energy Efficiency</t>
  </si>
  <si>
    <t xml:space="preserve">Emissions reduction related to the decrease in tonnage of imported food/fuel by boat can be estimated using (e.g.) the "Guidelines for Measuring and Managing CO2 emissions from Freight Transport Operations", available at  https://www.google.com/url?sa=t&amp;rct=j&amp;q=&amp;esrc=s&amp;source=web&amp;cd=&amp;cad=rja&amp;uact=8&amp;ved=2ahUKEwiGj67e9t7sAhUgILkGHXreAGAQFjAAegQIBRAC&amp;url=https%3A%2F%2Fwww.ecta.com%2Fresources%2FDocuments%2FBest%2520Practices%2520Guidelines%2Fguideline_for_measuring_and_managing_co2.pdf&amp;usg=AOvVaw01iC9nLqVyX0m5uCdrIcVU  </t>
  </si>
  <si>
    <t>AVERAGE</t>
  </si>
  <si>
    <t>1 gallon =</t>
  </si>
  <si>
    <t>litres</t>
  </si>
  <si>
    <t xml:space="preserve">1 MW creates </t>
  </si>
  <si>
    <t>jobs (IRENA 2019)</t>
  </si>
  <si>
    <t>JOBS</t>
  </si>
  <si>
    <t>Outcome 1.1</t>
  </si>
  <si>
    <t>Outcome 1.2</t>
  </si>
  <si>
    <t>Annual GHG avoided from diesel transportation (tCO2e)</t>
  </si>
  <si>
    <t>Summary of emissions reductions from transport from mainland (tCO2e)</t>
  </si>
  <si>
    <t>Summary of emissions reductions from RE / EE investments (tCO2e)</t>
  </si>
  <si>
    <t>Sector</t>
  </si>
  <si>
    <t>tCO2e/year</t>
  </si>
  <si>
    <t>tCO2e in 5 years (Programme implementation)</t>
  </si>
  <si>
    <t>Energy</t>
  </si>
  <si>
    <t>With land use</t>
  </si>
  <si>
    <t>Land Use*</t>
  </si>
  <si>
    <t>*Source: feasibility study Component 2 (see Annex 2 - appendix 2.1.b)</t>
  </si>
  <si>
    <t>Total project financing (USD)</t>
  </si>
  <si>
    <t xml:space="preserve">(f) Total finance leveraged </t>
  </si>
  <si>
    <t xml:space="preserve">(j) Public source co-financing ratio (j = g / b) </t>
  </si>
  <si>
    <t>Requested GCF amount (USD)</t>
  </si>
  <si>
    <t>(g) Public source co-financed</t>
  </si>
  <si>
    <t>(k) Private source leverage ratio (k = h / b)</t>
  </si>
  <si>
    <t>Estimated cost per t CO2eq (d = a / c)</t>
  </si>
  <si>
    <t xml:space="preserve">(h) Private source finance leveraged </t>
  </si>
  <si>
    <t>Estimated GCF cost per t CO2eq removed (e = b / c)</t>
  </si>
  <si>
    <t>(i) Total Leverage ratio (i = f / b)</t>
  </si>
  <si>
    <t>ENERGY (MWh)</t>
  </si>
  <si>
    <t>Marco de resultados</t>
  </si>
  <si>
    <t>Mid term</t>
  </si>
  <si>
    <t>End of project</t>
  </si>
  <si>
    <t>Land use</t>
  </si>
  <si>
    <t>N/A</t>
  </si>
  <si>
    <t>RE</t>
  </si>
  <si>
    <t>EE</t>
  </si>
  <si>
    <t>Log frame</t>
  </si>
  <si>
    <t>tCO2e</t>
  </si>
  <si>
    <t>Projected tonnes CO2 reduction 2023-2047 (25 years)</t>
  </si>
  <si>
    <t>TOTAL 25 Years</t>
  </si>
  <si>
    <t>25 years</t>
  </si>
  <si>
    <t xml:space="preserve">Quantity of diesel not imported due to the Programme's actions, in 25 years. </t>
  </si>
  <si>
    <t xml:space="preserve">Quantity of GHG mitigated due to fuel reduction at the Programme's actions, in 25 years. </t>
  </si>
  <si>
    <t xml:space="preserve">Quantity of GHG mitigated due to fuel transport from mainland in 25 years. </t>
  </si>
  <si>
    <t xml:space="preserve">tCO2e in LIFESPAN: 25 years for energy (lifetime of technology) and 20 years for AFOLU (ecosystem equilibrium reached)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</si>
</sst>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0.00000"/>
    <numFmt numFmtId="166" formatCode="#,##0.0"/>
    <numFmt numFmtId="167" formatCode="0.0"/>
    <numFmt numFmtId="168" formatCode="_ * #,##0_ ;_ * \-#,##0_ ;_ * &quot;-&quot;??_ ;_ @_ "/>
    <numFmt numFmtId="169" formatCode="_-* #,##0.00\ _€_-;\-* #,##0.00\ _€_-;_-* &quot;-&quot;??\ _€_-;_-@_-"/>
    <numFmt numFmtId="170" formatCode="#,##0.000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1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8EAADB"/>
      </left>
      <right style="medium">
        <color rgb="FF8EAADB"/>
      </right>
      <top style="medium">
        <color rgb="FF8EAADB"/>
      </top>
      <bottom/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 style="medium">
        <color indexed="64"/>
      </left>
      <right style="medium">
        <color rgb="FF8EAADB"/>
      </right>
      <top style="medium">
        <color indexed="64"/>
      </top>
      <bottom/>
      <diagonal/>
    </border>
    <border>
      <left/>
      <right style="medium">
        <color rgb="FF8EAADB"/>
      </right>
      <top style="medium">
        <color indexed="64"/>
      </top>
      <bottom/>
      <diagonal/>
    </border>
    <border>
      <left style="medium">
        <color rgb="FF8EAADB"/>
      </left>
      <right style="medium">
        <color rgb="FF8EAADB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indexed="64"/>
      </right>
      <top/>
      <bottom style="medium">
        <color rgb="FF8EAADB"/>
      </bottom>
      <diagonal/>
    </border>
    <border>
      <left style="medium">
        <color indexed="64"/>
      </left>
      <right style="medium">
        <color rgb="FF8EAADB"/>
      </right>
      <top style="medium">
        <color rgb="FF8EAADB"/>
      </top>
      <bottom/>
      <diagonal/>
    </border>
    <border>
      <left style="medium">
        <color rgb="FF8EAADB"/>
      </left>
      <right style="medium">
        <color indexed="64"/>
      </right>
      <top style="medium">
        <color rgb="FF8EAADB"/>
      </top>
      <bottom/>
      <diagonal/>
    </border>
    <border>
      <left style="medium">
        <color rgb="FF8EAADB"/>
      </left>
      <right style="medium">
        <color indexed="64"/>
      </right>
      <top/>
      <bottom style="medium">
        <color rgb="FF8EAADB"/>
      </bottom>
      <diagonal/>
    </border>
    <border>
      <left style="medium">
        <color indexed="64"/>
      </left>
      <right style="medium">
        <color rgb="FF8EAADB"/>
      </right>
      <top/>
      <bottom style="medium">
        <color indexed="64"/>
      </bottom>
      <diagonal/>
    </border>
    <border>
      <left/>
      <right style="medium">
        <color rgb="FF8EAADB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 style="medium">
        <color theme="2" tint="-0.749992370372631"/>
      </left>
      <right style="medium">
        <color theme="2" tint="-0.749992370372631"/>
      </right>
      <top style="medium">
        <color theme="2" tint="-0.749992370372631"/>
      </top>
      <bottom style="medium">
        <color theme="2" tint="-0.749992370372631"/>
      </bottom>
      <diagonal/>
    </border>
    <border>
      <left style="medium">
        <color theme="2" tint="-0.749992370372631"/>
      </left>
      <right/>
      <top style="medium">
        <color theme="2" tint="-0.749992370372631"/>
      </top>
      <bottom/>
      <diagonal/>
    </border>
    <border>
      <left/>
      <right/>
      <top style="medium">
        <color theme="2" tint="-0.749992370372631"/>
      </top>
      <bottom/>
      <diagonal/>
    </border>
    <border>
      <left/>
      <right style="medium">
        <color theme="2" tint="-0.749992370372631"/>
      </right>
      <top style="medium">
        <color theme="2" tint="-0.749992370372631"/>
      </top>
      <bottom/>
      <diagonal/>
    </border>
    <border>
      <left style="medium">
        <color theme="2" tint="-0.749992370372631"/>
      </left>
      <right/>
      <top/>
      <bottom style="medium">
        <color theme="2" tint="-0.749992370372631"/>
      </bottom>
      <diagonal/>
    </border>
    <border>
      <left/>
      <right/>
      <top/>
      <bottom style="medium">
        <color theme="2" tint="-0.749992370372631"/>
      </bottom>
      <diagonal/>
    </border>
    <border>
      <left/>
      <right style="medium">
        <color theme="2" tint="-0.749992370372631"/>
      </right>
      <top/>
      <bottom style="medium">
        <color theme="2" tint="-0.74999237037263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/>
      <diagonal/>
    </border>
    <border>
      <left style="thin">
        <color theme="2" tint="-0.749992370372631"/>
      </left>
      <right style="thin">
        <color theme="2" tint="-0.749992370372631"/>
      </right>
      <top/>
      <bottom style="thin">
        <color theme="2" tint="-0.74999237037263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9">
    <xf numFmtId="0" fontId="0" fillId="0" borderId="0" xfId="0"/>
    <xf numFmtId="1" fontId="0" fillId="0" borderId="5" xfId="1" applyNumberFormat="1" applyFont="1" applyBorder="1" applyAlignment="1">
      <alignment horizontal="center"/>
    </xf>
    <xf numFmtId="1" fontId="0" fillId="0" borderId="4" xfId="1" applyNumberFormat="1" applyFont="1" applyBorder="1" applyAlignment="1">
      <alignment horizontal="center"/>
    </xf>
    <xf numFmtId="0" fontId="2" fillId="2" borderId="4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 wrapText="1"/>
    </xf>
    <xf numFmtId="3" fontId="2" fillId="2" borderId="9" xfId="0" applyNumberFormat="1" applyFont="1" applyFill="1" applyBorder="1" applyAlignment="1">
      <alignment horizontal="center" wrapText="1"/>
    </xf>
    <xf numFmtId="3" fontId="2" fillId="2" borderId="10" xfId="0" applyNumberFormat="1" applyFont="1" applyFill="1" applyBorder="1" applyAlignment="1">
      <alignment horizontal="center" wrapText="1"/>
    </xf>
    <xf numFmtId="9" fontId="0" fillId="0" borderId="0" xfId="1" applyFont="1" applyAlignment="1">
      <alignment horizontal="center"/>
    </xf>
    <xf numFmtId="3" fontId="2" fillId="3" borderId="4" xfId="0" applyNumberFormat="1" applyFont="1" applyFill="1" applyBorder="1" applyAlignment="1">
      <alignment horizontal="center" vertical="center"/>
    </xf>
    <xf numFmtId="0" fontId="2" fillId="0" borderId="0" xfId="0" applyFont="1"/>
    <xf numFmtId="3" fontId="2" fillId="0" borderId="0" xfId="0" applyNumberFormat="1" applyFont="1" applyAlignment="1">
      <alignment horizontal="center"/>
    </xf>
    <xf numFmtId="0" fontId="2" fillId="0" borderId="0" xfId="0" applyFont="1" applyFill="1"/>
    <xf numFmtId="3" fontId="2" fillId="0" borderId="4" xfId="0" applyNumberFormat="1" applyFont="1" applyFill="1" applyBorder="1" applyAlignment="1">
      <alignment horizontal="center" vertical="center"/>
    </xf>
    <xf numFmtId="0" fontId="3" fillId="0" borderId="0" xfId="0" applyFont="1"/>
    <xf numFmtId="0" fontId="0" fillId="0" borderId="4" xfId="0" applyFont="1" applyBorder="1"/>
    <xf numFmtId="3" fontId="0" fillId="0" borderId="4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Font="1"/>
    <xf numFmtId="0" fontId="0" fillId="2" borderId="1" xfId="0" applyFont="1" applyFill="1" applyBorder="1" applyAlignment="1">
      <alignment horizontal="centerContinuous" wrapText="1"/>
    </xf>
    <xf numFmtId="0" fontId="0" fillId="2" borderId="2" xfId="0" applyFont="1" applyFill="1" applyBorder="1" applyAlignment="1">
      <alignment horizontal="centerContinuous" wrapText="1"/>
    </xf>
    <xf numFmtId="0" fontId="0" fillId="2" borderId="3" xfId="0" applyFont="1" applyFill="1" applyBorder="1" applyAlignment="1">
      <alignment horizontal="centerContinuous" wrapText="1"/>
    </xf>
    <xf numFmtId="4" fontId="2" fillId="0" borderId="0" xfId="0" applyNumberFormat="1" applyFont="1" applyFill="1" applyBorder="1" applyAlignment="1">
      <alignment horizontal="center" wrapText="1"/>
    </xf>
    <xf numFmtId="4" fontId="2" fillId="2" borderId="4" xfId="0" applyNumberFormat="1" applyFont="1" applyFill="1" applyBorder="1" applyAlignment="1">
      <alignment horizontal="center" wrapText="1"/>
    </xf>
    <xf numFmtId="0" fontId="0" fillId="2" borderId="5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0" fontId="0" fillId="2" borderId="6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3" fontId="0" fillId="0" borderId="5" xfId="0" applyNumberFormat="1" applyFont="1" applyBorder="1" applyAlignment="1">
      <alignment horizontal="center"/>
    </xf>
    <xf numFmtId="3" fontId="0" fillId="0" borderId="6" xfId="0" applyNumberFormat="1" applyFont="1" applyBorder="1" applyAlignment="1">
      <alignment horizontal="center"/>
    </xf>
    <xf numFmtId="0" fontId="0" fillId="0" borderId="0" xfId="0" applyFont="1" applyFill="1" applyBorder="1"/>
    <xf numFmtId="0" fontId="0" fillId="2" borderId="7" xfId="0" applyFont="1" applyFill="1" applyBorder="1"/>
    <xf numFmtId="4" fontId="2" fillId="2" borderId="1" xfId="0" applyNumberFormat="1" applyFont="1" applyFill="1" applyBorder="1" applyAlignment="1">
      <alignment horizontal="center" wrapText="1"/>
    </xf>
    <xf numFmtId="4" fontId="2" fillId="2" borderId="2" xfId="0" applyNumberFormat="1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wrapText="1"/>
    </xf>
    <xf numFmtId="4" fontId="2" fillId="2" borderId="5" xfId="0" applyNumberFormat="1" applyFont="1" applyFill="1" applyBorder="1" applyAlignment="1">
      <alignment horizontal="center" wrapText="1"/>
    </xf>
    <xf numFmtId="4" fontId="2" fillId="2" borderId="6" xfId="0" applyNumberFormat="1" applyFont="1" applyFill="1" applyBorder="1" applyAlignment="1">
      <alignment horizontal="center" wrapText="1"/>
    </xf>
    <xf numFmtId="0" fontId="0" fillId="0" borderId="0" xfId="0" applyFont="1" applyFill="1"/>
    <xf numFmtId="165" fontId="0" fillId="0" borderId="5" xfId="0" applyNumberFormat="1" applyFont="1" applyBorder="1" applyAlignment="1">
      <alignment horizontal="center"/>
    </xf>
    <xf numFmtId="165" fontId="0" fillId="0" borderId="6" xfId="0" applyNumberFormat="1" applyFont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3" fontId="0" fillId="0" borderId="8" xfId="0" applyNumberFormat="1" applyFont="1" applyBorder="1" applyAlignment="1">
      <alignment horizontal="center"/>
    </xf>
    <xf numFmtId="3" fontId="0" fillId="0" borderId="9" xfId="0" applyNumberFormat="1" applyFon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165" fontId="0" fillId="0" borderId="10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3" fontId="0" fillId="0" borderId="16" xfId="0" applyNumberFormat="1" applyFont="1" applyBorder="1" applyAlignment="1">
      <alignment horizontal="center"/>
    </xf>
    <xf numFmtId="3" fontId="0" fillId="0" borderId="15" xfId="0" applyNumberFormat="1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165" fontId="0" fillId="0" borderId="16" xfId="0" applyNumberFormat="1" applyFont="1" applyBorder="1" applyAlignment="1">
      <alignment horizontal="center"/>
    </xf>
    <xf numFmtId="165" fontId="0" fillId="0" borderId="15" xfId="0" applyNumberFormat="1" applyFont="1" applyBorder="1" applyAlignment="1">
      <alignment horizontal="center"/>
    </xf>
    <xf numFmtId="3" fontId="0" fillId="0" borderId="11" xfId="0" applyNumberFormat="1" applyFont="1" applyBorder="1" applyAlignment="1">
      <alignment horizontal="center"/>
    </xf>
    <xf numFmtId="3" fontId="0" fillId="0" borderId="12" xfId="0" applyNumberFormat="1" applyFont="1" applyBorder="1" applyAlignment="1">
      <alignment horizontal="center"/>
    </xf>
    <xf numFmtId="3" fontId="0" fillId="0" borderId="13" xfId="0" applyNumberFormat="1" applyFont="1" applyBorder="1" applyAlignment="1">
      <alignment horizontal="center"/>
    </xf>
    <xf numFmtId="165" fontId="0" fillId="0" borderId="9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3" fontId="0" fillId="0" borderId="0" xfId="0" applyNumberFormat="1" applyFont="1" applyAlignment="1">
      <alignment horizontal="center"/>
    </xf>
    <xf numFmtId="0" fontId="0" fillId="6" borderId="4" xfId="0" applyFont="1" applyFill="1" applyBorder="1" applyAlignment="1">
      <alignment horizontal="center"/>
    </xf>
    <xf numFmtId="3" fontId="0" fillId="5" borderId="4" xfId="0" applyNumberFormat="1" applyFont="1" applyFill="1" applyBorder="1" applyAlignment="1">
      <alignment horizontal="center"/>
    </xf>
    <xf numFmtId="0" fontId="0" fillId="5" borderId="0" xfId="0" applyFont="1" applyFill="1"/>
    <xf numFmtId="0" fontId="0" fillId="5" borderId="4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0" fillId="0" borderId="0" xfId="0" applyFont="1" applyBorder="1"/>
    <xf numFmtId="167" fontId="0" fillId="0" borderId="4" xfId="0" applyNumberFormat="1" applyFont="1" applyBorder="1"/>
    <xf numFmtId="168" fontId="0" fillId="0" borderId="4" xfId="2" applyNumberFormat="1" applyFont="1" applyBorder="1"/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166" fontId="0" fillId="0" borderId="4" xfId="0" applyNumberFormat="1" applyFont="1" applyBorder="1" applyAlignment="1">
      <alignment horizontal="center"/>
    </xf>
    <xf numFmtId="164" fontId="0" fillId="0" borderId="4" xfId="2" applyFont="1" applyBorder="1" applyAlignment="1">
      <alignment horizontal="center"/>
    </xf>
    <xf numFmtId="166" fontId="0" fillId="5" borderId="4" xfId="0" applyNumberFormat="1" applyFont="1" applyFill="1" applyBorder="1" applyAlignment="1">
      <alignment horizontal="center"/>
    </xf>
    <xf numFmtId="167" fontId="0" fillId="0" borderId="0" xfId="0" applyNumberFormat="1" applyFont="1" applyBorder="1"/>
    <xf numFmtId="0" fontId="2" fillId="0" borderId="0" xfId="0" applyFont="1" applyAlignment="1">
      <alignment horizontal="center"/>
    </xf>
    <xf numFmtId="168" fontId="6" fillId="0" borderId="4" xfId="2" applyNumberFormat="1" applyFont="1" applyBorder="1" applyAlignment="1">
      <alignment horizontal="left"/>
    </xf>
    <xf numFmtId="168" fontId="0" fillId="0" borderId="4" xfId="0" applyNumberFormat="1" applyBorder="1"/>
    <xf numFmtId="0" fontId="0" fillId="0" borderId="4" xfId="0" applyBorder="1"/>
    <xf numFmtId="4" fontId="2" fillId="2" borderId="12" xfId="0" applyNumberFormat="1" applyFont="1" applyFill="1" applyBorder="1" applyAlignment="1">
      <alignment horizontal="center" wrapText="1"/>
    </xf>
    <xf numFmtId="0" fontId="2" fillId="0" borderId="12" xfId="0" applyFont="1" applyBorder="1"/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168" fontId="0" fillId="0" borderId="23" xfId="2" applyNumberFormat="1" applyFont="1" applyBorder="1"/>
    <xf numFmtId="0" fontId="0" fillId="0" borderId="2" xfId="0" applyFont="1" applyBorder="1" applyAlignment="1">
      <alignment horizontal="center" vertical="center"/>
    </xf>
    <xf numFmtId="0" fontId="0" fillId="0" borderId="2" xfId="0" applyBorder="1"/>
    <xf numFmtId="168" fontId="0" fillId="0" borderId="2" xfId="0" applyNumberFormat="1" applyBorder="1"/>
    <xf numFmtId="168" fontId="0" fillId="0" borderId="2" xfId="2" applyNumberFormat="1" applyFont="1" applyBorder="1"/>
    <xf numFmtId="168" fontId="0" fillId="0" borderId="3" xfId="2" applyNumberFormat="1" applyFont="1" applyBorder="1"/>
    <xf numFmtId="168" fontId="0" fillId="0" borderId="6" xfId="2" applyNumberFormat="1" applyFont="1" applyBorder="1"/>
    <xf numFmtId="0" fontId="0" fillId="0" borderId="9" xfId="0" applyFont="1" applyBorder="1" applyAlignment="1">
      <alignment horizontal="center" vertical="center"/>
    </xf>
    <xf numFmtId="0" fontId="0" fillId="0" borderId="9" xfId="0" applyBorder="1"/>
    <xf numFmtId="168" fontId="0" fillId="0" borderId="9" xfId="2" applyNumberFormat="1" applyFont="1" applyBorder="1"/>
    <xf numFmtId="0" fontId="0" fillId="0" borderId="9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8" fontId="2" fillId="0" borderId="20" xfId="2" applyNumberFormat="1" applyFont="1" applyBorder="1"/>
    <xf numFmtId="168" fontId="2" fillId="0" borderId="23" xfId="2" applyNumberFormat="1" applyFont="1" applyBorder="1"/>
    <xf numFmtId="0" fontId="0" fillId="0" borderId="12" xfId="0" applyBorder="1"/>
    <xf numFmtId="168" fontId="0" fillId="0" borderId="12" xfId="0" applyNumberFormat="1" applyBorder="1"/>
    <xf numFmtId="168" fontId="0" fillId="0" borderId="12" xfId="2" applyNumberFormat="1" applyFont="1" applyBorder="1"/>
    <xf numFmtId="168" fontId="0" fillId="0" borderId="13" xfId="2" applyNumberFormat="1" applyFont="1" applyBorder="1"/>
    <xf numFmtId="0" fontId="0" fillId="0" borderId="27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wrapText="1"/>
    </xf>
    <xf numFmtId="168" fontId="0" fillId="0" borderId="0" xfId="2" applyNumberFormat="1" applyFont="1" applyFill="1" applyBorder="1"/>
    <xf numFmtId="164" fontId="0" fillId="0" borderId="7" xfId="2" applyFont="1" applyBorder="1" applyAlignment="1">
      <alignment horizontal="center"/>
    </xf>
    <xf numFmtId="3" fontId="0" fillId="5" borderId="7" xfId="0" applyNumberFormat="1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 wrapText="1"/>
    </xf>
    <xf numFmtId="3" fontId="0" fillId="5" borderId="29" xfId="0" applyNumberFormat="1" applyFont="1" applyFill="1" applyBorder="1" applyAlignment="1">
      <alignment horizontal="center"/>
    </xf>
    <xf numFmtId="3" fontId="0" fillId="5" borderId="30" xfId="0" applyNumberFormat="1" applyFont="1" applyFill="1" applyBorder="1" applyAlignment="1">
      <alignment horizontal="center"/>
    </xf>
    <xf numFmtId="3" fontId="0" fillId="5" borderId="31" xfId="0" applyNumberFormat="1" applyFont="1" applyFill="1" applyBorder="1" applyAlignment="1">
      <alignment horizontal="center"/>
    </xf>
    <xf numFmtId="3" fontId="2" fillId="0" borderId="0" xfId="0" applyNumberFormat="1" applyFont="1"/>
    <xf numFmtId="0" fontId="7" fillId="0" borderId="0" xfId="0" applyFont="1"/>
    <xf numFmtId="3" fontId="0" fillId="0" borderId="5" xfId="0" applyNumberFormat="1" applyFont="1" applyFill="1" applyBorder="1" applyAlignment="1">
      <alignment horizontal="center"/>
    </xf>
    <xf numFmtId="0" fontId="0" fillId="0" borderId="34" xfId="0" applyFont="1" applyBorder="1" applyAlignment="1">
      <alignment horizontal="center" vertical="center" wrapText="1"/>
    </xf>
    <xf numFmtId="9" fontId="0" fillId="0" borderId="34" xfId="0" applyNumberFormat="1" applyFont="1" applyBorder="1" applyAlignment="1">
      <alignment horizontal="center" vertical="center" wrapText="1"/>
    </xf>
    <xf numFmtId="0" fontId="0" fillId="0" borderId="39" xfId="0" applyFont="1" applyBorder="1" applyAlignment="1">
      <alignment horizontal="justify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44" xfId="0" applyFont="1" applyBorder="1" applyAlignment="1">
      <alignment horizontal="justify" vertical="center" wrapText="1"/>
    </xf>
    <xf numFmtId="0" fontId="0" fillId="0" borderId="45" xfId="0" applyFont="1" applyBorder="1" applyAlignment="1">
      <alignment horizontal="center" vertical="center" wrapText="1"/>
    </xf>
    <xf numFmtId="9" fontId="0" fillId="0" borderId="45" xfId="0" applyNumberFormat="1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4" fillId="8" borderId="36" xfId="0" applyFont="1" applyFill="1" applyBorder="1" applyAlignment="1">
      <alignment horizontal="center" vertical="center" wrapText="1"/>
    </xf>
    <xf numFmtId="0" fontId="4" fillId="8" borderId="38" xfId="0" applyFont="1" applyFill="1" applyBorder="1" applyAlignment="1">
      <alignment horizontal="center" vertical="center" wrapText="1"/>
    </xf>
    <xf numFmtId="0" fontId="4" fillId="8" borderId="34" xfId="0" applyFont="1" applyFill="1" applyBorder="1" applyAlignment="1">
      <alignment horizontal="center" vertical="center" wrapText="1"/>
    </xf>
    <xf numFmtId="0" fontId="4" fillId="8" borderId="40" xfId="0" applyFont="1" applyFill="1" applyBorder="1" applyAlignment="1">
      <alignment horizontal="center" vertical="center" wrapText="1"/>
    </xf>
    <xf numFmtId="0" fontId="0" fillId="0" borderId="47" xfId="0" applyFont="1" applyBorder="1"/>
    <xf numFmtId="164" fontId="0" fillId="0" borderId="47" xfId="0" applyNumberFormat="1" applyFont="1" applyBorder="1"/>
    <xf numFmtId="3" fontId="0" fillId="0" borderId="47" xfId="0" applyNumberFormat="1" applyFont="1" applyBorder="1"/>
    <xf numFmtId="0" fontId="2" fillId="8" borderId="47" xfId="0" applyFont="1" applyFill="1" applyBorder="1"/>
    <xf numFmtId="0" fontId="0" fillId="8" borderId="47" xfId="0" applyFont="1" applyFill="1" applyBorder="1"/>
    <xf numFmtId="0" fontId="0" fillId="8" borderId="47" xfId="0" applyFont="1" applyFill="1" applyBorder="1" applyAlignment="1">
      <alignment wrapText="1"/>
    </xf>
    <xf numFmtId="164" fontId="2" fillId="8" borderId="47" xfId="0" applyNumberFormat="1" applyFont="1" applyFill="1" applyBorder="1"/>
    <xf numFmtId="164" fontId="0" fillId="0" borderId="4" xfId="2" applyFont="1" applyBorder="1"/>
    <xf numFmtId="2" fontId="0" fillId="0" borderId="4" xfId="0" applyNumberFormat="1" applyBorder="1"/>
    <xf numFmtId="164" fontId="0" fillId="0" borderId="0" xfId="2" applyFont="1"/>
    <xf numFmtId="164" fontId="0" fillId="11" borderId="4" xfId="0" applyNumberFormat="1" applyFill="1" applyBorder="1"/>
    <xf numFmtId="164" fontId="2" fillId="11" borderId="4" xfId="0" applyNumberFormat="1" applyFont="1" applyFill="1" applyBorder="1"/>
    <xf numFmtId="168" fontId="0" fillId="0" borderId="7" xfId="2" applyNumberFormat="1" applyFont="1" applyBorder="1"/>
    <xf numFmtId="0" fontId="0" fillId="7" borderId="12" xfId="0" applyFont="1" applyFill="1" applyBorder="1" applyAlignment="1">
      <alignment horizontal="center" wrapText="1"/>
    </xf>
    <xf numFmtId="164" fontId="0" fillId="12" borderId="47" xfId="0" applyNumberFormat="1" applyFont="1" applyFill="1" applyBorder="1"/>
    <xf numFmtId="0" fontId="0" fillId="0" borderId="49" xfId="0" applyFill="1" applyBorder="1"/>
    <xf numFmtId="0" fontId="0" fillId="0" borderId="50" xfId="0" applyFill="1" applyBorder="1"/>
    <xf numFmtId="0" fontId="0" fillId="0" borderId="51" xfId="0" applyFont="1" applyFill="1" applyBorder="1"/>
    <xf numFmtId="0" fontId="0" fillId="0" borderId="52" xfId="0" applyFill="1" applyBorder="1"/>
    <xf numFmtId="0" fontId="0" fillId="0" borderId="53" xfId="0" applyFill="1" applyBorder="1"/>
    <xf numFmtId="0" fontId="0" fillId="0" borderId="54" xfId="0" applyFont="1" applyFill="1" applyBorder="1"/>
    <xf numFmtId="164" fontId="0" fillId="0" borderId="4" xfId="2" applyFont="1" applyFill="1" applyBorder="1"/>
    <xf numFmtId="0" fontId="0" fillId="13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8" fontId="0" fillId="0" borderId="0" xfId="0" applyNumberFormat="1"/>
    <xf numFmtId="168" fontId="2" fillId="0" borderId="55" xfId="2" applyNumberFormat="1" applyFont="1" applyBorder="1"/>
    <xf numFmtId="168" fontId="0" fillId="2" borderId="48" xfId="0" applyNumberFormat="1" applyFill="1" applyBorder="1"/>
    <xf numFmtId="0" fontId="0" fillId="2" borderId="0" xfId="0" applyFill="1"/>
    <xf numFmtId="168" fontId="2" fillId="0" borderId="18" xfId="2" applyNumberFormat="1" applyFont="1" applyBorder="1"/>
    <xf numFmtId="168" fontId="0" fillId="0" borderId="55" xfId="2" applyNumberFormat="1" applyFont="1" applyBorder="1"/>
    <xf numFmtId="168" fontId="0" fillId="0" borderId="56" xfId="2" applyNumberFormat="1" applyFont="1" applyBorder="1"/>
    <xf numFmtId="168" fontId="0" fillId="0" borderId="57" xfId="2" applyNumberFormat="1" applyFont="1" applyBorder="1"/>
    <xf numFmtId="168" fontId="0" fillId="2" borderId="47" xfId="0" applyNumberFormat="1" applyFill="1" applyBorder="1"/>
    <xf numFmtId="0" fontId="0" fillId="7" borderId="0" xfId="0" applyFont="1" applyFill="1" applyAlignment="1">
      <alignment horizontal="center" vertical="center"/>
    </xf>
    <xf numFmtId="164" fontId="0" fillId="13" borderId="0" xfId="0" applyNumberFormat="1" applyFont="1" applyFill="1"/>
    <xf numFmtId="164" fontId="2" fillId="0" borderId="7" xfId="2" applyFont="1" applyBorder="1"/>
    <xf numFmtId="164" fontId="0" fillId="14" borderId="47" xfId="2" applyFont="1" applyFill="1" applyBorder="1"/>
    <xf numFmtId="0" fontId="0" fillId="14" borderId="47" xfId="0" applyFont="1" applyFill="1" applyBorder="1" applyAlignment="1">
      <alignment horizontal="center"/>
    </xf>
    <xf numFmtId="0" fontId="0" fillId="6" borderId="7" xfId="0" applyFill="1" applyBorder="1" applyAlignment="1">
      <alignment horizontal="left" wrapText="1"/>
    </xf>
    <xf numFmtId="0" fontId="0" fillId="5" borderId="7" xfId="0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164" fontId="0" fillId="0" borderId="4" xfId="0" applyNumberFormat="1" applyFont="1" applyBorder="1"/>
    <xf numFmtId="164" fontId="4" fillId="0" borderId="4" xfId="2" applyFont="1" applyBorder="1"/>
    <xf numFmtId="164" fontId="0" fillId="0" borderId="4" xfId="2" applyFont="1" applyBorder="1" applyAlignment="1">
      <alignment horizontal="center" vertical="center" wrapText="1"/>
    </xf>
    <xf numFmtId="0" fontId="2" fillId="0" borderId="4" xfId="0" applyFont="1" applyBorder="1"/>
    <xf numFmtId="164" fontId="2" fillId="0" borderId="4" xfId="0" applyNumberFormat="1" applyFont="1" applyBorder="1"/>
    <xf numFmtId="0" fontId="2" fillId="8" borderId="4" xfId="0" applyFont="1" applyFill="1" applyBorder="1" applyAlignment="1">
      <alignment vertical="center"/>
    </xf>
    <xf numFmtId="0" fontId="2" fillId="8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169" fontId="0" fillId="0" borderId="0" xfId="0" applyNumberFormat="1"/>
    <xf numFmtId="0" fontId="0" fillId="11" borderId="4" xfId="0" applyFill="1" applyBorder="1" applyAlignment="1">
      <alignment horizontal="right"/>
    </xf>
    <xf numFmtId="0" fontId="0" fillId="11" borderId="4" xfId="0" applyFill="1" applyBorder="1" applyAlignment="1">
      <alignment horizontal="center"/>
    </xf>
    <xf numFmtId="0" fontId="0" fillId="11" borderId="4" xfId="0" applyFill="1" applyBorder="1"/>
    <xf numFmtId="0" fontId="0" fillId="9" borderId="4" xfId="0" applyFill="1" applyBorder="1" applyAlignment="1">
      <alignment horizontal="right"/>
    </xf>
    <xf numFmtId="0" fontId="0" fillId="0" borderId="4" xfId="0" applyBorder="1" applyAlignment="1">
      <alignment horizontal="right"/>
    </xf>
    <xf numFmtId="164" fontId="0" fillId="0" borderId="4" xfId="2" applyFont="1" applyBorder="1" applyAlignment="1">
      <alignment horizontal="right"/>
    </xf>
    <xf numFmtId="170" fontId="0" fillId="5" borderId="0" xfId="0" applyNumberFormat="1" applyFont="1" applyFill="1" applyAlignment="1">
      <alignment horizontal="center"/>
    </xf>
    <xf numFmtId="0" fontId="9" fillId="0" borderId="0" xfId="0" applyFont="1"/>
    <xf numFmtId="164" fontId="0" fillId="0" borderId="0" xfId="2" applyFont="1" applyFill="1"/>
    <xf numFmtId="0" fontId="0" fillId="0" borderId="0" xfId="0" applyFill="1"/>
    <xf numFmtId="3" fontId="0" fillId="0" borderId="42" xfId="0" applyNumberFormat="1" applyFont="1" applyBorder="1" applyAlignment="1">
      <alignment horizontal="center" vertical="center" wrapText="1"/>
    </xf>
    <xf numFmtId="3" fontId="0" fillId="0" borderId="43" xfId="0" applyNumberFormat="1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4" fillId="8" borderId="35" xfId="0" applyFont="1" applyFill="1" applyBorder="1" applyAlignment="1">
      <alignment horizontal="justify" vertical="center" wrapText="1"/>
    </xf>
    <xf numFmtId="0" fontId="4" fillId="8" borderId="39" xfId="0" applyFont="1" applyFill="1" applyBorder="1" applyAlignment="1">
      <alignment horizontal="justify" vertical="center" wrapText="1"/>
    </xf>
    <xf numFmtId="0" fontId="4" fillId="8" borderId="37" xfId="0" applyFont="1" applyFill="1" applyBorder="1" applyAlignment="1">
      <alignment horizontal="center" vertical="center" wrapText="1"/>
    </xf>
    <xf numFmtId="0" fontId="4" fillId="8" borderId="33" xfId="0" applyFont="1" applyFill="1" applyBorder="1" applyAlignment="1">
      <alignment horizontal="center" vertical="center" wrapText="1"/>
    </xf>
    <xf numFmtId="0" fontId="0" fillId="0" borderId="41" xfId="0" applyFont="1" applyBorder="1" applyAlignment="1">
      <alignment horizontal="justify" vertical="center" wrapText="1"/>
    </xf>
    <xf numFmtId="0" fontId="0" fillId="0" borderId="39" xfId="0" applyFont="1" applyBorder="1" applyAlignment="1">
      <alignment horizontal="justify" vertical="center" wrapText="1"/>
    </xf>
    <xf numFmtId="3" fontId="0" fillId="0" borderId="32" xfId="0" applyNumberFormat="1" applyFont="1" applyBorder="1" applyAlignment="1">
      <alignment horizontal="center" vertical="center" wrapText="1"/>
    </xf>
    <xf numFmtId="3" fontId="0" fillId="0" borderId="33" xfId="0" applyNumberFormat="1" applyFont="1" applyBorder="1" applyAlignment="1">
      <alignment horizontal="center" vertical="center" wrapText="1"/>
    </xf>
    <xf numFmtId="9" fontId="0" fillId="0" borderId="32" xfId="0" applyNumberFormat="1" applyFont="1" applyBorder="1" applyAlignment="1">
      <alignment horizontal="center" vertical="center" wrapText="1"/>
    </xf>
    <xf numFmtId="9" fontId="0" fillId="0" borderId="33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0" fillId="0" borderId="1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164" fontId="0" fillId="14" borderId="47" xfId="2" applyFont="1" applyFill="1" applyBorder="1" applyAlignment="1">
      <alignment horizontal="center" vertical="center"/>
    </xf>
    <xf numFmtId="0" fontId="0" fillId="15" borderId="4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168" fontId="2" fillId="0" borderId="58" xfId="2" applyNumberFormat="1" applyFont="1" applyBorder="1"/>
    <xf numFmtId="168" fontId="2" fillId="0" borderId="9" xfId="2" applyNumberFormat="1" applyFont="1" applyBorder="1"/>
    <xf numFmtId="168" fontId="0" fillId="0" borderId="15" xfId="2" applyNumberFormat="1" applyFont="1" applyBorder="1"/>
    <xf numFmtId="168" fontId="0" fillId="0" borderId="58" xfId="2" applyNumberFormat="1" applyFont="1" applyBorder="1"/>
    <xf numFmtId="0" fontId="0" fillId="2" borderId="4" xfId="0" applyFill="1" applyBorder="1" applyAlignment="1">
      <alignment horizontal="center" wrapText="1"/>
    </xf>
    <xf numFmtId="3" fontId="0" fillId="5" borderId="7" xfId="0" applyNumberFormat="1" applyFill="1" applyBorder="1" applyAlignment="1">
      <alignment horizontal="center"/>
    </xf>
    <xf numFmtId="3" fontId="0" fillId="0" borderId="0" xfId="0" applyNumberFormat="1" applyAlignment="1">
      <alignment horizontal="center"/>
    </xf>
    <xf numFmtId="167" fontId="0" fillId="0" borderId="4" xfId="0" applyNumberFormat="1" applyBorder="1"/>
    <xf numFmtId="167" fontId="0" fillId="0" borderId="0" xfId="0" applyNumberFormat="1"/>
    <xf numFmtId="0" fontId="0" fillId="14" borderId="59" xfId="0" applyFont="1" applyFill="1" applyBorder="1" applyAlignment="1">
      <alignment horizontal="center" vertical="center"/>
    </xf>
    <xf numFmtId="0" fontId="0" fillId="14" borderId="60" xfId="0" applyFont="1" applyFill="1" applyBorder="1" applyAlignment="1">
      <alignment horizontal="center" vertical="center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/Library/Caches/TemporaryItems/Outlook%20Temp/Ejemplo_Revised%20EFA%20(PMY)%20(Ver%2017%20DF)%20(15-09-16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a/Viridia%20projects%20Dropbox/Proyectos/PY-01_Propuesta%20CAF_LFIs/4.%20Ejecuci&#243;n%20Consultor&#237;a/2020-08-15%20Paquete%20Completo/Annex%203.%20Economic%20and%20financial%20analysi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a/Downloads/reduction%20emission_C1%20_25%20years%20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unity Info"/>
      <sheetName val="FFS"/>
      <sheetName val="Costs and Benefits"/>
      <sheetName val="Econ Costs"/>
      <sheetName val="PARAMETERS"/>
      <sheetName val="Prices_N"/>
      <sheetName val="ECON ANALYSIS"/>
      <sheetName val="Sensitivity Analysis"/>
      <sheetName val="FIN ANALYSIS"/>
      <sheetName val="1.2 Hall"/>
      <sheetName val="1.2 Wharf"/>
      <sheetName val="1.2 Tractors"/>
      <sheetName val="1.2 Roads and Bridges"/>
      <sheetName val="Comm Analysis"/>
      <sheetName val="Comm Analysis 2"/>
      <sheetName val="Contingencies"/>
      <sheetName val="BUDGET"/>
      <sheetName val="BUDGET_Price"/>
      <sheetName val="SUMMARY"/>
      <sheetName val="18-month Procurement"/>
      <sheetName val="Appendix 7"/>
      <sheetName val="Appendix 9"/>
      <sheetName val="TRIP cost"/>
      <sheetName val="Prices"/>
      <sheetName val="Rates"/>
      <sheetName val="Tractor"/>
      <sheetName val="2.2 Weaving Sheds"/>
      <sheetName val="2.2 Home garden"/>
      <sheetName val="Model Farms"/>
      <sheetName val="2.2 MFs, CFs, FFSs"/>
      <sheetName val="Sandal Wood"/>
      <sheetName val="Vanilla"/>
      <sheetName val="Pig Fence"/>
      <sheetName val="Poultry"/>
      <sheetName val="Water supply"/>
      <sheetName val="Summary (2)"/>
      <sheetName val="Market prices$common trade unit"/>
      <sheetName val="SUMCOM"/>
    </sheetNames>
    <sheetDataSet>
      <sheetData sheetId="0"/>
      <sheetData sheetId="1"/>
      <sheetData sheetId="2"/>
      <sheetData sheetId="3"/>
      <sheetData sheetId="4"/>
      <sheetData sheetId="5">
        <row r="3">
          <cell r="D3">
            <v>2.2000000000000002</v>
          </cell>
        </row>
      </sheetData>
      <sheetData sheetId="6">
        <row r="40">
          <cell r="AE40">
            <v>72809033.904080451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1.Variables"/>
      <sheetName val="2.a Summary"/>
      <sheetName val="2.b Summary (GHG)"/>
      <sheetName val="3. LFI Projections"/>
      <sheetName val="4a. A-Panama"/>
      <sheetName val="4b. A-Peru"/>
      <sheetName val="4c. A-Ecuador"/>
      <sheetName val="4d. A-Paraguay"/>
      <sheetName val="4d. A-Chile"/>
      <sheetName val="4f. A-Uruguay"/>
      <sheetName val="5. Projection Financing"/>
      <sheetName val="6. Projection CO2"/>
      <sheetName val="7. Economic analysis"/>
      <sheetName val="8. Sample project analysis"/>
      <sheetName val="Blatt1"/>
      <sheetName val="Graphic emissions"/>
    </sheetNames>
    <sheetDataSet>
      <sheetData sheetId="0"/>
      <sheetData sheetId="1"/>
      <sheetData sheetId="2"/>
      <sheetData sheetId="3"/>
      <sheetData sheetId="4">
        <row r="31">
          <cell r="D31" t="str">
            <v>Bank 1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194">
          <cell r="F194">
            <v>0</v>
          </cell>
          <cell r="G194">
            <v>0</v>
          </cell>
        </row>
        <row r="195">
          <cell r="F195">
            <v>0</v>
          </cell>
          <cell r="G195">
            <v>0</v>
          </cell>
        </row>
      </sheetData>
      <sheetData sheetId="12">
        <row r="67">
          <cell r="F67">
            <v>0</v>
          </cell>
          <cell r="G67">
            <v>0</v>
          </cell>
          <cell r="H67">
            <v>0</v>
          </cell>
        </row>
        <row r="68">
          <cell r="F68">
            <v>0</v>
          </cell>
          <cell r="G68">
            <v>0</v>
          </cell>
          <cell r="H68">
            <v>0</v>
          </cell>
        </row>
      </sheetData>
      <sheetData sheetId="13"/>
      <sheetData sheetId="14"/>
      <sheetData sheetId="15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GHG_C1"/>
      <sheetName val="Projections MWh"/>
      <sheetName val="Projections_CO2"/>
      <sheetName val="Savings Diesel transportation"/>
    </sheetNames>
    <sheetDataSet>
      <sheetData sheetId="0">
        <row r="19">
          <cell r="L19">
            <v>0.82699999999999996</v>
          </cell>
          <cell r="M19">
            <v>0.72799999999999998</v>
          </cell>
          <cell r="N19">
            <v>0.76700000000000002</v>
          </cell>
          <cell r="O19">
            <v>0.80500000000000005</v>
          </cell>
        </row>
      </sheetData>
      <sheetData sheetId="1">
        <row r="4">
          <cell r="W4">
            <v>22021.26</v>
          </cell>
          <cell r="X4">
            <v>22814.03</v>
          </cell>
          <cell r="Y4">
            <v>22488.11</v>
          </cell>
          <cell r="Z4">
            <v>22090.07</v>
          </cell>
          <cell r="AA4">
            <v>22819.040000000001</v>
          </cell>
        </row>
        <row r="5">
          <cell r="W5">
            <v>2923.0013187719428</v>
          </cell>
          <cell r="X5">
            <v>2908.3863121780832</v>
          </cell>
          <cell r="Y5">
            <v>2893.8443806171927</v>
          </cell>
          <cell r="Z5">
            <v>2879.3751587141069</v>
          </cell>
          <cell r="AA5">
            <v>2864.9782829205365</v>
          </cell>
        </row>
        <row r="6">
          <cell r="W6">
            <v>633.63836316451182</v>
          </cell>
          <cell r="X6">
            <v>630.47017134868929</v>
          </cell>
          <cell r="Y6">
            <v>627.31782049194589</v>
          </cell>
          <cell r="Z6">
            <v>624.18123138948613</v>
          </cell>
          <cell r="AA6">
            <v>621.06032523253873</v>
          </cell>
        </row>
        <row r="7">
          <cell r="W7">
            <v>576.70274212654135</v>
          </cell>
          <cell r="X7">
            <v>573.8192284159087</v>
          </cell>
          <cell r="Y7">
            <v>570.95013227382913</v>
          </cell>
          <cell r="Z7">
            <v>568.09538161245996</v>
          </cell>
          <cell r="AA7">
            <v>565.25490470439763</v>
          </cell>
        </row>
        <row r="8">
          <cell r="W8">
            <v>4133.3424240629956</v>
          </cell>
          <cell r="X8">
            <v>4112.6757119426811</v>
          </cell>
          <cell r="Y8">
            <v>4092.1123333829678</v>
          </cell>
          <cell r="Z8">
            <v>4071.6517717160532</v>
          </cell>
          <cell r="AA8">
            <v>4051.2935128574727</v>
          </cell>
        </row>
        <row r="9">
          <cell r="W9">
            <v>1102.3358780107653</v>
          </cell>
          <cell r="X9">
            <v>1058.2424428903348</v>
          </cell>
          <cell r="Y9">
            <v>1015.9127451747214</v>
          </cell>
          <cell r="Z9">
            <v>975.27623536773251</v>
          </cell>
          <cell r="AA9">
            <v>936.26518595302321</v>
          </cell>
        </row>
        <row r="10">
          <cell r="W10">
            <v>321.43165876076546</v>
          </cell>
          <cell r="X10">
            <v>308.57439241033484</v>
          </cell>
          <cell r="Y10">
            <v>296.23141671392142</v>
          </cell>
          <cell r="Z10">
            <v>284.38216004536457</v>
          </cell>
          <cell r="AA10">
            <v>273.00687364354997</v>
          </cell>
        </row>
        <row r="11">
          <cell r="W11">
            <v>187.48614578798592</v>
          </cell>
          <cell r="X11">
            <v>179.98669995646648</v>
          </cell>
          <cell r="Y11">
            <v>172.78723195820783</v>
          </cell>
          <cell r="Z11">
            <v>165.87574267987952</v>
          </cell>
          <cell r="AA11">
            <v>159.24071297268435</v>
          </cell>
        </row>
        <row r="12">
          <cell r="W12">
            <v>26.375806481596413</v>
          </cell>
          <cell r="X12">
            <v>25.320774222332556</v>
          </cell>
          <cell r="Y12">
            <v>24.307943253439255</v>
          </cell>
          <cell r="Z12">
            <v>23.335625523301687</v>
          </cell>
          <cell r="AA12">
            <v>22.40220050236962</v>
          </cell>
        </row>
        <row r="13">
          <cell r="W13">
            <v>1637.6294890411129</v>
          </cell>
          <cell r="X13">
            <v>1572.1243094794688</v>
          </cell>
          <cell r="Y13">
            <v>1509.2393371002902</v>
          </cell>
          <cell r="Z13">
            <v>1448.8697636162781</v>
          </cell>
          <cell r="AA13">
            <v>1390.9149730716272</v>
          </cell>
        </row>
      </sheetData>
      <sheetData sheetId="2">
        <row r="7">
          <cell r="AJ7">
            <v>18211.582019999998</v>
          </cell>
          <cell r="AK7">
            <v>18867.202809999999</v>
          </cell>
          <cell r="AL7">
            <v>18597.666969999998</v>
          </cell>
          <cell r="AM7">
            <v>18268.48789</v>
          </cell>
          <cell r="AN7">
            <v>18871.346079999999</v>
          </cell>
        </row>
        <row r="8">
          <cell r="AJ8">
            <v>3320.941822219218</v>
          </cell>
          <cell r="AK8">
            <v>3304.3371131081221</v>
          </cell>
          <cell r="AL8">
            <v>3287.8154275425813</v>
          </cell>
          <cell r="AM8">
            <v>3271.3763504048693</v>
          </cell>
          <cell r="AN8">
            <v>3255.0194686528448</v>
          </cell>
        </row>
        <row r="9">
          <cell r="AJ9">
            <v>1310.6684167298104</v>
          </cell>
          <cell r="AK9">
            <v>1258.2416800606179</v>
          </cell>
          <cell r="AL9">
            <v>1207.9120128581935</v>
          </cell>
          <cell r="AM9">
            <v>1159.5955323438657</v>
          </cell>
          <cell r="AN9">
            <v>1113.211711050111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CF27-9BC9-46A2-82E0-43D33A7373DD}">
  <dimension ref="B2:AC39"/>
  <sheetViews>
    <sheetView zoomScale="70" zoomScaleNormal="70" workbookViewId="0">
      <selection activeCell="K33" sqref="K33"/>
    </sheetView>
  </sheetViews>
  <sheetFormatPr baseColWidth="10" defaultColWidth="11" defaultRowHeight="15.75" x14ac:dyDescent="0.25"/>
  <cols>
    <col min="1" max="1" width="3.875" style="19" customWidth="1"/>
    <col min="2" max="2" width="33.125" style="19" customWidth="1"/>
    <col min="3" max="3" width="26.375" style="19" customWidth="1"/>
    <col min="4" max="4" width="23.875" style="19" customWidth="1"/>
    <col min="5" max="5" width="13.75" style="19" customWidth="1"/>
    <col min="6" max="6" width="13.5" style="19" customWidth="1"/>
    <col min="7" max="7" width="11" style="19"/>
    <col min="8" max="8" width="11.75" style="19" customWidth="1"/>
    <col min="9" max="9" width="11" style="19"/>
    <col min="10" max="10" width="13.625" style="19" customWidth="1"/>
    <col min="11" max="11" width="13.375" style="19" customWidth="1"/>
    <col min="12" max="12" width="12.875" style="19" customWidth="1"/>
    <col min="13" max="13" width="17" style="19" customWidth="1"/>
    <col min="14" max="14" width="10.875" style="19" customWidth="1"/>
    <col min="15" max="15" width="14.875" style="19" customWidth="1"/>
    <col min="16" max="16" width="14.5" style="19" customWidth="1"/>
    <col min="17" max="17" width="16.5" style="19" customWidth="1"/>
    <col min="18" max="18" width="12.625" style="19" bestFit="1" customWidth="1"/>
    <col min="19" max="19" width="11" style="19" bestFit="1" customWidth="1"/>
    <col min="20" max="20" width="12.625" style="19" bestFit="1" customWidth="1"/>
    <col min="21" max="16384" width="11" style="19"/>
  </cols>
  <sheetData>
    <row r="2" spans="2:29" ht="26.25" x14ac:dyDescent="0.4">
      <c r="B2" s="18" t="s">
        <v>25</v>
      </c>
    </row>
    <row r="4" spans="2:29" ht="16.5" thickBot="1" x14ac:dyDescent="0.3"/>
    <row r="5" spans="2:29" ht="63" customHeight="1" x14ac:dyDescent="0.25">
      <c r="B5" s="19" t="s">
        <v>24</v>
      </c>
      <c r="E5" s="20" t="s">
        <v>0</v>
      </c>
      <c r="F5" s="21"/>
      <c r="G5" s="22"/>
      <c r="H5" s="20" t="s">
        <v>1</v>
      </c>
      <c r="I5" s="21"/>
      <c r="J5" s="22"/>
      <c r="L5" s="206" t="s">
        <v>36</v>
      </c>
      <c r="M5" s="207"/>
      <c r="N5" s="207"/>
      <c r="O5" s="208"/>
      <c r="P5" s="210" t="s">
        <v>38</v>
      </c>
      <c r="Q5" s="211"/>
      <c r="R5" s="211"/>
      <c r="S5" s="211"/>
    </row>
    <row r="6" spans="2:29" ht="47.25" x14ac:dyDescent="0.25">
      <c r="B6" s="23"/>
      <c r="C6" s="24" t="s">
        <v>18</v>
      </c>
      <c r="D6" s="24" t="s">
        <v>2</v>
      </c>
      <c r="E6" s="25" t="s">
        <v>3</v>
      </c>
      <c r="F6" s="26" t="s">
        <v>4</v>
      </c>
      <c r="G6" s="27" t="s">
        <v>5</v>
      </c>
      <c r="H6" s="25" t="s">
        <v>3</v>
      </c>
      <c r="I6" s="26" t="s">
        <v>4</v>
      </c>
      <c r="J6" s="27" t="s">
        <v>6</v>
      </c>
      <c r="L6" s="24" t="s">
        <v>35</v>
      </c>
      <c r="M6" s="24" t="s">
        <v>32</v>
      </c>
      <c r="N6" s="24" t="s">
        <v>33</v>
      </c>
      <c r="O6" s="24" t="s">
        <v>34</v>
      </c>
      <c r="P6" s="24" t="s">
        <v>35</v>
      </c>
      <c r="Q6" s="24" t="s">
        <v>32</v>
      </c>
      <c r="R6" s="24" t="s">
        <v>33</v>
      </c>
      <c r="S6" s="24" t="s">
        <v>34</v>
      </c>
    </row>
    <row r="7" spans="2:29" x14ac:dyDescent="0.25">
      <c r="B7" s="28"/>
      <c r="C7" s="29" t="s">
        <v>19</v>
      </c>
      <c r="D7" s="30" t="s">
        <v>50</v>
      </c>
      <c r="E7" s="1"/>
      <c r="F7" s="2"/>
      <c r="G7" s="31"/>
      <c r="H7" s="32">
        <v>1</v>
      </c>
      <c r="I7" s="17"/>
      <c r="J7" s="33">
        <f>+H7</f>
        <v>1</v>
      </c>
      <c r="L7" s="76">
        <f>+P7*L19</f>
        <v>379507.07505560992</v>
      </c>
      <c r="M7" s="76"/>
      <c r="N7" s="76"/>
      <c r="O7" s="76"/>
      <c r="P7" s="76">
        <f>+SUM('Projections MWh'!C4:V4)</f>
        <v>458896.10042999993</v>
      </c>
      <c r="Q7" s="16"/>
      <c r="R7" s="16"/>
      <c r="S7" s="16"/>
    </row>
    <row r="8" spans="2:29" x14ac:dyDescent="0.25">
      <c r="B8" s="28"/>
      <c r="C8" s="212" t="s">
        <v>20</v>
      </c>
      <c r="D8" s="30" t="s">
        <v>22</v>
      </c>
      <c r="E8" s="1"/>
      <c r="F8" s="2"/>
      <c r="G8" s="31"/>
      <c r="H8" s="32">
        <f>32+17+16</f>
        <v>65</v>
      </c>
      <c r="I8" s="17"/>
      <c r="J8" s="33">
        <f>+H8</f>
        <v>65</v>
      </c>
      <c r="L8" s="76">
        <f>+P8*L19</f>
        <v>45372.888775120453</v>
      </c>
      <c r="M8" s="76">
        <f>+Q8*M19</f>
        <v>8658.3423232470668</v>
      </c>
      <c r="N8" s="76">
        <f>+R8*N19</f>
        <v>8302.5077577885713</v>
      </c>
      <c r="O8" s="76">
        <v>0</v>
      </c>
      <c r="P8" s="76">
        <f>+SUM('Projections MWh'!C5:V5)</f>
        <v>54864.436245611192</v>
      </c>
      <c r="Q8" s="76">
        <f>+SUM('Projections MWh'!C6:V6)</f>
        <v>11893.32736709762</v>
      </c>
      <c r="R8" s="76">
        <f>+SUM('Projections MWh'!C7:V7)</f>
        <v>10824.651574691748</v>
      </c>
      <c r="S8" s="76">
        <v>0</v>
      </c>
    </row>
    <row r="9" spans="2:29" x14ac:dyDescent="0.25">
      <c r="B9" s="28"/>
      <c r="C9" s="213"/>
      <c r="D9" s="30" t="s">
        <v>17</v>
      </c>
      <c r="E9" s="1"/>
      <c r="F9" s="2"/>
      <c r="G9" s="31"/>
      <c r="H9" s="32"/>
      <c r="I9" s="17"/>
      <c r="J9" s="33">
        <f>+H9</f>
        <v>0</v>
      </c>
      <c r="L9" s="76"/>
      <c r="M9" s="76"/>
      <c r="N9" s="76"/>
      <c r="O9" s="76"/>
      <c r="P9" s="76"/>
      <c r="Q9" s="76"/>
      <c r="R9" s="76"/>
      <c r="S9" s="76"/>
    </row>
    <row r="10" spans="2:29" x14ac:dyDescent="0.25">
      <c r="B10" s="28"/>
      <c r="C10" s="212" t="s">
        <v>21</v>
      </c>
      <c r="D10" s="30" t="s">
        <v>22</v>
      </c>
      <c r="E10" s="1"/>
      <c r="F10" s="2"/>
      <c r="G10" s="31"/>
      <c r="H10" s="32"/>
      <c r="I10" s="17">
        <v>4524</v>
      </c>
      <c r="J10" s="33">
        <f>+I10</f>
        <v>4524</v>
      </c>
      <c r="L10" s="76">
        <f>+P10*L19</f>
        <v>18795.602940899556</v>
      </c>
      <c r="M10" s="76">
        <f>+Q10*M19</f>
        <v>4824.5502977284341</v>
      </c>
      <c r="N10" s="76">
        <f>+R10*N19</f>
        <v>2964.8406386286802</v>
      </c>
      <c r="O10" s="76">
        <f>+S10*O19</f>
        <v>437.76238090142556</v>
      </c>
      <c r="P10" s="76">
        <f>+SUM('Projections MWh'!C9:V9)</f>
        <v>22727.452165537554</v>
      </c>
      <c r="Q10" s="76">
        <f>+SUM('Projections MWh'!C10:V10)</f>
        <v>6627.1295298467503</v>
      </c>
      <c r="R10" s="76">
        <f>+SUM('Projections MWh'!C11:V11)</f>
        <v>3865.502788303364</v>
      </c>
      <c r="S10" s="76">
        <f>+SUM('Projections MWh'!C12:V12)</f>
        <v>543.80419987754726</v>
      </c>
    </row>
    <row r="11" spans="2:29" x14ac:dyDescent="0.25">
      <c r="B11" s="28"/>
      <c r="C11" s="213"/>
      <c r="D11" s="30" t="s">
        <v>17</v>
      </c>
      <c r="E11" s="1"/>
      <c r="F11" s="2"/>
      <c r="G11" s="31"/>
      <c r="H11" s="32"/>
      <c r="I11" s="17"/>
      <c r="J11" s="33">
        <v>0</v>
      </c>
      <c r="L11" s="16"/>
      <c r="M11" s="16"/>
      <c r="N11" s="16"/>
      <c r="O11" s="16"/>
      <c r="P11" s="16"/>
      <c r="Q11" s="16"/>
      <c r="R11" s="16"/>
      <c r="S11" s="16"/>
    </row>
    <row r="12" spans="2:29" ht="16.5" thickBot="1" x14ac:dyDescent="0.3">
      <c r="B12" s="34"/>
      <c r="C12" s="3" t="s">
        <v>7</v>
      </c>
      <c r="D12" s="35"/>
      <c r="E12" s="4">
        <f>SUM(E6:E11)</f>
        <v>0</v>
      </c>
      <c r="F12" s="5">
        <f>SUM(F6:F11)</f>
        <v>0</v>
      </c>
      <c r="G12" s="8">
        <f>+SUM(G7:G11)</f>
        <v>0</v>
      </c>
      <c r="H12" s="6">
        <f>SUM(H7:H11)</f>
        <v>66</v>
      </c>
      <c r="I12" s="7">
        <f>SUM(I7:I11)</f>
        <v>4524</v>
      </c>
      <c r="J12" s="8">
        <f>+SUM(J7:J11)</f>
        <v>4590</v>
      </c>
      <c r="L12" s="209">
        <f>+SUM(L7:O11)</f>
        <v>468863.57016992412</v>
      </c>
      <c r="M12" s="209"/>
      <c r="N12" s="209"/>
      <c r="O12" s="209"/>
      <c r="P12" s="209">
        <f>+SUM(P7:S11)</f>
        <v>570242.40430096572</v>
      </c>
      <c r="Q12" s="209"/>
      <c r="R12" s="209"/>
      <c r="S12" s="209"/>
    </row>
    <row r="13" spans="2:29" x14ac:dyDescent="0.25">
      <c r="H13" s="9"/>
      <c r="I13" s="9"/>
      <c r="J13" s="9"/>
      <c r="P13" s="41"/>
      <c r="Q13" s="41"/>
      <c r="R13" s="41"/>
      <c r="S13" s="41"/>
      <c r="Z13" s="19">
        <f>+U13/1000*$L$19</f>
        <v>0</v>
      </c>
      <c r="AA13" s="19">
        <f>+V13/1000*$M$19</f>
        <v>0</v>
      </c>
      <c r="AB13" s="19">
        <f>+W13/1000*$N$19</f>
        <v>0</v>
      </c>
      <c r="AC13" s="19">
        <f>+X13/1000*$O$19</f>
        <v>0</v>
      </c>
    </row>
    <row r="14" spans="2:29" x14ac:dyDescent="0.25">
      <c r="P14" s="41"/>
      <c r="Q14" s="41"/>
      <c r="R14" s="41"/>
      <c r="S14" s="41"/>
      <c r="Z14" s="19">
        <f t="shared" ref="Z14:Z16" si="0">+U14/1000*$L$19</f>
        <v>0</v>
      </c>
      <c r="AA14" s="19">
        <f t="shared" ref="AA14:AA16" si="1">+V14/1000*$M$19</f>
        <v>0</v>
      </c>
      <c r="AB14" s="19">
        <f t="shared" ref="AB14:AB16" si="2">+W14/1000*$N$19</f>
        <v>0</v>
      </c>
      <c r="AC14" s="19">
        <f t="shared" ref="AC14:AC16" si="3">+X14/1000*$O$19</f>
        <v>0</v>
      </c>
    </row>
    <row r="15" spans="2:29" x14ac:dyDescent="0.25">
      <c r="P15" s="41"/>
      <c r="Q15" s="41"/>
      <c r="R15" s="41"/>
      <c r="S15" s="41"/>
      <c r="Z15" s="19">
        <f t="shared" si="0"/>
        <v>0</v>
      </c>
      <c r="AA15" s="19">
        <f t="shared" si="1"/>
        <v>0</v>
      </c>
      <c r="AB15" s="19">
        <f t="shared" si="2"/>
        <v>0</v>
      </c>
      <c r="AC15" s="19">
        <f t="shared" si="3"/>
        <v>0</v>
      </c>
    </row>
    <row r="16" spans="2:29" x14ac:dyDescent="0.25">
      <c r="O16" s="34"/>
      <c r="P16" s="41"/>
      <c r="Q16" s="41"/>
      <c r="R16" s="41"/>
      <c r="S16" s="41"/>
      <c r="Z16" s="19">
        <f t="shared" si="0"/>
        <v>0</v>
      </c>
      <c r="AA16" s="19">
        <f t="shared" si="1"/>
        <v>0</v>
      </c>
      <c r="AB16" s="19">
        <f t="shared" si="2"/>
        <v>0</v>
      </c>
      <c r="AC16" s="19">
        <f t="shared" si="3"/>
        <v>0</v>
      </c>
    </row>
    <row r="17" spans="2:20" ht="19.5" thickBot="1" x14ac:dyDescent="0.35">
      <c r="E17" s="15" t="s">
        <v>8</v>
      </c>
      <c r="F17" s="15"/>
      <c r="G17" s="15" t="s">
        <v>9</v>
      </c>
      <c r="H17" s="15"/>
      <c r="I17" s="15" t="s">
        <v>10</v>
      </c>
      <c r="J17" s="15"/>
      <c r="K17" s="15"/>
      <c r="L17" s="15" t="s">
        <v>51</v>
      </c>
      <c r="P17" s="41"/>
      <c r="Q17" s="41"/>
      <c r="R17" s="41"/>
      <c r="S17" s="41"/>
    </row>
    <row r="18" spans="2:20" ht="31.5" x14ac:dyDescent="0.25">
      <c r="B18" s="19" t="s">
        <v>23</v>
      </c>
      <c r="E18" s="36" t="s">
        <v>11</v>
      </c>
      <c r="F18" s="37" t="s">
        <v>4</v>
      </c>
      <c r="G18" s="36" t="s">
        <v>11</v>
      </c>
      <c r="H18" s="37" t="s">
        <v>12</v>
      </c>
      <c r="I18" s="36" t="s">
        <v>11</v>
      </c>
      <c r="J18" s="38" t="s">
        <v>4</v>
      </c>
      <c r="K18" s="23"/>
      <c r="L18" s="24" t="s">
        <v>35</v>
      </c>
      <c r="M18" s="24" t="s">
        <v>32</v>
      </c>
      <c r="N18" s="24" t="s">
        <v>33</v>
      </c>
      <c r="O18" s="24" t="s">
        <v>34</v>
      </c>
    </row>
    <row r="19" spans="2:20" ht="47.25" x14ac:dyDescent="0.25">
      <c r="B19" s="23"/>
      <c r="C19" s="24"/>
      <c r="D19" s="24" t="s">
        <v>2</v>
      </c>
      <c r="E19" s="39" t="s">
        <v>13</v>
      </c>
      <c r="F19" s="24" t="s">
        <v>14</v>
      </c>
      <c r="G19" s="39" t="s">
        <v>15</v>
      </c>
      <c r="H19" s="24" t="s">
        <v>15</v>
      </c>
      <c r="I19" s="39" t="s">
        <v>16</v>
      </c>
      <c r="J19" s="40" t="s">
        <v>16</v>
      </c>
      <c r="K19" s="23"/>
      <c r="L19" s="16">
        <v>0.82699999999999996</v>
      </c>
      <c r="M19" s="16">
        <v>0.72799999999999998</v>
      </c>
      <c r="N19" s="16">
        <v>0.76700000000000002</v>
      </c>
      <c r="O19" s="16">
        <v>0.80500000000000005</v>
      </c>
      <c r="P19" s="13"/>
      <c r="Q19" s="41"/>
      <c r="R19" s="41"/>
      <c r="S19" s="41"/>
    </row>
    <row r="20" spans="2:20" ht="16.5" thickBot="1" x14ac:dyDescent="0.3">
      <c r="B20" s="28"/>
      <c r="C20" s="29" t="s">
        <v>19</v>
      </c>
      <c r="D20" s="30" t="s">
        <v>50</v>
      </c>
      <c r="E20" s="45">
        <f>+'Projections MWh'!E4</f>
        <v>22969.244409999999</v>
      </c>
      <c r="F20" s="17"/>
      <c r="G20" s="32">
        <f>L19*E20</f>
        <v>18995.56512707</v>
      </c>
      <c r="H20" s="17"/>
      <c r="I20" s="42">
        <f>+G20/E20</f>
        <v>0.82700000000000007</v>
      </c>
      <c r="J20" s="43"/>
      <c r="K20" s="44"/>
      <c r="L20" s="188" t="s">
        <v>52</v>
      </c>
      <c r="P20" s="41"/>
      <c r="Q20" s="41"/>
      <c r="R20" s="41"/>
      <c r="S20" s="41"/>
      <c r="T20" s="41"/>
    </row>
    <row r="21" spans="2:20" x14ac:dyDescent="0.25">
      <c r="B21" s="28"/>
      <c r="C21" s="205" t="s">
        <v>20</v>
      </c>
      <c r="D21" s="30" t="s">
        <v>22</v>
      </c>
      <c r="E21" s="116">
        <f>+'Projections MWh'!F5+'Projections MWh'!F6+'Projections MWh'!F7</f>
        <v>4501</v>
      </c>
      <c r="F21" s="17"/>
      <c r="G21" s="32">
        <f>+Projections_CO2!G8</f>
        <v>3616.337</v>
      </c>
      <c r="H21" s="17"/>
      <c r="I21" s="42">
        <f>+G21/E21</f>
        <v>0.80345189957787155</v>
      </c>
      <c r="J21" s="43"/>
      <c r="K21" s="44"/>
      <c r="P21" s="41"/>
      <c r="Q21" s="41"/>
      <c r="R21" s="41"/>
      <c r="S21" s="41"/>
      <c r="T21" s="41"/>
    </row>
    <row r="22" spans="2:20" x14ac:dyDescent="0.25">
      <c r="B22" s="28"/>
      <c r="C22" s="205"/>
      <c r="D22" s="30" t="s">
        <v>17</v>
      </c>
      <c r="E22" s="32"/>
      <c r="F22" s="17"/>
      <c r="G22" s="32"/>
      <c r="H22" s="17"/>
      <c r="I22" s="42"/>
      <c r="J22" s="43"/>
      <c r="K22" s="44"/>
      <c r="P22" s="41"/>
      <c r="Q22" s="41"/>
      <c r="R22" s="41"/>
      <c r="S22" s="41"/>
      <c r="T22" s="41"/>
    </row>
    <row r="23" spans="2:20" x14ac:dyDescent="0.25">
      <c r="B23" s="28"/>
      <c r="C23" s="205" t="s">
        <v>21</v>
      </c>
      <c r="D23" s="30" t="s">
        <v>22</v>
      </c>
      <c r="E23" s="32"/>
      <c r="F23" s="17">
        <f>+'Projections MWh'!F9+'Projections MWh'!F10+'Projections MWh'!F11+'Projections MWh'!F12</f>
        <v>2179.2999999999997</v>
      </c>
      <c r="G23" s="32"/>
      <c r="H23" s="71">
        <f>+Projections_CO2!G9</f>
        <v>1744.19165</v>
      </c>
      <c r="I23" s="42"/>
      <c r="J23" s="43">
        <f>+H23/F23</f>
        <v>0.80034490432707761</v>
      </c>
      <c r="K23" s="44"/>
      <c r="P23" s="41"/>
      <c r="Q23" s="41"/>
      <c r="R23" s="41"/>
      <c r="S23" s="41"/>
      <c r="T23" s="41"/>
    </row>
    <row r="24" spans="2:20" ht="16.5" thickBot="1" x14ac:dyDescent="0.3">
      <c r="B24" s="28"/>
      <c r="C24" s="205"/>
      <c r="D24" s="30" t="s">
        <v>17</v>
      </c>
      <c r="E24" s="45"/>
      <c r="F24" s="46"/>
      <c r="G24" s="45"/>
      <c r="H24" s="46"/>
      <c r="I24" s="47"/>
      <c r="J24" s="48"/>
      <c r="K24" s="44"/>
      <c r="P24" s="41"/>
      <c r="Q24" s="41"/>
      <c r="R24" s="41"/>
      <c r="S24" s="41"/>
      <c r="T24" s="41"/>
    </row>
    <row r="25" spans="2:20" hidden="1" x14ac:dyDescent="0.25">
      <c r="B25" s="49">
        <f t="shared" ref="B25:D26" si="4">B10</f>
        <v>0</v>
      </c>
      <c r="C25" s="29" t="str">
        <f t="shared" si="4"/>
        <v>1.2.1 Energy Efficiency</v>
      </c>
      <c r="D25" s="30" t="str">
        <f t="shared" si="4"/>
        <v>Bank 2</v>
      </c>
      <c r="E25" s="50">
        <f>'[2]5. Projection Financing'!F194</f>
        <v>0</v>
      </c>
      <c r="F25" s="51">
        <f>'[2]5. Projection Financing'!G194</f>
        <v>0</v>
      </c>
      <c r="G25" s="50">
        <f>'[2]6. Projection CO2'!F67</f>
        <v>0</v>
      </c>
      <c r="H25" s="51">
        <f>'[2]6. Projection CO2'!G67</f>
        <v>0</v>
      </c>
      <c r="I25" s="52">
        <f>'[2]6. Projection CO2'!H67</f>
        <v>0</v>
      </c>
      <c r="J25" s="53"/>
      <c r="K25" s="54" t="e">
        <f>H25/F25</f>
        <v>#DIV/0!</v>
      </c>
      <c r="L25" s="43" t="e">
        <f>I25/#REF!</f>
        <v>#REF!</v>
      </c>
      <c r="P25" s="41"/>
      <c r="Q25" s="41"/>
      <c r="R25" s="41"/>
      <c r="S25" s="41"/>
      <c r="T25" s="41"/>
    </row>
    <row r="26" spans="2:20" ht="16.5" hidden="1" thickBot="1" x14ac:dyDescent="0.3">
      <c r="B26" s="29">
        <f t="shared" si="4"/>
        <v>0</v>
      </c>
      <c r="C26" s="29">
        <f t="shared" si="4"/>
        <v>0</v>
      </c>
      <c r="D26" s="30" t="str">
        <f t="shared" si="4"/>
        <v>Bank 3</v>
      </c>
      <c r="E26" s="45">
        <f>'[2]5. Projection Financing'!F195</f>
        <v>0</v>
      </c>
      <c r="F26" s="46">
        <f>'[2]5. Projection Financing'!G195</f>
        <v>0</v>
      </c>
      <c r="G26" s="55">
        <f>'[2]6. Projection CO2'!F68</f>
        <v>0</v>
      </c>
      <c r="H26" s="56">
        <f>'[2]6. Projection CO2'!G68</f>
        <v>0</v>
      </c>
      <c r="I26" s="57">
        <f>'[2]6. Projection CO2'!H68</f>
        <v>0</v>
      </c>
      <c r="J26" s="47"/>
      <c r="K26" s="58" t="e">
        <f>H26/F26</f>
        <v>#DIV/0!</v>
      </c>
      <c r="L26" s="43" t="e">
        <f>I26/#REF!</f>
        <v>#REF!</v>
      </c>
      <c r="P26" s="41"/>
      <c r="Q26" s="41"/>
      <c r="R26" s="41"/>
      <c r="S26" s="41"/>
      <c r="T26" s="41"/>
    </row>
    <row r="27" spans="2:20" x14ac:dyDescent="0.25">
      <c r="G27" s="10">
        <f>SUM(G20:G24)</f>
        <v>22611.90212707</v>
      </c>
      <c r="H27" s="10">
        <f>SUM(H20:H24)</f>
        <v>1744.19165</v>
      </c>
      <c r="I27" s="14"/>
      <c r="P27" s="41"/>
      <c r="Q27" s="41"/>
      <c r="R27" s="41"/>
      <c r="S27" s="41"/>
      <c r="T27" s="41"/>
    </row>
    <row r="30" spans="2:20" x14ac:dyDescent="0.25">
      <c r="G30" s="41"/>
      <c r="H30" s="41"/>
      <c r="I30" s="41"/>
    </row>
    <row r="33" spans="2:9" ht="16.5" thickBot="1" x14ac:dyDescent="0.3">
      <c r="B33" s="178" t="s">
        <v>53</v>
      </c>
    </row>
    <row r="34" spans="2:9" ht="47.25" x14ac:dyDescent="0.25">
      <c r="B34" s="195" t="s">
        <v>54</v>
      </c>
      <c r="C34" s="197" t="s">
        <v>64</v>
      </c>
      <c r="D34" s="197" t="s">
        <v>65</v>
      </c>
      <c r="E34" s="197" t="s">
        <v>61</v>
      </c>
      <c r="F34" s="125" t="s">
        <v>62</v>
      </c>
      <c r="G34" s="197" t="s">
        <v>57</v>
      </c>
      <c r="H34" s="197" t="s">
        <v>60</v>
      </c>
      <c r="I34" s="126" t="s">
        <v>55</v>
      </c>
    </row>
    <row r="35" spans="2:9" ht="32.25" thickBot="1" x14ac:dyDescent="0.3">
      <c r="B35" s="196"/>
      <c r="C35" s="198"/>
      <c r="D35" s="198"/>
      <c r="E35" s="198"/>
      <c r="F35" s="127" t="s">
        <v>56</v>
      </c>
      <c r="G35" s="198"/>
      <c r="H35" s="198"/>
      <c r="I35" s="128" t="s">
        <v>63</v>
      </c>
    </row>
    <row r="36" spans="2:9" x14ac:dyDescent="0.25">
      <c r="B36" s="199" t="s">
        <v>58</v>
      </c>
      <c r="C36" s="193">
        <v>117</v>
      </c>
      <c r="D36" s="193">
        <v>32</v>
      </c>
      <c r="E36" s="201">
        <v>3183</v>
      </c>
      <c r="F36" s="201">
        <v>1800</v>
      </c>
      <c r="G36" s="203">
        <v>0.08</v>
      </c>
      <c r="H36" s="193">
        <v>0.82699999999999996</v>
      </c>
      <c r="I36" s="191">
        <v>2632</v>
      </c>
    </row>
    <row r="37" spans="2:9" ht="16.5" thickBot="1" x14ac:dyDescent="0.3">
      <c r="B37" s="200"/>
      <c r="C37" s="194"/>
      <c r="D37" s="194"/>
      <c r="E37" s="202"/>
      <c r="F37" s="202"/>
      <c r="G37" s="204"/>
      <c r="H37" s="194"/>
      <c r="I37" s="192"/>
    </row>
    <row r="38" spans="2:9" ht="16.5" thickBot="1" x14ac:dyDescent="0.3">
      <c r="B38" s="119" t="s">
        <v>32</v>
      </c>
      <c r="C38" s="117">
        <v>57</v>
      </c>
      <c r="D38" s="117">
        <v>17</v>
      </c>
      <c r="E38" s="117">
        <v>690</v>
      </c>
      <c r="F38" s="117">
        <v>394</v>
      </c>
      <c r="G38" s="118">
        <v>0.04</v>
      </c>
      <c r="H38" s="117">
        <v>0.72799999999999998</v>
      </c>
      <c r="I38" s="120">
        <v>502</v>
      </c>
    </row>
    <row r="39" spans="2:9" ht="16.5" thickBot="1" x14ac:dyDescent="0.3">
      <c r="B39" s="121" t="s">
        <v>59</v>
      </c>
      <c r="C39" s="122">
        <v>56</v>
      </c>
      <c r="D39" s="122">
        <v>16</v>
      </c>
      <c r="E39" s="122">
        <v>628</v>
      </c>
      <c r="F39" s="122">
        <v>358</v>
      </c>
      <c r="G39" s="123">
        <v>0.08</v>
      </c>
      <c r="H39" s="122">
        <v>0.76700000000000002</v>
      </c>
      <c r="I39" s="124">
        <v>481</v>
      </c>
    </row>
  </sheetData>
  <mergeCells count="22">
    <mergeCell ref="C23:C24"/>
    <mergeCell ref="L5:O5"/>
    <mergeCell ref="L12:O12"/>
    <mergeCell ref="P5:S5"/>
    <mergeCell ref="P12:S12"/>
    <mergeCell ref="C8:C9"/>
    <mergeCell ref="C10:C11"/>
    <mergeCell ref="C21:C22"/>
    <mergeCell ref="I36:I37"/>
    <mergeCell ref="D36:D37"/>
    <mergeCell ref="B34:B35"/>
    <mergeCell ref="E34:E35"/>
    <mergeCell ref="H34:H35"/>
    <mergeCell ref="B36:B37"/>
    <mergeCell ref="C36:C37"/>
    <mergeCell ref="E36:E37"/>
    <mergeCell ref="F36:F37"/>
    <mergeCell ref="G36:G37"/>
    <mergeCell ref="H36:H37"/>
    <mergeCell ref="C34:C35"/>
    <mergeCell ref="D34:D35"/>
    <mergeCell ref="G34:G35"/>
  </mergeCells>
  <pageMargins left="0.75" right="0.75" top="1" bottom="1" header="0.5" footer="0.5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F4A2F-038F-45EA-A00F-C076AD199E3B}">
  <dimension ref="A3:AH24"/>
  <sheetViews>
    <sheetView zoomScale="80" zoomScaleNormal="80" workbookViewId="0">
      <selection activeCell="AB13" sqref="AB13"/>
    </sheetView>
  </sheetViews>
  <sheetFormatPr baseColWidth="10" defaultRowHeight="15.75" x14ac:dyDescent="0.25"/>
  <cols>
    <col min="1" max="1" width="19.375" bestFit="1" customWidth="1"/>
    <col min="2" max="2" width="26.375" bestFit="1" customWidth="1"/>
  </cols>
  <sheetData>
    <row r="3" spans="1:34" ht="16.5" thickBot="1" x14ac:dyDescent="0.3">
      <c r="A3" s="79" t="s">
        <v>41</v>
      </c>
      <c r="B3" s="79" t="s">
        <v>39</v>
      </c>
      <c r="C3" s="80">
        <v>2023</v>
      </c>
      <c r="D3" s="80">
        <v>2024</v>
      </c>
      <c r="E3" s="80">
        <v>2025</v>
      </c>
      <c r="F3" s="80">
        <v>2026</v>
      </c>
      <c r="G3" s="80">
        <v>2027</v>
      </c>
      <c r="H3" s="80">
        <v>2028</v>
      </c>
      <c r="I3" s="80">
        <v>2029</v>
      </c>
      <c r="J3" s="80">
        <v>2030</v>
      </c>
      <c r="K3" s="80">
        <v>2031</v>
      </c>
      <c r="L3" s="80">
        <v>2032</v>
      </c>
      <c r="M3" s="80">
        <v>2033</v>
      </c>
      <c r="N3" s="80">
        <v>2034</v>
      </c>
      <c r="O3" s="80">
        <v>2035</v>
      </c>
      <c r="P3" s="80">
        <v>2036</v>
      </c>
      <c r="Q3" s="80">
        <v>2037</v>
      </c>
      <c r="R3" s="80">
        <v>2038</v>
      </c>
      <c r="S3" s="80">
        <v>2039</v>
      </c>
      <c r="T3" s="80">
        <v>2040</v>
      </c>
      <c r="U3" s="80">
        <v>2041</v>
      </c>
      <c r="V3" s="80">
        <v>2042</v>
      </c>
      <c r="W3" s="80">
        <v>2043</v>
      </c>
      <c r="X3" s="80">
        <v>2044</v>
      </c>
      <c r="Y3" s="80">
        <v>2045</v>
      </c>
      <c r="Z3" s="80">
        <v>2046</v>
      </c>
      <c r="AA3" s="80">
        <v>2047</v>
      </c>
      <c r="AB3" s="156" t="s">
        <v>78</v>
      </c>
    </row>
    <row r="4" spans="1:34" ht="32.25" thickBot="1" x14ac:dyDescent="0.3">
      <c r="A4" s="106" t="s">
        <v>47</v>
      </c>
      <c r="B4" s="82" t="s">
        <v>40</v>
      </c>
      <c r="C4" s="96">
        <v>22912.398300000001</v>
      </c>
      <c r="D4" s="96">
        <v>23021.187280000002</v>
      </c>
      <c r="E4" s="96">
        <v>22969.244409999999</v>
      </c>
      <c r="F4" s="96">
        <v>23255.86132</v>
      </c>
      <c r="G4" s="96">
        <v>23496.09345</v>
      </c>
      <c r="H4" s="96">
        <v>23095.356899999999</v>
      </c>
      <c r="I4" s="96">
        <v>23120.432800000002</v>
      </c>
      <c r="J4" s="96">
        <v>23054.026959999999</v>
      </c>
      <c r="K4" s="96">
        <v>23547.261759999998</v>
      </c>
      <c r="L4" s="96">
        <v>23343.609799999998</v>
      </c>
      <c r="M4" s="96">
        <v>23044.144530000001</v>
      </c>
      <c r="N4" s="96">
        <v>23373.745600000002</v>
      </c>
      <c r="O4" s="96">
        <v>22898.966399999998</v>
      </c>
      <c r="P4" s="96">
        <v>23109.636869999998</v>
      </c>
      <c r="Q4" s="96">
        <v>22441.051080000001</v>
      </c>
      <c r="R4" s="96">
        <v>22517.517100000001</v>
      </c>
      <c r="S4" s="96">
        <v>22539.1685</v>
      </c>
      <c r="T4" s="96">
        <v>22503.10584</v>
      </c>
      <c r="U4" s="96">
        <v>22406.529850000003</v>
      </c>
      <c r="V4" s="154">
        <v>22246.76168</v>
      </c>
      <c r="W4" s="228">
        <v>22021.26</v>
      </c>
      <c r="X4" s="228">
        <v>22814.03</v>
      </c>
      <c r="Y4" s="228">
        <v>22488.11</v>
      </c>
      <c r="Z4" s="228">
        <v>22090.07</v>
      </c>
      <c r="AA4" s="228">
        <v>22819.040000000001</v>
      </c>
      <c r="AB4" s="155">
        <f>+AVERAGE(C4:AA4)</f>
        <v>22845.144417199994</v>
      </c>
    </row>
    <row r="5" spans="1:34" ht="16.5" thickBot="1" x14ac:dyDescent="0.3">
      <c r="A5" s="217" t="s">
        <v>48</v>
      </c>
      <c r="B5" s="84" t="s">
        <v>42</v>
      </c>
      <c r="C5" s="85">
        <v>0</v>
      </c>
      <c r="D5" s="86">
        <f>30%*F5</f>
        <v>954.9</v>
      </c>
      <c r="E5" s="86">
        <f>60%*F5</f>
        <v>1909.8</v>
      </c>
      <c r="F5" s="87">
        <v>3183</v>
      </c>
      <c r="G5" s="87">
        <f>+F5-F5*0.5%</f>
        <v>3167.085</v>
      </c>
      <c r="H5" s="87">
        <f t="shared" ref="H5:AA7" si="0">+G5-G5*0.5%</f>
        <v>3151.2495749999998</v>
      </c>
      <c r="I5" s="87">
        <f t="shared" si="0"/>
        <v>3135.4933271249997</v>
      </c>
      <c r="J5" s="87">
        <f t="shared" si="0"/>
        <v>3119.8158604893747</v>
      </c>
      <c r="K5" s="87">
        <f t="shared" si="0"/>
        <v>3104.2167811869276</v>
      </c>
      <c r="L5" s="87">
        <f t="shared" si="0"/>
        <v>3088.695697280993</v>
      </c>
      <c r="M5" s="87">
        <f t="shared" si="0"/>
        <v>3073.2522187945879</v>
      </c>
      <c r="N5" s="87">
        <f t="shared" si="0"/>
        <v>3057.8859577006151</v>
      </c>
      <c r="O5" s="87">
        <f t="shared" si="0"/>
        <v>3042.5965279121119</v>
      </c>
      <c r="P5" s="87">
        <f t="shared" si="0"/>
        <v>3027.3835452725511</v>
      </c>
      <c r="Q5" s="87">
        <f t="shared" si="0"/>
        <v>3012.2466275461884</v>
      </c>
      <c r="R5" s="87">
        <f t="shared" si="0"/>
        <v>2997.1853944084573</v>
      </c>
      <c r="S5" s="87">
        <f t="shared" si="0"/>
        <v>2982.199467436415</v>
      </c>
      <c r="T5" s="87">
        <f t="shared" si="0"/>
        <v>2967.2884700992331</v>
      </c>
      <c r="U5" s="87">
        <f t="shared" si="0"/>
        <v>2952.4520277487368</v>
      </c>
      <c r="V5" s="87">
        <f t="shared" si="0"/>
        <v>2937.6897676099929</v>
      </c>
      <c r="W5" s="87">
        <f t="shared" si="0"/>
        <v>2923.0013187719428</v>
      </c>
      <c r="X5" s="87">
        <f t="shared" si="0"/>
        <v>2908.3863121780832</v>
      </c>
      <c r="Y5" s="87">
        <f t="shared" si="0"/>
        <v>2893.8443806171927</v>
      </c>
      <c r="Z5" s="87">
        <f t="shared" si="0"/>
        <v>2879.3751587141069</v>
      </c>
      <c r="AA5" s="87">
        <f t="shared" si="0"/>
        <v>2864.9782829205365</v>
      </c>
      <c r="AB5" s="153">
        <f>+AVERAGE(C5:AA5)</f>
        <v>2773.3608679525223</v>
      </c>
    </row>
    <row r="6" spans="1:34" ht="16.5" thickBot="1" x14ac:dyDescent="0.3">
      <c r="A6" s="218"/>
      <c r="B6" s="70" t="s">
        <v>43</v>
      </c>
      <c r="C6" s="78">
        <v>0</v>
      </c>
      <c r="D6" s="86">
        <f>30%*F6</f>
        <v>207</v>
      </c>
      <c r="E6" s="86">
        <f>60%*F6</f>
        <v>414</v>
      </c>
      <c r="F6" s="68">
        <v>690</v>
      </c>
      <c r="G6" s="87">
        <f>+F6-F6*0.5%</f>
        <v>686.55</v>
      </c>
      <c r="H6" s="87">
        <f t="shared" ref="H6:V6" si="1">+G6-G6*0.5%</f>
        <v>683.1172499999999</v>
      </c>
      <c r="I6" s="87">
        <f t="shared" si="1"/>
        <v>679.70166374999985</v>
      </c>
      <c r="J6" s="87">
        <f t="shared" si="1"/>
        <v>676.30315543124982</v>
      </c>
      <c r="K6" s="87">
        <f t="shared" si="1"/>
        <v>672.92163965409361</v>
      </c>
      <c r="L6" s="87">
        <f t="shared" si="1"/>
        <v>669.55703145582311</v>
      </c>
      <c r="M6" s="87">
        <f t="shared" si="1"/>
        <v>666.20924629854403</v>
      </c>
      <c r="N6" s="87">
        <f t="shared" si="1"/>
        <v>662.87820006705135</v>
      </c>
      <c r="O6" s="87">
        <f t="shared" si="1"/>
        <v>659.56380906671609</v>
      </c>
      <c r="P6" s="87">
        <f t="shared" si="1"/>
        <v>656.26599002138255</v>
      </c>
      <c r="Q6" s="87">
        <f t="shared" si="1"/>
        <v>652.98466007127558</v>
      </c>
      <c r="R6" s="87">
        <f t="shared" si="1"/>
        <v>649.71973677091921</v>
      </c>
      <c r="S6" s="87">
        <f t="shared" si="1"/>
        <v>646.47113808706456</v>
      </c>
      <c r="T6" s="87">
        <f t="shared" si="1"/>
        <v>643.23878239662929</v>
      </c>
      <c r="U6" s="87">
        <f t="shared" si="1"/>
        <v>640.02258848464612</v>
      </c>
      <c r="V6" s="87">
        <f t="shared" si="1"/>
        <v>636.82247554222295</v>
      </c>
      <c r="W6" s="87">
        <f t="shared" si="0"/>
        <v>633.63836316451182</v>
      </c>
      <c r="X6" s="87">
        <f t="shared" si="0"/>
        <v>630.47017134868929</v>
      </c>
      <c r="Y6" s="87">
        <f t="shared" si="0"/>
        <v>627.31782049194589</v>
      </c>
      <c r="Z6" s="87">
        <f t="shared" si="0"/>
        <v>624.18123138948613</v>
      </c>
      <c r="AA6" s="87">
        <f t="shared" si="0"/>
        <v>621.06032523253873</v>
      </c>
      <c r="AB6" s="153">
        <f>+AVERAGE(C6:AA6)</f>
        <v>601.19981114899167</v>
      </c>
    </row>
    <row r="7" spans="1:34" ht="16.5" thickBot="1" x14ac:dyDescent="0.3">
      <c r="A7" s="218"/>
      <c r="B7" s="90" t="s">
        <v>33</v>
      </c>
      <c r="C7" s="91">
        <v>0</v>
      </c>
      <c r="D7" s="86">
        <f>30%*F7</f>
        <v>188.4</v>
      </c>
      <c r="E7" s="86">
        <f>60%*F7</f>
        <v>376.8</v>
      </c>
      <c r="F7" s="92">
        <v>628</v>
      </c>
      <c r="G7" s="87">
        <f>+F7-F7*0.5%</f>
        <v>624.86</v>
      </c>
      <c r="H7" s="87">
        <f t="shared" ref="H7:V7" si="2">+G7-G7*0.5%</f>
        <v>621.73570000000007</v>
      </c>
      <c r="I7" s="87">
        <f t="shared" si="2"/>
        <v>618.62702150000007</v>
      </c>
      <c r="J7" s="87">
        <f t="shared" si="2"/>
        <v>615.53388639250011</v>
      </c>
      <c r="K7" s="87">
        <f t="shared" si="2"/>
        <v>612.45621696053763</v>
      </c>
      <c r="L7" s="87">
        <f t="shared" si="2"/>
        <v>609.393935875735</v>
      </c>
      <c r="M7" s="87">
        <f t="shared" si="2"/>
        <v>606.34696619635633</v>
      </c>
      <c r="N7" s="87">
        <f t="shared" si="2"/>
        <v>603.31523136537453</v>
      </c>
      <c r="O7" s="87">
        <f t="shared" si="2"/>
        <v>600.29865520854764</v>
      </c>
      <c r="P7" s="87">
        <f t="shared" si="2"/>
        <v>597.29716193250488</v>
      </c>
      <c r="Q7" s="87">
        <f t="shared" si="2"/>
        <v>594.31067612284232</v>
      </c>
      <c r="R7" s="87">
        <f t="shared" si="2"/>
        <v>591.33912274222814</v>
      </c>
      <c r="S7" s="87">
        <f t="shared" si="2"/>
        <v>588.38242712851695</v>
      </c>
      <c r="T7" s="87">
        <f t="shared" si="2"/>
        <v>585.44051499287434</v>
      </c>
      <c r="U7" s="87">
        <f t="shared" si="2"/>
        <v>582.51331241791002</v>
      </c>
      <c r="V7" s="87">
        <f t="shared" si="2"/>
        <v>579.60074585582049</v>
      </c>
      <c r="W7" s="87">
        <f t="shared" si="0"/>
        <v>576.70274212654135</v>
      </c>
      <c r="X7" s="87">
        <f t="shared" si="0"/>
        <v>573.8192284159087</v>
      </c>
      <c r="Y7" s="87">
        <f t="shared" si="0"/>
        <v>570.95013227382913</v>
      </c>
      <c r="Z7" s="87">
        <f t="shared" si="0"/>
        <v>568.09538161245996</v>
      </c>
      <c r="AA7" s="87">
        <f t="shared" si="0"/>
        <v>565.25490470439763</v>
      </c>
      <c r="AB7" s="153">
        <f>+AVERAGE(C7:AA7)</f>
        <v>547.17895855299537</v>
      </c>
      <c r="AD7" s="107"/>
    </row>
    <row r="8" spans="1:34" s="11" customFormat="1" ht="16.5" thickBot="1" x14ac:dyDescent="0.3">
      <c r="A8" s="219"/>
      <c r="B8" s="94" t="s">
        <v>45</v>
      </c>
      <c r="C8" s="95">
        <f>SUM(C5:C7)</f>
        <v>0</v>
      </c>
      <c r="D8" s="95">
        <f t="shared" ref="D8:AA8" si="3">SUM(D5:D7)</f>
        <v>1350.3000000000002</v>
      </c>
      <c r="E8" s="95">
        <f t="shared" si="3"/>
        <v>2700.6000000000004</v>
      </c>
      <c r="F8" s="95">
        <f t="shared" si="3"/>
        <v>4501</v>
      </c>
      <c r="G8" s="95">
        <f t="shared" si="3"/>
        <v>4478.4949999999999</v>
      </c>
      <c r="H8" s="95">
        <f t="shared" si="3"/>
        <v>4456.1025249999993</v>
      </c>
      <c r="I8" s="95">
        <f t="shared" si="3"/>
        <v>4433.8220123749998</v>
      </c>
      <c r="J8" s="95">
        <f t="shared" si="3"/>
        <v>4411.6529023131243</v>
      </c>
      <c r="K8" s="95">
        <f t="shared" si="3"/>
        <v>4389.5946378015587</v>
      </c>
      <c r="L8" s="95">
        <f t="shared" si="3"/>
        <v>4367.6466646125509</v>
      </c>
      <c r="M8" s="95">
        <f t="shared" si="3"/>
        <v>4345.808431289488</v>
      </c>
      <c r="N8" s="95">
        <f t="shared" si="3"/>
        <v>4324.0793891330413</v>
      </c>
      <c r="O8" s="95">
        <f t="shared" si="3"/>
        <v>4302.4589921873758</v>
      </c>
      <c r="P8" s="95">
        <f t="shared" si="3"/>
        <v>4280.9466972264381</v>
      </c>
      <c r="Q8" s="95">
        <f t="shared" si="3"/>
        <v>4259.5419637403065</v>
      </c>
      <c r="R8" s="95">
        <f t="shared" si="3"/>
        <v>4238.2442539216045</v>
      </c>
      <c r="S8" s="95">
        <f t="shared" si="3"/>
        <v>4217.0530326519965</v>
      </c>
      <c r="T8" s="95">
        <f t="shared" si="3"/>
        <v>4195.9677674887371</v>
      </c>
      <c r="U8" s="95">
        <f t="shared" si="3"/>
        <v>4174.9879286512933</v>
      </c>
      <c r="V8" s="157">
        <f t="shared" si="3"/>
        <v>4154.1129890080365</v>
      </c>
      <c r="W8" s="229">
        <f t="shared" si="3"/>
        <v>4133.3424240629956</v>
      </c>
      <c r="X8" s="229">
        <f t="shared" si="3"/>
        <v>4112.6757119426811</v>
      </c>
      <c r="Y8" s="229">
        <f t="shared" si="3"/>
        <v>4092.1123333829678</v>
      </c>
      <c r="Z8" s="229">
        <f t="shared" si="3"/>
        <v>4071.6517717160532</v>
      </c>
      <c r="AA8" s="229">
        <f t="shared" si="3"/>
        <v>4051.2935128574727</v>
      </c>
      <c r="AB8" s="155">
        <f>+AVERAGE(C8:AA8)</f>
        <v>3921.7396376545094</v>
      </c>
    </row>
    <row r="9" spans="1:34" x14ac:dyDescent="0.25">
      <c r="A9" s="220" t="s">
        <v>49</v>
      </c>
      <c r="B9" s="101" t="s">
        <v>42</v>
      </c>
      <c r="C9" s="85">
        <v>0</v>
      </c>
      <c r="D9" s="86">
        <v>440.08499999999998</v>
      </c>
      <c r="E9" s="86">
        <v>880.17</v>
      </c>
      <c r="F9" s="87">
        <v>1466.95</v>
      </c>
      <c r="G9" s="87">
        <v>1408.2719999999999</v>
      </c>
      <c r="H9" s="87">
        <v>1351.94112</v>
      </c>
      <c r="I9" s="87">
        <v>1297.8634752</v>
      </c>
      <c r="J9" s="87">
        <v>1245.948936192</v>
      </c>
      <c r="K9" s="87">
        <v>1196.1109787443199</v>
      </c>
      <c r="L9" s="87">
        <v>1148.2665395945471</v>
      </c>
      <c r="M9" s="87">
        <v>1102.3358780107653</v>
      </c>
      <c r="N9" s="87">
        <v>1058.2424428903348</v>
      </c>
      <c r="O9" s="87">
        <v>1015.9127451747214</v>
      </c>
      <c r="P9" s="87">
        <v>1466.95</v>
      </c>
      <c r="Q9" s="87">
        <v>1408.2719999999999</v>
      </c>
      <c r="R9" s="87">
        <v>1351.94112</v>
      </c>
      <c r="S9" s="87">
        <v>1297.8634752</v>
      </c>
      <c r="T9" s="87">
        <v>1245.948936192</v>
      </c>
      <c r="U9" s="87">
        <v>1196.1109787443199</v>
      </c>
      <c r="V9" s="88">
        <v>1148.2665395945471</v>
      </c>
      <c r="W9" s="230">
        <f>+V9-(V9*0.04)</f>
        <v>1102.3358780107653</v>
      </c>
      <c r="X9" s="230">
        <f t="shared" ref="X9:AA9" si="4">+W9-(W9*0.04)</f>
        <v>1058.2424428903348</v>
      </c>
      <c r="Y9" s="230">
        <f t="shared" si="4"/>
        <v>1015.9127451747214</v>
      </c>
      <c r="Z9" s="230">
        <f t="shared" si="4"/>
        <v>975.27623536773251</v>
      </c>
      <c r="AA9" s="230">
        <f t="shared" si="4"/>
        <v>936.26518595302321</v>
      </c>
      <c r="AB9" s="153">
        <f>+AVERAGE(C9:AA9)</f>
        <v>1112.6193861173654</v>
      </c>
      <c r="AD9" s="11"/>
      <c r="AE9" s="11"/>
      <c r="AF9" s="11"/>
      <c r="AG9" s="11"/>
      <c r="AH9" s="11"/>
    </row>
    <row r="10" spans="1:34" x14ac:dyDescent="0.25">
      <c r="A10" s="221"/>
      <c r="B10" s="102" t="s">
        <v>43</v>
      </c>
      <c r="C10" s="78">
        <v>0</v>
      </c>
      <c r="D10" s="77">
        <v>128.32499999999999</v>
      </c>
      <c r="E10" s="77">
        <v>256.64999999999998</v>
      </c>
      <c r="F10" s="68">
        <v>427.75</v>
      </c>
      <c r="G10" s="68">
        <v>410.64</v>
      </c>
      <c r="H10" s="68">
        <v>394.21440000000001</v>
      </c>
      <c r="I10" s="68">
        <v>378.44582400000002</v>
      </c>
      <c r="J10" s="68">
        <v>363.30799103999999</v>
      </c>
      <c r="K10" s="68">
        <v>348.77567139839999</v>
      </c>
      <c r="L10" s="68">
        <v>334.824644542464</v>
      </c>
      <c r="M10" s="68">
        <v>321.43165876076546</v>
      </c>
      <c r="N10" s="68">
        <v>308.57439241033484</v>
      </c>
      <c r="O10" s="68">
        <v>296.23141671392142</v>
      </c>
      <c r="P10" s="68">
        <v>427.75</v>
      </c>
      <c r="Q10" s="68">
        <v>410.64</v>
      </c>
      <c r="R10" s="68">
        <v>394.21440000000001</v>
      </c>
      <c r="S10" s="68">
        <v>378.44582400000002</v>
      </c>
      <c r="T10" s="68">
        <v>363.30799103999999</v>
      </c>
      <c r="U10" s="68">
        <v>348.77567139839999</v>
      </c>
      <c r="V10" s="89">
        <v>334.824644542464</v>
      </c>
      <c r="W10" s="68">
        <f t="shared" ref="W10:AA12" si="5">+V10-(V10*0.04)</f>
        <v>321.43165876076546</v>
      </c>
      <c r="X10" s="68">
        <f t="shared" si="5"/>
        <v>308.57439241033484</v>
      </c>
      <c r="Y10" s="68">
        <f t="shared" si="5"/>
        <v>296.23141671392142</v>
      </c>
      <c r="Z10" s="68">
        <f t="shared" si="5"/>
        <v>284.38216004536457</v>
      </c>
      <c r="AA10" s="68">
        <f t="shared" si="5"/>
        <v>273.00687364354997</v>
      </c>
      <c r="AB10" s="153">
        <f>+AVERAGE(C10:AA10)</f>
        <v>324.43024125682746</v>
      </c>
      <c r="AD10" s="11"/>
      <c r="AE10" s="11"/>
      <c r="AF10" s="11"/>
      <c r="AG10" s="11"/>
      <c r="AH10" s="11"/>
    </row>
    <row r="11" spans="1:34" x14ac:dyDescent="0.25">
      <c r="A11" s="221"/>
      <c r="B11" s="103" t="s">
        <v>33</v>
      </c>
      <c r="C11" s="78">
        <v>0</v>
      </c>
      <c r="D11" s="77">
        <v>74.849999999999994</v>
      </c>
      <c r="E11" s="77">
        <v>149.69999999999999</v>
      </c>
      <c r="F11" s="68">
        <v>249.5</v>
      </c>
      <c r="G11" s="68">
        <v>239.52</v>
      </c>
      <c r="H11" s="68">
        <v>229.9392</v>
      </c>
      <c r="I11" s="68">
        <v>220.74163200000001</v>
      </c>
      <c r="J11" s="68">
        <v>211.91196672000001</v>
      </c>
      <c r="K11" s="68">
        <v>203.4354880512</v>
      </c>
      <c r="L11" s="68">
        <v>195.298068529152</v>
      </c>
      <c r="M11" s="68">
        <v>187.48614578798592</v>
      </c>
      <c r="N11" s="68">
        <v>179.98669995646648</v>
      </c>
      <c r="O11" s="68">
        <v>172.78723195820783</v>
      </c>
      <c r="P11" s="68">
        <v>249.5</v>
      </c>
      <c r="Q11" s="68">
        <v>239.52</v>
      </c>
      <c r="R11" s="68">
        <v>229.9392</v>
      </c>
      <c r="S11" s="68">
        <v>220.74163200000001</v>
      </c>
      <c r="T11" s="68">
        <v>211.91196672000001</v>
      </c>
      <c r="U11" s="68">
        <v>203.4354880512</v>
      </c>
      <c r="V11" s="89">
        <v>195.298068529152</v>
      </c>
      <c r="W11" s="68">
        <f t="shared" si="5"/>
        <v>187.48614578798592</v>
      </c>
      <c r="X11" s="68">
        <f t="shared" si="5"/>
        <v>179.98669995646648</v>
      </c>
      <c r="Y11" s="68">
        <f t="shared" si="5"/>
        <v>172.78723195820783</v>
      </c>
      <c r="Z11" s="68">
        <f t="shared" si="5"/>
        <v>165.87574267987952</v>
      </c>
      <c r="AA11" s="68">
        <f t="shared" si="5"/>
        <v>159.24071297268435</v>
      </c>
      <c r="AB11" s="153">
        <f>+AVERAGE(C11:AA11)</f>
        <v>189.2351728663435</v>
      </c>
      <c r="AD11" s="11"/>
      <c r="AE11" s="11"/>
      <c r="AF11" s="11"/>
      <c r="AG11" s="11"/>
      <c r="AH11" s="11"/>
    </row>
    <row r="12" spans="1:34" ht="16.5" thickBot="1" x14ac:dyDescent="0.3">
      <c r="A12" s="221"/>
      <c r="B12" s="104" t="s">
        <v>34</v>
      </c>
      <c r="C12" s="97">
        <v>0</v>
      </c>
      <c r="D12" s="98">
        <v>10.53</v>
      </c>
      <c r="E12" s="98">
        <v>21.06</v>
      </c>
      <c r="F12" s="99">
        <v>35.1</v>
      </c>
      <c r="G12" s="99">
        <v>33.695999999999998</v>
      </c>
      <c r="H12" s="99">
        <v>32.34816</v>
      </c>
      <c r="I12" s="99">
        <v>31.0542336</v>
      </c>
      <c r="J12" s="99">
        <v>29.812064255999999</v>
      </c>
      <c r="K12" s="99">
        <v>28.61958168576</v>
      </c>
      <c r="L12" s="99">
        <v>27.474798418329598</v>
      </c>
      <c r="M12" s="99">
        <v>26.375806481596413</v>
      </c>
      <c r="N12" s="99">
        <v>25.320774222332556</v>
      </c>
      <c r="O12" s="99">
        <v>24.307943253439255</v>
      </c>
      <c r="P12" s="99">
        <v>35.1</v>
      </c>
      <c r="Q12" s="99">
        <v>33.695999999999998</v>
      </c>
      <c r="R12" s="99">
        <v>32.34816</v>
      </c>
      <c r="S12" s="99">
        <v>31.0542336</v>
      </c>
      <c r="T12" s="99">
        <v>29.812064255999999</v>
      </c>
      <c r="U12" s="99">
        <v>28.61958168576</v>
      </c>
      <c r="V12" s="100">
        <v>27.474798418329598</v>
      </c>
      <c r="W12" s="99">
        <f t="shared" si="5"/>
        <v>26.375806481596413</v>
      </c>
      <c r="X12" s="99">
        <f t="shared" si="5"/>
        <v>25.320774222332556</v>
      </c>
      <c r="Y12" s="99">
        <f t="shared" si="5"/>
        <v>24.307943253439255</v>
      </c>
      <c r="Z12" s="99">
        <f t="shared" si="5"/>
        <v>23.335625523301687</v>
      </c>
      <c r="AA12" s="99">
        <f t="shared" si="5"/>
        <v>22.40220050236962</v>
      </c>
      <c r="AB12" s="153">
        <f>+AVERAGE(C12:AA12)</f>
        <v>26.621861994423476</v>
      </c>
      <c r="AD12" s="11"/>
      <c r="AE12" s="11"/>
      <c r="AF12" s="11"/>
      <c r="AG12" s="11"/>
      <c r="AH12" s="11"/>
    </row>
    <row r="13" spans="1:34" s="11" customFormat="1" ht="16.5" thickBot="1" x14ac:dyDescent="0.3">
      <c r="A13" s="222"/>
      <c r="B13" s="105" t="s">
        <v>46</v>
      </c>
      <c r="C13" s="96">
        <f>SUM(C9:C12)</f>
        <v>0</v>
      </c>
      <c r="D13" s="96">
        <f t="shared" ref="D13:V13" si="6">SUM(D9:D12)</f>
        <v>653.79</v>
      </c>
      <c r="E13" s="96">
        <f t="shared" si="6"/>
        <v>1307.58</v>
      </c>
      <c r="F13" s="96">
        <f t="shared" si="6"/>
        <v>2179.2999999999997</v>
      </c>
      <c r="G13" s="96">
        <f t="shared" si="6"/>
        <v>2092.1279999999997</v>
      </c>
      <c r="H13" s="96">
        <f t="shared" si="6"/>
        <v>2008.4428800000001</v>
      </c>
      <c r="I13" s="96">
        <f t="shared" si="6"/>
        <v>1928.1051648000002</v>
      </c>
      <c r="J13" s="96">
        <f t="shared" si="6"/>
        <v>1850.9809582079999</v>
      </c>
      <c r="K13" s="96">
        <f t="shared" si="6"/>
        <v>1776.94171987968</v>
      </c>
      <c r="L13" s="96">
        <f t="shared" si="6"/>
        <v>1705.8640510844928</v>
      </c>
      <c r="M13" s="96">
        <f t="shared" si="6"/>
        <v>1637.6294890411129</v>
      </c>
      <c r="N13" s="96">
        <f t="shared" si="6"/>
        <v>1572.1243094794688</v>
      </c>
      <c r="O13" s="96">
        <f t="shared" si="6"/>
        <v>1509.2393371002902</v>
      </c>
      <c r="P13" s="96">
        <f t="shared" si="6"/>
        <v>2179.2999999999997</v>
      </c>
      <c r="Q13" s="96">
        <f t="shared" si="6"/>
        <v>2092.1279999999997</v>
      </c>
      <c r="R13" s="96">
        <f t="shared" si="6"/>
        <v>2008.4428800000001</v>
      </c>
      <c r="S13" s="96">
        <f t="shared" si="6"/>
        <v>1928.1051648000002</v>
      </c>
      <c r="T13" s="96">
        <f t="shared" si="6"/>
        <v>1850.9809582079999</v>
      </c>
      <c r="U13" s="96">
        <f t="shared" si="6"/>
        <v>1776.94171987968</v>
      </c>
      <c r="V13" s="154">
        <f t="shared" si="6"/>
        <v>1705.8640510844928</v>
      </c>
      <c r="W13" s="228">
        <f t="shared" ref="W13:AA13" si="7">SUM(W9:W12)</f>
        <v>1637.6294890411129</v>
      </c>
      <c r="X13" s="228">
        <f t="shared" si="7"/>
        <v>1572.1243094794688</v>
      </c>
      <c r="Y13" s="228">
        <f t="shared" si="7"/>
        <v>1509.2393371002902</v>
      </c>
      <c r="Z13" s="228">
        <f t="shared" si="7"/>
        <v>1448.8697636162781</v>
      </c>
      <c r="AA13" s="228">
        <f t="shared" si="7"/>
        <v>1390.9149730716272</v>
      </c>
      <c r="AB13" s="155">
        <f>+AVERAGE(C13:AA13)</f>
        <v>1652.9066622349603</v>
      </c>
    </row>
    <row r="16" spans="1:34" ht="16.5" thickBot="1" x14ac:dyDescent="0.3">
      <c r="A16" s="79" t="s">
        <v>44</v>
      </c>
      <c r="B16" s="79" t="s">
        <v>39</v>
      </c>
      <c r="C16" s="80">
        <v>2023</v>
      </c>
      <c r="D16" s="80">
        <v>2024</v>
      </c>
      <c r="E16" s="80">
        <v>2025</v>
      </c>
      <c r="F16" s="80">
        <v>2026</v>
      </c>
      <c r="G16" s="80">
        <v>2027</v>
      </c>
      <c r="H16" s="80">
        <v>2028</v>
      </c>
      <c r="I16" s="80">
        <v>2029</v>
      </c>
      <c r="J16" s="80">
        <v>2030</v>
      </c>
      <c r="K16" s="80">
        <v>2031</v>
      </c>
      <c r="L16" s="80">
        <v>2032</v>
      </c>
      <c r="M16" s="80">
        <v>2033</v>
      </c>
      <c r="N16" s="80">
        <v>2034</v>
      </c>
      <c r="O16" s="80">
        <v>2035</v>
      </c>
      <c r="P16" s="80">
        <v>2036</v>
      </c>
      <c r="Q16" s="80">
        <v>2037</v>
      </c>
      <c r="R16" s="80">
        <v>2038</v>
      </c>
      <c r="S16" s="80">
        <v>2039</v>
      </c>
      <c r="T16" s="80">
        <v>2040</v>
      </c>
      <c r="U16" s="80">
        <v>2041</v>
      </c>
      <c r="V16" s="80">
        <v>2042</v>
      </c>
      <c r="W16" s="80">
        <v>2043</v>
      </c>
      <c r="X16" s="80">
        <v>2044</v>
      </c>
      <c r="Y16" s="80">
        <v>2045</v>
      </c>
      <c r="Z16" s="80">
        <v>2046</v>
      </c>
      <c r="AA16" s="80">
        <v>2047</v>
      </c>
      <c r="AB16" s="156" t="s">
        <v>78</v>
      </c>
    </row>
    <row r="17" spans="1:28" ht="16.5" thickBot="1" x14ac:dyDescent="0.3">
      <c r="A17" s="81" t="s">
        <v>19</v>
      </c>
      <c r="B17" s="82" t="s">
        <v>40</v>
      </c>
      <c r="C17" s="83">
        <f>+C4*'Summary GHG_C1'!$L$19</f>
        <v>18948.553394099999</v>
      </c>
      <c r="D17" s="83">
        <f>+D4*'Summary GHG_C1'!$L$19</f>
        <v>19038.521880560002</v>
      </c>
      <c r="E17" s="83">
        <f>+E4*'Summary GHG_C1'!$L$19</f>
        <v>18995.56512707</v>
      </c>
      <c r="F17" s="83">
        <f>+F4*'Summary GHG_C1'!$L$19</f>
        <v>19232.597311639998</v>
      </c>
      <c r="G17" s="83">
        <f>+G4*'Summary GHG_C1'!$L$19</f>
        <v>19431.269283149999</v>
      </c>
      <c r="H17" s="83">
        <f>+H4*'Summary GHG_C1'!$L$19</f>
        <v>19099.860156299997</v>
      </c>
      <c r="I17" s="83">
        <f>+I4*'Summary GHG_C1'!$L$19</f>
        <v>19120.597925599999</v>
      </c>
      <c r="J17" s="83">
        <f>+J4*'Summary GHG_C1'!$L$19</f>
        <v>19065.680295919999</v>
      </c>
      <c r="K17" s="83">
        <f>+K4*'Summary GHG_C1'!$L$19</f>
        <v>19473.585475519998</v>
      </c>
      <c r="L17" s="83">
        <f>+L4*'Summary GHG_C1'!$L$19</f>
        <v>19305.165304599999</v>
      </c>
      <c r="M17" s="83">
        <f>+M4*'Summary GHG_C1'!$L$19</f>
        <v>19057.507526310001</v>
      </c>
      <c r="N17" s="83">
        <f>+N4*'Summary GHG_C1'!$L$19</f>
        <v>19330.087611200001</v>
      </c>
      <c r="O17" s="83">
        <f>+O4*'Summary GHG_C1'!$L$19</f>
        <v>18937.445212799998</v>
      </c>
      <c r="P17" s="83">
        <f>+P4*'Summary GHG_C1'!$L$19</f>
        <v>19111.669691489999</v>
      </c>
      <c r="Q17" s="83">
        <f>+Q4*'Summary GHG_C1'!$L$19</f>
        <v>18558.74924316</v>
      </c>
      <c r="R17" s="83">
        <f>+R4*'Summary GHG_C1'!$L$19</f>
        <v>18621.986641700001</v>
      </c>
      <c r="S17" s="83">
        <f>+S4*'Summary GHG_C1'!$L$19</f>
        <v>18639.892349499998</v>
      </c>
      <c r="T17" s="83">
        <f>+T4*'Summary GHG_C1'!$L$19</f>
        <v>18610.06852968</v>
      </c>
      <c r="U17" s="83">
        <f>+U4*'Summary GHG_C1'!$L$19</f>
        <v>18530.200185950001</v>
      </c>
      <c r="V17" s="158">
        <f>+V4*'Summary GHG_C1'!$L$19</f>
        <v>18398.071909359998</v>
      </c>
      <c r="W17" s="231">
        <f>+W4*'[3]Summary GHG_C1'!$L$19</f>
        <v>18211.582019999998</v>
      </c>
      <c r="X17" s="231">
        <f>+X4*'[3]Summary GHG_C1'!$L$19</f>
        <v>18867.202809999999</v>
      </c>
      <c r="Y17" s="231">
        <f>+Y4*'[3]Summary GHG_C1'!$L$19</f>
        <v>18597.666969999998</v>
      </c>
      <c r="Z17" s="231">
        <f>+Z4*'[3]Summary GHG_C1'!$L$19</f>
        <v>18268.48789</v>
      </c>
      <c r="AA17" s="231">
        <f>+AA4*'[3]Summary GHG_C1'!$L$19</f>
        <v>18871.346079999999</v>
      </c>
      <c r="AB17" s="161">
        <f>+AVERAGE(C17:AA17)</f>
        <v>18892.934433024398</v>
      </c>
    </row>
    <row r="18" spans="1:28" x14ac:dyDescent="0.25">
      <c r="A18" s="214" t="s">
        <v>20</v>
      </c>
      <c r="B18" s="84" t="s">
        <v>42</v>
      </c>
      <c r="C18" s="87">
        <f>+C5*'Summary GHG_C1'!$L$19</f>
        <v>0</v>
      </c>
      <c r="D18" s="87">
        <f>+D5*'Summary GHG_C1'!$L$19</f>
        <v>789.70229999999992</v>
      </c>
      <c r="E18" s="87">
        <f>+E5*'Summary GHG_C1'!$L$19</f>
        <v>1579.4045999999998</v>
      </c>
      <c r="F18" s="87">
        <f>+F5*'Summary GHG_C1'!$L$19</f>
        <v>2632.3409999999999</v>
      </c>
      <c r="G18" s="87">
        <f>+G5*'Summary GHG_C1'!$L$19</f>
        <v>2619.1792949999999</v>
      </c>
      <c r="H18" s="87">
        <f>+H5*'Summary GHG_C1'!$L$19</f>
        <v>2606.0833985249997</v>
      </c>
      <c r="I18" s="87">
        <f>+I5*'Summary GHG_C1'!$L$19</f>
        <v>2593.0529815323748</v>
      </c>
      <c r="J18" s="87">
        <f>+J5*'Summary GHG_C1'!$L$19</f>
        <v>2580.0877166247128</v>
      </c>
      <c r="K18" s="87">
        <f>+K5*'Summary GHG_C1'!$L$19</f>
        <v>2567.1872780415888</v>
      </c>
      <c r="L18" s="87">
        <f>+L5*'Summary GHG_C1'!$L$19</f>
        <v>2554.3513416513811</v>
      </c>
      <c r="M18" s="87">
        <f>+M5*'Summary GHG_C1'!$L$19</f>
        <v>2541.5795849431242</v>
      </c>
      <c r="N18" s="87">
        <f>+N5*'Summary GHG_C1'!$L$19</f>
        <v>2528.8716870184085</v>
      </c>
      <c r="O18" s="87">
        <f>+O5*'Summary GHG_C1'!$L$19</f>
        <v>2516.2273285833166</v>
      </c>
      <c r="P18" s="87">
        <f>+P5*'Summary GHG_C1'!$L$19</f>
        <v>2503.6461919403996</v>
      </c>
      <c r="Q18" s="87">
        <f>+Q5*'Summary GHG_C1'!$L$19</f>
        <v>2491.1279609806975</v>
      </c>
      <c r="R18" s="87">
        <f>+R5*'Summary GHG_C1'!$L$19</f>
        <v>2478.672321175794</v>
      </c>
      <c r="S18" s="87">
        <f>+S5*'Summary GHG_C1'!$L$19</f>
        <v>2466.2789595699151</v>
      </c>
      <c r="T18" s="87">
        <f>+T5*'Summary GHG_C1'!$L$19</f>
        <v>2453.9475647720656</v>
      </c>
      <c r="U18" s="87">
        <f>+U5*'Summary GHG_C1'!$L$19</f>
        <v>2441.6778269482052</v>
      </c>
      <c r="V18" s="159">
        <f>+V5*'Summary GHG_C1'!$L$19</f>
        <v>2429.4694378134641</v>
      </c>
      <c r="W18" s="87">
        <f>+W5*'[3]Summary GHG_C1'!$L$19</f>
        <v>2417.3220906243964</v>
      </c>
      <c r="X18" s="87">
        <f>+X5*'[3]Summary GHG_C1'!$L$19</f>
        <v>2405.2354801712745</v>
      </c>
      <c r="Y18" s="87">
        <f>+Y5*'[3]Summary GHG_C1'!$L$19</f>
        <v>2393.2093027704182</v>
      </c>
      <c r="Z18" s="87">
        <f>+Z5*'[3]Summary GHG_C1'!$L$19</f>
        <v>2381.2432562565664</v>
      </c>
      <c r="AA18" s="87">
        <f>+AA5*'[3]Summary GHG_C1'!$L$19</f>
        <v>2369.3370399752835</v>
      </c>
      <c r="AB18" s="161">
        <f t="shared" ref="AB18:AB24" si="8">+AVERAGE(C18:AA18)</f>
        <v>2293.5694377967352</v>
      </c>
    </row>
    <row r="19" spans="1:28" x14ac:dyDescent="0.25">
      <c r="A19" s="215"/>
      <c r="B19" s="70" t="s">
        <v>43</v>
      </c>
      <c r="C19" s="68">
        <f>+C6*'Summary GHG_C1'!$M$19</f>
        <v>0</v>
      </c>
      <c r="D19" s="68">
        <f>+D6*'Summary GHG_C1'!$M$19</f>
        <v>150.696</v>
      </c>
      <c r="E19" s="68">
        <f>+E6*'Summary GHG_C1'!$M$19</f>
        <v>301.392</v>
      </c>
      <c r="F19" s="68">
        <f>+F6*'Summary GHG_C1'!$M$19</f>
        <v>502.32</v>
      </c>
      <c r="G19" s="68">
        <f>+G6*'Summary GHG_C1'!$M$19</f>
        <v>499.80839999999995</v>
      </c>
      <c r="H19" s="68">
        <f>+H6*'Summary GHG_C1'!$M$19</f>
        <v>497.30935799999992</v>
      </c>
      <c r="I19" s="68">
        <f>+I6*'Summary GHG_C1'!$M$19</f>
        <v>494.82281120999988</v>
      </c>
      <c r="J19" s="68">
        <f>+J6*'Summary GHG_C1'!$M$19</f>
        <v>492.34869715394984</v>
      </c>
      <c r="K19" s="68">
        <f>+K6*'Summary GHG_C1'!$M$19</f>
        <v>489.88695366818013</v>
      </c>
      <c r="L19" s="68">
        <f>+L6*'Summary GHG_C1'!$M$19</f>
        <v>487.43751889983923</v>
      </c>
      <c r="M19" s="68">
        <f>+M6*'Summary GHG_C1'!$M$19</f>
        <v>485.00033130534007</v>
      </c>
      <c r="N19" s="68">
        <f>+N6*'Summary GHG_C1'!$M$19</f>
        <v>482.57532964881335</v>
      </c>
      <c r="O19" s="68">
        <f>+O6*'Summary GHG_C1'!$M$19</f>
        <v>480.16245300056931</v>
      </c>
      <c r="P19" s="68">
        <f>+P6*'Summary GHG_C1'!$M$19</f>
        <v>477.76164073556646</v>
      </c>
      <c r="Q19" s="68">
        <f>+Q6*'Summary GHG_C1'!$M$19</f>
        <v>475.3728325318886</v>
      </c>
      <c r="R19" s="68">
        <f>+R6*'Summary GHG_C1'!$M$19</f>
        <v>472.99596836922916</v>
      </c>
      <c r="S19" s="68">
        <f>+S6*'Summary GHG_C1'!$M$19</f>
        <v>470.63098852738301</v>
      </c>
      <c r="T19" s="68">
        <f>+T6*'Summary GHG_C1'!$M$19</f>
        <v>468.27783358474613</v>
      </c>
      <c r="U19" s="68">
        <f>+U6*'Summary GHG_C1'!$M$19</f>
        <v>465.93644441682238</v>
      </c>
      <c r="V19" s="141">
        <f>+V6*'Summary GHG_C1'!$M$19</f>
        <v>463.60676219473828</v>
      </c>
      <c r="W19" s="68">
        <f>+W6*'[3]Summary GHG_C1'!$M$19</f>
        <v>461.28872838376458</v>
      </c>
      <c r="X19" s="68">
        <f>+X6*'[3]Summary GHG_C1'!$M$19</f>
        <v>458.98228474184577</v>
      </c>
      <c r="Y19" s="68">
        <f>+Y6*'[3]Summary GHG_C1'!$M$19</f>
        <v>456.68737331813662</v>
      </c>
      <c r="Z19" s="68">
        <f>+Z6*'[3]Summary GHG_C1'!$M$19</f>
        <v>454.40393645154592</v>
      </c>
      <c r="AA19" s="68">
        <f>+AA6*'[3]Summary GHG_C1'!$M$19</f>
        <v>452.13191676928818</v>
      </c>
      <c r="AB19" s="161">
        <f t="shared" si="8"/>
        <v>437.67346251646597</v>
      </c>
    </row>
    <row r="20" spans="1:28" ht="16.5" thickBot="1" x14ac:dyDescent="0.3">
      <c r="A20" s="216"/>
      <c r="B20" s="90" t="s">
        <v>33</v>
      </c>
      <c r="C20" s="92">
        <f>+C7*'Summary GHG_C1'!$N$19</f>
        <v>0</v>
      </c>
      <c r="D20" s="92">
        <f>+D7*'Summary GHG_C1'!$N$19</f>
        <v>144.50280000000001</v>
      </c>
      <c r="E20" s="92">
        <f>+E7*'Summary GHG_C1'!$N$19</f>
        <v>289.00560000000002</v>
      </c>
      <c r="F20" s="92">
        <f>+F7*'Summary GHG_C1'!$N$19</f>
        <v>481.67599999999999</v>
      </c>
      <c r="G20" s="92">
        <f>+G7*'Summary GHG_C1'!$N$19</f>
        <v>479.26762000000002</v>
      </c>
      <c r="H20" s="92">
        <f>+H7*'Summary GHG_C1'!$N$19</f>
        <v>476.87128190000004</v>
      </c>
      <c r="I20" s="92">
        <f>+I7*'Summary GHG_C1'!$N$19</f>
        <v>474.48692549050008</v>
      </c>
      <c r="J20" s="92">
        <f>+J7*'Summary GHG_C1'!$N$19</f>
        <v>472.11449086304759</v>
      </c>
      <c r="K20" s="92">
        <f>+K7*'Summary GHG_C1'!$N$19</f>
        <v>469.75391840873237</v>
      </c>
      <c r="L20" s="92">
        <f>+L7*'Summary GHG_C1'!$N$19</f>
        <v>467.40514881668878</v>
      </c>
      <c r="M20" s="92">
        <f>+M7*'Summary GHG_C1'!$N$19</f>
        <v>465.06812307260532</v>
      </c>
      <c r="N20" s="92">
        <f>+N7*'Summary GHG_C1'!$N$19</f>
        <v>462.7427824572423</v>
      </c>
      <c r="O20" s="92">
        <f>+O7*'Summary GHG_C1'!$N$19</f>
        <v>460.42906854495607</v>
      </c>
      <c r="P20" s="92">
        <f>+P7*'Summary GHG_C1'!$N$19</f>
        <v>458.12692320223124</v>
      </c>
      <c r="Q20" s="92">
        <f>+Q7*'Summary GHG_C1'!$N$19</f>
        <v>455.83628858622006</v>
      </c>
      <c r="R20" s="92">
        <f>+R7*'Summary GHG_C1'!$N$19</f>
        <v>453.55710714328899</v>
      </c>
      <c r="S20" s="92">
        <f>+S7*'Summary GHG_C1'!$N$19</f>
        <v>451.2893216075725</v>
      </c>
      <c r="T20" s="92">
        <f>+T7*'Summary GHG_C1'!$N$19</f>
        <v>449.03287499953461</v>
      </c>
      <c r="U20" s="92">
        <f>+U7*'Summary GHG_C1'!$N$19</f>
        <v>446.787710624537</v>
      </c>
      <c r="V20" s="160">
        <f>+V7*'Summary GHG_C1'!$N$19</f>
        <v>444.5537720714143</v>
      </c>
      <c r="W20" s="92">
        <f>+W7*'[3]Summary GHG_C1'!$N$19</f>
        <v>442.33100321105724</v>
      </c>
      <c r="X20" s="92">
        <f>+X7*'[3]Summary GHG_C1'!$N$19</f>
        <v>440.11934819500198</v>
      </c>
      <c r="Y20" s="92">
        <f>+Y7*'[3]Summary GHG_C1'!$N$19</f>
        <v>437.91875145402696</v>
      </c>
      <c r="Z20" s="92">
        <f>+Z7*'[3]Summary GHG_C1'!$N$19</f>
        <v>435.72915769675677</v>
      </c>
      <c r="AA20" s="92">
        <f>+AA7*'[3]Summary GHG_C1'!$N$19</f>
        <v>433.55051190827299</v>
      </c>
      <c r="AB20" s="161">
        <f t="shared" si="8"/>
        <v>419.68626121014734</v>
      </c>
    </row>
    <row r="21" spans="1:28" x14ac:dyDescent="0.25">
      <c r="A21" s="214" t="s">
        <v>21</v>
      </c>
      <c r="B21" s="84" t="s">
        <v>42</v>
      </c>
      <c r="C21" s="87">
        <f>+C9*'Summary GHG_C1'!$L$19</f>
        <v>0</v>
      </c>
      <c r="D21" s="87">
        <f>+D9*'Summary GHG_C1'!$L$19</f>
        <v>363.95029499999998</v>
      </c>
      <c r="E21" s="87">
        <f>+E9*'Summary GHG_C1'!$L$19</f>
        <v>727.90058999999997</v>
      </c>
      <c r="F21" s="87">
        <f>+F9*'Summary GHG_C1'!$L$19</f>
        <v>1213.1676499999999</v>
      </c>
      <c r="G21" s="87">
        <f>+G9*'Summary GHG_C1'!$L$19</f>
        <v>1164.640944</v>
      </c>
      <c r="H21" s="87">
        <f>+H9*'Summary GHG_C1'!$L$19</f>
        <v>1118.0553062399999</v>
      </c>
      <c r="I21" s="87">
        <f>+I9*'Summary GHG_C1'!$L$19</f>
        <v>1073.3330939903999</v>
      </c>
      <c r="J21" s="87">
        <f>+J9*'Summary GHG_C1'!$L$19</f>
        <v>1030.399770230784</v>
      </c>
      <c r="K21" s="87">
        <f>+K9*'Summary GHG_C1'!$L$19</f>
        <v>989.18377942155257</v>
      </c>
      <c r="L21" s="87">
        <f>+L9*'Summary GHG_C1'!$L$19</f>
        <v>949.61642824469038</v>
      </c>
      <c r="M21" s="87">
        <f>+M9*'Summary GHG_C1'!$L$19</f>
        <v>911.6317711149029</v>
      </c>
      <c r="N21" s="87">
        <f>+N9*'Summary GHG_C1'!$L$19</f>
        <v>875.16650027030687</v>
      </c>
      <c r="O21" s="87">
        <f>+O9*'Summary GHG_C1'!$L$19</f>
        <v>840.15984025949456</v>
      </c>
      <c r="P21" s="87">
        <f>+P9*'Summary GHG_C1'!$L$19</f>
        <v>1213.1676499999999</v>
      </c>
      <c r="Q21" s="87">
        <f>+Q9*'Summary GHG_C1'!$L$19</f>
        <v>1164.640944</v>
      </c>
      <c r="R21" s="87">
        <f>+R9*'Summary GHG_C1'!$L$19</f>
        <v>1118.0553062399999</v>
      </c>
      <c r="S21" s="87">
        <f>+S9*'Summary GHG_C1'!$L$19</f>
        <v>1073.3330939903999</v>
      </c>
      <c r="T21" s="87">
        <f>+T9*'Summary GHG_C1'!$L$19</f>
        <v>1030.399770230784</v>
      </c>
      <c r="U21" s="87">
        <f>+U9*'Summary GHG_C1'!$L$19</f>
        <v>989.18377942155257</v>
      </c>
      <c r="V21" s="159">
        <f>+V9*'Summary GHG_C1'!$L$19</f>
        <v>949.61642824469038</v>
      </c>
      <c r="W21" s="87">
        <f>+W9*'[3]Summary GHG_C1'!$L$19</f>
        <v>911.6317711149029</v>
      </c>
      <c r="X21" s="87">
        <f>+X9*'[3]Summary GHG_C1'!$L$19</f>
        <v>875.16650027030687</v>
      </c>
      <c r="Y21" s="87">
        <f>+Y9*'[3]Summary GHG_C1'!$L$19</f>
        <v>840.15984025949456</v>
      </c>
      <c r="Z21" s="87">
        <f>+Z9*'[3]Summary GHG_C1'!$L$19</f>
        <v>806.55344664911479</v>
      </c>
      <c r="AA21" s="87">
        <f>+AA9*'[3]Summary GHG_C1'!$L$19</f>
        <v>774.29130878315016</v>
      </c>
      <c r="AB21" s="161">
        <f t="shared" si="8"/>
        <v>920.13623231906104</v>
      </c>
    </row>
    <row r="22" spans="1:28" x14ac:dyDescent="0.25">
      <c r="A22" s="215"/>
      <c r="B22" s="70" t="s">
        <v>43</v>
      </c>
      <c r="C22" s="68">
        <f>+C10*'Summary GHG_C1'!$M$19</f>
        <v>0</v>
      </c>
      <c r="D22" s="68">
        <f>+D10*'Summary GHG_C1'!$M$19</f>
        <v>93.420599999999993</v>
      </c>
      <c r="E22" s="68">
        <f>+E10*'Summary GHG_C1'!$M$19</f>
        <v>186.84119999999999</v>
      </c>
      <c r="F22" s="68">
        <f>+F10*'Summary GHG_C1'!$M$19</f>
        <v>311.40199999999999</v>
      </c>
      <c r="G22" s="68">
        <f>+G10*'Summary GHG_C1'!$M$19</f>
        <v>298.94592</v>
      </c>
      <c r="H22" s="68">
        <f>+H10*'Summary GHG_C1'!$M$19</f>
        <v>286.98808320000001</v>
      </c>
      <c r="I22" s="68">
        <f>+I10*'Summary GHG_C1'!$M$19</f>
        <v>275.50855987199998</v>
      </c>
      <c r="J22" s="68">
        <f>+J10*'Summary GHG_C1'!$M$19</f>
        <v>264.48821747711997</v>
      </c>
      <c r="K22" s="68">
        <f>+K10*'Summary GHG_C1'!$M$19</f>
        <v>253.90868877803518</v>
      </c>
      <c r="L22" s="68">
        <f>+L10*'Summary GHG_C1'!$M$19</f>
        <v>243.75234122691379</v>
      </c>
      <c r="M22" s="68">
        <f>+M10*'Summary GHG_C1'!$M$19</f>
        <v>234.00224757783724</v>
      </c>
      <c r="N22" s="68">
        <f>+N10*'Summary GHG_C1'!$M$19</f>
        <v>224.64215767472376</v>
      </c>
      <c r="O22" s="68">
        <f>+O10*'Summary GHG_C1'!$M$19</f>
        <v>215.65647136773478</v>
      </c>
      <c r="P22" s="68">
        <f>+P10*'Summary GHG_C1'!$M$19</f>
        <v>311.40199999999999</v>
      </c>
      <c r="Q22" s="68">
        <f>+Q10*'Summary GHG_C1'!$M$19</f>
        <v>298.94592</v>
      </c>
      <c r="R22" s="68">
        <f>+R10*'Summary GHG_C1'!$M$19</f>
        <v>286.98808320000001</v>
      </c>
      <c r="S22" s="68">
        <f>+S10*'Summary GHG_C1'!$M$19</f>
        <v>275.50855987199998</v>
      </c>
      <c r="T22" s="68">
        <f>+T10*'Summary GHG_C1'!$M$19</f>
        <v>264.48821747711997</v>
      </c>
      <c r="U22" s="68">
        <f>+U10*'Summary GHG_C1'!$M$19</f>
        <v>253.90868877803518</v>
      </c>
      <c r="V22" s="141">
        <f>+V10*'Summary GHG_C1'!$M$19</f>
        <v>243.75234122691379</v>
      </c>
      <c r="W22" s="68">
        <f>+W10*'[3]Summary GHG_C1'!$M$19</f>
        <v>234.00224757783724</v>
      </c>
      <c r="X22" s="68">
        <f>+X10*'[3]Summary GHG_C1'!$M$19</f>
        <v>224.64215767472376</v>
      </c>
      <c r="Y22" s="68">
        <f>+Y10*'[3]Summary GHG_C1'!$M$19</f>
        <v>215.65647136773478</v>
      </c>
      <c r="Z22" s="68">
        <f>+Z10*'[3]Summary GHG_C1'!$M$19</f>
        <v>207.03021251302539</v>
      </c>
      <c r="AA22" s="68">
        <f>+AA10*'[3]Summary GHG_C1'!$M$19</f>
        <v>198.74900401250437</v>
      </c>
      <c r="AB22" s="161">
        <f t="shared" si="8"/>
        <v>236.18521563497035</v>
      </c>
    </row>
    <row r="23" spans="1:28" x14ac:dyDescent="0.25">
      <c r="A23" s="215"/>
      <c r="B23" s="69" t="s">
        <v>33</v>
      </c>
      <c r="C23" s="68">
        <f>+C11*'Summary GHG_C1'!$N$19</f>
        <v>0</v>
      </c>
      <c r="D23" s="68">
        <f>+D11*'Summary GHG_C1'!$N$19</f>
        <v>57.409949999999995</v>
      </c>
      <c r="E23" s="68">
        <f>+E11*'Summary GHG_C1'!$N$19</f>
        <v>114.81989999999999</v>
      </c>
      <c r="F23" s="68">
        <f>+F11*'Summary GHG_C1'!$N$19</f>
        <v>191.3665</v>
      </c>
      <c r="G23" s="68">
        <f>+G11*'Summary GHG_C1'!$N$19</f>
        <v>183.71184000000002</v>
      </c>
      <c r="H23" s="68">
        <f>+H11*'Summary GHG_C1'!$N$19</f>
        <v>176.36336639999999</v>
      </c>
      <c r="I23" s="68">
        <f>+I11*'Summary GHG_C1'!$N$19</f>
        <v>169.308831744</v>
      </c>
      <c r="J23" s="68">
        <f>+J11*'Summary GHG_C1'!$N$19</f>
        <v>162.53647847424</v>
      </c>
      <c r="K23" s="68">
        <f>+K11*'Summary GHG_C1'!$N$19</f>
        <v>156.03501933527039</v>
      </c>
      <c r="L23" s="68">
        <f>+L11*'Summary GHG_C1'!$N$19</f>
        <v>149.7936185618596</v>
      </c>
      <c r="M23" s="68">
        <f>+M11*'Summary GHG_C1'!$N$19</f>
        <v>143.80187381938521</v>
      </c>
      <c r="N23" s="68">
        <f>+N11*'Summary GHG_C1'!$N$19</f>
        <v>138.04979886660979</v>
      </c>
      <c r="O23" s="68">
        <f>+O11*'Summary GHG_C1'!$N$19</f>
        <v>132.52780691194542</v>
      </c>
      <c r="P23" s="68">
        <f>+P11*'Summary GHG_C1'!$N$19</f>
        <v>191.3665</v>
      </c>
      <c r="Q23" s="68">
        <f>+Q11*'Summary GHG_C1'!$N$19</f>
        <v>183.71184000000002</v>
      </c>
      <c r="R23" s="68">
        <f>+R11*'Summary GHG_C1'!$N$19</f>
        <v>176.36336639999999</v>
      </c>
      <c r="S23" s="68">
        <f>+S11*'Summary GHG_C1'!$N$19</f>
        <v>169.308831744</v>
      </c>
      <c r="T23" s="68">
        <f>+T11*'Summary GHG_C1'!$N$19</f>
        <v>162.53647847424</v>
      </c>
      <c r="U23" s="68">
        <f>+U11*'Summary GHG_C1'!$N$19</f>
        <v>156.03501933527039</v>
      </c>
      <c r="V23" s="141">
        <f>+V11*'Summary GHG_C1'!$N$19</f>
        <v>149.7936185618596</v>
      </c>
      <c r="W23" s="68">
        <f>+W11*'[3]Summary GHG_C1'!$N$19</f>
        <v>143.80187381938521</v>
      </c>
      <c r="X23" s="68">
        <f>+X11*'[3]Summary GHG_C1'!$N$19</f>
        <v>138.04979886660979</v>
      </c>
      <c r="Y23" s="68">
        <f>+Y11*'[3]Summary GHG_C1'!$N$19</f>
        <v>132.52780691194542</v>
      </c>
      <c r="Z23" s="68">
        <f>+Z11*'[3]Summary GHG_C1'!$N$19</f>
        <v>127.2266946354676</v>
      </c>
      <c r="AA23" s="68">
        <f>+AA11*'[3]Summary GHG_C1'!$N$19</f>
        <v>122.1376268500489</v>
      </c>
      <c r="AB23" s="161">
        <f t="shared" si="8"/>
        <v>145.14337758848552</v>
      </c>
    </row>
    <row r="24" spans="1:28" ht="16.5" thickBot="1" x14ac:dyDescent="0.3">
      <c r="A24" s="216"/>
      <c r="B24" s="93" t="s">
        <v>34</v>
      </c>
      <c r="C24" s="92">
        <f>+C12*'Summary GHG_C1'!$O$19</f>
        <v>0</v>
      </c>
      <c r="D24" s="92">
        <f>+D12*'Summary GHG_C1'!$O$19</f>
        <v>8.4766499999999994</v>
      </c>
      <c r="E24" s="92">
        <f>+E12*'Summary GHG_C1'!$O$19</f>
        <v>16.953299999999999</v>
      </c>
      <c r="F24" s="92">
        <f>+F12*'Summary GHG_C1'!$O$19</f>
        <v>28.255500000000001</v>
      </c>
      <c r="G24" s="92">
        <f>+G12*'Summary GHG_C1'!$O$19</f>
        <v>27.12528</v>
      </c>
      <c r="H24" s="92">
        <f>+H12*'Summary GHG_C1'!$O$19</f>
        <v>26.040268800000003</v>
      </c>
      <c r="I24" s="92">
        <f>+I12*'Summary GHG_C1'!$O$19</f>
        <v>24.998658048000003</v>
      </c>
      <c r="J24" s="92">
        <f>+J12*'Summary GHG_C1'!$O$19</f>
        <v>23.99871172608</v>
      </c>
      <c r="K24" s="92">
        <f>+K12*'Summary GHG_C1'!$O$19</f>
        <v>23.038763257036802</v>
      </c>
      <c r="L24" s="92">
        <f>+L12*'Summary GHG_C1'!$O$19</f>
        <v>22.117212726755326</v>
      </c>
      <c r="M24" s="92">
        <f>+M12*'Summary GHG_C1'!$O$19</f>
        <v>21.232524217685114</v>
      </c>
      <c r="N24" s="92">
        <f>+N12*'Summary GHG_C1'!$O$19</f>
        <v>20.383223248977711</v>
      </c>
      <c r="O24" s="92">
        <f>+O12*'Summary GHG_C1'!$O$19</f>
        <v>19.567894319018603</v>
      </c>
      <c r="P24" s="92">
        <f>+P12*'Summary GHG_C1'!$O$19</f>
        <v>28.255500000000001</v>
      </c>
      <c r="Q24" s="92">
        <f>+Q12*'Summary GHG_C1'!$O$19</f>
        <v>27.12528</v>
      </c>
      <c r="R24" s="92">
        <f>+R12*'Summary GHG_C1'!$O$19</f>
        <v>26.040268800000003</v>
      </c>
      <c r="S24" s="92">
        <f>+S12*'Summary GHG_C1'!$O$19</f>
        <v>24.998658048000003</v>
      </c>
      <c r="T24" s="92">
        <f>+T12*'Summary GHG_C1'!$O$19</f>
        <v>23.99871172608</v>
      </c>
      <c r="U24" s="92">
        <f>+U12*'Summary GHG_C1'!$O$19</f>
        <v>23.038763257036802</v>
      </c>
      <c r="V24" s="160">
        <f>+V12*'Summary GHG_C1'!$O$19</f>
        <v>22.117212726755326</v>
      </c>
      <c r="W24" s="92">
        <f>+W12*'[3]Summary GHG_C1'!$O$19</f>
        <v>21.232524217685114</v>
      </c>
      <c r="X24" s="92">
        <f>+X12*'[3]Summary GHG_C1'!$O$19</f>
        <v>20.383223248977711</v>
      </c>
      <c r="Y24" s="92">
        <f>+Y12*'[3]Summary GHG_C1'!$O$19</f>
        <v>19.567894319018603</v>
      </c>
      <c r="Z24" s="92">
        <f>+Z12*'[3]Summary GHG_C1'!$O$19</f>
        <v>18.78517854625786</v>
      </c>
      <c r="AA24" s="92">
        <f>+AA12*'[3]Summary GHG_C1'!$O$19</f>
        <v>18.033771404407545</v>
      </c>
      <c r="AB24" s="161">
        <f t="shared" si="8"/>
        <v>21.430598905510898</v>
      </c>
    </row>
  </sheetData>
  <mergeCells count="4">
    <mergeCell ref="A18:A20"/>
    <mergeCell ref="A21:A24"/>
    <mergeCell ref="A5:A8"/>
    <mergeCell ref="A9:A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4FACD-2022-4123-A64E-474AC28BEAD7}">
  <dimension ref="B2:AP45"/>
  <sheetViews>
    <sheetView tabSelected="1" zoomScale="85" zoomScaleNormal="85" workbookViewId="0">
      <selection activeCell="G45" sqref="G45"/>
    </sheetView>
  </sheetViews>
  <sheetFormatPr baseColWidth="10" defaultRowHeight="15.75" x14ac:dyDescent="0.25"/>
  <cols>
    <col min="1" max="2" width="11" style="19"/>
    <col min="3" max="3" width="23.5" style="19" customWidth="1"/>
    <col min="4" max="4" width="15.125" style="19" customWidth="1"/>
    <col min="5" max="5" width="12" style="19" bestFit="1" customWidth="1"/>
    <col min="6" max="6" width="13.375" style="19" customWidth="1"/>
    <col min="7" max="7" width="12" style="19" bestFit="1" customWidth="1"/>
    <col min="8" max="8" width="14.625" style="19" customWidth="1"/>
    <col min="9" max="9" width="15.25" style="19" customWidth="1"/>
    <col min="10" max="10" width="13.375" style="19" customWidth="1"/>
    <col min="11" max="11" width="11" style="19"/>
    <col min="12" max="12" width="12" style="19" bestFit="1" customWidth="1"/>
    <col min="13" max="13" width="11" style="19"/>
    <col min="14" max="14" width="13.75" style="19" customWidth="1"/>
    <col min="15" max="15" width="12.75" style="19" customWidth="1"/>
    <col min="16" max="40" width="14.25" style="19" customWidth="1"/>
    <col min="41" max="16384" width="11" style="19"/>
  </cols>
  <sheetData>
    <row r="2" spans="2:42" ht="26.25" x14ac:dyDescent="0.4">
      <c r="B2" s="18" t="s">
        <v>27</v>
      </c>
    </row>
    <row r="5" spans="2:42" x14ac:dyDescent="0.25">
      <c r="B5" s="11" t="s">
        <v>26</v>
      </c>
      <c r="C5" s="11"/>
      <c r="D5" s="59"/>
      <c r="E5" s="59"/>
      <c r="F5" s="59"/>
      <c r="G5" s="59"/>
      <c r="P5" s="11" t="s">
        <v>116</v>
      </c>
      <c r="U5" s="11"/>
    </row>
    <row r="6" spans="2:42" ht="32.25" thickBot="1" x14ac:dyDescent="0.3">
      <c r="B6" s="23"/>
      <c r="C6" s="24" t="s">
        <v>18</v>
      </c>
      <c r="D6" s="26">
        <v>1</v>
      </c>
      <c r="E6" s="26">
        <v>2</v>
      </c>
      <c r="F6" s="26">
        <v>3</v>
      </c>
      <c r="G6" s="26">
        <v>4</v>
      </c>
      <c r="H6" s="26">
        <v>5</v>
      </c>
      <c r="I6" s="26">
        <v>6</v>
      </c>
      <c r="J6" s="26">
        <v>7</v>
      </c>
      <c r="K6" s="26">
        <v>8</v>
      </c>
      <c r="L6" s="26">
        <v>9</v>
      </c>
      <c r="M6" s="26">
        <v>10</v>
      </c>
      <c r="P6" s="26">
        <v>2023</v>
      </c>
      <c r="Q6" s="26">
        <v>2024</v>
      </c>
      <c r="R6" s="26">
        <v>2025</v>
      </c>
      <c r="S6" s="26">
        <v>2026</v>
      </c>
      <c r="T6" s="26">
        <v>2027</v>
      </c>
      <c r="U6" s="26">
        <v>2028</v>
      </c>
      <c r="V6" s="26">
        <v>2029</v>
      </c>
      <c r="W6" s="26">
        <v>2030</v>
      </c>
      <c r="X6" s="26">
        <v>2031</v>
      </c>
      <c r="Y6" s="26">
        <v>2032</v>
      </c>
      <c r="Z6" s="26">
        <v>2033</v>
      </c>
      <c r="AA6" s="26">
        <v>2034</v>
      </c>
      <c r="AB6" s="26">
        <v>2035</v>
      </c>
      <c r="AC6" s="26">
        <v>2036</v>
      </c>
      <c r="AD6" s="26">
        <v>2037</v>
      </c>
      <c r="AE6" s="26">
        <v>2038</v>
      </c>
      <c r="AF6" s="26">
        <v>2039</v>
      </c>
      <c r="AG6" s="26">
        <v>2040</v>
      </c>
      <c r="AH6" s="26">
        <v>2041</v>
      </c>
      <c r="AI6" s="26">
        <v>2042</v>
      </c>
      <c r="AJ6" s="232">
        <v>2043</v>
      </c>
      <c r="AK6" s="232">
        <v>2044</v>
      </c>
      <c r="AL6" s="232">
        <v>2045</v>
      </c>
      <c r="AM6" s="232">
        <v>2046</v>
      </c>
      <c r="AN6" s="232">
        <v>2047</v>
      </c>
      <c r="AO6" s="110" t="s">
        <v>117</v>
      </c>
      <c r="AP6" s="162" t="s">
        <v>78</v>
      </c>
    </row>
    <row r="7" spans="2:42" x14ac:dyDescent="0.25">
      <c r="B7" s="28"/>
      <c r="C7" s="61" t="s">
        <v>19</v>
      </c>
      <c r="D7" s="72">
        <f>+'Summary GHG_C1'!$L$19*'Projections MWh'!C4</f>
        <v>18948.553394099999</v>
      </c>
      <c r="E7" s="72">
        <f>+'Summary GHG_C1'!$L$19*'Projections MWh'!D4</f>
        <v>19038.521880560002</v>
      </c>
      <c r="F7" s="72">
        <f>+'Summary GHG_C1'!$L$19*'Projections MWh'!E4</f>
        <v>18995.56512707</v>
      </c>
      <c r="G7" s="72">
        <f>+'Summary GHG_C1'!$L$19*'Projections MWh'!F4</f>
        <v>19232.597311639998</v>
      </c>
      <c r="H7" s="72">
        <f>+'Summary GHG_C1'!$L$19*'Projections MWh'!G4</f>
        <v>19431.269283149999</v>
      </c>
      <c r="I7" s="72">
        <f>+'Summary GHG_C1'!$L$19*'Projections MWh'!H4</f>
        <v>19099.860156299997</v>
      </c>
      <c r="J7" s="72">
        <f>+'Summary GHG_C1'!$L$19*'Projections MWh'!I4</f>
        <v>19120.597925599999</v>
      </c>
      <c r="K7" s="72">
        <f>+'Summary GHG_C1'!$L$19*'Projections MWh'!J4</f>
        <v>19065.680295919999</v>
      </c>
      <c r="L7" s="72">
        <f>+'Summary GHG_C1'!$L$19*'Projections MWh'!K4</f>
        <v>19473.585475519998</v>
      </c>
      <c r="M7" s="72">
        <f>+'Summary GHG_C1'!$L$19*'Projections MWh'!L4</f>
        <v>19305.165304599999</v>
      </c>
      <c r="N7" s="187"/>
      <c r="O7" s="63"/>
      <c r="P7" s="72">
        <f>+'Summary GHG_C1'!$L$19*'Projections MWh'!C4</f>
        <v>18948.553394099999</v>
      </c>
      <c r="Q7" s="72">
        <f>+'Summary GHG_C1'!$L$19*'Projections MWh'!D4</f>
        <v>19038.521880560002</v>
      </c>
      <c r="R7" s="72">
        <f>+'Summary GHG_C1'!$L$19*'Projections MWh'!E4</f>
        <v>18995.56512707</v>
      </c>
      <c r="S7" s="72">
        <f>+'Summary GHG_C1'!$L$19*'Projections MWh'!F4</f>
        <v>19232.597311639998</v>
      </c>
      <c r="T7" s="72">
        <f>+'Summary GHG_C1'!$L$19*'Projections MWh'!G4</f>
        <v>19431.269283149999</v>
      </c>
      <c r="U7" s="72">
        <f>+'Summary GHG_C1'!$L$19*'Projections MWh'!H4</f>
        <v>19099.860156299997</v>
      </c>
      <c r="V7" s="72">
        <f>+'Summary GHG_C1'!$L$19*'Projections MWh'!I4</f>
        <v>19120.597925599999</v>
      </c>
      <c r="W7" s="72">
        <f>+'Summary GHG_C1'!$L$19*'Projections MWh'!J4</f>
        <v>19065.680295919999</v>
      </c>
      <c r="X7" s="72">
        <f>+'Summary GHG_C1'!$L$19*'Projections MWh'!K4</f>
        <v>19473.585475519998</v>
      </c>
      <c r="Y7" s="72">
        <f>+'Summary GHG_C1'!$L$19*'Projections MWh'!L4</f>
        <v>19305.165304599999</v>
      </c>
      <c r="Z7" s="72">
        <f>+'Summary GHG_C1'!$L$19*'Projections MWh'!M4</f>
        <v>19057.507526310001</v>
      </c>
      <c r="AA7" s="72">
        <f>+'Summary GHG_C1'!$L$19*'Projections MWh'!N4</f>
        <v>19330.087611200001</v>
      </c>
      <c r="AB7" s="72">
        <f>+'Summary GHG_C1'!$L$19*'Projections MWh'!O4</f>
        <v>18937.445212799998</v>
      </c>
      <c r="AC7" s="72">
        <f>+'Summary GHG_C1'!$L$19*'Projections MWh'!P4</f>
        <v>19111.669691489999</v>
      </c>
      <c r="AD7" s="72">
        <f>+'Summary GHG_C1'!$L$19*'Projections MWh'!Q4</f>
        <v>18558.74924316</v>
      </c>
      <c r="AE7" s="72">
        <f>+'Summary GHG_C1'!$L$19*'Projections MWh'!R4</f>
        <v>18621.986641700001</v>
      </c>
      <c r="AF7" s="72">
        <f>+'Summary GHG_C1'!$L$19*'Projections MWh'!S4</f>
        <v>18639.892349499998</v>
      </c>
      <c r="AG7" s="72">
        <f>+'Summary GHG_C1'!$L$19*'Projections MWh'!T4</f>
        <v>18610.06852968</v>
      </c>
      <c r="AH7" s="72">
        <f>+'Summary GHG_C1'!$L$19*'Projections MWh'!U4</f>
        <v>18530.200185950001</v>
      </c>
      <c r="AI7" s="108">
        <f>+'Summary GHG_C1'!$L$19*'Projections MWh'!V4</f>
        <v>18398.071909359998</v>
      </c>
      <c r="AJ7" s="108">
        <f>+'[3]Summary GHG_C1'!$L$19*'[3]Projections MWh'!W4</f>
        <v>18211.582019999998</v>
      </c>
      <c r="AK7" s="108">
        <f>+'[3]Summary GHG_C1'!$L$19*'[3]Projections MWh'!X4</f>
        <v>18867.202809999999</v>
      </c>
      <c r="AL7" s="108">
        <f>+'[3]Summary GHG_C1'!$L$19*'[3]Projections MWh'!Y4</f>
        <v>18597.666969999998</v>
      </c>
      <c r="AM7" s="108">
        <f>+'[3]Summary GHG_C1'!$L$19*'[3]Projections MWh'!Z4</f>
        <v>18268.48789</v>
      </c>
      <c r="AN7" s="108">
        <f>+'[3]Summary GHG_C1'!$L$19*'[3]Projections MWh'!AA4</f>
        <v>18871.346079999999</v>
      </c>
      <c r="AO7" s="111">
        <f>SUM(P7:AN7)</f>
        <v>472323.36082561</v>
      </c>
      <c r="AP7" s="163">
        <f>+AVERAGE(P7:AN7)</f>
        <v>18892.934433024398</v>
      </c>
    </row>
    <row r="8" spans="2:42" x14ac:dyDescent="0.25">
      <c r="B8" s="28"/>
      <c r="C8" s="64" t="s">
        <v>20</v>
      </c>
      <c r="D8" s="62">
        <f>+'Projections MWh'!C5*'Summary GHG_C1'!$L$19+'Summary GHG_C1'!$M$19*'Projections MWh'!C6+'Projections MWh'!C7*'Summary GHG_C1'!$N$19</f>
        <v>0</v>
      </c>
      <c r="E8" s="62">
        <f>+'Projections MWh'!D5*'Summary GHG_C1'!$L$19+'Summary GHG_C1'!$M$19*'Projections MWh'!D6+'Projections MWh'!D7*'Summary GHG_C1'!$N$19</f>
        <v>1084.9011</v>
      </c>
      <c r="F8" s="62">
        <f>+'Projections MWh'!E5*'Summary GHG_C1'!$L$19+'Summary GHG_C1'!$M$19*'Projections MWh'!E6+'Projections MWh'!E7*'Summary GHG_C1'!$N$19</f>
        <v>2169.8022000000001</v>
      </c>
      <c r="G8" s="62">
        <f>+'Projections MWh'!F5*'Summary GHG_C1'!$L$19+'Summary GHG_C1'!$M$19*'Projections MWh'!F6+'Projections MWh'!F7*'Summary GHG_C1'!$N$19</f>
        <v>3616.337</v>
      </c>
      <c r="H8" s="62">
        <f>+'Projections MWh'!G5*'Summary GHG_C1'!$L$19+'Summary GHG_C1'!$M$19*'Projections MWh'!G6+'Projections MWh'!G7*'Summary GHG_C1'!$N$19</f>
        <v>3598.2553149999999</v>
      </c>
      <c r="I8" s="62">
        <f>+'Projections MWh'!H5*'Summary GHG_C1'!$L$19+'Summary GHG_C1'!$M$19*'Projections MWh'!H6+'Projections MWh'!H7*'Summary GHG_C1'!$N$19</f>
        <v>3580.2640384249999</v>
      </c>
      <c r="J8" s="62">
        <f>+'Projections MWh'!I5*'Summary GHG_C1'!$L$19+'Summary GHG_C1'!$M$19*'Projections MWh'!I6+'Projections MWh'!I7*'Summary GHG_C1'!$N$19</f>
        <v>3562.3627182328751</v>
      </c>
      <c r="K8" s="62">
        <f>+'Projections MWh'!J5*'Summary GHG_C1'!$L$19+'Summary GHG_C1'!$M$19*'Projections MWh'!J6+'Projections MWh'!J7*'Summary GHG_C1'!$N$19</f>
        <v>3544.5509046417101</v>
      </c>
      <c r="L8" s="62">
        <f>+'Projections MWh'!K5*'Summary GHG_C1'!$L$19+'Summary GHG_C1'!$M$19*'Projections MWh'!K6+'Projections MWh'!K7*'Summary GHG_C1'!$N$19</f>
        <v>3526.8281501185011</v>
      </c>
      <c r="M8" s="62">
        <f>+'Projections MWh'!L5*'Summary GHG_C1'!$L$19+'Summary GHG_C1'!$M$19*'Projections MWh'!L6+'Projections MWh'!L7*'Summary GHG_C1'!$N$19</f>
        <v>3509.1940093679091</v>
      </c>
      <c r="N8" s="187"/>
      <c r="O8" s="63"/>
      <c r="P8" s="62">
        <f>+'Projections MWh'!C5*'Summary GHG_C1'!$L$19+'Summary GHG_C1'!$M$19*'Projections MWh'!C6+'Projections MWh'!C7*'Summary GHG_C1'!$N$19</f>
        <v>0</v>
      </c>
      <c r="Q8" s="62">
        <f>+'Projections MWh'!D5*'Summary GHG_C1'!$L$19+'Summary GHG_C1'!$M$19*'Projections MWh'!D6+'Projections MWh'!D7*'Summary GHG_C1'!$N$19</f>
        <v>1084.9011</v>
      </c>
      <c r="R8" s="62">
        <f>+'Projections MWh'!E5*'Summary GHG_C1'!$L$19+'Summary GHG_C1'!$M$19*'Projections MWh'!E6+'Projections MWh'!E7*'Summary GHG_C1'!$N$19</f>
        <v>2169.8022000000001</v>
      </c>
      <c r="S8" s="62">
        <f>+'Projections MWh'!F5*'Summary GHG_C1'!$L$19+'Summary GHG_C1'!$M$19*'Projections MWh'!F6+'Projections MWh'!F7*'Summary GHG_C1'!$N$19</f>
        <v>3616.337</v>
      </c>
      <c r="T8" s="62">
        <f>+'Projections MWh'!G5*'Summary GHG_C1'!$L$19+'Summary GHG_C1'!$M$19*'Projections MWh'!G6+'Projections MWh'!G7*'Summary GHG_C1'!$N$19</f>
        <v>3598.2553149999999</v>
      </c>
      <c r="U8" s="62">
        <f>+'Projections MWh'!H5*'Summary GHG_C1'!$L$19+'Summary GHG_C1'!$M$19*'Projections MWh'!H6+'Projections MWh'!H7*'Summary GHG_C1'!$N$19</f>
        <v>3580.2640384249999</v>
      </c>
      <c r="V8" s="62">
        <f>+'Projections MWh'!I5*'Summary GHG_C1'!$L$19+'Summary GHG_C1'!$M$19*'Projections MWh'!I6+'Projections MWh'!I7*'Summary GHG_C1'!$N$19</f>
        <v>3562.3627182328751</v>
      </c>
      <c r="W8" s="62">
        <f>+'Projections MWh'!J5*'Summary GHG_C1'!$L$19+'Summary GHG_C1'!$M$19*'Projections MWh'!J6+'Projections MWh'!J7*'Summary GHG_C1'!$N$19</f>
        <v>3544.5509046417101</v>
      </c>
      <c r="X8" s="62">
        <f>+'Projections MWh'!K5*'Summary GHG_C1'!$L$19+'Summary GHG_C1'!$M$19*'Projections MWh'!K6+'Projections MWh'!K7*'Summary GHG_C1'!$N$19</f>
        <v>3526.8281501185011</v>
      </c>
      <c r="Y8" s="62">
        <f>+'Projections MWh'!L5*'Summary GHG_C1'!$L$19+'Summary GHG_C1'!$M$19*'Projections MWh'!L6+'Projections MWh'!L7*'Summary GHG_C1'!$N$19</f>
        <v>3509.1940093679091</v>
      </c>
      <c r="Z8" s="62">
        <f>+'Projections MWh'!M5*'Summary GHG_C1'!$L$19+'Summary GHG_C1'!$M$19*'Projections MWh'!M6+'Projections MWh'!M7*'Summary GHG_C1'!$N$19</f>
        <v>3491.64803932107</v>
      </c>
      <c r="AA8" s="62">
        <f>+'Projections MWh'!N5*'Summary GHG_C1'!$L$19+'Summary GHG_C1'!$M$19*'Projections MWh'!N6+'Projections MWh'!N7*'Summary GHG_C1'!$N$19</f>
        <v>3474.1897991244641</v>
      </c>
      <c r="AB8" s="62">
        <f>+'Projections MWh'!O5*'Summary GHG_C1'!$L$19+'Summary GHG_C1'!$M$19*'Projections MWh'!O6+'Projections MWh'!O7*'Summary GHG_C1'!$N$19</f>
        <v>3456.8188501288419</v>
      </c>
      <c r="AC8" s="62">
        <f>+'Projections MWh'!P5*'Summary GHG_C1'!$L$19+'Summary GHG_C1'!$M$19*'Projections MWh'!P6+'Projections MWh'!P7*'Summary GHG_C1'!$N$19</f>
        <v>3439.5347558781973</v>
      </c>
      <c r="AD8" s="62">
        <f>+'Projections MWh'!Q5*'Summary GHG_C1'!$L$19+'Summary GHG_C1'!$M$19*'Projections MWh'!Q6+'Projections MWh'!Q7*'Summary GHG_C1'!$N$19</f>
        <v>3422.3370820988061</v>
      </c>
      <c r="AE8" s="62">
        <f>+'Projections MWh'!R5*'Summary GHG_C1'!$L$19+'Summary GHG_C1'!$M$19*'Projections MWh'!R6+'Projections MWh'!R7*'Summary GHG_C1'!$N$19</f>
        <v>3405.2253966883122</v>
      </c>
      <c r="AF8" s="62">
        <f>+'Projections MWh'!S5*'Summary GHG_C1'!$L$19+'Summary GHG_C1'!$M$19*'Projections MWh'!S6+'Projections MWh'!S7*'Summary GHG_C1'!$N$19</f>
        <v>3388.1992697048709</v>
      </c>
      <c r="AG8" s="62">
        <f>+'Projections MWh'!T5*'Summary GHG_C1'!$L$19+'Summary GHG_C1'!$M$19*'Projections MWh'!T6+'Projections MWh'!T7*'Summary GHG_C1'!$N$19</f>
        <v>3371.2582733563463</v>
      </c>
      <c r="AH8" s="62">
        <f>+'Projections MWh'!U5*'Summary GHG_C1'!$L$19+'Summary GHG_C1'!$M$19*'Projections MWh'!U6+'Projections MWh'!U7*'Summary GHG_C1'!$N$19</f>
        <v>3354.4019819895643</v>
      </c>
      <c r="AI8" s="109">
        <f>+'Projections MWh'!V5*'Summary GHG_C1'!$L$19+'Summary GHG_C1'!$M$19*'Projections MWh'!V6+'Projections MWh'!V7*'Summary GHG_C1'!$N$19</f>
        <v>3337.6299720796164</v>
      </c>
      <c r="AJ8" s="233">
        <f>+'[3]Projections MWh'!W5*'[3]Summary GHG_C1'!$L$19+'[3]Summary GHG_C1'!$M$19*'[3]Projections MWh'!W6+'[3]Projections MWh'!W7*'[3]Summary GHG_C1'!$N$19</f>
        <v>3320.941822219218</v>
      </c>
      <c r="AK8" s="233">
        <f>+'[3]Projections MWh'!X5*'[3]Summary GHG_C1'!$L$19+'[3]Summary GHG_C1'!$M$19*'[3]Projections MWh'!X6+'[3]Projections MWh'!X7*'[3]Summary GHG_C1'!$N$19</f>
        <v>3304.3371131081221</v>
      </c>
      <c r="AL8" s="233">
        <f>+'[3]Projections MWh'!Y5*'[3]Summary GHG_C1'!$L$19+'[3]Summary GHG_C1'!$M$19*'[3]Projections MWh'!Y6+'[3]Projections MWh'!Y7*'[3]Summary GHG_C1'!$N$19</f>
        <v>3287.8154275425813</v>
      </c>
      <c r="AM8" s="233">
        <f>+'[3]Projections MWh'!Z5*'[3]Summary GHG_C1'!$L$19+'[3]Summary GHG_C1'!$M$19*'[3]Projections MWh'!Z6+'[3]Projections MWh'!Z7*'[3]Summary GHG_C1'!$N$19</f>
        <v>3271.3763504048693</v>
      </c>
      <c r="AN8" s="233">
        <f>+'[3]Projections MWh'!AA5*'[3]Summary GHG_C1'!$L$19+'[3]Summary GHG_C1'!$M$19*'[3]Projections MWh'!AA6+'[3]Projections MWh'!AA7*'[3]Summary GHG_C1'!$N$19</f>
        <v>3255.0194686528448</v>
      </c>
      <c r="AO8" s="112">
        <f>SUM(P8:AN8)</f>
        <v>78773.229038083708</v>
      </c>
      <c r="AP8" s="163">
        <f t="shared" ref="AP8:AP9" si="0">+AVERAGE(P8:AN8)</f>
        <v>3150.9291615233483</v>
      </c>
    </row>
    <row r="9" spans="2:42" ht="16.5" thickBot="1" x14ac:dyDescent="0.3">
      <c r="B9" s="28"/>
      <c r="C9" s="64" t="s">
        <v>21</v>
      </c>
      <c r="D9" s="73">
        <f>+'Projections MWh'!C9*'Summary GHG_C1'!$L$19+'Summary GHG_C1'!$M$19*'Projections MWh'!C10+'Projections MWh'!C11*'Summary GHG_C1'!$N$19+'Summary GHG_C1'!$O$19*'Projections MWh'!C12</f>
        <v>0</v>
      </c>
      <c r="E9" s="73">
        <f>+'Projections MWh'!D9*'Summary GHG_C1'!$L$19+'Summary GHG_C1'!$M$19*'Projections MWh'!D10+'Projections MWh'!D11*'Summary GHG_C1'!$N$19+'Summary GHG_C1'!$O$19*'Projections MWh'!D12</f>
        <v>523.25749499999995</v>
      </c>
      <c r="F9" s="73">
        <f>+'Projections MWh'!E9*'Summary GHG_C1'!$L$19+'Summary GHG_C1'!$M$19*'Projections MWh'!E10+'Projections MWh'!E11*'Summary GHG_C1'!$N$19+'Summary GHG_C1'!$O$19*'Projections MWh'!E12</f>
        <v>1046.5149899999999</v>
      </c>
      <c r="G9" s="73">
        <f>+'Projections MWh'!F9*'Summary GHG_C1'!$L$19+'Summary GHG_C1'!$M$19*'Projections MWh'!F10+'Projections MWh'!F11*'Summary GHG_C1'!$N$19+'Summary GHG_C1'!$O$19*'Projections MWh'!F12</f>
        <v>1744.19165</v>
      </c>
      <c r="H9" s="73">
        <f>+'Projections MWh'!G9*'Summary GHG_C1'!$L$19+'Summary GHG_C1'!$M$19*'Projections MWh'!G10+'Projections MWh'!G11*'Summary GHG_C1'!$N$19+'Summary GHG_C1'!$O$19*'Projections MWh'!G12</f>
        <v>1674.4239839999998</v>
      </c>
      <c r="I9" s="73">
        <f>+'Projections MWh'!H9*'Summary GHG_C1'!$L$19+'Summary GHG_C1'!$M$19*'Projections MWh'!H10+'Projections MWh'!H11*'Summary GHG_C1'!$N$19+'Summary GHG_C1'!$O$19*'Projections MWh'!H12</f>
        <v>1607.4470246399997</v>
      </c>
      <c r="J9" s="73">
        <f>+'Projections MWh'!I9*'Summary GHG_C1'!$L$19+'Summary GHG_C1'!$M$19*'Projections MWh'!I10+'Projections MWh'!I11*'Summary GHG_C1'!$N$19+'Summary GHG_C1'!$O$19*'Projections MWh'!I12</f>
        <v>1543.1491436543997</v>
      </c>
      <c r="K9" s="73">
        <f>+'Projections MWh'!J9*'Summary GHG_C1'!$L$19+'Summary GHG_C1'!$M$19*'Projections MWh'!J10+'Projections MWh'!J11*'Summary GHG_C1'!$N$19+'Summary GHG_C1'!$O$19*'Projections MWh'!J12</f>
        <v>1481.423177908224</v>
      </c>
      <c r="L9" s="73">
        <f>+'Projections MWh'!K9*'Summary GHG_C1'!$L$19+'Summary GHG_C1'!$M$19*'Projections MWh'!K10+'Projections MWh'!K11*'Summary GHG_C1'!$N$19+'Summary GHG_C1'!$O$19*'Projections MWh'!K12</f>
        <v>1422.166250791895</v>
      </c>
      <c r="M9" s="73">
        <f>+'Projections MWh'!L9*'Summary GHG_C1'!$L$19+'Summary GHG_C1'!$M$19*'Projections MWh'!L10+'Projections MWh'!L11*'Summary GHG_C1'!$N$19+'Summary GHG_C1'!$O$19*'Projections MWh'!L12</f>
        <v>1365.279600760219</v>
      </c>
      <c r="N9" s="187"/>
      <c r="O9" s="63"/>
      <c r="P9" s="62">
        <f>+'Projections MWh'!C9*'Summary GHG_C1'!$L$19+'Summary GHG_C1'!$M$19*'Projections MWh'!C10+'Projections MWh'!C11*'Summary GHG_C1'!$N$19+'Summary GHG_C1'!$O$19*'Projections MWh'!C12</f>
        <v>0</v>
      </c>
      <c r="Q9" s="62">
        <f>+'Projections MWh'!D9*'Summary GHG_C1'!$L$19+'Summary GHG_C1'!$M$19*'Projections MWh'!D10+'Projections MWh'!D11*'Summary GHG_C1'!$N$19+'Summary GHG_C1'!$O$19*'Projections MWh'!D12</f>
        <v>523.25749499999995</v>
      </c>
      <c r="R9" s="62">
        <f>+'Projections MWh'!E9*'Summary GHG_C1'!$L$19+'Summary GHG_C1'!$M$19*'Projections MWh'!E10+'Projections MWh'!E11*'Summary GHG_C1'!$N$19+'Summary GHG_C1'!$O$19*'Projections MWh'!E12</f>
        <v>1046.5149899999999</v>
      </c>
      <c r="S9" s="62">
        <f>+'Projections MWh'!F9*'Summary GHG_C1'!$L$19+'Summary GHG_C1'!$M$19*'Projections MWh'!F10+'Projections MWh'!F11*'Summary GHG_C1'!$N$19+'Summary GHG_C1'!$O$19*'Projections MWh'!F12</f>
        <v>1744.19165</v>
      </c>
      <c r="T9" s="62">
        <f>+'Projections MWh'!G9*'Summary GHG_C1'!$L$19+'Summary GHG_C1'!$M$19*'Projections MWh'!G10+'Projections MWh'!G11*'Summary GHG_C1'!$N$19+'Summary GHG_C1'!$O$19*'Projections MWh'!G12</f>
        <v>1674.4239839999998</v>
      </c>
      <c r="U9" s="62">
        <f>+'Projections MWh'!H9*'Summary GHG_C1'!$L$19+'Summary GHG_C1'!$M$19*'Projections MWh'!H10+'Projections MWh'!H11*'Summary GHG_C1'!$N$19+'Summary GHG_C1'!$O$19*'Projections MWh'!H12</f>
        <v>1607.4470246399997</v>
      </c>
      <c r="V9" s="62">
        <f>+'Projections MWh'!I9*'Summary GHG_C1'!$L$19+'Summary GHG_C1'!$M$19*'Projections MWh'!I10+'Projections MWh'!I11*'Summary GHG_C1'!$N$19+'Summary GHG_C1'!$O$19*'Projections MWh'!I12</f>
        <v>1543.1491436543997</v>
      </c>
      <c r="W9" s="62">
        <f>+'Projections MWh'!J9*'Summary GHG_C1'!$L$19+'Summary GHG_C1'!$M$19*'Projections MWh'!J10+'Projections MWh'!J11*'Summary GHG_C1'!$N$19+'Summary GHG_C1'!$O$19*'Projections MWh'!J12</f>
        <v>1481.423177908224</v>
      </c>
      <c r="X9" s="62">
        <f>+'Projections MWh'!K9*'Summary GHG_C1'!$L$19+'Summary GHG_C1'!$M$19*'Projections MWh'!K10+'Projections MWh'!K11*'Summary GHG_C1'!$N$19+'Summary GHG_C1'!$O$19*'Projections MWh'!K12</f>
        <v>1422.166250791895</v>
      </c>
      <c r="Y9" s="62">
        <f>+'Projections MWh'!L9*'Summary GHG_C1'!$L$19+'Summary GHG_C1'!$M$19*'Projections MWh'!L10+'Projections MWh'!L11*'Summary GHG_C1'!$N$19+'Summary GHG_C1'!$O$19*'Projections MWh'!L12</f>
        <v>1365.279600760219</v>
      </c>
      <c r="Z9" s="62">
        <f>+'Projections MWh'!M9*'Summary GHG_C1'!$L$19+'Summary GHG_C1'!$M$19*'Projections MWh'!M10+'Projections MWh'!M11*'Summary GHG_C1'!$N$19+'Summary GHG_C1'!$O$19*'Projections MWh'!M12</f>
        <v>1310.6684167298104</v>
      </c>
      <c r="AA9" s="62">
        <f>+'Projections MWh'!N9*'Summary GHG_C1'!$L$19+'Summary GHG_C1'!$M$19*'Projections MWh'!N10+'Projections MWh'!N11*'Summary GHG_C1'!$N$19+'Summary GHG_C1'!$O$19*'Projections MWh'!N12</f>
        <v>1258.2416800606179</v>
      </c>
      <c r="AB9" s="62">
        <f>+'Projections MWh'!O9*'Summary GHG_C1'!$L$19+'Summary GHG_C1'!$M$19*'Projections MWh'!O10+'Projections MWh'!O11*'Summary GHG_C1'!$N$19+'Summary GHG_C1'!$O$19*'Projections MWh'!O12</f>
        <v>1207.9120128581935</v>
      </c>
      <c r="AC9" s="62">
        <f>+'Projections MWh'!P9*'Summary GHG_C1'!$L$19+'Summary GHG_C1'!$M$19*'Projections MWh'!P10+'Projections MWh'!P11*'Summary GHG_C1'!$N$19+'Summary GHG_C1'!$O$19*'Projections MWh'!P12</f>
        <v>1744.19165</v>
      </c>
      <c r="AD9" s="62">
        <f>+'Projections MWh'!Q9*'Summary GHG_C1'!$L$19+'Summary GHG_C1'!$M$19*'Projections MWh'!Q10+'Projections MWh'!Q11*'Summary GHG_C1'!$N$19+'Summary GHG_C1'!$O$19*'Projections MWh'!Q12</f>
        <v>1674.4239839999998</v>
      </c>
      <c r="AE9" s="62">
        <f>+'Projections MWh'!R9*'Summary GHG_C1'!$L$19+'Summary GHG_C1'!$M$19*'Projections MWh'!R10+'Projections MWh'!R11*'Summary GHG_C1'!$N$19+'Summary GHG_C1'!$O$19*'Projections MWh'!R12</f>
        <v>1607.4470246399997</v>
      </c>
      <c r="AF9" s="62">
        <f>+'Projections MWh'!S9*'Summary GHG_C1'!$L$19+'Summary GHG_C1'!$M$19*'Projections MWh'!S10+'Projections MWh'!S11*'Summary GHG_C1'!$N$19+'Summary GHG_C1'!$O$19*'Projections MWh'!S12</f>
        <v>1543.1491436543997</v>
      </c>
      <c r="AG9" s="62">
        <f>+'Projections MWh'!T9*'Summary GHG_C1'!$L$19+'Summary GHG_C1'!$M$19*'Projections MWh'!T10+'Projections MWh'!T11*'Summary GHG_C1'!$N$19+'Summary GHG_C1'!$O$19*'Projections MWh'!T12</f>
        <v>1481.423177908224</v>
      </c>
      <c r="AH9" s="62">
        <f>+'Projections MWh'!U9*'Summary GHG_C1'!$L$19+'Summary GHG_C1'!$M$19*'Projections MWh'!U10+'Projections MWh'!U11*'Summary GHG_C1'!$N$19+'Summary GHG_C1'!$O$19*'Projections MWh'!U12</f>
        <v>1422.166250791895</v>
      </c>
      <c r="AI9" s="109">
        <f>+'Projections MWh'!V9*'Summary GHG_C1'!$L$19+'Summary GHG_C1'!$M$19*'Projections MWh'!V10+'Projections MWh'!V11*'Summary GHG_C1'!$N$19+'Summary GHG_C1'!$O$19*'Projections MWh'!V12</f>
        <v>1365.279600760219</v>
      </c>
      <c r="AJ9" s="233">
        <f>+'[3]Projections MWh'!W9*'[3]Summary GHG_C1'!$L$19+'[3]Summary GHG_C1'!$M$19*'[3]Projections MWh'!W10+'[3]Projections MWh'!W11*'[3]Summary GHG_C1'!$N$19+'[3]Summary GHG_C1'!$O$19*'[3]Projections MWh'!W12</f>
        <v>1310.6684167298104</v>
      </c>
      <c r="AK9" s="233">
        <f>+'[3]Projections MWh'!X9*'[3]Summary GHG_C1'!$L$19+'[3]Summary GHG_C1'!$M$19*'[3]Projections MWh'!X10+'[3]Projections MWh'!X11*'[3]Summary GHG_C1'!$N$19+'[3]Summary GHG_C1'!$O$19*'[3]Projections MWh'!X12</f>
        <v>1258.2416800606179</v>
      </c>
      <c r="AL9" s="233">
        <f>+'[3]Projections MWh'!Y9*'[3]Summary GHG_C1'!$L$19+'[3]Summary GHG_C1'!$M$19*'[3]Projections MWh'!Y10+'[3]Projections MWh'!Y11*'[3]Summary GHG_C1'!$N$19+'[3]Summary GHG_C1'!$O$19*'[3]Projections MWh'!Y12</f>
        <v>1207.9120128581935</v>
      </c>
      <c r="AM9" s="233">
        <f>+'[3]Projections MWh'!Z9*'[3]Summary GHG_C1'!$L$19+'[3]Summary GHG_C1'!$M$19*'[3]Projections MWh'!Z10+'[3]Projections MWh'!Z11*'[3]Summary GHG_C1'!$N$19+'[3]Summary GHG_C1'!$O$19*'[3]Projections MWh'!Z12</f>
        <v>1159.5955323438657</v>
      </c>
      <c r="AN9" s="233">
        <f>+'[3]Projections MWh'!AA9*'[3]Summary GHG_C1'!$L$19+'[3]Summary GHG_C1'!$M$19*'[3]Projections MWh'!AA10+'[3]Projections MWh'!AA11*'[3]Summary GHG_C1'!$N$19+'[3]Summary GHG_C1'!$O$19*'[3]Projections MWh'!AA12</f>
        <v>1113.211711050111</v>
      </c>
      <c r="AO9" s="113">
        <f>SUM(P9:AN9)</f>
        <v>33072.385611200698</v>
      </c>
      <c r="AP9" s="163">
        <f t="shared" si="0"/>
        <v>1322.8954244480278</v>
      </c>
    </row>
    <row r="10" spans="2:42" x14ac:dyDescent="0.25">
      <c r="B10" s="34"/>
      <c r="C10" s="75" t="s">
        <v>6</v>
      </c>
      <c r="D10" s="12">
        <f>+SUM(D7:D9)</f>
        <v>18948.553394099999</v>
      </c>
      <c r="E10" s="12">
        <f t="shared" ref="E10:M10" si="1">+SUM(E7:E9)</f>
        <v>20646.680475560002</v>
      </c>
      <c r="F10" s="12">
        <f t="shared" si="1"/>
        <v>22211.882317070002</v>
      </c>
      <c r="G10" s="12">
        <f t="shared" si="1"/>
        <v>24593.125961639998</v>
      </c>
      <c r="H10" s="12">
        <f t="shared" si="1"/>
        <v>24703.948582149998</v>
      </c>
      <c r="I10" s="12">
        <f t="shared" si="1"/>
        <v>24287.571219364996</v>
      </c>
      <c r="J10" s="12">
        <f t="shared" si="1"/>
        <v>24226.109787487272</v>
      </c>
      <c r="K10" s="12">
        <f t="shared" si="1"/>
        <v>24091.654378469935</v>
      </c>
      <c r="L10" s="12">
        <f t="shared" si="1"/>
        <v>24422.579876430395</v>
      </c>
      <c r="M10" s="12">
        <f t="shared" si="1"/>
        <v>24179.638914728126</v>
      </c>
      <c r="P10" s="60">
        <f t="shared" ref="P10:AN10" si="2">+SUM(P7:P9)</f>
        <v>18948.553394099999</v>
      </c>
      <c r="Q10" s="60">
        <f t="shared" si="2"/>
        <v>20646.680475560002</v>
      </c>
      <c r="R10" s="60">
        <f t="shared" si="2"/>
        <v>22211.882317070002</v>
      </c>
      <c r="S10" s="60">
        <f t="shared" si="2"/>
        <v>24593.125961639998</v>
      </c>
      <c r="T10" s="60">
        <f t="shared" si="2"/>
        <v>24703.948582149998</v>
      </c>
      <c r="U10" s="60">
        <f t="shared" si="2"/>
        <v>24287.571219364996</v>
      </c>
      <c r="V10" s="60">
        <f t="shared" si="2"/>
        <v>24226.109787487272</v>
      </c>
      <c r="W10" s="60">
        <f t="shared" si="2"/>
        <v>24091.654378469935</v>
      </c>
      <c r="X10" s="60">
        <f t="shared" si="2"/>
        <v>24422.579876430395</v>
      </c>
      <c r="Y10" s="60">
        <f t="shared" si="2"/>
        <v>24179.638914728126</v>
      </c>
      <c r="Z10" s="60">
        <f t="shared" si="2"/>
        <v>23859.823982360882</v>
      </c>
      <c r="AA10" s="60">
        <f t="shared" si="2"/>
        <v>24062.519090385085</v>
      </c>
      <c r="AB10" s="60">
        <f t="shared" si="2"/>
        <v>23602.176075787032</v>
      </c>
      <c r="AC10" s="60">
        <f t="shared" si="2"/>
        <v>24295.396097368197</v>
      </c>
      <c r="AD10" s="60">
        <f t="shared" si="2"/>
        <v>23655.510309258807</v>
      </c>
      <c r="AE10" s="60">
        <f t="shared" si="2"/>
        <v>23634.65906302831</v>
      </c>
      <c r="AF10" s="60">
        <f t="shared" si="2"/>
        <v>23571.240762859266</v>
      </c>
      <c r="AG10" s="60">
        <f t="shared" si="2"/>
        <v>23462.749980944573</v>
      </c>
      <c r="AH10" s="60">
        <f t="shared" si="2"/>
        <v>23306.768418731463</v>
      </c>
      <c r="AI10" s="60">
        <f t="shared" si="2"/>
        <v>23100.981482199833</v>
      </c>
      <c r="AJ10" s="234">
        <f t="shared" si="2"/>
        <v>22843.192258949028</v>
      </c>
      <c r="AK10" s="234">
        <f t="shared" si="2"/>
        <v>23429.78160316874</v>
      </c>
      <c r="AL10" s="234">
        <f t="shared" si="2"/>
        <v>23093.394410400771</v>
      </c>
      <c r="AM10" s="234">
        <f t="shared" si="2"/>
        <v>22699.459772748734</v>
      </c>
      <c r="AN10" s="234">
        <f t="shared" si="2"/>
        <v>23239.577259702954</v>
      </c>
      <c r="AO10" s="114">
        <f>SUM(AO7:AO9)</f>
        <v>584168.9754748944</v>
      </c>
    </row>
    <row r="11" spans="2:42" x14ac:dyDescent="0.25">
      <c r="B11" s="34"/>
    </row>
    <row r="15" spans="2:42" x14ac:dyDescent="0.25">
      <c r="B15" s="11" t="s">
        <v>88</v>
      </c>
    </row>
    <row r="16" spans="2:42" ht="126" x14ac:dyDescent="0.25">
      <c r="C16" s="133"/>
      <c r="D16" s="133" t="s">
        <v>69</v>
      </c>
      <c r="E16" s="134" t="s">
        <v>70</v>
      </c>
      <c r="F16" s="133" t="s">
        <v>118</v>
      </c>
      <c r="H16"/>
      <c r="I16" s="151" t="s">
        <v>71</v>
      </c>
      <c r="J16" s="151" t="s">
        <v>72</v>
      </c>
      <c r="K16" s="151" t="s">
        <v>73</v>
      </c>
      <c r="L16" s="152" t="s">
        <v>74</v>
      </c>
      <c r="M16" s="152" t="s">
        <v>86</v>
      </c>
      <c r="N16" s="152" t="s">
        <v>75</v>
      </c>
      <c r="O16"/>
    </row>
    <row r="17" spans="2:17" ht="21.75" customHeight="1" x14ac:dyDescent="0.25">
      <c r="C17" s="129" t="s">
        <v>66</v>
      </c>
      <c r="D17" s="130">
        <f>+AVERAGE(P7:AN7)</f>
        <v>18892.934433024398</v>
      </c>
      <c r="E17" s="130">
        <f>+SUM(D7:H7)</f>
        <v>95646.506996520009</v>
      </c>
      <c r="F17" s="131">
        <f>+AO7</f>
        <v>472323.36082561</v>
      </c>
      <c r="H17" s="167" t="s">
        <v>66</v>
      </c>
      <c r="I17" s="136">
        <f>+'Projections MWh'!AB4/1000</f>
        <v>22.845144417199993</v>
      </c>
      <c r="J17" s="136">
        <f>+'Savings Diesel transportation'!AC8</f>
        <v>1667528.7895766429</v>
      </c>
      <c r="K17" s="136">
        <f>+J17*$J$24/1000</f>
        <v>6312.28015535132</v>
      </c>
      <c r="L17" s="136">
        <f>+AP7</f>
        <v>18892.934433024398</v>
      </c>
      <c r="M17" s="137">
        <f>+'Savings Diesel transportation'!AC22</f>
        <v>26.78885000454876</v>
      </c>
      <c r="N17" s="164">
        <f>+L17+M17</f>
        <v>18919.723283028947</v>
      </c>
      <c r="P17" s="237" t="s">
        <v>84</v>
      </c>
      <c r="Q17" s="223">
        <f>+AO7+AO8</f>
        <v>551096.58986369369</v>
      </c>
    </row>
    <row r="18" spans="2:17" ht="18.75" customHeight="1" x14ac:dyDescent="0.25">
      <c r="C18" s="129" t="s">
        <v>67</v>
      </c>
      <c r="D18" s="130">
        <f>+AVERAGE(P8:AN8)</f>
        <v>3150.9291615233483</v>
      </c>
      <c r="E18" s="130">
        <f>+SUM(D8:H8)</f>
        <v>10469.295615000001</v>
      </c>
      <c r="F18" s="131">
        <f>+AO8</f>
        <v>78773.229038083708</v>
      </c>
      <c r="H18" s="168" t="s">
        <v>67</v>
      </c>
      <c r="I18" s="136">
        <f>+SUM('Summary GHG_C1'!E36:E39)/1000</f>
        <v>4.5010000000000003</v>
      </c>
      <c r="J18" s="136">
        <f>+'Savings Diesel transportation'!AC9</f>
        <v>286258.36771200795</v>
      </c>
      <c r="K18" s="136">
        <f>+J18*$J$24/1000</f>
        <v>1083.6052877207121</v>
      </c>
      <c r="L18" s="136">
        <f>+AP8</f>
        <v>3150.9291615233483</v>
      </c>
      <c r="M18" s="137">
        <f>+'Savings Diesel transportation'!AC23</f>
        <v>4.5987406772934065</v>
      </c>
      <c r="N18" s="164">
        <f t="shared" ref="N18:N19" si="3">+L18+M18</f>
        <v>3155.5279022006416</v>
      </c>
      <c r="P18" s="238"/>
      <c r="Q18" s="223"/>
    </row>
    <row r="19" spans="2:17" ht="18" customHeight="1" x14ac:dyDescent="0.25">
      <c r="C19" s="129" t="s">
        <v>68</v>
      </c>
      <c r="D19" s="130">
        <f>+AVERAGE(P9:AN9)</f>
        <v>1322.8954244480278</v>
      </c>
      <c r="E19" s="130">
        <f>+SUM(D9:H9)</f>
        <v>4988.3881190000002</v>
      </c>
      <c r="F19" s="131">
        <f>+AO9</f>
        <v>33072.385611200698</v>
      </c>
      <c r="H19" s="168" t="s">
        <v>76</v>
      </c>
      <c r="I19" s="150">
        <f>+'Projections MWh'!AB13/1000</f>
        <v>1.6529066622349604</v>
      </c>
      <c r="J19" s="136">
        <f>+'Savings Diesel transportation'!AC10</f>
        <v>120650.12133101899</v>
      </c>
      <c r="K19" s="136">
        <f>+J19*$J$24/1000</f>
        <v>456.71017578765259</v>
      </c>
      <c r="L19" s="136">
        <f>+AP9</f>
        <v>1322.8954244480278</v>
      </c>
      <c r="M19" s="137">
        <f>+'Savings Diesel transportation'!AC24</f>
        <v>1.9382441991828194</v>
      </c>
      <c r="N19" s="164">
        <f t="shared" si="3"/>
        <v>1324.8336686472107</v>
      </c>
      <c r="P19" s="166" t="s">
        <v>85</v>
      </c>
      <c r="Q19" s="165">
        <f>+AO9</f>
        <v>33072.385611200698</v>
      </c>
    </row>
    <row r="20" spans="2:17" x14ac:dyDescent="0.25">
      <c r="C20" s="132" t="s">
        <v>6</v>
      </c>
      <c r="D20" s="135">
        <f>+SUM(D17:D19)</f>
        <v>23366.759018995774</v>
      </c>
      <c r="E20" s="135">
        <f t="shared" ref="E20:F20" si="4">+SUM(E17:E19)</f>
        <v>111104.19073052</v>
      </c>
      <c r="F20" s="135">
        <f t="shared" si="4"/>
        <v>584168.9754748944</v>
      </c>
      <c r="H20" s="169" t="s">
        <v>6</v>
      </c>
      <c r="I20" s="139">
        <f t="shared" ref="I20:N20" si="5">+SUM(I17:I19)</f>
        <v>28.999051079434956</v>
      </c>
      <c r="J20" s="139">
        <f>+SUM(J17:J19)</f>
        <v>2074437.2786196701</v>
      </c>
      <c r="K20" s="139">
        <f>+SUM(K17:K19)</f>
        <v>7852.5956188596847</v>
      </c>
      <c r="L20" s="139">
        <f>+SUM(L17:L19)</f>
        <v>23366.759018995774</v>
      </c>
      <c r="M20" s="139">
        <f t="shared" si="5"/>
        <v>33.325834881024988</v>
      </c>
      <c r="N20" s="140">
        <f t="shared" si="5"/>
        <v>23400.084853876797</v>
      </c>
      <c r="O20"/>
    </row>
    <row r="21" spans="2:17" x14ac:dyDescent="0.25">
      <c r="H21"/>
      <c r="M21"/>
      <c r="N21" s="138"/>
      <c r="O21"/>
    </row>
    <row r="22" spans="2:17" x14ac:dyDescent="0.25">
      <c r="I22" s="138">
        <f>+I20*J25</f>
        <v>220.39278820370566</v>
      </c>
      <c r="J22" t="s">
        <v>83</v>
      </c>
      <c r="K22"/>
      <c r="L22"/>
    </row>
    <row r="23" spans="2:17" ht="16.5" thickBot="1" x14ac:dyDescent="0.3"/>
    <row r="24" spans="2:17" x14ac:dyDescent="0.25">
      <c r="I24" s="144" t="s">
        <v>79</v>
      </c>
      <c r="J24" s="145">
        <v>3.7854100000000002</v>
      </c>
      <c r="K24" s="145" t="s">
        <v>80</v>
      </c>
      <c r="L24" s="146"/>
    </row>
    <row r="25" spans="2:17" ht="16.5" thickBot="1" x14ac:dyDescent="0.3">
      <c r="I25" s="147" t="s">
        <v>81</v>
      </c>
      <c r="J25" s="148">
        <v>7.6</v>
      </c>
      <c r="K25" s="148" t="s">
        <v>82</v>
      </c>
      <c r="L25" s="149"/>
    </row>
    <row r="27" spans="2:17" x14ac:dyDescent="0.25">
      <c r="B27" s="226" t="s">
        <v>93</v>
      </c>
      <c r="C27" s="226"/>
      <c r="D27" s="226"/>
      <c r="E27" s="226"/>
      <c r="F27" s="226"/>
    </row>
    <row r="28" spans="2:17" ht="173.25" x14ac:dyDescent="0.25">
      <c r="C28" s="175" t="s">
        <v>89</v>
      </c>
      <c r="D28" s="176" t="s">
        <v>90</v>
      </c>
      <c r="E28" s="177" t="s">
        <v>91</v>
      </c>
      <c r="F28" s="177" t="s">
        <v>122</v>
      </c>
    </row>
    <row r="29" spans="2:17" x14ac:dyDescent="0.25">
      <c r="C29" s="16" t="s">
        <v>92</v>
      </c>
      <c r="D29" s="170">
        <f>+L20</f>
        <v>23366.759018995774</v>
      </c>
      <c r="E29" s="171">
        <f>+SUM(D10:H10)</f>
        <v>111104.19073052001</v>
      </c>
      <c r="F29" s="136">
        <f>+AO10</f>
        <v>584168.9754748944</v>
      </c>
    </row>
    <row r="30" spans="2:17" x14ac:dyDescent="0.25">
      <c r="C30" s="16" t="s">
        <v>94</v>
      </c>
      <c r="D30" s="172">
        <v>50372</v>
      </c>
      <c r="E30" s="172">
        <v>251860</v>
      </c>
      <c r="F30" s="172">
        <v>1007440</v>
      </c>
      <c r="G30" s="115" t="s">
        <v>95</v>
      </c>
    </row>
    <row r="31" spans="2:17" x14ac:dyDescent="0.25">
      <c r="C31" s="173" t="s">
        <v>6</v>
      </c>
      <c r="D31" s="174">
        <f>+SUM(D29:D30)</f>
        <v>73738.75901899577</v>
      </c>
      <c r="E31" s="174">
        <f>+SUM(E29:E30)</f>
        <v>362964.19073052</v>
      </c>
      <c r="F31" s="174">
        <f>+SUM(F29:F30)</f>
        <v>1591608.9754748945</v>
      </c>
    </row>
    <row r="33" spans="2:14" x14ac:dyDescent="0.25">
      <c r="B33" s="179"/>
      <c r="C33" s="179" t="s">
        <v>96</v>
      </c>
      <c r="D33" s="189">
        <v>117598559.76398601</v>
      </c>
      <c r="E33"/>
      <c r="F33" t="s">
        <v>97</v>
      </c>
      <c r="G33"/>
      <c r="I33" s="189">
        <f>+D33-D34</f>
        <v>52324259.240933008</v>
      </c>
    </row>
    <row r="34" spans="2:14" x14ac:dyDescent="0.25">
      <c r="B34" s="179"/>
      <c r="C34" s="179" t="s">
        <v>99</v>
      </c>
      <c r="D34" s="189">
        <v>65274300.523052998</v>
      </c>
      <c r="E34"/>
      <c r="F34" t="s">
        <v>100</v>
      </c>
      <c r="G34"/>
      <c r="I34" s="190"/>
    </row>
    <row r="35" spans="2:14" x14ac:dyDescent="0.25">
      <c r="B35" s="179"/>
      <c r="C35" s="179" t="s">
        <v>102</v>
      </c>
      <c r="D35" s="138">
        <f>+D33/F31</f>
        <v>73.886589970314574</v>
      </c>
      <c r="E35"/>
      <c r="F35" t="s">
        <v>103</v>
      </c>
      <c r="G35"/>
      <c r="I35" s="189">
        <v>26882339.449333332</v>
      </c>
      <c r="J35"/>
      <c r="K35"/>
      <c r="L35"/>
      <c r="M35"/>
      <c r="N35"/>
    </row>
    <row r="36" spans="2:14" x14ac:dyDescent="0.25">
      <c r="B36" s="179"/>
      <c r="C36" s="179" t="s">
        <v>104</v>
      </c>
      <c r="D36" s="138">
        <f>+D34/F31</f>
        <v>41.011518236492009</v>
      </c>
      <c r="E36"/>
      <c r="F36" t="s">
        <v>105</v>
      </c>
      <c r="G36"/>
      <c r="I36" s="180">
        <f>+I33/D34</f>
        <v>0.80160582069284059</v>
      </c>
      <c r="J36"/>
      <c r="K36"/>
      <c r="L36"/>
      <c r="M36"/>
      <c r="N36"/>
    </row>
    <row r="37" spans="2:14" x14ac:dyDescent="0.25">
      <c r="F37" t="s">
        <v>98</v>
      </c>
      <c r="G37"/>
      <c r="H37"/>
      <c r="I37"/>
      <c r="J37"/>
    </row>
    <row r="38" spans="2:14" x14ac:dyDescent="0.25">
      <c r="F38" t="s">
        <v>101</v>
      </c>
      <c r="G38"/>
      <c r="H38"/>
      <c r="I38" s="180">
        <f>+I35/D34</f>
        <v>0.4118364997237966</v>
      </c>
    </row>
    <row r="40" spans="2:14" x14ac:dyDescent="0.25">
      <c r="B40" s="11" t="s">
        <v>114</v>
      </c>
    </row>
    <row r="41" spans="2:14" x14ac:dyDescent="0.25">
      <c r="C41"/>
      <c r="D41" s="224" t="s">
        <v>115</v>
      </c>
      <c r="E41" s="224"/>
      <c r="F41" s="225" t="s">
        <v>106</v>
      </c>
      <c r="G41" s="225"/>
    </row>
    <row r="42" spans="2:14" x14ac:dyDescent="0.25">
      <c r="C42" s="181" t="s">
        <v>107</v>
      </c>
      <c r="D42" s="182" t="s">
        <v>108</v>
      </c>
      <c r="E42" s="183" t="s">
        <v>109</v>
      </c>
      <c r="F42" s="182" t="s">
        <v>108</v>
      </c>
      <c r="G42" s="183" t="s">
        <v>109</v>
      </c>
    </row>
    <row r="43" spans="2:14" x14ac:dyDescent="0.25">
      <c r="C43" s="184" t="s">
        <v>110</v>
      </c>
      <c r="D43" s="136">
        <f>+E30/3</f>
        <v>83953.333333333328</v>
      </c>
      <c r="E43" s="136">
        <f>+E30</f>
        <v>251860</v>
      </c>
      <c r="F43" s="72" t="s">
        <v>111</v>
      </c>
      <c r="G43" s="72" t="s">
        <v>111</v>
      </c>
    </row>
    <row r="44" spans="2:14" x14ac:dyDescent="0.25">
      <c r="C44" s="185" t="s">
        <v>112</v>
      </c>
      <c r="D44" s="136">
        <f>+SUM(E17:E18)/2</f>
        <v>53057.901305760002</v>
      </c>
      <c r="E44" s="186">
        <f>+SUM(E17:E18)</f>
        <v>106115.80261152</v>
      </c>
      <c r="F44" s="136">
        <f>+G44/2</f>
        <v>13673.072208599997</v>
      </c>
      <c r="G44" s="186">
        <f>+(I18+I17)*1000</f>
        <v>27346.144417199994</v>
      </c>
    </row>
    <row r="45" spans="2:14" x14ac:dyDescent="0.25">
      <c r="C45" s="185" t="s">
        <v>113</v>
      </c>
      <c r="D45" s="136">
        <f>+E19/2</f>
        <v>2494.1940595000001</v>
      </c>
      <c r="E45" s="136">
        <f>+E19</f>
        <v>4988.3881190000002</v>
      </c>
      <c r="F45" s="136">
        <f>+G45/3</f>
        <v>550.96888741165344</v>
      </c>
      <c r="G45" s="136">
        <f>+I19*1000</f>
        <v>1652.9066622349603</v>
      </c>
    </row>
  </sheetData>
  <mergeCells count="5">
    <mergeCell ref="Q17:Q18"/>
    <mergeCell ref="D41:E41"/>
    <mergeCell ref="F41:G41"/>
    <mergeCell ref="B27:F27"/>
    <mergeCell ref="P17:P1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4037D-4B0C-4DC4-B0C5-043FEFFB9AE6}">
  <dimension ref="B2:AC37"/>
  <sheetViews>
    <sheetView zoomScale="74" workbookViewId="0">
      <selection activeCell="H30" sqref="H30"/>
    </sheetView>
  </sheetViews>
  <sheetFormatPr baseColWidth="10" defaultRowHeight="15.75" x14ac:dyDescent="0.25"/>
  <cols>
    <col min="1" max="2" width="11" style="19"/>
    <col min="3" max="3" width="37" style="19" customWidth="1"/>
    <col min="4" max="4" width="14.875" style="19" bestFit="1" customWidth="1"/>
    <col min="5" max="23" width="12.75" style="19" bestFit="1" customWidth="1"/>
    <col min="24" max="28" width="12.75" style="19" customWidth="1"/>
    <col min="29" max="29" width="12.75" style="19" bestFit="1" customWidth="1"/>
    <col min="30" max="16384" width="11" style="19"/>
  </cols>
  <sheetData>
    <row r="2" spans="2:29" ht="26.25" x14ac:dyDescent="0.4">
      <c r="B2" s="18" t="s">
        <v>28</v>
      </c>
    </row>
    <row r="6" spans="2:29" x14ac:dyDescent="0.25">
      <c r="B6" s="11" t="s">
        <v>119</v>
      </c>
    </row>
    <row r="7" spans="2:29" x14ac:dyDescent="0.25">
      <c r="B7" s="11"/>
      <c r="C7" s="24" t="s">
        <v>18</v>
      </c>
      <c r="D7" s="26">
        <v>1</v>
      </c>
      <c r="E7" s="26">
        <v>2</v>
      </c>
      <c r="F7" s="26">
        <v>3</v>
      </c>
      <c r="G7" s="26">
        <v>4</v>
      </c>
      <c r="H7" s="26">
        <v>5</v>
      </c>
      <c r="I7" s="26">
        <v>6</v>
      </c>
      <c r="J7" s="26">
        <v>7</v>
      </c>
      <c r="K7" s="26">
        <v>8</v>
      </c>
      <c r="L7" s="26">
        <v>9</v>
      </c>
      <c r="M7" s="26">
        <v>10</v>
      </c>
      <c r="N7" s="26">
        <v>11</v>
      </c>
      <c r="O7" s="26">
        <v>12</v>
      </c>
      <c r="P7" s="26">
        <v>13</v>
      </c>
      <c r="Q7" s="26">
        <v>14</v>
      </c>
      <c r="R7" s="26">
        <v>15</v>
      </c>
      <c r="S7" s="26">
        <v>16</v>
      </c>
      <c r="T7" s="26">
        <v>17</v>
      </c>
      <c r="U7" s="26">
        <v>18</v>
      </c>
      <c r="V7" s="26">
        <v>19</v>
      </c>
      <c r="W7" s="26">
        <v>20</v>
      </c>
      <c r="X7" s="232">
        <v>21</v>
      </c>
      <c r="Y7" s="232">
        <v>22</v>
      </c>
      <c r="Z7" s="232">
        <v>23</v>
      </c>
      <c r="AA7" s="232">
        <v>24</v>
      </c>
      <c r="AB7" s="232">
        <v>25</v>
      </c>
      <c r="AC7" s="142" t="s">
        <v>78</v>
      </c>
    </row>
    <row r="8" spans="2:29" x14ac:dyDescent="0.25">
      <c r="C8" s="61" t="s">
        <v>29</v>
      </c>
      <c r="D8" s="72">
        <f>+('Projections MWh'!C4/13.7)*1000</f>
        <v>1672437.8321167885</v>
      </c>
      <c r="E8" s="72">
        <f>+('Projections MWh'!D4/13.7)*1000</f>
        <v>1680378.6335766427</v>
      </c>
      <c r="F8" s="72">
        <f>+('Projections MWh'!E4/13.7)*1000</f>
        <v>1676587.1832116789</v>
      </c>
      <c r="G8" s="72">
        <f>+('Projections MWh'!F4/13.7)*1000</f>
        <v>1697508.1255474454</v>
      </c>
      <c r="H8" s="72">
        <f>+('Projections MWh'!G4/13.7)*1000</f>
        <v>1715043.3175182485</v>
      </c>
      <c r="I8" s="72">
        <f>+('Projections MWh'!H4/13.7)*1000</f>
        <v>1685792.4744525547</v>
      </c>
      <c r="J8" s="72">
        <f>+('Projections MWh'!I4/13.7)*1000</f>
        <v>1687622.8321167887</v>
      </c>
      <c r="K8" s="72">
        <f>+('Projections MWh'!J4/13.7)*1000</f>
        <v>1682775.6905109489</v>
      </c>
      <c r="L8" s="72">
        <f>+('Projections MWh'!K4/13.7)*1000</f>
        <v>1718778.2306569342</v>
      </c>
      <c r="M8" s="72">
        <f>+('Projections MWh'!L4/13.7)*1000</f>
        <v>1703913.1240875914</v>
      </c>
      <c r="N8" s="72">
        <f>+('Projections MWh'!M4/13.7)*1000</f>
        <v>1682054.3452554746</v>
      </c>
      <c r="O8" s="72">
        <f>+('Projections MWh'!N4/13.7)*1000</f>
        <v>1706112.8175182485</v>
      </c>
      <c r="P8" s="72">
        <f>+('Projections MWh'!O4/13.7)*1000</f>
        <v>1671457.4014598539</v>
      </c>
      <c r="Q8" s="72">
        <f>+('Projections MWh'!P4/13.7)*1000</f>
        <v>1686834.8080291972</v>
      </c>
      <c r="R8" s="72">
        <f>+('Projections MWh'!Q4/13.7)*1000</f>
        <v>1638032.9255474454</v>
      </c>
      <c r="S8" s="72">
        <f>+('Projections MWh'!R4/13.7)*1000</f>
        <v>1643614.3868613141</v>
      </c>
      <c r="T8" s="72">
        <f>+('Projections MWh'!S4/13.7)*1000</f>
        <v>1645194.7810218979</v>
      </c>
      <c r="U8" s="72">
        <f>+('Projections MWh'!T4/13.7)*1000</f>
        <v>1642562.4700729926</v>
      </c>
      <c r="V8" s="72">
        <f>+('Projections MWh'!U4/13.7)*1000</f>
        <v>1635513.1277372267</v>
      </c>
      <c r="W8" s="108">
        <f>+('Projections MWh'!V4/13.7)*1000</f>
        <v>1623851.2175182481</v>
      </c>
      <c r="X8" s="72">
        <f>+('[3]Projections MWh'!W4/13.7)*1000</f>
        <v>1607391.2408759124</v>
      </c>
      <c r="Y8" s="72">
        <f>+('[3]Projections MWh'!X4/13.7)*1000</f>
        <v>1665257.6642335767</v>
      </c>
      <c r="Z8" s="72">
        <f>+('[3]Projections MWh'!Y4/13.7)*1000</f>
        <v>1641467.8832116791</v>
      </c>
      <c r="AA8" s="72">
        <f>+('[3]Projections MWh'!Z4/13.7)*1000</f>
        <v>1612413.8686131386</v>
      </c>
      <c r="AB8" s="72">
        <f>+('[3]Projections MWh'!AA4/13.7)*1000</f>
        <v>1665623.3576642338</v>
      </c>
      <c r="AC8" s="143">
        <f>+AVERAGE(D8:AB8)</f>
        <v>1667528.7895766429</v>
      </c>
    </row>
    <row r="9" spans="2:29" x14ac:dyDescent="0.25">
      <c r="C9" s="64" t="s">
        <v>30</v>
      </c>
      <c r="D9" s="68">
        <f>+('Projections MWh'!C8/13.7)*1000</f>
        <v>0</v>
      </c>
      <c r="E9" s="68">
        <f>+('Projections MWh'!D8/13.7)*1000</f>
        <v>98562.043795620455</v>
      </c>
      <c r="F9" s="68">
        <f>+('Projections MWh'!E8/13.7)*1000</f>
        <v>197124.08759124091</v>
      </c>
      <c r="G9" s="68">
        <f>+('Projections MWh'!F8/13.7)*1000</f>
        <v>328540.14598540147</v>
      </c>
      <c r="H9" s="68">
        <f>+('Projections MWh'!G8/13.7)*1000</f>
        <v>326897.44525547448</v>
      </c>
      <c r="I9" s="68">
        <f>+('Projections MWh'!H8/13.7)*1000</f>
        <v>325262.95802919701</v>
      </c>
      <c r="J9" s="68">
        <f>+('Projections MWh'!I8/13.7)*1000</f>
        <v>323636.64323905105</v>
      </c>
      <c r="K9" s="68">
        <f>+('Projections MWh'!J8/13.7)*1000</f>
        <v>322018.46002285578</v>
      </c>
      <c r="L9" s="68">
        <f>+('Projections MWh'!K8/13.7)*1000</f>
        <v>320408.36772274156</v>
      </c>
      <c r="M9" s="68">
        <f>+('Projections MWh'!L8/13.7)*1000</f>
        <v>318806.32588412781</v>
      </c>
      <c r="N9" s="68">
        <f>+('Projections MWh'!M8/13.7)*1000</f>
        <v>317212.29425470717</v>
      </c>
      <c r="O9" s="68">
        <f>+('Projections MWh'!N8/13.7)*1000</f>
        <v>315626.23278343369</v>
      </c>
      <c r="P9" s="68">
        <f>+('Projections MWh'!O8/13.7)*1000</f>
        <v>314048.1016195165</v>
      </c>
      <c r="Q9" s="68">
        <f>+('Projections MWh'!P8/13.7)*1000</f>
        <v>312477.86111141887</v>
      </c>
      <c r="R9" s="68">
        <f>+('Projections MWh'!Q8/13.7)*1000</f>
        <v>310915.4718058618</v>
      </c>
      <c r="S9" s="68">
        <f>+('Projections MWh'!R8/13.7)*1000</f>
        <v>309360.89444683242</v>
      </c>
      <c r="T9" s="68">
        <f>+('Projections MWh'!S8/13.7)*1000</f>
        <v>307814.08997459826</v>
      </c>
      <c r="U9" s="68">
        <f>+('Projections MWh'!T8/13.7)*1000</f>
        <v>306275.01952472533</v>
      </c>
      <c r="V9" s="68">
        <f>+('Projections MWh'!U8/13.7)*1000</f>
        <v>304743.64442710171</v>
      </c>
      <c r="W9" s="141">
        <f>+('Projections MWh'!V8/13.7)*1000</f>
        <v>303219.92620496615</v>
      </c>
      <c r="X9" s="68">
        <f>+('[3]Projections MWh'!W8/13.7)*1000</f>
        <v>301703.82657394127</v>
      </c>
      <c r="Y9" s="68">
        <f>+('[3]Projections MWh'!X8/13.7)*1000</f>
        <v>300195.30744107161</v>
      </c>
      <c r="Z9" s="68">
        <f>+('[3]Projections MWh'!Y8/13.7)*1000</f>
        <v>298694.33090386627</v>
      </c>
      <c r="AA9" s="68">
        <f>+('[3]Projections MWh'!Z8/13.7)*1000</f>
        <v>297200.85924934701</v>
      </c>
      <c r="AB9" s="68">
        <f>+('[3]Projections MWh'!AA8/13.7)*1000</f>
        <v>295714.85495310021</v>
      </c>
      <c r="AC9" s="143">
        <f t="shared" ref="AC9:AC10" si="0">+AVERAGE(D9:AB9)</f>
        <v>286258.36771200795</v>
      </c>
    </row>
    <row r="10" spans="2:29" x14ac:dyDescent="0.25">
      <c r="C10" s="64" t="s">
        <v>31</v>
      </c>
      <c r="D10" s="68">
        <f>+('Projections MWh'!C13/13.7)*1000</f>
        <v>0</v>
      </c>
      <c r="E10" s="68">
        <f>+('Projections MWh'!D13/13.7)*1000</f>
        <v>47721.897810218979</v>
      </c>
      <c r="F10" s="68">
        <f>+('Projections MWh'!E13/13.7)*1000</f>
        <v>95443.795620437959</v>
      </c>
      <c r="G10" s="68">
        <f>+('Projections MWh'!F13/13.7)*1000</f>
        <v>159072.99270072993</v>
      </c>
      <c r="H10" s="68">
        <f>+('Projections MWh'!G13/13.7)*1000</f>
        <v>152710.07299270071</v>
      </c>
      <c r="I10" s="68">
        <f>+('Projections MWh'!H13/13.7)*1000</f>
        <v>146601.67007299271</v>
      </c>
      <c r="J10" s="68">
        <f>+('Projections MWh'!I13/13.7)*1000</f>
        <v>140737.60327007301</v>
      </c>
      <c r="K10" s="68">
        <f>+('Projections MWh'!J13/13.7)*1000</f>
        <v>135108.09913927008</v>
      </c>
      <c r="L10" s="68">
        <f>+('Projections MWh'!K13/13.7)*1000</f>
        <v>129703.77517369928</v>
      </c>
      <c r="M10" s="68">
        <f>+('Projections MWh'!L13/13.7)*1000</f>
        <v>124515.62416675131</v>
      </c>
      <c r="N10" s="68">
        <f>+('Projections MWh'!M13/13.7)*1000</f>
        <v>119534.99920008125</v>
      </c>
      <c r="O10" s="68">
        <f>+('Projections MWh'!N13/13.7)*1000</f>
        <v>114753.59923207802</v>
      </c>
      <c r="P10" s="68">
        <f>+('Projections MWh'!O13/13.7)*1000</f>
        <v>110163.45526279492</v>
      </c>
      <c r="Q10" s="68">
        <f>+('Projections MWh'!P13/13.7)*1000</f>
        <v>159072.99270072993</v>
      </c>
      <c r="R10" s="68">
        <f>+('Projections MWh'!Q13/13.7)*1000</f>
        <v>152710.07299270071</v>
      </c>
      <c r="S10" s="68">
        <f>+('Projections MWh'!R13/13.7)*1000</f>
        <v>146601.67007299271</v>
      </c>
      <c r="T10" s="68">
        <f>+('Projections MWh'!S13/13.7)*1000</f>
        <v>140737.60327007301</v>
      </c>
      <c r="U10" s="68">
        <f>+('Projections MWh'!T13/13.7)*1000</f>
        <v>135108.09913927008</v>
      </c>
      <c r="V10" s="68">
        <f>+('Projections MWh'!U13/13.7)*1000</f>
        <v>129703.77517369928</v>
      </c>
      <c r="W10" s="141">
        <f>+('Projections MWh'!V13/13.7)*1000</f>
        <v>124515.62416675131</v>
      </c>
      <c r="X10" s="68">
        <f>+('[3]Projections MWh'!W13/13.7)*1000</f>
        <v>119534.99920008125</v>
      </c>
      <c r="Y10" s="68">
        <f>+('[3]Projections MWh'!X13/13.7)*1000</f>
        <v>114753.59923207802</v>
      </c>
      <c r="Z10" s="68">
        <f>+('[3]Projections MWh'!Y13/13.7)*1000</f>
        <v>110163.45526279492</v>
      </c>
      <c r="AA10" s="68">
        <f>+('[3]Projections MWh'!Z13/13.7)*1000</f>
        <v>105756.91705228307</v>
      </c>
      <c r="AB10" s="68">
        <f>+('[3]Projections MWh'!AA13/13.7)*1000</f>
        <v>101526.64037019177</v>
      </c>
      <c r="AC10" s="143">
        <f t="shared" si="0"/>
        <v>120650.12133101899</v>
      </c>
    </row>
    <row r="11" spans="2:29" x14ac:dyDescent="0.25">
      <c r="C11" s="19" t="s">
        <v>37</v>
      </c>
      <c r="X11"/>
      <c r="Y11"/>
      <c r="Z11"/>
      <c r="AA11"/>
      <c r="AB11"/>
    </row>
    <row r="12" spans="2:29" x14ac:dyDescent="0.25">
      <c r="X12"/>
      <c r="Y12"/>
      <c r="Z12"/>
      <c r="AA12"/>
      <c r="AB12"/>
    </row>
    <row r="13" spans="2:29" x14ac:dyDescent="0.25">
      <c r="B13" s="11" t="s">
        <v>120</v>
      </c>
      <c r="X13"/>
      <c r="Y13"/>
      <c r="Z13"/>
      <c r="AA13"/>
      <c r="AB13"/>
    </row>
    <row r="14" spans="2:29" x14ac:dyDescent="0.25">
      <c r="B14" s="11"/>
      <c r="C14" s="24" t="s">
        <v>18</v>
      </c>
      <c r="D14" s="26">
        <v>1</v>
      </c>
      <c r="E14" s="26">
        <v>2</v>
      </c>
      <c r="F14" s="26">
        <v>3</v>
      </c>
      <c r="G14" s="26">
        <v>4</v>
      </c>
      <c r="H14" s="26">
        <v>5</v>
      </c>
      <c r="I14" s="26">
        <v>6</v>
      </c>
      <c r="J14" s="26">
        <v>7</v>
      </c>
      <c r="K14" s="26">
        <v>8</v>
      </c>
      <c r="L14" s="26">
        <v>9</v>
      </c>
      <c r="M14" s="26">
        <v>10</v>
      </c>
      <c r="N14" s="26">
        <v>11</v>
      </c>
      <c r="O14" s="26">
        <v>12</v>
      </c>
      <c r="P14" s="26">
        <v>13</v>
      </c>
      <c r="Q14" s="26">
        <v>14</v>
      </c>
      <c r="R14" s="26">
        <v>15</v>
      </c>
      <c r="S14" s="26">
        <v>16</v>
      </c>
      <c r="T14" s="26">
        <v>17</v>
      </c>
      <c r="U14" s="26">
        <v>18</v>
      </c>
      <c r="V14" s="26">
        <v>19</v>
      </c>
      <c r="W14" s="26">
        <v>20</v>
      </c>
      <c r="X14" s="232">
        <v>21</v>
      </c>
      <c r="Y14" s="232">
        <v>22</v>
      </c>
      <c r="Z14" s="232">
        <v>23</v>
      </c>
      <c r="AA14" s="232">
        <v>24</v>
      </c>
      <c r="AB14" s="232">
        <v>25</v>
      </c>
      <c r="AC14" s="142" t="s">
        <v>78</v>
      </c>
    </row>
    <row r="15" spans="2:29" x14ac:dyDescent="0.25">
      <c r="C15" s="61" t="s">
        <v>29</v>
      </c>
      <c r="D15" s="68">
        <f>+Projections_CO2!P7</f>
        <v>18948.553394099999</v>
      </c>
      <c r="E15" s="68">
        <f>+Projections_CO2!Q7</f>
        <v>19038.521880560002</v>
      </c>
      <c r="F15" s="68">
        <f>+Projections_CO2!R7</f>
        <v>18995.56512707</v>
      </c>
      <c r="G15" s="68">
        <f>+Projections_CO2!S7</f>
        <v>19232.597311639998</v>
      </c>
      <c r="H15" s="68">
        <f>+Projections_CO2!T7</f>
        <v>19431.269283149999</v>
      </c>
      <c r="I15" s="68">
        <f>+Projections_CO2!U7</f>
        <v>19099.860156299997</v>
      </c>
      <c r="J15" s="68">
        <f>+Projections_CO2!V7</f>
        <v>19120.597925599999</v>
      </c>
      <c r="K15" s="68">
        <f>+Projections_CO2!W7</f>
        <v>19065.680295919999</v>
      </c>
      <c r="L15" s="68">
        <f>+Projections_CO2!X7</f>
        <v>19473.585475519998</v>
      </c>
      <c r="M15" s="68">
        <f>+Projections_CO2!Y7</f>
        <v>19305.165304599999</v>
      </c>
      <c r="N15" s="68">
        <f>+Projections_CO2!Z7</f>
        <v>19057.507526310001</v>
      </c>
      <c r="O15" s="68">
        <f>+Projections_CO2!AA7</f>
        <v>19330.087611200001</v>
      </c>
      <c r="P15" s="68">
        <f>+Projections_CO2!AB7</f>
        <v>18937.445212799998</v>
      </c>
      <c r="Q15" s="68">
        <f>+Projections_CO2!AC7</f>
        <v>19111.669691489999</v>
      </c>
      <c r="R15" s="68">
        <f>+Projections_CO2!AD7</f>
        <v>18558.74924316</v>
      </c>
      <c r="S15" s="68">
        <f>+Projections_CO2!AE7</f>
        <v>18621.986641700001</v>
      </c>
      <c r="T15" s="68">
        <f>+Projections_CO2!AF7</f>
        <v>18639.892349499998</v>
      </c>
      <c r="U15" s="68">
        <f>+Projections_CO2!AG7</f>
        <v>18610.06852968</v>
      </c>
      <c r="V15" s="68">
        <f>+Projections_CO2!AH7</f>
        <v>18530.200185950001</v>
      </c>
      <c r="W15" s="68">
        <f>+Projections_CO2!AI7</f>
        <v>18398.071909359998</v>
      </c>
      <c r="X15" s="68">
        <f>+[3]Projections_CO2!AJ7</f>
        <v>18211.582019999998</v>
      </c>
      <c r="Y15" s="68">
        <f>+[3]Projections_CO2!AK7</f>
        <v>18867.202809999999</v>
      </c>
      <c r="Z15" s="68">
        <f>+[3]Projections_CO2!AL7</f>
        <v>18597.666969999998</v>
      </c>
      <c r="AA15" s="68">
        <f>+[3]Projections_CO2!AM7</f>
        <v>18268.48789</v>
      </c>
      <c r="AB15" s="68">
        <f>+[3]Projections_CO2!AN7</f>
        <v>18871.346079999999</v>
      </c>
      <c r="AC15" s="143">
        <f>+AVERAGE(D15:AB15)</f>
        <v>18892.934433024398</v>
      </c>
    </row>
    <row r="16" spans="2:29" x14ac:dyDescent="0.25">
      <c r="C16" s="64" t="s">
        <v>30</v>
      </c>
      <c r="D16" s="68">
        <f>+Projections_CO2!P8</f>
        <v>0</v>
      </c>
      <c r="E16" s="68">
        <f>+Projections_CO2!Q8</f>
        <v>1084.9011</v>
      </c>
      <c r="F16" s="68">
        <f>+Projections_CO2!R8</f>
        <v>2169.8022000000001</v>
      </c>
      <c r="G16" s="68">
        <f>+Projections_CO2!S8</f>
        <v>3616.337</v>
      </c>
      <c r="H16" s="68">
        <f>+Projections_CO2!T8</f>
        <v>3598.2553149999999</v>
      </c>
      <c r="I16" s="68">
        <f>+Projections_CO2!U8</f>
        <v>3580.2640384249999</v>
      </c>
      <c r="J16" s="68">
        <f>+Projections_CO2!V8</f>
        <v>3562.3627182328751</v>
      </c>
      <c r="K16" s="68">
        <f>+Projections_CO2!W8</f>
        <v>3544.5509046417101</v>
      </c>
      <c r="L16" s="68">
        <f>+Projections_CO2!X8</f>
        <v>3526.8281501185011</v>
      </c>
      <c r="M16" s="68">
        <f>+Projections_CO2!Y8</f>
        <v>3509.1940093679091</v>
      </c>
      <c r="N16" s="68">
        <f>+Projections_CO2!Z8</f>
        <v>3491.64803932107</v>
      </c>
      <c r="O16" s="68">
        <f>+Projections_CO2!AA8</f>
        <v>3474.1897991244641</v>
      </c>
      <c r="P16" s="68">
        <f>+Projections_CO2!AB8</f>
        <v>3456.8188501288419</v>
      </c>
      <c r="Q16" s="68">
        <f>+Projections_CO2!AC8</f>
        <v>3439.5347558781973</v>
      </c>
      <c r="R16" s="68">
        <f>+Projections_CO2!AD8</f>
        <v>3422.3370820988061</v>
      </c>
      <c r="S16" s="68">
        <f>+Projections_CO2!AE8</f>
        <v>3405.2253966883122</v>
      </c>
      <c r="T16" s="68">
        <f>+Projections_CO2!AF8</f>
        <v>3388.1992697048709</v>
      </c>
      <c r="U16" s="68">
        <f>+Projections_CO2!AG8</f>
        <v>3371.2582733563463</v>
      </c>
      <c r="V16" s="68">
        <f>+Projections_CO2!AH8</f>
        <v>3354.4019819895643</v>
      </c>
      <c r="W16" s="68">
        <f>+Projections_CO2!AI8</f>
        <v>3337.6299720796164</v>
      </c>
      <c r="X16" s="68">
        <f>+[3]Projections_CO2!AJ8</f>
        <v>3320.941822219218</v>
      </c>
      <c r="Y16" s="68">
        <f>+[3]Projections_CO2!AK8</f>
        <v>3304.3371131081221</v>
      </c>
      <c r="Z16" s="68">
        <f>+[3]Projections_CO2!AL8</f>
        <v>3287.8154275425813</v>
      </c>
      <c r="AA16" s="68">
        <f>+[3]Projections_CO2!AM8</f>
        <v>3271.3763504048693</v>
      </c>
      <c r="AB16" s="68">
        <f>+[3]Projections_CO2!AN8</f>
        <v>3255.0194686528448</v>
      </c>
      <c r="AC16" s="143">
        <f t="shared" ref="AC16:AC17" si="1">+AVERAGE(D16:AB16)</f>
        <v>3150.9291615233483</v>
      </c>
    </row>
    <row r="17" spans="2:29" x14ac:dyDescent="0.25">
      <c r="C17" s="64" t="s">
        <v>31</v>
      </c>
      <c r="D17" s="68">
        <f>+Projections_CO2!P9</f>
        <v>0</v>
      </c>
      <c r="E17" s="68">
        <f>+Projections_CO2!Q9</f>
        <v>523.25749499999995</v>
      </c>
      <c r="F17" s="68">
        <f>+Projections_CO2!R9</f>
        <v>1046.5149899999999</v>
      </c>
      <c r="G17" s="68">
        <f>+Projections_CO2!S9</f>
        <v>1744.19165</v>
      </c>
      <c r="H17" s="68">
        <f>+Projections_CO2!T9</f>
        <v>1674.4239839999998</v>
      </c>
      <c r="I17" s="68">
        <f>+Projections_CO2!U9</f>
        <v>1607.4470246399997</v>
      </c>
      <c r="J17" s="68">
        <f>+Projections_CO2!V9</f>
        <v>1543.1491436543997</v>
      </c>
      <c r="K17" s="68">
        <f>+Projections_CO2!W9</f>
        <v>1481.423177908224</v>
      </c>
      <c r="L17" s="68">
        <f>+Projections_CO2!X9</f>
        <v>1422.166250791895</v>
      </c>
      <c r="M17" s="68">
        <f>+Projections_CO2!Y9</f>
        <v>1365.279600760219</v>
      </c>
      <c r="N17" s="68">
        <f>+Projections_CO2!Z9</f>
        <v>1310.6684167298104</v>
      </c>
      <c r="O17" s="68">
        <f>+Projections_CO2!AA9</f>
        <v>1258.2416800606179</v>
      </c>
      <c r="P17" s="68">
        <f>+Projections_CO2!AB9</f>
        <v>1207.9120128581935</v>
      </c>
      <c r="Q17" s="68">
        <f>+Projections_CO2!AC9</f>
        <v>1744.19165</v>
      </c>
      <c r="R17" s="68">
        <f>+Projections_CO2!AD9</f>
        <v>1674.4239839999998</v>
      </c>
      <c r="S17" s="68">
        <f>+Projections_CO2!AE9</f>
        <v>1607.4470246399997</v>
      </c>
      <c r="T17" s="68">
        <f>+Projections_CO2!AF9</f>
        <v>1543.1491436543997</v>
      </c>
      <c r="U17" s="68">
        <f>+Projections_CO2!AG9</f>
        <v>1481.423177908224</v>
      </c>
      <c r="V17" s="68">
        <f>+Projections_CO2!AH9</f>
        <v>1422.166250791895</v>
      </c>
      <c r="W17" s="68">
        <f>+Projections_CO2!AI9</f>
        <v>1365.279600760219</v>
      </c>
      <c r="X17" s="68">
        <f>+[3]Projections_CO2!AJ9</f>
        <v>1310.6684167298104</v>
      </c>
      <c r="Y17" s="68">
        <f>+[3]Projections_CO2!AK9</f>
        <v>1258.2416800606179</v>
      </c>
      <c r="Z17" s="68">
        <f>+[3]Projections_CO2!AL9</f>
        <v>1207.9120128581935</v>
      </c>
      <c r="AA17" s="68">
        <f>+[3]Projections_CO2!AM9</f>
        <v>1159.5955323438657</v>
      </c>
      <c r="AB17" s="68">
        <f>+[3]Projections_CO2!AN9</f>
        <v>1113.211711050111</v>
      </c>
      <c r="AC17" s="143">
        <f t="shared" si="1"/>
        <v>1322.8954244480278</v>
      </c>
    </row>
    <row r="18" spans="2:29" x14ac:dyDescent="0.25">
      <c r="X18"/>
      <c r="Y18"/>
      <c r="Z18"/>
      <c r="AA18"/>
      <c r="AB18"/>
    </row>
    <row r="19" spans="2:29" x14ac:dyDescent="0.25">
      <c r="X19"/>
      <c r="Y19"/>
      <c r="Z19"/>
      <c r="AA19"/>
      <c r="AB19"/>
    </row>
    <row r="20" spans="2:29" x14ac:dyDescent="0.25">
      <c r="B20" s="11" t="s">
        <v>121</v>
      </c>
      <c r="X20"/>
      <c r="Y20"/>
      <c r="Z20"/>
      <c r="AA20"/>
      <c r="AB20"/>
    </row>
    <row r="21" spans="2:29" x14ac:dyDescent="0.25">
      <c r="B21" s="11"/>
      <c r="C21" s="24" t="s">
        <v>18</v>
      </c>
      <c r="D21" s="26">
        <v>1</v>
      </c>
      <c r="E21" s="26">
        <v>2</v>
      </c>
      <c r="F21" s="26">
        <v>3</v>
      </c>
      <c r="G21" s="26">
        <v>4</v>
      </c>
      <c r="H21" s="26">
        <v>5</v>
      </c>
      <c r="I21" s="26">
        <v>6</v>
      </c>
      <c r="J21" s="26">
        <v>7</v>
      </c>
      <c r="K21" s="26">
        <v>8</v>
      </c>
      <c r="L21" s="26">
        <v>9</v>
      </c>
      <c r="M21" s="26">
        <v>10</v>
      </c>
      <c r="N21" s="26">
        <v>11</v>
      </c>
      <c r="O21" s="26">
        <v>12</v>
      </c>
      <c r="P21" s="26">
        <v>13</v>
      </c>
      <c r="Q21" s="26">
        <v>14</v>
      </c>
      <c r="R21" s="26">
        <v>15</v>
      </c>
      <c r="S21" s="26">
        <v>16</v>
      </c>
      <c r="T21" s="26">
        <v>17</v>
      </c>
      <c r="U21" s="26">
        <v>18</v>
      </c>
      <c r="V21" s="26">
        <v>19</v>
      </c>
      <c r="W21" s="26">
        <v>20</v>
      </c>
      <c r="X21" s="232">
        <v>21</v>
      </c>
      <c r="Y21" s="232">
        <v>22</v>
      </c>
      <c r="Z21" s="232">
        <v>23</v>
      </c>
      <c r="AA21" s="232">
        <v>24</v>
      </c>
      <c r="AB21" s="232">
        <v>25</v>
      </c>
      <c r="AC21" s="142" t="s">
        <v>78</v>
      </c>
    </row>
    <row r="22" spans="2:29" x14ac:dyDescent="0.25">
      <c r="C22" s="61" t="s">
        <v>19</v>
      </c>
      <c r="D22" s="67">
        <f>+(((D8*3.78)*0.85)/1000)*5/1000</f>
        <v>26.867713772956208</v>
      </c>
      <c r="E22" s="67">
        <f t="shared" ref="E22:AB24" si="2">+(((E8*3.78)*0.85)/1000)*5/1000</f>
        <v>26.995282748408762</v>
      </c>
      <c r="F22" s="67">
        <f t="shared" si="2"/>
        <v>26.93437309829562</v>
      </c>
      <c r="G22" s="67">
        <f t="shared" si="2"/>
        <v>27.270468036919706</v>
      </c>
      <c r="H22" s="67">
        <f t="shared" si="2"/>
        <v>27.552170895930654</v>
      </c>
      <c r="I22" s="67">
        <f t="shared" si="2"/>
        <v>27.08225610208029</v>
      </c>
      <c r="J22" s="67">
        <f t="shared" si="2"/>
        <v>27.111660797956212</v>
      </c>
      <c r="K22" s="67">
        <f t="shared" si="2"/>
        <v>27.033791468058393</v>
      </c>
      <c r="L22" s="67">
        <f t="shared" si="2"/>
        <v>27.612172275503646</v>
      </c>
      <c r="M22" s="67">
        <f t="shared" si="2"/>
        <v>27.373364338467152</v>
      </c>
      <c r="N22" s="67">
        <f t="shared" si="2"/>
        <v>27.022203056529197</v>
      </c>
      <c r="O22" s="67">
        <f t="shared" si="2"/>
        <v>27.40870241343066</v>
      </c>
      <c r="P22" s="67">
        <f t="shared" si="2"/>
        <v>26.851963154452552</v>
      </c>
      <c r="Q22" s="67">
        <f t="shared" si="2"/>
        <v>27.099001190989053</v>
      </c>
      <c r="R22" s="67">
        <f t="shared" si="2"/>
        <v>26.314998948919708</v>
      </c>
      <c r="S22" s="67">
        <f t="shared" si="2"/>
        <v>26.404665124927011</v>
      </c>
      <c r="T22" s="67">
        <f t="shared" si="2"/>
        <v>26.430054157116789</v>
      </c>
      <c r="U22" s="67">
        <f t="shared" si="2"/>
        <v>26.387766081722624</v>
      </c>
      <c r="V22" s="67">
        <f t="shared" si="2"/>
        <v>26.274518397098543</v>
      </c>
      <c r="W22" s="67">
        <f t="shared" si="2"/>
        <v>26.087169809430652</v>
      </c>
      <c r="X22" s="235">
        <f t="shared" si="2"/>
        <v>25.822740284671532</v>
      </c>
      <c r="Y22" s="235">
        <f t="shared" si="2"/>
        <v>26.752364375912407</v>
      </c>
      <c r="Z22" s="235">
        <f t="shared" si="2"/>
        <v>26.370181543795624</v>
      </c>
      <c r="AA22" s="235">
        <f t="shared" si="2"/>
        <v>25.90342879927007</v>
      </c>
      <c r="AB22" s="235">
        <f t="shared" si="2"/>
        <v>26.758239240875916</v>
      </c>
      <c r="AC22" s="143">
        <f>+AVERAGE(D22:AB22)</f>
        <v>26.78885000454876</v>
      </c>
    </row>
    <row r="23" spans="2:29" x14ac:dyDescent="0.25">
      <c r="C23" s="64" t="s">
        <v>20</v>
      </c>
      <c r="D23" s="67">
        <f>+(((D9*3.78)*0.85)/1000)*5/1000</f>
        <v>0</v>
      </c>
      <c r="E23" s="67">
        <f t="shared" ref="E23:W23" si="3">+(((E9*3.78)*0.85)/1000)*5/1000</f>
        <v>1.5833992335766423</v>
      </c>
      <c r="F23" s="67">
        <f t="shared" si="3"/>
        <v>3.1667984671532845</v>
      </c>
      <c r="G23" s="67">
        <f t="shared" si="3"/>
        <v>5.2779974452554734</v>
      </c>
      <c r="H23" s="67">
        <f t="shared" si="3"/>
        <v>5.2516074580291967</v>
      </c>
      <c r="I23" s="67">
        <f t="shared" si="3"/>
        <v>5.2253494207390494</v>
      </c>
      <c r="J23" s="67">
        <f t="shared" si="3"/>
        <v>5.1992226736353553</v>
      </c>
      <c r="K23" s="67">
        <f t="shared" si="3"/>
        <v>5.1732265602671781</v>
      </c>
      <c r="L23" s="67">
        <f t="shared" si="3"/>
        <v>5.1473604274658431</v>
      </c>
      <c r="M23" s="67">
        <f t="shared" si="3"/>
        <v>5.1216236253285121</v>
      </c>
      <c r="N23" s="67">
        <f t="shared" si="3"/>
        <v>5.0960155072018711</v>
      </c>
      <c r="O23" s="67">
        <f t="shared" si="3"/>
        <v>5.0705354296658616</v>
      </c>
      <c r="P23" s="67">
        <f t="shared" si="3"/>
        <v>5.0451827525175323</v>
      </c>
      <c r="Q23" s="67">
        <f t="shared" si="3"/>
        <v>5.0199568387549434</v>
      </c>
      <c r="R23" s="67">
        <f t="shared" si="3"/>
        <v>4.9948570545611704</v>
      </c>
      <c r="S23" s="67">
        <f t="shared" si="3"/>
        <v>4.969882769288362</v>
      </c>
      <c r="T23" s="67">
        <f t="shared" si="3"/>
        <v>4.9450333554419208</v>
      </c>
      <c r="U23" s="67">
        <f t="shared" si="3"/>
        <v>4.9203081886647118</v>
      </c>
      <c r="V23" s="67">
        <f t="shared" si="3"/>
        <v>4.8957066477213882</v>
      </c>
      <c r="W23" s="67">
        <f t="shared" si="3"/>
        <v>4.8712281144827809</v>
      </c>
      <c r="X23" s="235">
        <f t="shared" si="2"/>
        <v>4.8468719739103658</v>
      </c>
      <c r="Y23" s="235">
        <f t="shared" si="2"/>
        <v>4.8226376140408158</v>
      </c>
      <c r="Z23" s="235">
        <f t="shared" si="2"/>
        <v>4.7985244259706104</v>
      </c>
      <c r="AA23" s="235">
        <f t="shared" si="2"/>
        <v>4.7745318038407589</v>
      </c>
      <c r="AB23" s="235">
        <f t="shared" si="2"/>
        <v>4.7506591448215554</v>
      </c>
      <c r="AC23" s="143">
        <f t="shared" ref="AC23:AC24" si="4">+AVERAGE(D23:AB23)</f>
        <v>4.5987406772934065</v>
      </c>
    </row>
    <row r="24" spans="2:29" x14ac:dyDescent="0.25">
      <c r="C24" s="64" t="s">
        <v>21</v>
      </c>
      <c r="D24" s="67">
        <f>+(((D10*3.78)*0.85)/1000)*5/1000</f>
        <v>0</v>
      </c>
      <c r="E24" s="67">
        <f t="shared" ref="E24:W24" si="5">+(((E10*3.78)*0.85)/1000)*5/1000</f>
        <v>0.76665228832116783</v>
      </c>
      <c r="F24" s="67">
        <f t="shared" si="5"/>
        <v>1.5333045766423357</v>
      </c>
      <c r="G24" s="67">
        <f t="shared" si="5"/>
        <v>2.5555076277372262</v>
      </c>
      <c r="H24" s="67">
        <f t="shared" si="5"/>
        <v>2.453287322627737</v>
      </c>
      <c r="I24" s="67">
        <f t="shared" si="5"/>
        <v>2.3551558297226274</v>
      </c>
      <c r="J24" s="67">
        <f t="shared" si="5"/>
        <v>2.260949596533723</v>
      </c>
      <c r="K24" s="67">
        <f t="shared" si="5"/>
        <v>2.1705116126723736</v>
      </c>
      <c r="L24" s="67">
        <f t="shared" si="5"/>
        <v>2.083691148165479</v>
      </c>
      <c r="M24" s="67">
        <f t="shared" si="5"/>
        <v>2.0003435022388594</v>
      </c>
      <c r="N24" s="67">
        <f t="shared" si="5"/>
        <v>1.9203297621493052</v>
      </c>
      <c r="O24" s="67">
        <f t="shared" si="5"/>
        <v>1.8435165716633335</v>
      </c>
      <c r="P24" s="67">
        <f t="shared" si="5"/>
        <v>1.7697759087968001</v>
      </c>
      <c r="Q24" s="67">
        <f t="shared" si="5"/>
        <v>2.5555076277372262</v>
      </c>
      <c r="R24" s="67">
        <f t="shared" si="5"/>
        <v>2.453287322627737</v>
      </c>
      <c r="S24" s="67">
        <f t="shared" si="5"/>
        <v>2.3551558297226274</v>
      </c>
      <c r="T24" s="67">
        <f t="shared" si="5"/>
        <v>2.260949596533723</v>
      </c>
      <c r="U24" s="67">
        <f t="shared" si="5"/>
        <v>2.1705116126723736</v>
      </c>
      <c r="V24" s="67">
        <f t="shared" si="5"/>
        <v>2.083691148165479</v>
      </c>
      <c r="W24" s="67">
        <f t="shared" si="5"/>
        <v>2.0003435022388594</v>
      </c>
      <c r="X24" s="235">
        <f t="shared" si="2"/>
        <v>1.9203297621493052</v>
      </c>
      <c r="Y24" s="235">
        <f t="shared" si="2"/>
        <v>1.8435165716633335</v>
      </c>
      <c r="Z24" s="235">
        <f t="shared" si="2"/>
        <v>1.7697759087968001</v>
      </c>
      <c r="AA24" s="235">
        <f t="shared" si="2"/>
        <v>1.6989848724449275</v>
      </c>
      <c r="AB24" s="235">
        <f t="shared" si="2"/>
        <v>1.6310254775471307</v>
      </c>
      <c r="AC24" s="143">
        <f t="shared" si="4"/>
        <v>1.9382441991828194</v>
      </c>
    </row>
    <row r="25" spans="2:29" x14ac:dyDescent="0.25">
      <c r="C25" s="65"/>
      <c r="D25" s="74">
        <f>SUM(D22:D24)</f>
        <v>26.867713772956208</v>
      </c>
      <c r="E25" s="74">
        <f t="shared" ref="E25:AB25" si="6">SUM(E22:E24)</f>
        <v>29.345334270306573</v>
      </c>
      <c r="F25" s="74">
        <f t="shared" si="6"/>
        <v>31.634476142091241</v>
      </c>
      <c r="G25" s="74">
        <f t="shared" si="6"/>
        <v>35.10397310991241</v>
      </c>
      <c r="H25" s="74">
        <f t="shared" si="6"/>
        <v>35.257065676587587</v>
      </c>
      <c r="I25" s="74">
        <f t="shared" si="6"/>
        <v>34.662761352541963</v>
      </c>
      <c r="J25" s="74">
        <f t="shared" si="6"/>
        <v>34.571833068125287</v>
      </c>
      <c r="K25" s="74">
        <f t="shared" si="6"/>
        <v>34.377529640997942</v>
      </c>
      <c r="L25" s="74">
        <f t="shared" si="6"/>
        <v>34.843223851134965</v>
      </c>
      <c r="M25" s="74">
        <f t="shared" si="6"/>
        <v>34.495331466034528</v>
      </c>
      <c r="N25" s="74">
        <f t="shared" si="6"/>
        <v>34.038548325880377</v>
      </c>
      <c r="O25" s="74">
        <f t="shared" si="6"/>
        <v>34.322754414759856</v>
      </c>
      <c r="P25" s="74">
        <f t="shared" si="6"/>
        <v>33.666921815766884</v>
      </c>
      <c r="Q25" s="74">
        <f t="shared" si="6"/>
        <v>34.674465657481221</v>
      </c>
      <c r="R25" s="74">
        <f t="shared" si="6"/>
        <v>33.763143326108612</v>
      </c>
      <c r="S25" s="74">
        <f t="shared" si="6"/>
        <v>33.729703723938002</v>
      </c>
      <c r="T25" s="74">
        <f t="shared" si="6"/>
        <v>33.636037109092435</v>
      </c>
      <c r="U25" s="74">
        <f t="shared" si="6"/>
        <v>33.478585883059708</v>
      </c>
      <c r="V25" s="74">
        <f t="shared" si="6"/>
        <v>33.253916192985407</v>
      </c>
      <c r="W25" s="74">
        <f t="shared" si="6"/>
        <v>32.958741426152287</v>
      </c>
      <c r="X25" s="236">
        <f t="shared" si="6"/>
        <v>32.589942020731208</v>
      </c>
      <c r="Y25" s="236">
        <f t="shared" si="6"/>
        <v>33.418518561616558</v>
      </c>
      <c r="Z25" s="236">
        <f t="shared" si="6"/>
        <v>32.938481878563039</v>
      </c>
      <c r="AA25" s="236">
        <f t="shared" si="6"/>
        <v>32.376945475555758</v>
      </c>
      <c r="AB25" s="236">
        <f t="shared" si="6"/>
        <v>33.139923863244604</v>
      </c>
    </row>
    <row r="26" spans="2:29" x14ac:dyDescent="0.25">
      <c r="C26" s="65"/>
      <c r="D26" s="66"/>
      <c r="E26" s="66"/>
      <c r="F26" s="66"/>
      <c r="G26" s="66"/>
      <c r="H26" s="66"/>
      <c r="I26" s="66"/>
      <c r="J26" s="66"/>
      <c r="K26" s="66"/>
      <c r="L26" s="66"/>
      <c r="M26" s="66"/>
    </row>
    <row r="27" spans="2:29" x14ac:dyDescent="0.25">
      <c r="B27" s="11"/>
    </row>
    <row r="28" spans="2:29" ht="15.75" customHeight="1" x14ac:dyDescent="0.25">
      <c r="O28" s="227" t="s">
        <v>77</v>
      </c>
      <c r="P28" s="227"/>
      <c r="Q28" s="227"/>
      <c r="R28" s="227"/>
      <c r="S28" s="227"/>
      <c r="T28" s="227"/>
      <c r="U28" s="227"/>
    </row>
    <row r="29" spans="2:29" x14ac:dyDescent="0.25">
      <c r="O29" s="227"/>
      <c r="P29" s="227"/>
      <c r="Q29" s="227"/>
      <c r="R29" s="227"/>
      <c r="S29" s="227"/>
      <c r="T29" s="227"/>
      <c r="U29" s="227"/>
    </row>
    <row r="30" spans="2:29" x14ac:dyDescent="0.25">
      <c r="C30" s="11" t="s">
        <v>87</v>
      </c>
      <c r="O30" s="227"/>
      <c r="P30" s="227"/>
      <c r="Q30" s="227"/>
      <c r="R30" s="227"/>
      <c r="S30" s="227"/>
      <c r="T30" s="227"/>
      <c r="U30" s="227"/>
    </row>
    <row r="31" spans="2:29" ht="63" x14ac:dyDescent="0.25">
      <c r="C31" s="133"/>
      <c r="D31" s="133" t="s">
        <v>69</v>
      </c>
      <c r="E31" s="134" t="s">
        <v>70</v>
      </c>
      <c r="F31" s="133" t="s">
        <v>118</v>
      </c>
      <c r="O31" s="227"/>
      <c r="P31" s="227"/>
      <c r="Q31" s="227"/>
      <c r="R31" s="227"/>
      <c r="S31" s="227"/>
      <c r="T31" s="227"/>
      <c r="U31" s="227"/>
    </row>
    <row r="32" spans="2:29" x14ac:dyDescent="0.25">
      <c r="C32" s="129" t="s">
        <v>66</v>
      </c>
      <c r="D32" s="130">
        <f>+AC22</f>
        <v>26.78885000454876</v>
      </c>
      <c r="E32" s="130">
        <f>+SUM(D22:H22)</f>
        <v>135.62000855251094</v>
      </c>
      <c r="F32" s="131">
        <f>+SUM(D22:AB22)</f>
        <v>669.72125011371895</v>
      </c>
      <c r="O32" s="227"/>
      <c r="P32" s="227"/>
      <c r="Q32" s="227"/>
      <c r="R32" s="227"/>
      <c r="S32" s="227"/>
      <c r="T32" s="227"/>
      <c r="U32" s="227"/>
    </row>
    <row r="33" spans="3:21" x14ac:dyDescent="0.25">
      <c r="C33" s="129" t="s">
        <v>67</v>
      </c>
      <c r="D33" s="130">
        <f>+AC23</f>
        <v>4.5987406772934065</v>
      </c>
      <c r="E33" s="130">
        <f t="shared" ref="E33:E34" si="7">+SUM(D23:H23)</f>
        <v>15.279802604014597</v>
      </c>
      <c r="F33" s="131">
        <f t="shared" ref="F33:F34" si="8">+SUM(D23:AB23)</f>
        <v>114.96851693233516</v>
      </c>
      <c r="O33" s="227"/>
      <c r="P33" s="227"/>
      <c r="Q33" s="227"/>
      <c r="R33" s="227"/>
      <c r="S33" s="227"/>
      <c r="T33" s="227"/>
      <c r="U33" s="227"/>
    </row>
    <row r="34" spans="3:21" x14ac:dyDescent="0.25">
      <c r="C34" s="129" t="s">
        <v>68</v>
      </c>
      <c r="D34" s="130">
        <f>+AC24</f>
        <v>1.9382441991828194</v>
      </c>
      <c r="E34" s="130">
        <f t="shared" si="7"/>
        <v>7.308751815328467</v>
      </c>
      <c r="F34" s="131">
        <f t="shared" si="8"/>
        <v>48.456104979570483</v>
      </c>
      <c r="O34" s="227"/>
      <c r="P34" s="227"/>
      <c r="Q34" s="227"/>
      <c r="R34" s="227"/>
      <c r="S34" s="227"/>
      <c r="T34" s="227"/>
      <c r="U34" s="227"/>
    </row>
    <row r="35" spans="3:21" x14ac:dyDescent="0.25">
      <c r="C35" s="132" t="s">
        <v>6</v>
      </c>
      <c r="D35" s="135">
        <f>+SUM(D32:D34)</f>
        <v>33.325834881024988</v>
      </c>
      <c r="E35" s="135">
        <f t="shared" ref="E35:F35" si="9">+SUM(E32:E34)</f>
        <v>158.20856297185401</v>
      </c>
      <c r="F35" s="135">
        <f t="shared" si="9"/>
        <v>833.14587202562461</v>
      </c>
      <c r="O35" s="227"/>
      <c r="P35" s="227"/>
      <c r="Q35" s="227"/>
      <c r="R35" s="227"/>
      <c r="S35" s="227"/>
      <c r="T35" s="227"/>
      <c r="U35" s="227"/>
    </row>
    <row r="36" spans="3:21" x14ac:dyDescent="0.25">
      <c r="O36" s="227"/>
      <c r="P36" s="227"/>
      <c r="Q36" s="227"/>
      <c r="R36" s="227"/>
      <c r="S36" s="227"/>
      <c r="T36" s="227"/>
      <c r="U36" s="227"/>
    </row>
    <row r="37" spans="3:21" x14ac:dyDescent="0.25">
      <c r="O37" s="227"/>
      <c r="P37" s="227"/>
      <c r="Q37" s="227"/>
      <c r="R37" s="227"/>
      <c r="S37" s="227"/>
      <c r="T37" s="227"/>
      <c r="U37" s="227"/>
    </row>
  </sheetData>
  <mergeCells count="1">
    <mergeCell ref="O28:U3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5" ma:contentTypeDescription="Create a new document." ma:contentTypeScope="" ma:versionID="f6ec9612411ccf106e0dd351df2cdfb2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85b9ace026c8438a9737edf86142a661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0B01D557-79AF-4029-9BF6-D13FD832C049}"/>
</file>

<file path=customXml/itemProps2.xml><?xml version="1.0" encoding="utf-8"?>
<ds:datastoreItem xmlns:ds="http://schemas.openxmlformats.org/officeDocument/2006/customXml" ds:itemID="{9C932D08-E09B-4F73-A563-50C990B72E85}"/>
</file>

<file path=customXml/itemProps3.xml><?xml version="1.0" encoding="utf-8"?>
<ds:datastoreItem xmlns:ds="http://schemas.openxmlformats.org/officeDocument/2006/customXml" ds:itemID="{614C5E3B-920F-4B0A-92A2-BEB6D60C9F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Summary GHG_C1</vt:lpstr>
      <vt:lpstr>Projections MWh</vt:lpstr>
      <vt:lpstr>Projections_CO2</vt:lpstr>
      <vt:lpstr>Savings Diesel transportation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Abram Alberdi</dc:creator>
  <cp:lastModifiedBy>Laura Abram Alberdi</cp:lastModifiedBy>
  <dcterms:created xsi:type="dcterms:W3CDTF">2021-01-01T16:46:47Z</dcterms:created>
  <dcterms:modified xsi:type="dcterms:W3CDTF">2021-09-28T14:41:17Z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