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8.xml" ContentType="application/vnd.openxmlformats-officedocument.drawingml.chart+xml"/>
  <Override PartName="/xl/charts/colors15.xml" ContentType="application/vnd.ms-office.chartcolorstyle+xml"/>
  <Override PartName="/xl/charts/style15.xml" ContentType="application/vnd.ms-office.chartstyle+xml"/>
  <Override PartName="/xl/charts/chart17.xml" ContentType="application/vnd.openxmlformats-officedocument.drawingml.chart+xml"/>
  <Override PartName="/xl/charts/colors14.xml" ContentType="application/vnd.ms-office.chartcolorstyle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charts/colors17.xml" ContentType="application/vnd.ms-office.chartcolorstyle+xml"/>
  <Override PartName="/xl/charts/style17.xml" ContentType="application/vnd.ms-office.chartstyle+xml"/>
  <Override PartName="/xl/charts/chart19.xml" ContentType="application/vnd.openxmlformats-officedocument.drawingml.chart+xml"/>
  <Override PartName="/xl/charts/style14.xml" ContentType="application/vnd.ms-office.chartstyle+xml"/>
  <Override PartName="/xl/charts/chart16.xml" ContentType="application/vnd.openxmlformats-officedocument.drawingml.chart+xml"/>
  <Override PartName="/xl/charts/colors13.xml" ContentType="application/vnd.ms-office.chartcolorstyle+xml"/>
  <Override PartName="/xl/worksheets/sheet1.xml" ContentType="application/vnd.openxmlformats-officedocument.spreadsheetml.worksheet+xml"/>
  <Override PartName="/xl/charts/chart13.xml" ContentType="application/vnd.openxmlformats-officedocument.drawingml.chart+xml"/>
  <Override PartName="/xl/charts/colors10.xml" ContentType="application/vnd.ms-office.chartcolorstyle+xml"/>
  <Override PartName="/xl/charts/style10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style13.xml" ContentType="application/vnd.ms-office.chartstyle+xml"/>
  <Override PartName="/xl/charts/chart15.xml" ContentType="application/vnd.openxmlformats-officedocument.drawingml.chart+xml"/>
  <Override PartName="/xl/drawings/drawing3.xml" ContentType="application/vnd.openxmlformats-officedocument.drawing+xml"/>
  <Override PartName="/xl/charts/colors12.xml" ContentType="application/vnd.ms-office.chartcolorstyle+xml"/>
  <Override PartName="/xl/worksheets/sheet2.xml" ContentType="application/vnd.openxmlformats-officedocument.spreadsheetml.worksheet+xml"/>
  <Override PartName="/xl/charts/chart12.xml" ContentType="application/vnd.openxmlformats-officedocument.drawingml.chart+xml"/>
  <Override PartName="/xl/charts/style11.xml" ContentType="application/vnd.ms-office.chartstyle+xml"/>
  <Override PartName="/xl/charts/style9.xml" ContentType="application/vnd.ms-office.chartstyle+xml"/>
  <Override PartName="/xl/charts/style2.xml" ContentType="application/vnd.ms-office.chart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colors9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olors4.xml" ContentType="application/vnd.ms-office.chartcolorstyle+xml"/>
  <Override PartName="/xl/charts/chart3.xml" ContentType="application/vnd.openxmlformats-officedocument.drawingml.chart+xml"/>
  <Override PartName="/xl/charts/chart9.xml" ContentType="application/vnd.openxmlformats-officedocument.drawingml.chart+xml"/>
  <Override PartName="/xl/charts/colors6.xml" ContentType="application/vnd.ms-office.chartcolorstyle+xml"/>
  <Override PartName="/xl/charts/style6.xml" ContentType="application/vnd.ms-office.chart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7.xml" ContentType="application/vnd.openxmlformats-officedocument.drawingml.char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OSMEER\Desktop\INFORMACIÓN ENREL\Primer Paquete de Información\Balance Histórico Electrico\"/>
    </mc:Choice>
  </mc:AlternateContent>
  <bookViews>
    <workbookView xWindow="0" yWindow="60" windowWidth="16215" windowHeight="7695" firstSheet="2" activeTab="3"/>
  </bookViews>
  <sheets>
    <sheet name="2012" sheetId="2" state="hidden" r:id="rId1"/>
    <sheet name="2013" sheetId="3" state="hidden" r:id="rId2"/>
    <sheet name="2014" sheetId="7" r:id="rId3"/>
    <sheet name="Hoja2" sheetId="12" r:id="rId4"/>
    <sheet name="2015" sheetId="6" state="hidden" r:id="rId5"/>
    <sheet name="2016" sheetId="11" state="hidden" r:id="rId6"/>
    <sheet name="ISLAS" sheetId="4" r:id="rId7"/>
    <sheet name="PROVINCIAL" sheetId="5" r:id="rId8"/>
    <sheet name="POTENCIA" sheetId="9" state="hidden" r:id="rId9"/>
    <sheet name="Hoja1" sheetId="8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Print_Area" localSheetId="6">ISLAS!$A$1:$AN$124</definedName>
    <definedName name="CatalogoMes" localSheetId="4">#REF!</definedName>
    <definedName name="CatalogoMes" localSheetId="5">#REF!</definedName>
    <definedName name="CatalogoMes">#REF!</definedName>
    <definedName name="DropCentral" localSheetId="2">[1]Catálogos!$BC$11:$BC$24</definedName>
    <definedName name="DropCentral" localSheetId="4">[1]Catálogos!$BC$11:$BC$24</definedName>
    <definedName name="DropCentral" localSheetId="5">[1]Catálogos!$BC$11:$BC$24</definedName>
    <definedName name="DropCentral" localSheetId="6">[1]Catálogos!$BC$11:$BC$24</definedName>
    <definedName name="DropCentral" localSheetId="7">[1]Catálogos!$BC$11:$BC$24</definedName>
    <definedName name="DropCentral">[2]Catálogos!$BC$11:$BC$22</definedName>
    <definedName name="DropEmpresaVendedora">[3]Catálogos!$R$11:$R$132</definedName>
    <definedName name="DropMes" localSheetId="4">#REF!</definedName>
    <definedName name="DropMes" localSheetId="5">#REF!</definedName>
    <definedName name="DropMes">#REF!</definedName>
    <definedName name="DropTipoEmpresa" localSheetId="4">#REF!</definedName>
    <definedName name="DropTipoEmpresa" localSheetId="5">#REF!</definedName>
    <definedName name="DropTipoEmpresa">#REF!</definedName>
    <definedName name="DropTipoEmpresaAutogeneradora" localSheetId="4">#REF!</definedName>
    <definedName name="DropTipoEmpresaAutogeneradora" localSheetId="5">#REF!</definedName>
    <definedName name="DropTipoEmpresaAutogeneradora">#REF!</definedName>
    <definedName name="DropTipoEmpresaDistribuidora" localSheetId="4">#REF!</definedName>
    <definedName name="DropTipoEmpresaDistribuidora" localSheetId="5">#REF!</definedName>
    <definedName name="DropTipoEmpresaDistribuidora">#REF!</definedName>
    <definedName name="DropTipoEmpresaGeneradora" localSheetId="4">#REF!</definedName>
    <definedName name="DropTipoEmpresaGeneradora" localSheetId="5">#REF!</definedName>
    <definedName name="DropTipoEmpresaGeneradora">#REF!</definedName>
    <definedName name="DropTipoTransaccion">[3]Catálogos!$CY$11:$CY$13</definedName>
    <definedName name="DropUnidadGeneracion">[4]Catálogos!$G$11:$G$35</definedName>
    <definedName name="Lista01ConsumoAuxiliares" localSheetId="4">'[5]Energía Producida'!$J$15:$J$2214</definedName>
    <definedName name="Lista01ConsumoAuxiliares" localSheetId="5">'[5]Energía Producida'!$J$15:$J$2214</definedName>
    <definedName name="Lista01ConsumoAuxiliares">'[5]Energía Producida'!$J$15:$J$2214</definedName>
    <definedName name="Lista01EnergiaBruta" localSheetId="4">'[5]Energía Producida'!$I$15:$I$2214</definedName>
    <definedName name="Lista01EnergiaBruta" localSheetId="5">'[5]Energía Producida'!$I$15:$I$2214</definedName>
    <definedName name="Lista01EnergiaBruta">'[5]Energía Producida'!$I$15:$I$2214</definedName>
    <definedName name="Lista01MesCentral" localSheetId="4">'[5]Energía Producida'!$BP$15:$BP$2214</definedName>
    <definedName name="Lista01MesCentral" localSheetId="5">'[5]Energía Producida'!$BP$15:$BP$2214</definedName>
    <definedName name="Lista01MesCentral">'[5]Energía Producida'!$BP$15:$BP$2214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12" l="1"/>
  <c r="I45" i="12"/>
  <c r="J45" i="12"/>
  <c r="K45" i="12"/>
  <c r="G45" i="12"/>
  <c r="H41" i="12"/>
  <c r="I41" i="12"/>
  <c r="J41" i="12"/>
  <c r="K41" i="12"/>
  <c r="G41" i="12"/>
  <c r="H44" i="12"/>
  <c r="I44" i="12"/>
  <c r="J44" i="12"/>
  <c r="K44" i="12"/>
  <c r="G44" i="12"/>
  <c r="H38" i="12"/>
  <c r="I38" i="12"/>
  <c r="J38" i="12"/>
  <c r="K38" i="12"/>
  <c r="G38" i="12"/>
  <c r="P11" i="12" l="1"/>
  <c r="D15" i="12"/>
  <c r="D14" i="12"/>
  <c r="D13" i="12"/>
  <c r="C19" i="12"/>
  <c r="C18" i="12"/>
  <c r="E10" i="12"/>
  <c r="F10" i="12"/>
  <c r="G10" i="12"/>
  <c r="H10" i="12"/>
  <c r="I10" i="12"/>
  <c r="J10" i="12"/>
  <c r="K10" i="12"/>
  <c r="L10" i="12"/>
  <c r="M10" i="12"/>
  <c r="N10" i="12"/>
  <c r="O10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D10" i="12"/>
  <c r="R34" i="6" l="1"/>
  <c r="Q41" i="6"/>
  <c r="CA8" i="5" l="1"/>
  <c r="BZ8" i="5"/>
  <c r="BY8" i="5"/>
  <c r="BX8" i="5"/>
  <c r="BW8" i="5"/>
  <c r="BV8" i="5"/>
  <c r="BU8" i="5"/>
  <c r="BT8" i="5"/>
  <c r="BS8" i="5"/>
  <c r="BR8" i="5"/>
  <c r="BQ8" i="5"/>
  <c r="BP8" i="5"/>
  <c r="CA7" i="5"/>
  <c r="BZ7" i="5"/>
  <c r="BY7" i="5"/>
  <c r="BX7" i="5"/>
  <c r="BW7" i="5"/>
  <c r="BV7" i="5"/>
  <c r="BU7" i="5"/>
  <c r="BT7" i="5"/>
  <c r="BS7" i="5"/>
  <c r="BR7" i="5"/>
  <c r="BQ7" i="5"/>
  <c r="BP7" i="5"/>
  <c r="CB30" i="4" l="1"/>
  <c r="CB26" i="4"/>
  <c r="CB25" i="4"/>
  <c r="CB20" i="4"/>
  <c r="CB15" i="4"/>
  <c r="CB14" i="4"/>
  <c r="CY14" i="4" s="1"/>
  <c r="CB13" i="4"/>
  <c r="CB8" i="4"/>
  <c r="CB7" i="4"/>
  <c r="CB8" i="5" l="1"/>
  <c r="CB7" i="5"/>
  <c r="BA7" i="4"/>
  <c r="N151" i="11"/>
  <c r="M151" i="11"/>
  <c r="L151" i="11"/>
  <c r="K151" i="11"/>
  <c r="J151" i="11"/>
  <c r="I151" i="11"/>
  <c r="H151" i="11"/>
  <c r="G151" i="11"/>
  <c r="F151" i="11"/>
  <c r="E151" i="11"/>
  <c r="D151" i="11"/>
  <c r="C151" i="11"/>
  <c r="N138" i="11"/>
  <c r="M138" i="11"/>
  <c r="L138" i="11"/>
  <c r="K138" i="11"/>
  <c r="J138" i="11"/>
  <c r="I138" i="11"/>
  <c r="H138" i="11"/>
  <c r="G138" i="11"/>
  <c r="F138" i="11"/>
  <c r="E138" i="11"/>
  <c r="D138" i="11"/>
  <c r="C138" i="11"/>
  <c r="N118" i="11"/>
  <c r="M118" i="11"/>
  <c r="L118" i="11"/>
  <c r="K118" i="11"/>
  <c r="J118" i="11"/>
  <c r="I118" i="11"/>
  <c r="H118" i="11"/>
  <c r="G118" i="11"/>
  <c r="F118" i="11"/>
  <c r="E118" i="11"/>
  <c r="D118" i="11"/>
  <c r="C118" i="11"/>
  <c r="N116" i="11"/>
  <c r="N154" i="11" s="1"/>
  <c r="M116" i="11"/>
  <c r="M154" i="11" s="1"/>
  <c r="L116" i="11"/>
  <c r="L154" i="11" s="1"/>
  <c r="K116" i="11"/>
  <c r="K154" i="11" s="1"/>
  <c r="J116" i="11"/>
  <c r="J154" i="11" s="1"/>
  <c r="I116" i="11"/>
  <c r="I154" i="11" s="1"/>
  <c r="H116" i="11"/>
  <c r="H154" i="11" s="1"/>
  <c r="G116" i="11"/>
  <c r="G154" i="11" s="1"/>
  <c r="F116" i="11"/>
  <c r="F154" i="11" s="1"/>
  <c r="E116" i="11"/>
  <c r="E154" i="11" s="1"/>
  <c r="D116" i="11"/>
  <c r="D154" i="11" s="1"/>
  <c r="C116" i="11"/>
  <c r="C154" i="11" s="1"/>
  <c r="N114" i="11"/>
  <c r="M114" i="11"/>
  <c r="L114" i="11"/>
  <c r="K114" i="11"/>
  <c r="J114" i="11"/>
  <c r="I114" i="11"/>
  <c r="H114" i="11"/>
  <c r="G114" i="11"/>
  <c r="F114" i="11"/>
  <c r="BF36" i="4" s="1"/>
  <c r="E114" i="11"/>
  <c r="BE36" i="4" s="1"/>
  <c r="D114" i="11"/>
  <c r="BD36" i="4" s="1"/>
  <c r="C114" i="11"/>
  <c r="BC36" i="4" s="1"/>
  <c r="N113" i="11"/>
  <c r="M113" i="11"/>
  <c r="L113" i="11"/>
  <c r="K113" i="11"/>
  <c r="J113" i="11"/>
  <c r="I113" i="11"/>
  <c r="H113" i="11"/>
  <c r="G113" i="11"/>
  <c r="F113" i="11"/>
  <c r="E113" i="11"/>
  <c r="D113" i="11"/>
  <c r="C113" i="11"/>
  <c r="G146" i="11"/>
  <c r="N108" i="11"/>
  <c r="M108" i="11"/>
  <c r="L108" i="11"/>
  <c r="K108" i="11"/>
  <c r="J108" i="11"/>
  <c r="I108" i="11"/>
  <c r="H108" i="11"/>
  <c r="G108" i="11"/>
  <c r="F108" i="11"/>
  <c r="E108" i="11"/>
  <c r="D108" i="11"/>
  <c r="C108" i="11"/>
  <c r="N105" i="11"/>
  <c r="M105" i="11"/>
  <c r="L105" i="11"/>
  <c r="L104" i="11" s="1"/>
  <c r="L109" i="11" s="1"/>
  <c r="K105" i="11"/>
  <c r="K104" i="11" s="1"/>
  <c r="K109" i="11" s="1"/>
  <c r="J105" i="11"/>
  <c r="J104" i="11" s="1"/>
  <c r="J109" i="11" s="1"/>
  <c r="I105" i="11"/>
  <c r="I104" i="11" s="1"/>
  <c r="I109" i="11" s="1"/>
  <c r="H105" i="11"/>
  <c r="H104" i="11" s="1"/>
  <c r="H109" i="11" s="1"/>
  <c r="G105" i="11"/>
  <c r="G104" i="11" s="1"/>
  <c r="G109" i="11" s="1"/>
  <c r="F105" i="11"/>
  <c r="F104" i="11" s="1"/>
  <c r="F109" i="11" s="1"/>
  <c r="E105" i="11"/>
  <c r="E104" i="11" s="1"/>
  <c r="E109" i="11" s="1"/>
  <c r="D105" i="11"/>
  <c r="D104" i="11" s="1"/>
  <c r="D109" i="11" s="1"/>
  <c r="C105" i="11"/>
  <c r="C104" i="11" s="1"/>
  <c r="C109" i="11" s="1"/>
  <c r="N104" i="11"/>
  <c r="N109" i="11" s="1"/>
  <c r="M104" i="11"/>
  <c r="N102" i="11"/>
  <c r="M102" i="11"/>
  <c r="L102" i="11"/>
  <c r="K102" i="11"/>
  <c r="J102" i="11"/>
  <c r="I102" i="11"/>
  <c r="H102" i="11"/>
  <c r="G102" i="11"/>
  <c r="F102" i="11"/>
  <c r="E102" i="11"/>
  <c r="D102" i="11"/>
  <c r="C102" i="11"/>
  <c r="N101" i="11"/>
  <c r="M101" i="11"/>
  <c r="L101" i="11"/>
  <c r="K101" i="11"/>
  <c r="J101" i="11"/>
  <c r="I101" i="11"/>
  <c r="H101" i="11"/>
  <c r="G101" i="11"/>
  <c r="F101" i="11"/>
  <c r="BF26" i="4" s="1"/>
  <c r="E101" i="11"/>
  <c r="BE26" i="4" s="1"/>
  <c r="D101" i="11"/>
  <c r="BD26" i="4" s="1"/>
  <c r="C101" i="11"/>
  <c r="BC26" i="4" s="1"/>
  <c r="N99" i="11"/>
  <c r="M99" i="11"/>
  <c r="L99" i="11"/>
  <c r="K99" i="11"/>
  <c r="J99" i="11"/>
  <c r="I99" i="11"/>
  <c r="H99" i="11"/>
  <c r="G99" i="11"/>
  <c r="F99" i="11"/>
  <c r="BF25" i="4" s="1"/>
  <c r="E99" i="11"/>
  <c r="BE25" i="4" s="1"/>
  <c r="D99" i="11"/>
  <c r="BD25" i="4" s="1"/>
  <c r="C99" i="11"/>
  <c r="BC25" i="4" s="1"/>
  <c r="N97" i="11"/>
  <c r="M97" i="11"/>
  <c r="L97" i="11"/>
  <c r="K97" i="11"/>
  <c r="J97" i="11"/>
  <c r="J132" i="11" s="1"/>
  <c r="I97" i="11"/>
  <c r="I132" i="11" s="1"/>
  <c r="H97" i="11"/>
  <c r="H132" i="11" s="1"/>
  <c r="G97" i="11"/>
  <c r="F97" i="11"/>
  <c r="F132" i="11" s="1"/>
  <c r="E97" i="11"/>
  <c r="BE24" i="4" s="1"/>
  <c r="D97" i="11"/>
  <c r="D132" i="11" s="1"/>
  <c r="C97" i="11"/>
  <c r="BC24" i="4" s="1"/>
  <c r="N95" i="11"/>
  <c r="M95" i="11"/>
  <c r="L95" i="11"/>
  <c r="K95" i="11"/>
  <c r="K94" i="11" s="1"/>
  <c r="K103" i="11" s="1"/>
  <c r="J95" i="11"/>
  <c r="I95" i="11"/>
  <c r="H95" i="11"/>
  <c r="G95" i="11"/>
  <c r="F95" i="11"/>
  <c r="BF23" i="4" s="1"/>
  <c r="E95" i="11"/>
  <c r="BE23" i="4" s="1"/>
  <c r="D95" i="11"/>
  <c r="C95" i="11"/>
  <c r="BC23" i="4" s="1"/>
  <c r="N89" i="11"/>
  <c r="M89" i="11"/>
  <c r="L89" i="11"/>
  <c r="K89" i="11"/>
  <c r="J89" i="11"/>
  <c r="I89" i="11"/>
  <c r="H89" i="11"/>
  <c r="G89" i="11"/>
  <c r="F89" i="11"/>
  <c r="E89" i="11"/>
  <c r="D89" i="11"/>
  <c r="C89" i="11"/>
  <c r="N87" i="11"/>
  <c r="M87" i="11"/>
  <c r="L87" i="11"/>
  <c r="K87" i="11"/>
  <c r="J87" i="11"/>
  <c r="I87" i="11"/>
  <c r="H87" i="11"/>
  <c r="G87" i="11"/>
  <c r="F87" i="11"/>
  <c r="BF35" i="4" s="1"/>
  <c r="E87" i="11"/>
  <c r="BE35" i="4" s="1"/>
  <c r="D87" i="11"/>
  <c r="BD35" i="4" s="1"/>
  <c r="C87" i="11"/>
  <c r="BC35" i="4" s="1"/>
  <c r="N86" i="11"/>
  <c r="M86" i="11"/>
  <c r="L86" i="11"/>
  <c r="K86" i="11"/>
  <c r="J86" i="11"/>
  <c r="I86" i="11"/>
  <c r="H86" i="11"/>
  <c r="G86" i="11"/>
  <c r="F86" i="11"/>
  <c r="E86" i="11"/>
  <c r="D86" i="11"/>
  <c r="C86" i="11"/>
  <c r="N81" i="11"/>
  <c r="M81" i="11"/>
  <c r="L81" i="11"/>
  <c r="K81" i="11"/>
  <c r="J81" i="11"/>
  <c r="I81" i="11"/>
  <c r="H81" i="11"/>
  <c r="G81" i="11"/>
  <c r="F81" i="11"/>
  <c r="E81" i="11"/>
  <c r="D81" i="11"/>
  <c r="C81" i="11"/>
  <c r="N78" i="11"/>
  <c r="M78" i="11"/>
  <c r="L78" i="11"/>
  <c r="K78" i="11"/>
  <c r="J78" i="11"/>
  <c r="I78" i="11"/>
  <c r="H78" i="11"/>
  <c r="G78" i="11"/>
  <c r="F78" i="11"/>
  <c r="E78" i="11"/>
  <c r="D78" i="11"/>
  <c r="C78" i="11"/>
  <c r="N77" i="11"/>
  <c r="N76" i="11" s="1"/>
  <c r="N82" i="11" s="1"/>
  <c r="M77" i="11"/>
  <c r="M76" i="11" s="1"/>
  <c r="M82" i="11" s="1"/>
  <c r="L77" i="11"/>
  <c r="K77" i="11"/>
  <c r="J77" i="11"/>
  <c r="J76" i="11" s="1"/>
  <c r="J82" i="11" s="1"/>
  <c r="I77" i="11"/>
  <c r="I76" i="11" s="1"/>
  <c r="I82" i="11" s="1"/>
  <c r="H77" i="11"/>
  <c r="G77" i="11"/>
  <c r="F77" i="11"/>
  <c r="F76" i="11" s="1"/>
  <c r="F82" i="11" s="1"/>
  <c r="E77" i="11"/>
  <c r="E76" i="11" s="1"/>
  <c r="E82" i="11" s="1"/>
  <c r="D77" i="11"/>
  <c r="D76" i="11" s="1"/>
  <c r="D82" i="11" s="1"/>
  <c r="C77" i="11"/>
  <c r="C76" i="11" s="1"/>
  <c r="C82" i="11" s="1"/>
  <c r="N74" i="11"/>
  <c r="M74" i="11"/>
  <c r="L74" i="11"/>
  <c r="K74" i="11"/>
  <c r="J74" i="11"/>
  <c r="I74" i="11"/>
  <c r="H74" i="11"/>
  <c r="G74" i="11"/>
  <c r="F74" i="11"/>
  <c r="E74" i="11"/>
  <c r="D74" i="11"/>
  <c r="C74" i="11"/>
  <c r="N73" i="11"/>
  <c r="M73" i="11"/>
  <c r="L73" i="11"/>
  <c r="K73" i="11"/>
  <c r="J73" i="11"/>
  <c r="I73" i="11"/>
  <c r="H73" i="11"/>
  <c r="G73" i="11"/>
  <c r="F73" i="11"/>
  <c r="BF20" i="4" s="1"/>
  <c r="E73" i="11"/>
  <c r="BE20" i="4" s="1"/>
  <c r="D73" i="11"/>
  <c r="BD20" i="4" s="1"/>
  <c r="C73" i="11"/>
  <c r="BC20" i="4" s="1"/>
  <c r="N71" i="11"/>
  <c r="M71" i="11"/>
  <c r="L71" i="11"/>
  <c r="K71" i="11"/>
  <c r="J71" i="11"/>
  <c r="J70" i="11" s="1"/>
  <c r="J75" i="11" s="1"/>
  <c r="I71" i="11"/>
  <c r="H71" i="11"/>
  <c r="G71" i="11"/>
  <c r="F71" i="11"/>
  <c r="F88" i="11" s="1"/>
  <c r="E71" i="11"/>
  <c r="BE19" i="4" s="1"/>
  <c r="D71" i="11"/>
  <c r="BD19" i="4" s="1"/>
  <c r="C71" i="11"/>
  <c r="BC19" i="4" s="1"/>
  <c r="N70" i="11"/>
  <c r="N62" i="11"/>
  <c r="M62" i="11"/>
  <c r="L62" i="11"/>
  <c r="K62" i="11"/>
  <c r="J62" i="11"/>
  <c r="I62" i="11"/>
  <c r="H62" i="11"/>
  <c r="G62" i="11"/>
  <c r="F62" i="11"/>
  <c r="E62" i="11"/>
  <c r="D62" i="11"/>
  <c r="C62" i="11"/>
  <c r="N60" i="11"/>
  <c r="M60" i="11"/>
  <c r="L60" i="11"/>
  <c r="K60" i="11"/>
  <c r="J60" i="11"/>
  <c r="I60" i="11"/>
  <c r="H60" i="11"/>
  <c r="G60" i="11"/>
  <c r="F60" i="11"/>
  <c r="BF34" i="4" s="1"/>
  <c r="E60" i="11"/>
  <c r="BE34" i="4" s="1"/>
  <c r="D60" i="11"/>
  <c r="BD34" i="4" s="1"/>
  <c r="C60" i="11"/>
  <c r="BC34" i="4" s="1"/>
  <c r="N59" i="11"/>
  <c r="M59" i="11"/>
  <c r="L59" i="11"/>
  <c r="K59" i="11"/>
  <c r="J59" i="11"/>
  <c r="I59" i="11"/>
  <c r="H59" i="11"/>
  <c r="G59" i="11"/>
  <c r="F59" i="11"/>
  <c r="E59" i="11"/>
  <c r="D59" i="11"/>
  <c r="C59" i="11"/>
  <c r="N54" i="11"/>
  <c r="M54" i="11"/>
  <c r="L54" i="11"/>
  <c r="K54" i="11"/>
  <c r="J54" i="11"/>
  <c r="I54" i="11"/>
  <c r="H54" i="11"/>
  <c r="G54" i="11"/>
  <c r="F54" i="11"/>
  <c r="E54" i="11"/>
  <c r="D54" i="11"/>
  <c r="C54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N48" i="11"/>
  <c r="M48" i="11"/>
  <c r="L48" i="11"/>
  <c r="K48" i="11"/>
  <c r="J48" i="11"/>
  <c r="I48" i="11"/>
  <c r="H48" i="11"/>
  <c r="G48" i="11"/>
  <c r="F48" i="11"/>
  <c r="E48" i="11"/>
  <c r="D48" i="11"/>
  <c r="C48" i="11"/>
  <c r="N47" i="11"/>
  <c r="M47" i="11"/>
  <c r="L47" i="11"/>
  <c r="K47" i="11"/>
  <c r="J47" i="11"/>
  <c r="I47" i="11"/>
  <c r="H47" i="11"/>
  <c r="G47" i="11"/>
  <c r="F47" i="11"/>
  <c r="E47" i="11"/>
  <c r="D47" i="11"/>
  <c r="C47" i="11"/>
  <c r="N46" i="11"/>
  <c r="M46" i="11"/>
  <c r="L46" i="11"/>
  <c r="L45" i="11" s="1"/>
  <c r="L55" i="11" s="1"/>
  <c r="K46" i="11"/>
  <c r="J46" i="11"/>
  <c r="J45" i="11" s="1"/>
  <c r="J55" i="11" s="1"/>
  <c r="I46" i="11"/>
  <c r="I45" i="11" s="1"/>
  <c r="I55" i="11" s="1"/>
  <c r="H46" i="11"/>
  <c r="H45" i="11" s="1"/>
  <c r="H55" i="11" s="1"/>
  <c r="G46" i="11"/>
  <c r="G45" i="11" s="1"/>
  <c r="G55" i="11" s="1"/>
  <c r="F46" i="11"/>
  <c r="F45" i="11" s="1"/>
  <c r="F55" i="11" s="1"/>
  <c r="E46" i="11"/>
  <c r="E45" i="11" s="1"/>
  <c r="E55" i="11" s="1"/>
  <c r="D46" i="11"/>
  <c r="D45" i="11" s="1"/>
  <c r="D55" i="11" s="1"/>
  <c r="C46" i="11"/>
  <c r="N45" i="11"/>
  <c r="N55" i="11" s="1"/>
  <c r="N43" i="11"/>
  <c r="N140" i="11" s="1"/>
  <c r="M43" i="11"/>
  <c r="M140" i="11" s="1"/>
  <c r="L43" i="11"/>
  <c r="L140" i="11" s="1"/>
  <c r="K43" i="11"/>
  <c r="K140" i="11" s="1"/>
  <c r="J43" i="11"/>
  <c r="J140" i="11" s="1"/>
  <c r="I43" i="11"/>
  <c r="I140" i="11" s="1"/>
  <c r="H43" i="11"/>
  <c r="H140" i="11" s="1"/>
  <c r="G43" i="11"/>
  <c r="G140" i="11" s="1"/>
  <c r="F43" i="11"/>
  <c r="F140" i="11" s="1"/>
  <c r="E43" i="11"/>
  <c r="E140" i="11" s="1"/>
  <c r="D43" i="11"/>
  <c r="D140" i="11" s="1"/>
  <c r="C43" i="11"/>
  <c r="C140" i="11" s="1"/>
  <c r="N42" i="11"/>
  <c r="M42" i="11"/>
  <c r="L42" i="11"/>
  <c r="K42" i="11"/>
  <c r="J42" i="11"/>
  <c r="I42" i="11"/>
  <c r="H42" i="11"/>
  <c r="G42" i="11"/>
  <c r="F42" i="11"/>
  <c r="E42" i="11"/>
  <c r="D42" i="11"/>
  <c r="C42" i="11"/>
  <c r="N41" i="11"/>
  <c r="M41" i="11"/>
  <c r="L41" i="11"/>
  <c r="K41" i="11"/>
  <c r="J41" i="11"/>
  <c r="I41" i="11"/>
  <c r="H41" i="11"/>
  <c r="G41" i="11"/>
  <c r="F41" i="11"/>
  <c r="BF15" i="4" s="1"/>
  <c r="E41" i="11"/>
  <c r="BE15" i="4" s="1"/>
  <c r="D41" i="11"/>
  <c r="BD15" i="4" s="1"/>
  <c r="C41" i="11"/>
  <c r="BC15" i="4" s="1"/>
  <c r="N39" i="11"/>
  <c r="M39" i="11"/>
  <c r="L39" i="11"/>
  <c r="K39" i="11"/>
  <c r="J39" i="11"/>
  <c r="I39" i="11"/>
  <c r="H39" i="11"/>
  <c r="G39" i="11"/>
  <c r="F39" i="11"/>
  <c r="BF13" i="4" s="1"/>
  <c r="E39" i="11"/>
  <c r="BE13" i="4" s="1"/>
  <c r="D39" i="11"/>
  <c r="BD13" i="4" s="1"/>
  <c r="C39" i="11"/>
  <c r="BC13" i="4" s="1"/>
  <c r="N37" i="11"/>
  <c r="M37" i="11"/>
  <c r="L37" i="11"/>
  <c r="K37" i="11"/>
  <c r="J37" i="11"/>
  <c r="I37" i="11"/>
  <c r="H37" i="11"/>
  <c r="G37" i="11"/>
  <c r="F37" i="11"/>
  <c r="BF14" i="4" s="1"/>
  <c r="E37" i="11"/>
  <c r="BE14" i="4" s="1"/>
  <c r="D37" i="11"/>
  <c r="BD14" i="4" s="1"/>
  <c r="C37" i="11"/>
  <c r="BC14" i="4" s="1"/>
  <c r="N35" i="11"/>
  <c r="M35" i="11"/>
  <c r="L35" i="11"/>
  <c r="K35" i="11"/>
  <c r="J35" i="11"/>
  <c r="I35" i="11"/>
  <c r="H35" i="11"/>
  <c r="H34" i="11" s="1"/>
  <c r="H44" i="11" s="1"/>
  <c r="G35" i="11"/>
  <c r="F35" i="11"/>
  <c r="BF12" i="4" s="1"/>
  <c r="E35" i="11"/>
  <c r="BE12" i="4" s="1"/>
  <c r="D35" i="11"/>
  <c r="C35" i="11"/>
  <c r="BC12" i="4" s="1"/>
  <c r="N29" i="11"/>
  <c r="M29" i="11"/>
  <c r="L29" i="11"/>
  <c r="K29" i="11"/>
  <c r="J29" i="11"/>
  <c r="I29" i="11"/>
  <c r="H29" i="11"/>
  <c r="G29" i="11"/>
  <c r="F29" i="11"/>
  <c r="E29" i="11"/>
  <c r="D29" i="11"/>
  <c r="C29" i="11"/>
  <c r="N27" i="11"/>
  <c r="M27" i="11"/>
  <c r="L27" i="11"/>
  <c r="K27" i="11"/>
  <c r="J27" i="11"/>
  <c r="I27" i="11"/>
  <c r="H27" i="11"/>
  <c r="G27" i="11"/>
  <c r="F27" i="11"/>
  <c r="BF33" i="4" s="1"/>
  <c r="E27" i="11"/>
  <c r="BE33" i="4" s="1"/>
  <c r="D27" i="11"/>
  <c r="BD33" i="4" s="1"/>
  <c r="C27" i="11"/>
  <c r="BC33" i="4" s="1"/>
  <c r="N26" i="11"/>
  <c r="M26" i="11"/>
  <c r="L26" i="11"/>
  <c r="K26" i="11"/>
  <c r="J26" i="11"/>
  <c r="I26" i="11"/>
  <c r="H26" i="11"/>
  <c r="G26" i="11"/>
  <c r="F26" i="11"/>
  <c r="E26" i="11"/>
  <c r="D26" i="11"/>
  <c r="C26" i="11"/>
  <c r="K146" i="11"/>
  <c r="N21" i="11"/>
  <c r="M21" i="11"/>
  <c r="L21" i="11"/>
  <c r="K21" i="11"/>
  <c r="J21" i="11"/>
  <c r="I21" i="11"/>
  <c r="H21" i="11"/>
  <c r="G21" i="11"/>
  <c r="F21" i="11"/>
  <c r="E21" i="11"/>
  <c r="D21" i="11"/>
  <c r="C21" i="11"/>
  <c r="N18" i="11"/>
  <c r="M18" i="11"/>
  <c r="L18" i="11"/>
  <c r="K18" i="11"/>
  <c r="J18" i="11"/>
  <c r="I18" i="11"/>
  <c r="H18" i="11"/>
  <c r="G18" i="11"/>
  <c r="F18" i="11"/>
  <c r="E18" i="11"/>
  <c r="D18" i="11"/>
  <c r="C18" i="11"/>
  <c r="N17" i="11"/>
  <c r="M17" i="11"/>
  <c r="L17" i="11"/>
  <c r="K17" i="11"/>
  <c r="J17" i="11"/>
  <c r="I17" i="11"/>
  <c r="H17" i="11"/>
  <c r="G17" i="11"/>
  <c r="F17" i="11"/>
  <c r="E17" i="11"/>
  <c r="D17" i="11"/>
  <c r="C17" i="11"/>
  <c r="N16" i="11"/>
  <c r="M16" i="11"/>
  <c r="M15" i="11" s="1"/>
  <c r="L16" i="11"/>
  <c r="K16" i="11"/>
  <c r="K15" i="11" s="1"/>
  <c r="J16" i="11"/>
  <c r="J15" i="11" s="1"/>
  <c r="I16" i="11"/>
  <c r="I15" i="11" s="1"/>
  <c r="H16" i="11"/>
  <c r="G16" i="11"/>
  <c r="G15" i="11" s="1"/>
  <c r="F16" i="11"/>
  <c r="F15" i="11" s="1"/>
  <c r="E16" i="11"/>
  <c r="E15" i="11" s="1"/>
  <c r="D16" i="11"/>
  <c r="C16" i="11"/>
  <c r="C15" i="11" s="1"/>
  <c r="N15" i="11"/>
  <c r="N13" i="11"/>
  <c r="M13" i="11"/>
  <c r="L13" i="11"/>
  <c r="K13" i="11"/>
  <c r="J13" i="11"/>
  <c r="I13" i="11"/>
  <c r="H13" i="11"/>
  <c r="G13" i="11"/>
  <c r="F13" i="11"/>
  <c r="E13" i="11"/>
  <c r="D13" i="11"/>
  <c r="C13" i="11"/>
  <c r="N11" i="11"/>
  <c r="M11" i="11"/>
  <c r="L11" i="11"/>
  <c r="K11" i="11"/>
  <c r="J11" i="11"/>
  <c r="I11" i="11"/>
  <c r="H11" i="11"/>
  <c r="G11" i="11"/>
  <c r="F11" i="11"/>
  <c r="BF8" i="4" s="1"/>
  <c r="E11" i="11"/>
  <c r="BE8" i="4" s="1"/>
  <c r="D11" i="11"/>
  <c r="BD8" i="4" s="1"/>
  <c r="C11" i="11"/>
  <c r="BC8" i="4" s="1"/>
  <c r="N9" i="11"/>
  <c r="M9" i="11"/>
  <c r="L9" i="11"/>
  <c r="K9" i="11"/>
  <c r="J9" i="11"/>
  <c r="I9" i="11"/>
  <c r="H9" i="11"/>
  <c r="G9" i="11"/>
  <c r="F9" i="11"/>
  <c r="BF7" i="4" s="1"/>
  <c r="E9" i="11"/>
  <c r="BE7" i="4" s="1"/>
  <c r="D9" i="11"/>
  <c r="BD7" i="4" s="1"/>
  <c r="C9" i="11"/>
  <c r="BC7" i="4" s="1"/>
  <c r="N7" i="11"/>
  <c r="M7" i="11"/>
  <c r="L7" i="11"/>
  <c r="K7" i="11"/>
  <c r="J7" i="11"/>
  <c r="J6" i="11" s="1"/>
  <c r="I7" i="11"/>
  <c r="H7" i="11"/>
  <c r="G7" i="11"/>
  <c r="F7" i="11"/>
  <c r="BF6" i="4" s="1"/>
  <c r="E7" i="11"/>
  <c r="E6" i="11" s="1"/>
  <c r="D7" i="11"/>
  <c r="BD6" i="4" s="1"/>
  <c r="C7" i="11"/>
  <c r="BC6" i="4" s="1"/>
  <c r="N6" i="11"/>
  <c r="M6" i="11"/>
  <c r="D61" i="11" l="1"/>
  <c r="L61" i="11"/>
  <c r="K111" i="11"/>
  <c r="K112" i="11" s="1"/>
  <c r="N117" i="11"/>
  <c r="BD24" i="4"/>
  <c r="BC37" i="4"/>
  <c r="BE6" i="4"/>
  <c r="BF19" i="4"/>
  <c r="BF37" i="4"/>
  <c r="BF24" i="4"/>
  <c r="BE37" i="4"/>
  <c r="D115" i="11"/>
  <c r="BD12" i="4"/>
  <c r="BD23" i="4"/>
  <c r="BD37" i="4"/>
  <c r="K28" i="11"/>
  <c r="C136" i="11"/>
  <c r="G136" i="11"/>
  <c r="K136" i="11"/>
  <c r="K134" i="11"/>
  <c r="F61" i="11"/>
  <c r="N61" i="11"/>
  <c r="J152" i="11"/>
  <c r="D34" i="11"/>
  <c r="D38" i="11" s="1"/>
  <c r="K117" i="11"/>
  <c r="F152" i="11"/>
  <c r="N152" i="11"/>
  <c r="G130" i="11"/>
  <c r="D134" i="11"/>
  <c r="H134" i="11"/>
  <c r="L134" i="11"/>
  <c r="J61" i="11"/>
  <c r="P60" i="11"/>
  <c r="K61" i="11"/>
  <c r="D88" i="11"/>
  <c r="H88" i="11"/>
  <c r="L88" i="11"/>
  <c r="J83" i="11"/>
  <c r="I156" i="11"/>
  <c r="M156" i="11"/>
  <c r="H155" i="11"/>
  <c r="D94" i="11"/>
  <c r="D103" i="11" s="1"/>
  <c r="D110" i="11" s="1"/>
  <c r="L94" i="11"/>
  <c r="L98" i="11" s="1"/>
  <c r="N34" i="11"/>
  <c r="N38" i="11" s="1"/>
  <c r="O101" i="11"/>
  <c r="F28" i="11"/>
  <c r="F134" i="11"/>
  <c r="J134" i="11"/>
  <c r="N134" i="11"/>
  <c r="O18" i="11"/>
  <c r="H38" i="11"/>
  <c r="D40" i="11"/>
  <c r="M45" i="11"/>
  <c r="M55" i="11" s="1"/>
  <c r="E117" i="11"/>
  <c r="M117" i="11"/>
  <c r="E132" i="11"/>
  <c r="E155" i="11" s="1"/>
  <c r="F6" i="11"/>
  <c r="F14" i="11" s="1"/>
  <c r="C6" i="11"/>
  <c r="C10" i="11" s="1"/>
  <c r="K139" i="11"/>
  <c r="D145" i="11"/>
  <c r="H145" i="11"/>
  <c r="L145" i="11"/>
  <c r="L34" i="11"/>
  <c r="L38" i="11" s="1"/>
  <c r="O78" i="11"/>
  <c r="G76" i="11"/>
  <c r="G82" i="11" s="1"/>
  <c r="K76" i="11"/>
  <c r="K82" i="11" s="1"/>
  <c r="O81" i="11"/>
  <c r="J156" i="11"/>
  <c r="C115" i="11"/>
  <c r="G115" i="11"/>
  <c r="K96" i="11"/>
  <c r="K115" i="11"/>
  <c r="M132" i="11"/>
  <c r="M155" i="11" s="1"/>
  <c r="O138" i="11"/>
  <c r="D136" i="11"/>
  <c r="H136" i="11"/>
  <c r="L136" i="11"/>
  <c r="D139" i="11"/>
  <c r="H139" i="11"/>
  <c r="L139" i="11"/>
  <c r="O26" i="11"/>
  <c r="C28" i="11"/>
  <c r="G152" i="11"/>
  <c r="K152" i="11"/>
  <c r="C45" i="11"/>
  <c r="C55" i="11" s="1"/>
  <c r="K45" i="11"/>
  <c r="K55" i="11" s="1"/>
  <c r="O49" i="11"/>
  <c r="O51" i="11"/>
  <c r="H76" i="11"/>
  <c r="H82" i="11" s="1"/>
  <c r="L76" i="11"/>
  <c r="L82" i="11" s="1"/>
  <c r="O86" i="11"/>
  <c r="O87" i="11"/>
  <c r="E115" i="11"/>
  <c r="I115" i="11"/>
  <c r="M115" i="11"/>
  <c r="N132" i="11"/>
  <c r="N155" i="11" s="1"/>
  <c r="O151" i="11"/>
  <c r="O35" i="11"/>
  <c r="H40" i="11"/>
  <c r="F34" i="11"/>
  <c r="F36" i="11" s="1"/>
  <c r="J34" i="11"/>
  <c r="J44" i="11" s="1"/>
  <c r="J57" i="11" s="1"/>
  <c r="J58" i="11" s="1"/>
  <c r="H56" i="11"/>
  <c r="C70" i="11"/>
  <c r="C75" i="11" s="1"/>
  <c r="C83" i="11" s="1"/>
  <c r="G70" i="11"/>
  <c r="G72" i="11" s="1"/>
  <c r="K70" i="11"/>
  <c r="K75" i="11" s="1"/>
  <c r="K84" i="11" s="1"/>
  <c r="K85" i="11" s="1"/>
  <c r="M145" i="11"/>
  <c r="H156" i="11"/>
  <c r="L156" i="11"/>
  <c r="H94" i="11"/>
  <c r="H100" i="11" s="1"/>
  <c r="D155" i="11"/>
  <c r="E10" i="11"/>
  <c r="E14" i="11"/>
  <c r="M10" i="11"/>
  <c r="M14" i="11"/>
  <c r="E130" i="11"/>
  <c r="E28" i="11"/>
  <c r="E8" i="11"/>
  <c r="I130" i="11"/>
  <c r="I28" i="11"/>
  <c r="M130" i="11"/>
  <c r="M8" i="11"/>
  <c r="M28" i="11"/>
  <c r="E12" i="11"/>
  <c r="J142" i="11"/>
  <c r="J22" i="11"/>
  <c r="E142" i="11"/>
  <c r="E22" i="11"/>
  <c r="I142" i="11"/>
  <c r="I22" i="11"/>
  <c r="M22" i="11"/>
  <c r="J79" i="11"/>
  <c r="J80" i="11" s="1"/>
  <c r="J84" i="11"/>
  <c r="J85" i="11" s="1"/>
  <c r="E88" i="11"/>
  <c r="E70" i="11"/>
  <c r="E75" i="11" s="1"/>
  <c r="E83" i="11" s="1"/>
  <c r="I88" i="11"/>
  <c r="M70" i="11"/>
  <c r="M75" i="11" s="1"/>
  <c r="M83" i="11" s="1"/>
  <c r="M88" i="11"/>
  <c r="O73" i="11"/>
  <c r="F115" i="11"/>
  <c r="F94" i="11"/>
  <c r="F96" i="11" s="1"/>
  <c r="J115" i="11"/>
  <c r="J94" i="11"/>
  <c r="J98" i="11" s="1"/>
  <c r="N115" i="11"/>
  <c r="N94" i="11"/>
  <c r="N98" i="11" s="1"/>
  <c r="E94" i="11"/>
  <c r="E98" i="11" s="1"/>
  <c r="M94" i="11"/>
  <c r="M100" i="11" s="1"/>
  <c r="N14" i="11"/>
  <c r="N10" i="11"/>
  <c r="N142" i="11"/>
  <c r="N22" i="11"/>
  <c r="O37" i="11"/>
  <c r="N75" i="11"/>
  <c r="N83" i="11" s="1"/>
  <c r="O74" i="11"/>
  <c r="I6" i="11"/>
  <c r="I8" i="11" s="1"/>
  <c r="M12" i="11"/>
  <c r="N139" i="11"/>
  <c r="C22" i="11"/>
  <c r="G142" i="11"/>
  <c r="G22" i="11"/>
  <c r="K22" i="11"/>
  <c r="O16" i="11"/>
  <c r="E34" i="11"/>
  <c r="E44" i="11" s="1"/>
  <c r="E56" i="11" s="1"/>
  <c r="M34" i="11"/>
  <c r="I94" i="11"/>
  <c r="I96" i="11" s="1"/>
  <c r="O108" i="11"/>
  <c r="J14" i="11"/>
  <c r="J10" i="11"/>
  <c r="D28" i="11"/>
  <c r="D6" i="11"/>
  <c r="D8" i="11" s="1"/>
  <c r="D130" i="11"/>
  <c r="H28" i="11"/>
  <c r="H130" i="11"/>
  <c r="H6" i="11"/>
  <c r="H12" i="11" s="1"/>
  <c r="L130" i="11"/>
  <c r="L28" i="11"/>
  <c r="L6" i="11"/>
  <c r="L8" i="11" s="1"/>
  <c r="J136" i="11"/>
  <c r="J12" i="11"/>
  <c r="N136" i="11"/>
  <c r="N12" i="11"/>
  <c r="F142" i="11"/>
  <c r="F22" i="11"/>
  <c r="D15" i="11"/>
  <c r="H15" i="11"/>
  <c r="L15" i="11"/>
  <c r="O17" i="11"/>
  <c r="C146" i="11"/>
  <c r="I34" i="11"/>
  <c r="I40" i="11" s="1"/>
  <c r="H52" i="11"/>
  <c r="H53" i="11" s="1"/>
  <c r="H57" i="11"/>
  <c r="H58" i="11" s="1"/>
  <c r="O41" i="11"/>
  <c r="O47" i="11"/>
  <c r="O48" i="11"/>
  <c r="I70" i="11"/>
  <c r="I75" i="11" s="1"/>
  <c r="I83" i="11" s="1"/>
  <c r="S78" i="11"/>
  <c r="K110" i="11"/>
  <c r="K106" i="11"/>
  <c r="K107" i="11" s="1"/>
  <c r="F136" i="11"/>
  <c r="I139" i="11"/>
  <c r="E145" i="11"/>
  <c r="D146" i="11"/>
  <c r="L146" i="11"/>
  <c r="O27" i="11"/>
  <c r="G28" i="11"/>
  <c r="G34" i="11"/>
  <c r="G44" i="11" s="1"/>
  <c r="G56" i="11" s="1"/>
  <c r="O59" i="11"/>
  <c r="G61" i="11"/>
  <c r="N72" i="11"/>
  <c r="O95" i="11"/>
  <c r="F155" i="11"/>
  <c r="M109" i="11"/>
  <c r="O109" i="11" s="1"/>
  <c r="F117" i="11"/>
  <c r="C152" i="11"/>
  <c r="K6" i="11"/>
  <c r="N130" i="11"/>
  <c r="J139" i="11"/>
  <c r="F145" i="11"/>
  <c r="J145" i="11"/>
  <c r="E146" i="11"/>
  <c r="H152" i="11"/>
  <c r="N28" i="11"/>
  <c r="H36" i="11"/>
  <c r="O39" i="11"/>
  <c r="G94" i="11"/>
  <c r="G103" i="11" s="1"/>
  <c r="L115" i="11"/>
  <c r="C132" i="11"/>
  <c r="C117" i="11"/>
  <c r="G132" i="11"/>
  <c r="K132" i="11"/>
  <c r="K98" i="11"/>
  <c r="O97" i="11"/>
  <c r="O99" i="11"/>
  <c r="H115" i="11"/>
  <c r="G117" i="11"/>
  <c r="C134" i="11"/>
  <c r="G134" i="11"/>
  <c r="O9" i="11"/>
  <c r="O11" i="11"/>
  <c r="E139" i="11"/>
  <c r="M139" i="11"/>
  <c r="I145" i="11"/>
  <c r="H146" i="11"/>
  <c r="D156" i="11"/>
  <c r="C34" i="11"/>
  <c r="K34" i="11"/>
  <c r="K38" i="11" s="1"/>
  <c r="J72" i="11"/>
  <c r="G6" i="11"/>
  <c r="G12" i="11" s="1"/>
  <c r="F130" i="11"/>
  <c r="J130" i="11"/>
  <c r="F139" i="11"/>
  <c r="N145" i="11"/>
  <c r="I146" i="11"/>
  <c r="D152" i="11"/>
  <c r="L152" i="11"/>
  <c r="E156" i="11"/>
  <c r="O42" i="11"/>
  <c r="O140" i="11"/>
  <c r="O43" i="11"/>
  <c r="O50" i="11"/>
  <c r="C61" i="11"/>
  <c r="H61" i="11"/>
  <c r="F70" i="11"/>
  <c r="F75" i="11" s="1"/>
  <c r="F83" i="11" s="1"/>
  <c r="C88" i="11"/>
  <c r="G88" i="11"/>
  <c r="K88" i="11"/>
  <c r="O77" i="11"/>
  <c r="N88" i="11"/>
  <c r="C130" i="11"/>
  <c r="K130" i="11"/>
  <c r="O7" i="11"/>
  <c r="J8" i="11"/>
  <c r="N8" i="11"/>
  <c r="E134" i="11"/>
  <c r="I134" i="11"/>
  <c r="M134" i="11"/>
  <c r="E136" i="11"/>
  <c r="I136" i="11"/>
  <c r="M136" i="11"/>
  <c r="C139" i="11"/>
  <c r="G139" i="11"/>
  <c r="O13" i="11"/>
  <c r="C145" i="11"/>
  <c r="G145" i="11"/>
  <c r="K145" i="11"/>
  <c r="O21" i="11"/>
  <c r="F146" i="11"/>
  <c r="J146" i="11"/>
  <c r="J28" i="11"/>
  <c r="E61" i="11"/>
  <c r="I61" i="11"/>
  <c r="M61" i="11"/>
  <c r="O46" i="11"/>
  <c r="O54" i="11"/>
  <c r="D70" i="11"/>
  <c r="D75" i="11" s="1"/>
  <c r="D83" i="11" s="1"/>
  <c r="H70" i="11"/>
  <c r="L70" i="11"/>
  <c r="S77" i="11"/>
  <c r="J88" i="11"/>
  <c r="G156" i="11"/>
  <c r="K156" i="11"/>
  <c r="C94" i="11"/>
  <c r="C96" i="11" s="1"/>
  <c r="K100" i="11"/>
  <c r="O104" i="11"/>
  <c r="O105" i="11"/>
  <c r="O113" i="11"/>
  <c r="O114" i="11"/>
  <c r="O154" i="11"/>
  <c r="O116" i="11"/>
  <c r="J117" i="11"/>
  <c r="E152" i="11"/>
  <c r="I152" i="11"/>
  <c r="M152" i="11"/>
  <c r="C156" i="11"/>
  <c r="O71" i="11"/>
  <c r="F156" i="11"/>
  <c r="N156" i="11"/>
  <c r="O102" i="11"/>
  <c r="I117" i="11"/>
  <c r="L132" i="11"/>
  <c r="L117" i="11"/>
  <c r="D117" i="11"/>
  <c r="H117" i="11"/>
  <c r="N36" i="11" l="1"/>
  <c r="N40" i="11"/>
  <c r="D36" i="11"/>
  <c r="D44" i="11"/>
  <c r="D56" i="11" s="1"/>
  <c r="N44" i="11"/>
  <c r="N56" i="11" s="1"/>
  <c r="J96" i="11"/>
  <c r="G153" i="11"/>
  <c r="D96" i="11"/>
  <c r="E72" i="11"/>
  <c r="F8" i="11"/>
  <c r="F10" i="11"/>
  <c r="L100" i="11"/>
  <c r="J38" i="11"/>
  <c r="I72" i="11"/>
  <c r="L103" i="11"/>
  <c r="L110" i="11" s="1"/>
  <c r="L96" i="11"/>
  <c r="I36" i="11"/>
  <c r="C72" i="11"/>
  <c r="F12" i="11"/>
  <c r="O70" i="11"/>
  <c r="G98" i="11"/>
  <c r="K72" i="11"/>
  <c r="F44" i="11"/>
  <c r="F56" i="11" s="1"/>
  <c r="D98" i="11"/>
  <c r="G75" i="11"/>
  <c r="G83" i="11" s="1"/>
  <c r="K83" i="11"/>
  <c r="D72" i="11"/>
  <c r="O136" i="11"/>
  <c r="C12" i="11"/>
  <c r="F72" i="11"/>
  <c r="D100" i="11"/>
  <c r="F40" i="11"/>
  <c r="C8" i="11"/>
  <c r="J56" i="11"/>
  <c r="J36" i="11"/>
  <c r="K142" i="11"/>
  <c r="J52" i="11"/>
  <c r="J53" i="11" s="1"/>
  <c r="P115" i="11"/>
  <c r="M142" i="11"/>
  <c r="O82" i="11"/>
  <c r="O45" i="11"/>
  <c r="F38" i="11"/>
  <c r="H103" i="11"/>
  <c r="H106" i="11" s="1"/>
  <c r="H107" i="11" s="1"/>
  <c r="P28" i="11"/>
  <c r="C142" i="11"/>
  <c r="E100" i="11"/>
  <c r="J40" i="11"/>
  <c r="D12" i="11"/>
  <c r="L36" i="11"/>
  <c r="M96" i="11"/>
  <c r="L40" i="11"/>
  <c r="C14" i="11"/>
  <c r="C23" i="11" s="1"/>
  <c r="O76" i="11"/>
  <c r="L44" i="11"/>
  <c r="L56" i="11" s="1"/>
  <c r="H96" i="11"/>
  <c r="G36" i="11"/>
  <c r="O15" i="11"/>
  <c r="K79" i="11"/>
  <c r="K80" i="11" s="1"/>
  <c r="H98" i="11"/>
  <c r="K129" i="11"/>
  <c r="K131" i="11" s="1"/>
  <c r="K153" i="11"/>
  <c r="C129" i="11"/>
  <c r="C131" i="11" s="1"/>
  <c r="C153" i="11"/>
  <c r="O130" i="11"/>
  <c r="P61" i="11"/>
  <c r="K10" i="11"/>
  <c r="K8" i="11"/>
  <c r="K14" i="11"/>
  <c r="K23" i="11" s="1"/>
  <c r="G52" i="11"/>
  <c r="G53" i="11" s="1"/>
  <c r="G57" i="11"/>
  <c r="G58" i="11" s="1"/>
  <c r="H153" i="11"/>
  <c r="H129" i="11"/>
  <c r="M44" i="11"/>
  <c r="M38" i="11"/>
  <c r="E40" i="11"/>
  <c r="G147" i="11"/>
  <c r="N147" i="11"/>
  <c r="N23" i="11"/>
  <c r="N24" i="11"/>
  <c r="N25" i="11" s="1"/>
  <c r="N19" i="11"/>
  <c r="N103" i="11"/>
  <c r="N100" i="11"/>
  <c r="O6" i="11"/>
  <c r="M153" i="11"/>
  <c r="M129" i="11"/>
  <c r="M131" i="11" s="1"/>
  <c r="L155" i="11"/>
  <c r="H111" i="11"/>
  <c r="H112" i="11" s="1"/>
  <c r="H72" i="11"/>
  <c r="H75" i="11"/>
  <c r="O139" i="11"/>
  <c r="P88" i="11"/>
  <c r="K12" i="11"/>
  <c r="J129" i="11"/>
  <c r="J137" i="11" s="1"/>
  <c r="J153" i="11"/>
  <c r="P117" i="11"/>
  <c r="O152" i="11"/>
  <c r="G96" i="11"/>
  <c r="I44" i="11"/>
  <c r="I38" i="11"/>
  <c r="L142" i="11"/>
  <c r="L22" i="11"/>
  <c r="I103" i="11"/>
  <c r="I98" i="11"/>
  <c r="M40" i="11"/>
  <c r="G38" i="11"/>
  <c r="I100" i="11"/>
  <c r="N96" i="11"/>
  <c r="D111" i="11"/>
  <c r="D112" i="11" s="1"/>
  <c r="D106" i="11"/>
  <c r="D107" i="11" s="1"/>
  <c r="M72" i="11"/>
  <c r="E84" i="11"/>
  <c r="E85" i="11" s="1"/>
  <c r="T76" i="11"/>
  <c r="T77" i="11" s="1"/>
  <c r="E79" i="11"/>
  <c r="E80" i="11" s="1"/>
  <c r="M23" i="11"/>
  <c r="M147" i="11"/>
  <c r="E23" i="11"/>
  <c r="E147" i="11"/>
  <c r="E19" i="11"/>
  <c r="U15" i="11"/>
  <c r="E24" i="11"/>
  <c r="E25" i="11" s="1"/>
  <c r="O34" i="11"/>
  <c r="C44" i="11"/>
  <c r="C56" i="11" s="1"/>
  <c r="O134" i="11"/>
  <c r="C155" i="11"/>
  <c r="O132" i="11"/>
  <c r="L72" i="11"/>
  <c r="L75" i="11"/>
  <c r="G155" i="11"/>
  <c r="G106" i="11"/>
  <c r="G107" i="11" s="1"/>
  <c r="G111" i="11"/>
  <c r="G112" i="11" s="1"/>
  <c r="F147" i="11"/>
  <c r="F23" i="11"/>
  <c r="L14" i="11"/>
  <c r="L10" i="11"/>
  <c r="J103" i="11"/>
  <c r="J100" i="11"/>
  <c r="C103" i="11"/>
  <c r="C100" i="11"/>
  <c r="O94" i="11"/>
  <c r="D79" i="11"/>
  <c r="D80" i="11" s="1"/>
  <c r="D84" i="11"/>
  <c r="D85" i="11" s="1"/>
  <c r="M36" i="11"/>
  <c r="E36" i="11"/>
  <c r="O145" i="11"/>
  <c r="L12" i="11"/>
  <c r="F79" i="11"/>
  <c r="F80" i="11" s="1"/>
  <c r="F84" i="11"/>
  <c r="F85" i="11" s="1"/>
  <c r="C36" i="11"/>
  <c r="F129" i="11"/>
  <c r="F131" i="11" s="1"/>
  <c r="F153" i="11"/>
  <c r="G110" i="11"/>
  <c r="K40" i="11"/>
  <c r="K44" i="11"/>
  <c r="K36" i="11"/>
  <c r="G100" i="11"/>
  <c r="C98" i="11"/>
  <c r="S16" i="11"/>
  <c r="I79" i="11"/>
  <c r="I80" i="11" s="1"/>
  <c r="I84" i="11"/>
  <c r="I85" i="11" s="1"/>
  <c r="O55" i="11"/>
  <c r="E38" i="11"/>
  <c r="O146" i="11"/>
  <c r="H142" i="11"/>
  <c r="H22" i="11"/>
  <c r="C19" i="11"/>
  <c r="L153" i="11"/>
  <c r="L129" i="11"/>
  <c r="L131" i="11" s="1"/>
  <c r="D153" i="11"/>
  <c r="D129" i="11"/>
  <c r="J24" i="11"/>
  <c r="J25" i="11" s="1"/>
  <c r="J19" i="11"/>
  <c r="K147" i="11"/>
  <c r="G129" i="11"/>
  <c r="G133" i="11" s="1"/>
  <c r="C38" i="11"/>
  <c r="F24" i="11"/>
  <c r="F25" i="11" s="1"/>
  <c r="F19" i="11"/>
  <c r="E96" i="11"/>
  <c r="E103" i="11"/>
  <c r="F103" i="11"/>
  <c r="F98" i="11"/>
  <c r="F100" i="11"/>
  <c r="M79" i="11"/>
  <c r="M80" i="11" s="1"/>
  <c r="M84" i="11"/>
  <c r="M85" i="11" s="1"/>
  <c r="G40" i="11"/>
  <c r="E153" i="11"/>
  <c r="E129" i="11"/>
  <c r="E131" i="11" s="1"/>
  <c r="C84" i="11"/>
  <c r="C79" i="11"/>
  <c r="G10" i="11"/>
  <c r="G14" i="11"/>
  <c r="G8" i="11"/>
  <c r="N129" i="11"/>
  <c r="N131" i="11" s="1"/>
  <c r="N153" i="11"/>
  <c r="D142" i="11"/>
  <c r="D22" i="11"/>
  <c r="H14" i="11"/>
  <c r="H10" i="11"/>
  <c r="H8" i="11"/>
  <c r="D14" i="11"/>
  <c r="D10" i="11"/>
  <c r="E57" i="11"/>
  <c r="E58" i="11" s="1"/>
  <c r="E52" i="11"/>
  <c r="E53" i="11" s="1"/>
  <c r="C147" i="11"/>
  <c r="I14" i="11"/>
  <c r="I23" i="11" s="1"/>
  <c r="I10" i="11"/>
  <c r="I12" i="11"/>
  <c r="N79" i="11"/>
  <c r="N80" i="11" s="1"/>
  <c r="N84" i="11"/>
  <c r="N85" i="11" s="1"/>
  <c r="S18" i="11"/>
  <c r="M103" i="11"/>
  <c r="M98" i="11"/>
  <c r="C40" i="11"/>
  <c r="I147" i="11"/>
  <c r="J147" i="11"/>
  <c r="J23" i="11"/>
  <c r="I153" i="11"/>
  <c r="I129" i="11"/>
  <c r="I131" i="11" s="1"/>
  <c r="M19" i="11"/>
  <c r="M24" i="11"/>
  <c r="M25" i="11" s="1"/>
  <c r="S17" i="11"/>
  <c r="C24" i="11" l="1"/>
  <c r="D52" i="11"/>
  <c r="D53" i="11" s="1"/>
  <c r="N57" i="11"/>
  <c r="N58" i="11" s="1"/>
  <c r="N52" i="11"/>
  <c r="N53" i="11" s="1"/>
  <c r="D57" i="11"/>
  <c r="D58" i="11" s="1"/>
  <c r="F52" i="11"/>
  <c r="F53" i="11" s="1"/>
  <c r="K133" i="11"/>
  <c r="P72" i="11"/>
  <c r="C135" i="11"/>
  <c r="O22" i="11"/>
  <c r="L111" i="11"/>
  <c r="L112" i="11" s="1"/>
  <c r="L106" i="11"/>
  <c r="L107" i="11" s="1"/>
  <c r="M135" i="11"/>
  <c r="M137" i="11"/>
  <c r="F57" i="11"/>
  <c r="F58" i="11" s="1"/>
  <c r="P56" i="11"/>
  <c r="H110" i="11"/>
  <c r="L57" i="11"/>
  <c r="L58" i="11" s="1"/>
  <c r="C133" i="11"/>
  <c r="I137" i="11"/>
  <c r="E137" i="11"/>
  <c r="P36" i="11"/>
  <c r="O75" i="11"/>
  <c r="F137" i="11"/>
  <c r="P12" i="11"/>
  <c r="G79" i="11"/>
  <c r="G80" i="11" s="1"/>
  <c r="P96" i="11"/>
  <c r="P8" i="11"/>
  <c r="P38" i="11"/>
  <c r="G84" i="11"/>
  <c r="G85" i="11" s="1"/>
  <c r="O142" i="11"/>
  <c r="T78" i="11"/>
  <c r="L52" i="11"/>
  <c r="L53" i="11" s="1"/>
  <c r="P155" i="11"/>
  <c r="P10" i="11"/>
  <c r="O14" i="11"/>
  <c r="M20" i="11"/>
  <c r="P40" i="11"/>
  <c r="M111" i="11"/>
  <c r="M112" i="11" s="1"/>
  <c r="M106" i="11"/>
  <c r="M107" i="11" s="1"/>
  <c r="E111" i="11"/>
  <c r="E112" i="11" s="1"/>
  <c r="E106" i="11"/>
  <c r="E107" i="11" s="1"/>
  <c r="S103" i="11"/>
  <c r="E110" i="11"/>
  <c r="J20" i="11"/>
  <c r="H147" i="11"/>
  <c r="H23" i="11"/>
  <c r="K57" i="11"/>
  <c r="K58" i="11" s="1"/>
  <c r="K52" i="11"/>
  <c r="K53" i="11" s="1"/>
  <c r="K56" i="11"/>
  <c r="J111" i="11"/>
  <c r="J112" i="11" s="1"/>
  <c r="J106" i="11"/>
  <c r="J107" i="11" s="1"/>
  <c r="J110" i="11"/>
  <c r="J141" i="11"/>
  <c r="J149" i="11" s="1"/>
  <c r="J150" i="11" s="1"/>
  <c r="J133" i="11"/>
  <c r="J135" i="11"/>
  <c r="H141" i="11"/>
  <c r="H149" i="11" s="1"/>
  <c r="H150" i="11" s="1"/>
  <c r="H133" i="11"/>
  <c r="H135" i="11"/>
  <c r="H137" i="11"/>
  <c r="I141" i="11"/>
  <c r="I149" i="11" s="1"/>
  <c r="I150" i="11" s="1"/>
  <c r="I133" i="11"/>
  <c r="U18" i="11"/>
  <c r="H24" i="11"/>
  <c r="H25" i="11" s="1"/>
  <c r="H19" i="11"/>
  <c r="G19" i="11"/>
  <c r="G24" i="11"/>
  <c r="G25" i="11" s="1"/>
  <c r="L141" i="11"/>
  <c r="L149" i="11" s="1"/>
  <c r="L150" i="11" s="1"/>
  <c r="L137" i="11"/>
  <c r="L135" i="11"/>
  <c r="U16" i="11"/>
  <c r="F141" i="11"/>
  <c r="F149" i="11" s="1"/>
  <c r="F150" i="11" s="1"/>
  <c r="F135" i="11"/>
  <c r="F133" i="11"/>
  <c r="P100" i="11"/>
  <c r="L84" i="11"/>
  <c r="L85" i="11" s="1"/>
  <c r="L79" i="11"/>
  <c r="L80" i="11" s="1"/>
  <c r="L83" i="11"/>
  <c r="E20" i="11"/>
  <c r="N111" i="11"/>
  <c r="N112" i="11" s="1"/>
  <c r="N106" i="11"/>
  <c r="N107" i="11" s="1"/>
  <c r="N110" i="11"/>
  <c r="H131" i="11"/>
  <c r="P153" i="11"/>
  <c r="C80" i="11"/>
  <c r="C52" i="11"/>
  <c r="C57" i="11"/>
  <c r="O44" i="11"/>
  <c r="M141" i="11"/>
  <c r="M149" i="11" s="1"/>
  <c r="M150" i="11" s="1"/>
  <c r="M133" i="11"/>
  <c r="I19" i="11"/>
  <c r="I24" i="11"/>
  <c r="I25" i="11" s="1"/>
  <c r="D24" i="11"/>
  <c r="D25" i="11" s="1"/>
  <c r="D19" i="11"/>
  <c r="T15" i="11"/>
  <c r="D147" i="11"/>
  <c r="D23" i="11"/>
  <c r="C85" i="11"/>
  <c r="F20" i="11"/>
  <c r="D141" i="11"/>
  <c r="D135" i="11"/>
  <c r="D137" i="11"/>
  <c r="D133" i="11"/>
  <c r="C20" i="11"/>
  <c r="M110" i="11"/>
  <c r="G135" i="11"/>
  <c r="C111" i="11"/>
  <c r="C106" i="11"/>
  <c r="O103" i="11"/>
  <c r="C110" i="11"/>
  <c r="I111" i="11"/>
  <c r="I112" i="11" s="1"/>
  <c r="I106" i="11"/>
  <c r="I107" i="11" s="1"/>
  <c r="I110" i="11"/>
  <c r="I57" i="11"/>
  <c r="I58" i="11" s="1"/>
  <c r="I52" i="11"/>
  <c r="I53" i="11" s="1"/>
  <c r="I56" i="11"/>
  <c r="J131" i="11"/>
  <c r="H79" i="11"/>
  <c r="H80" i="11" s="1"/>
  <c r="H84" i="11"/>
  <c r="H85" i="11" s="1"/>
  <c r="H83" i="11"/>
  <c r="P83" i="11" s="1"/>
  <c r="N20" i="11"/>
  <c r="G23" i="11"/>
  <c r="M57" i="11"/>
  <c r="M58" i="11" s="1"/>
  <c r="M52" i="11"/>
  <c r="M53" i="11" s="1"/>
  <c r="M56" i="11"/>
  <c r="U17" i="11"/>
  <c r="N141" i="11"/>
  <c r="N149" i="11" s="1"/>
  <c r="N150" i="11" s="1"/>
  <c r="N135" i="11"/>
  <c r="N133" i="11"/>
  <c r="E141" i="11"/>
  <c r="E149" i="11" s="1"/>
  <c r="E150" i="11" s="1"/>
  <c r="E133" i="11"/>
  <c r="F111" i="11"/>
  <c r="F112" i="11" s="1"/>
  <c r="F106" i="11"/>
  <c r="F107" i="11" s="1"/>
  <c r="F110" i="11"/>
  <c r="G141" i="11"/>
  <c r="G149" i="11" s="1"/>
  <c r="G150" i="11" s="1"/>
  <c r="G137" i="11"/>
  <c r="G131" i="11"/>
  <c r="D131" i="11"/>
  <c r="C25" i="11"/>
  <c r="P98" i="11"/>
  <c r="E135" i="11"/>
  <c r="L24" i="11"/>
  <c r="L25" i="11" s="1"/>
  <c r="L19" i="11"/>
  <c r="L147" i="11"/>
  <c r="L23" i="11"/>
  <c r="I135" i="11"/>
  <c r="L133" i="11"/>
  <c r="N137" i="11"/>
  <c r="K24" i="11"/>
  <c r="K25" i="11" s="1"/>
  <c r="K19" i="11"/>
  <c r="C141" i="11"/>
  <c r="C148" i="11" s="1"/>
  <c r="O129" i="11"/>
  <c r="C137" i="11"/>
  <c r="K141" i="11"/>
  <c r="K149" i="11" s="1"/>
  <c r="K150" i="11" s="1"/>
  <c r="K135" i="11"/>
  <c r="K137" i="11"/>
  <c r="F148" i="11" l="1"/>
  <c r="P131" i="11"/>
  <c r="L148" i="11"/>
  <c r="J148" i="11"/>
  <c r="P135" i="11"/>
  <c r="P80" i="11"/>
  <c r="O19" i="11"/>
  <c r="P23" i="11"/>
  <c r="N143" i="11"/>
  <c r="F143" i="11"/>
  <c r="F144" i="11" s="1"/>
  <c r="P133" i="11"/>
  <c r="D148" i="11"/>
  <c r="P25" i="11"/>
  <c r="N148" i="11"/>
  <c r="M148" i="11"/>
  <c r="H148" i="11"/>
  <c r="I148" i="11"/>
  <c r="C107" i="11"/>
  <c r="P107" i="11" s="1"/>
  <c r="O106" i="11"/>
  <c r="O79" i="11"/>
  <c r="K143" i="11"/>
  <c r="K144" i="11" s="1"/>
  <c r="K20" i="11"/>
  <c r="E148" i="11"/>
  <c r="C112" i="11"/>
  <c r="P112" i="11" s="1"/>
  <c r="O111" i="11"/>
  <c r="P85" i="11"/>
  <c r="I143" i="11"/>
  <c r="I144" i="11" s="1"/>
  <c r="I20" i="11"/>
  <c r="C58" i="11"/>
  <c r="P58" i="11" s="1"/>
  <c r="O57" i="11"/>
  <c r="E143" i="11"/>
  <c r="E144" i="11" s="1"/>
  <c r="H143" i="11"/>
  <c r="H144" i="11" s="1"/>
  <c r="H20" i="11"/>
  <c r="J143" i="11"/>
  <c r="J144" i="11" s="1"/>
  <c r="O141" i="11"/>
  <c r="C149" i="11"/>
  <c r="G148" i="11"/>
  <c r="G20" i="11"/>
  <c r="G143" i="11"/>
  <c r="G144" i="11" s="1"/>
  <c r="P137" i="11"/>
  <c r="L143" i="11"/>
  <c r="L144" i="11" s="1"/>
  <c r="L20" i="11"/>
  <c r="O24" i="11"/>
  <c r="O147" i="11"/>
  <c r="N144" i="11"/>
  <c r="P110" i="11"/>
  <c r="C143" i="11"/>
  <c r="D149" i="11"/>
  <c r="D150" i="11" s="1"/>
  <c r="R9" i="11"/>
  <c r="R10" i="11" s="1"/>
  <c r="O84" i="11"/>
  <c r="D143" i="11"/>
  <c r="D144" i="11" s="1"/>
  <c r="D20" i="11"/>
  <c r="C53" i="11"/>
  <c r="P53" i="11" s="1"/>
  <c r="O52" i="11"/>
  <c r="K148" i="11"/>
  <c r="M143" i="11"/>
  <c r="M144" i="11" s="1"/>
  <c r="P20" i="11" l="1"/>
  <c r="P148" i="11"/>
  <c r="C144" i="11"/>
  <c r="P144" i="11" s="1"/>
  <c r="O143" i="11"/>
  <c r="C150" i="11"/>
  <c r="P150" i="11" s="1"/>
  <c r="O149" i="11"/>
  <c r="BA45" i="4" l="1"/>
  <c r="AZ45" i="4"/>
  <c r="AY45" i="4"/>
  <c r="AV44" i="4"/>
  <c r="AW44" i="4"/>
  <c r="AX44" i="4"/>
  <c r="AY44" i="4"/>
  <c r="AZ44" i="4"/>
  <c r="BA44" i="4"/>
  <c r="AV43" i="4"/>
  <c r="AW43" i="4"/>
  <c r="AX43" i="4"/>
  <c r="AY43" i="4"/>
  <c r="AZ43" i="4"/>
  <c r="BA43" i="4"/>
  <c r="AV42" i="4"/>
  <c r="AW42" i="4"/>
  <c r="AX42" i="4"/>
  <c r="AY42" i="4"/>
  <c r="AZ42" i="4"/>
  <c r="BA42" i="4"/>
  <c r="AV41" i="4"/>
  <c r="AW41" i="4"/>
  <c r="AX41" i="4"/>
  <c r="AY41" i="4"/>
  <c r="AZ41" i="4"/>
  <c r="BA41" i="4"/>
  <c r="BA49" i="4" s="1"/>
  <c r="AV37" i="4"/>
  <c r="AW37" i="4"/>
  <c r="AX37" i="4"/>
  <c r="AY37" i="4"/>
  <c r="AZ37" i="4"/>
  <c r="BA37" i="4"/>
  <c r="AV36" i="4"/>
  <c r="AW36" i="4"/>
  <c r="AX36" i="4"/>
  <c r="AY36" i="4"/>
  <c r="AZ36" i="4"/>
  <c r="BA36" i="4"/>
  <c r="AV35" i="4"/>
  <c r="AW35" i="4"/>
  <c r="AX35" i="4"/>
  <c r="AY35" i="4"/>
  <c r="AZ35" i="4"/>
  <c r="BA35" i="4"/>
  <c r="AV34" i="4"/>
  <c r="AW34" i="4"/>
  <c r="AX34" i="4"/>
  <c r="AY34" i="4"/>
  <c r="AZ34" i="4"/>
  <c r="BA34" i="4"/>
  <c r="AV33" i="4"/>
  <c r="AW33" i="4"/>
  <c r="AX33" i="4"/>
  <c r="AY33" i="4"/>
  <c r="AZ33" i="4"/>
  <c r="BA33" i="4"/>
  <c r="AV26" i="4"/>
  <c r="AW26" i="4"/>
  <c r="AX26" i="4"/>
  <c r="AY26" i="4"/>
  <c r="AZ26" i="4"/>
  <c r="BA26" i="4"/>
  <c r="AV25" i="4"/>
  <c r="AW25" i="4"/>
  <c r="AX25" i="4"/>
  <c r="AY25" i="4"/>
  <c r="AZ25" i="4"/>
  <c r="BA25" i="4"/>
  <c r="AV24" i="4"/>
  <c r="AW24" i="4"/>
  <c r="AX24" i="4"/>
  <c r="AY24" i="4"/>
  <c r="AZ24" i="4"/>
  <c r="BA24" i="4"/>
  <c r="AV23" i="4"/>
  <c r="AW23" i="4"/>
  <c r="AX23" i="4"/>
  <c r="AY23" i="4"/>
  <c r="AZ23" i="4"/>
  <c r="BA23" i="4"/>
  <c r="AV20" i="4"/>
  <c r="AW20" i="4"/>
  <c r="AX20" i="4"/>
  <c r="AY20" i="4"/>
  <c r="AZ20" i="4"/>
  <c r="BA20" i="4"/>
  <c r="AV19" i="4"/>
  <c r="AW19" i="4"/>
  <c r="AX19" i="4"/>
  <c r="AY19" i="4"/>
  <c r="AZ19" i="4"/>
  <c r="BA19" i="4"/>
  <c r="AV15" i="4"/>
  <c r="AW15" i="4"/>
  <c r="AX15" i="4"/>
  <c r="AY15" i="4"/>
  <c r="AZ15" i="4"/>
  <c r="BA15" i="4"/>
  <c r="AV14" i="4"/>
  <c r="AW14" i="4"/>
  <c r="AX14" i="4"/>
  <c r="AY14" i="4"/>
  <c r="AZ14" i="4"/>
  <c r="BA14" i="4"/>
  <c r="AV13" i="4"/>
  <c r="AW13" i="4"/>
  <c r="AX13" i="4"/>
  <c r="AY13" i="4"/>
  <c r="AZ13" i="4"/>
  <c r="BA13" i="4"/>
  <c r="AV12" i="4"/>
  <c r="AW12" i="4"/>
  <c r="AX12" i="4"/>
  <c r="AY12" i="4"/>
  <c r="AZ12" i="4"/>
  <c r="BA12" i="4"/>
  <c r="AV7" i="4"/>
  <c r="AW7" i="4"/>
  <c r="AW49" i="4" s="1"/>
  <c r="AX7" i="4"/>
  <c r="AY7" i="4"/>
  <c r="AZ7" i="4"/>
  <c r="AV6" i="4"/>
  <c r="AW6" i="4"/>
  <c r="AX6" i="4"/>
  <c r="AY6" i="4"/>
  <c r="AZ6" i="4"/>
  <c r="BA6" i="4"/>
  <c r="BA30" i="4" l="1"/>
  <c r="AW30" i="4"/>
  <c r="AY30" i="4"/>
  <c r="AX30" i="4"/>
  <c r="AZ49" i="4"/>
  <c r="AY49" i="4"/>
  <c r="AW52" i="4"/>
  <c r="AX49" i="4"/>
  <c r="AV52" i="4"/>
  <c r="AV49" i="4"/>
  <c r="AZ30" i="4"/>
  <c r="AV30" i="4"/>
  <c r="D22" i="9"/>
  <c r="E22" i="9"/>
  <c r="F22" i="9"/>
  <c r="G22" i="9"/>
  <c r="H22" i="9"/>
  <c r="I22" i="9"/>
  <c r="J22" i="9"/>
  <c r="K22" i="9"/>
  <c r="L22" i="9"/>
  <c r="M22" i="9"/>
  <c r="C22" i="9"/>
  <c r="D21" i="9"/>
  <c r="E21" i="9"/>
  <c r="E23" i="9" s="1"/>
  <c r="F21" i="9"/>
  <c r="G21" i="9"/>
  <c r="G23" i="9" s="1"/>
  <c r="H21" i="9"/>
  <c r="I21" i="9"/>
  <c r="I23" i="9" s="1"/>
  <c r="J21" i="9"/>
  <c r="K21" i="9"/>
  <c r="K23" i="9" s="1"/>
  <c r="L21" i="9"/>
  <c r="L23" i="9" s="1"/>
  <c r="M21" i="9"/>
  <c r="M23" i="9" s="1"/>
  <c r="C21" i="9"/>
  <c r="C23" i="9" s="1"/>
  <c r="H23" i="9" l="1"/>
  <c r="D23" i="9"/>
  <c r="J23" i="9"/>
  <c r="F23" i="9"/>
  <c r="K18" i="8"/>
  <c r="L18" i="8"/>
  <c r="M18" i="8"/>
  <c r="N18" i="8"/>
  <c r="O18" i="8"/>
  <c r="Q18" i="8"/>
  <c r="R18" i="8"/>
  <c r="S18" i="8"/>
  <c r="T18" i="8"/>
  <c r="U18" i="8"/>
  <c r="V18" i="8"/>
  <c r="P18" i="8"/>
  <c r="D7" i="9"/>
  <c r="D8" i="9" s="1"/>
  <c r="E7" i="9"/>
  <c r="E8" i="9" s="1"/>
  <c r="F7" i="9"/>
  <c r="F8" i="9" s="1"/>
  <c r="G7" i="9"/>
  <c r="G8" i="9" s="1"/>
  <c r="H7" i="9"/>
  <c r="H8" i="9" s="1"/>
  <c r="I7" i="9"/>
  <c r="I8" i="9" s="1"/>
  <c r="J7" i="9"/>
  <c r="J8" i="9" s="1"/>
  <c r="K7" i="9"/>
  <c r="K8" i="9" s="1"/>
  <c r="L7" i="9"/>
  <c r="L8" i="9" s="1"/>
  <c r="M7" i="9"/>
  <c r="M8" i="9" s="1"/>
  <c r="C7" i="9"/>
  <c r="C8" i="9" s="1"/>
  <c r="CR12" i="4" l="1"/>
  <c r="CS12" i="4"/>
  <c r="CS16" i="4" s="1"/>
  <c r="CT12" i="4"/>
  <c r="CT16" i="4" s="1"/>
  <c r="CU12" i="4"/>
  <c r="CU16" i="4" s="1"/>
  <c r="CV12" i="4"/>
  <c r="CW12" i="4"/>
  <c r="CW16" i="4" s="1"/>
  <c r="CX12" i="4"/>
  <c r="CX16" i="4" s="1"/>
  <c r="CQ12" i="4"/>
  <c r="CQ16" i="4" s="1"/>
  <c r="CR16" i="4"/>
  <c r="CV16" i="4"/>
  <c r="CT3" i="4" l="1"/>
  <c r="CU3" i="4"/>
  <c r="CV3" i="4"/>
  <c r="CW3" i="4"/>
  <c r="CX3" i="4"/>
  <c r="AV8" i="5" l="1"/>
  <c r="AW8" i="5"/>
  <c r="AX8" i="5"/>
  <c r="AY8" i="5"/>
  <c r="AZ8" i="5"/>
  <c r="BA8" i="5"/>
  <c r="BC8" i="5"/>
  <c r="BD8" i="5"/>
  <c r="BE8" i="5"/>
  <c r="BF8" i="5"/>
  <c r="BG8" i="5"/>
  <c r="BH8" i="5"/>
  <c r="BI8" i="5"/>
  <c r="BJ8" i="5"/>
  <c r="BK8" i="5"/>
  <c r="BL8" i="5"/>
  <c r="BM8" i="5"/>
  <c r="BN8" i="5"/>
  <c r="AV7" i="5"/>
  <c r="AW7" i="5"/>
  <c r="AX7" i="5"/>
  <c r="AY7" i="5"/>
  <c r="AZ7" i="5"/>
  <c r="BA7" i="5"/>
  <c r="BC7" i="5"/>
  <c r="BD7" i="5"/>
  <c r="BE7" i="5"/>
  <c r="BF7" i="5"/>
  <c r="BG7" i="5"/>
  <c r="BH7" i="5"/>
  <c r="BI7" i="5"/>
  <c r="BJ7" i="5"/>
  <c r="BK7" i="5"/>
  <c r="BL7" i="5"/>
  <c r="BM7" i="5"/>
  <c r="BN7" i="5"/>
  <c r="B4" i="8" l="1"/>
  <c r="C4" i="8"/>
  <c r="D4" i="8"/>
  <c r="E4" i="8"/>
  <c r="F4" i="8"/>
  <c r="G4" i="8"/>
  <c r="H4" i="8"/>
  <c r="I4" i="8"/>
  <c r="J4" i="8"/>
  <c r="K4" i="8"/>
  <c r="L4" i="8"/>
  <c r="A4" i="8"/>
  <c r="BO26" i="4" l="1"/>
  <c r="BO25" i="4"/>
  <c r="BO20" i="4"/>
  <c r="BO15" i="4"/>
  <c r="BO14" i="4"/>
  <c r="BO13" i="4"/>
  <c r="BO8" i="4"/>
  <c r="CQ8" i="4" s="1"/>
  <c r="CR8" i="4" s="1"/>
  <c r="CS8" i="4" s="1"/>
  <c r="CT8" i="4" s="1"/>
  <c r="CU8" i="4" s="1"/>
  <c r="CV8" i="4" s="1"/>
  <c r="CW8" i="4" s="1"/>
  <c r="CX8" i="4" s="1"/>
  <c r="BO7" i="4"/>
  <c r="BB8" i="4"/>
  <c r="CQ7" i="4" l="1"/>
  <c r="DE4" i="4"/>
  <c r="BO7" i="5"/>
  <c r="BO8" i="5"/>
  <c r="BO30" i="4"/>
  <c r="CR7" i="4" l="1"/>
  <c r="DF4" i="4"/>
  <c r="AD45" i="4"/>
  <c r="AE45" i="4"/>
  <c r="AF45" i="4"/>
  <c r="AG45" i="4"/>
  <c r="AH45" i="4"/>
  <c r="AI45" i="4"/>
  <c r="AJ45" i="4"/>
  <c r="AK45" i="4"/>
  <c r="CK45" i="4" s="1"/>
  <c r="AL45" i="4"/>
  <c r="CL45" i="4" s="1"/>
  <c r="AM45" i="4"/>
  <c r="CM45" i="4" s="1"/>
  <c r="AN45" i="4"/>
  <c r="CN45" i="4" s="1"/>
  <c r="CS7" i="4" l="1"/>
  <c r="DG4" i="4"/>
  <c r="N112" i="7"/>
  <c r="M112" i="7"/>
  <c r="L112" i="7"/>
  <c r="K112" i="7"/>
  <c r="J112" i="7"/>
  <c r="I112" i="7"/>
  <c r="H112" i="7"/>
  <c r="G112" i="7"/>
  <c r="F112" i="7"/>
  <c r="E112" i="7"/>
  <c r="D112" i="7"/>
  <c r="C112" i="7"/>
  <c r="N110" i="7"/>
  <c r="N146" i="7" s="1"/>
  <c r="M110" i="7"/>
  <c r="M146" i="7" s="1"/>
  <c r="L110" i="7"/>
  <c r="L146" i="7" s="1"/>
  <c r="K110" i="7"/>
  <c r="K146" i="7" s="1"/>
  <c r="J110" i="7"/>
  <c r="J146" i="7" s="1"/>
  <c r="I110" i="7"/>
  <c r="I146" i="7" s="1"/>
  <c r="H110" i="7"/>
  <c r="H146" i="7" s="1"/>
  <c r="G110" i="7"/>
  <c r="G146" i="7" s="1"/>
  <c r="F110" i="7"/>
  <c r="F146" i="7" s="1"/>
  <c r="E110" i="7"/>
  <c r="E146" i="7" s="1"/>
  <c r="D110" i="7"/>
  <c r="D146" i="7" s="1"/>
  <c r="C110" i="7"/>
  <c r="N108" i="7"/>
  <c r="N114" i="7" s="1"/>
  <c r="M108" i="7"/>
  <c r="L108" i="7"/>
  <c r="L114" i="7" s="1"/>
  <c r="K108" i="7"/>
  <c r="J108" i="7"/>
  <c r="J114" i="7" s="1"/>
  <c r="I108" i="7"/>
  <c r="H108" i="7"/>
  <c r="H114" i="7" s="1"/>
  <c r="G108" i="7"/>
  <c r="F108" i="7"/>
  <c r="F114" i="7" s="1"/>
  <c r="E108" i="7"/>
  <c r="D108" i="7"/>
  <c r="D114" i="7" s="1"/>
  <c r="C108" i="7"/>
  <c r="N107" i="7"/>
  <c r="M107" i="7"/>
  <c r="L107" i="7"/>
  <c r="K107" i="7"/>
  <c r="J107" i="7"/>
  <c r="I107" i="7"/>
  <c r="H107" i="7"/>
  <c r="G107" i="7"/>
  <c r="F107" i="7"/>
  <c r="E107" i="7"/>
  <c r="D107" i="7"/>
  <c r="C107" i="7"/>
  <c r="N102" i="7"/>
  <c r="M102" i="7"/>
  <c r="L102" i="7"/>
  <c r="K102" i="7"/>
  <c r="J102" i="7"/>
  <c r="I102" i="7"/>
  <c r="H102" i="7"/>
  <c r="G102" i="7"/>
  <c r="F102" i="7"/>
  <c r="E102" i="7"/>
  <c r="D102" i="7"/>
  <c r="C102" i="7"/>
  <c r="N99" i="7"/>
  <c r="N98" i="7" s="1"/>
  <c r="N103" i="7" s="1"/>
  <c r="N104" i="7" s="1"/>
  <c r="M99" i="7"/>
  <c r="M98" i="7" s="1"/>
  <c r="M103" i="7" s="1"/>
  <c r="M104" i="7" s="1"/>
  <c r="L99" i="7"/>
  <c r="L98" i="7" s="1"/>
  <c r="L103" i="7" s="1"/>
  <c r="L104" i="7" s="1"/>
  <c r="K99" i="7"/>
  <c r="K98" i="7" s="1"/>
  <c r="K103" i="7" s="1"/>
  <c r="K104" i="7" s="1"/>
  <c r="J99" i="7"/>
  <c r="J98" i="7" s="1"/>
  <c r="J103" i="7" s="1"/>
  <c r="J104" i="7" s="1"/>
  <c r="I99" i="7"/>
  <c r="I98" i="7" s="1"/>
  <c r="I103" i="7" s="1"/>
  <c r="I104" i="7" s="1"/>
  <c r="H99" i="7"/>
  <c r="H98" i="7" s="1"/>
  <c r="G99" i="7"/>
  <c r="G98" i="7" s="1"/>
  <c r="G103" i="7" s="1"/>
  <c r="G104" i="7" s="1"/>
  <c r="F99" i="7"/>
  <c r="F98" i="7" s="1"/>
  <c r="F103" i="7" s="1"/>
  <c r="F104" i="7" s="1"/>
  <c r="E99" i="7"/>
  <c r="E98" i="7" s="1"/>
  <c r="E103" i="7" s="1"/>
  <c r="E104" i="7" s="1"/>
  <c r="D99" i="7"/>
  <c r="D98" i="7" s="1"/>
  <c r="C99" i="7"/>
  <c r="C98" i="7" s="1"/>
  <c r="N96" i="7"/>
  <c r="M96" i="7"/>
  <c r="L96" i="7"/>
  <c r="K96" i="7"/>
  <c r="J96" i="7"/>
  <c r="I96" i="7"/>
  <c r="H96" i="7"/>
  <c r="G96" i="7"/>
  <c r="F96" i="7"/>
  <c r="E96" i="7"/>
  <c r="D96" i="7"/>
  <c r="C96" i="7"/>
  <c r="N94" i="7"/>
  <c r="M94" i="7"/>
  <c r="L94" i="7"/>
  <c r="K94" i="7"/>
  <c r="J94" i="7"/>
  <c r="I94" i="7"/>
  <c r="H94" i="7"/>
  <c r="G94" i="7"/>
  <c r="F94" i="7"/>
  <c r="E94" i="7"/>
  <c r="D94" i="7"/>
  <c r="C94" i="7"/>
  <c r="N92" i="7"/>
  <c r="N126" i="7" s="1"/>
  <c r="M92" i="7"/>
  <c r="L92" i="7"/>
  <c r="K92" i="7"/>
  <c r="K126" i="7" s="1"/>
  <c r="J92" i="7"/>
  <c r="J126" i="7" s="1"/>
  <c r="I92" i="7"/>
  <c r="H92" i="7"/>
  <c r="H126" i="7" s="1"/>
  <c r="G92" i="7"/>
  <c r="G126" i="7" s="1"/>
  <c r="F92" i="7"/>
  <c r="F126" i="7" s="1"/>
  <c r="E92" i="7"/>
  <c r="D92" i="7"/>
  <c r="C92" i="7"/>
  <c r="C126" i="7" s="1"/>
  <c r="N90" i="7"/>
  <c r="M90" i="7"/>
  <c r="M89" i="7" s="1"/>
  <c r="L90" i="7"/>
  <c r="K90" i="7"/>
  <c r="J90" i="7"/>
  <c r="I90" i="7"/>
  <c r="I89" i="7" s="1"/>
  <c r="H90" i="7"/>
  <c r="G90" i="7"/>
  <c r="F90" i="7"/>
  <c r="F89" i="7" s="1"/>
  <c r="F95" i="7" s="1"/>
  <c r="E90" i="7"/>
  <c r="E89" i="7" s="1"/>
  <c r="D90" i="7"/>
  <c r="C90" i="7"/>
  <c r="N84" i="7"/>
  <c r="M84" i="7"/>
  <c r="L84" i="7"/>
  <c r="K84" i="7"/>
  <c r="J84" i="7"/>
  <c r="I84" i="7"/>
  <c r="H84" i="7"/>
  <c r="G84" i="7"/>
  <c r="F84" i="7"/>
  <c r="E84" i="7"/>
  <c r="D84" i="7"/>
  <c r="C84" i="7"/>
  <c r="N82" i="7"/>
  <c r="M82" i="7"/>
  <c r="L82" i="7"/>
  <c r="K82" i="7"/>
  <c r="J82" i="7"/>
  <c r="I82" i="7"/>
  <c r="H82" i="7"/>
  <c r="G82" i="7"/>
  <c r="F82" i="7"/>
  <c r="E82" i="7"/>
  <c r="D82" i="7"/>
  <c r="C82" i="7"/>
  <c r="N81" i="7"/>
  <c r="M81" i="7"/>
  <c r="L81" i="7"/>
  <c r="K81" i="7"/>
  <c r="J81" i="7"/>
  <c r="I81" i="7"/>
  <c r="H81" i="7"/>
  <c r="G81" i="7"/>
  <c r="F81" i="7"/>
  <c r="E81" i="7"/>
  <c r="D81" i="7"/>
  <c r="C81" i="7"/>
  <c r="N76" i="7"/>
  <c r="M76" i="7"/>
  <c r="L76" i="7"/>
  <c r="K76" i="7"/>
  <c r="J76" i="7"/>
  <c r="I76" i="7"/>
  <c r="H76" i="7"/>
  <c r="G76" i="7"/>
  <c r="F76" i="7"/>
  <c r="E76" i="7"/>
  <c r="D76" i="7"/>
  <c r="C76" i="7"/>
  <c r="N73" i="7"/>
  <c r="M73" i="7"/>
  <c r="L73" i="7"/>
  <c r="K73" i="7"/>
  <c r="J73" i="7"/>
  <c r="I73" i="7"/>
  <c r="H73" i="7"/>
  <c r="G73" i="7"/>
  <c r="F73" i="7"/>
  <c r="E73" i="7"/>
  <c r="D73" i="7"/>
  <c r="C73" i="7"/>
  <c r="N72" i="7"/>
  <c r="N71" i="7" s="1"/>
  <c r="N77" i="7" s="1"/>
  <c r="N78" i="7" s="1"/>
  <c r="M72" i="7"/>
  <c r="M71" i="7" s="1"/>
  <c r="M77" i="7" s="1"/>
  <c r="M78" i="7" s="1"/>
  <c r="L72" i="7"/>
  <c r="L71" i="7" s="1"/>
  <c r="L77" i="7" s="1"/>
  <c r="L78" i="7" s="1"/>
  <c r="K72" i="7"/>
  <c r="J72" i="7"/>
  <c r="J71" i="7" s="1"/>
  <c r="J77" i="7" s="1"/>
  <c r="J78" i="7" s="1"/>
  <c r="I72" i="7"/>
  <c r="I71" i="7" s="1"/>
  <c r="I77" i="7" s="1"/>
  <c r="I78" i="7" s="1"/>
  <c r="H72" i="7"/>
  <c r="H71" i="7" s="1"/>
  <c r="H77" i="7" s="1"/>
  <c r="H78" i="7" s="1"/>
  <c r="G72" i="7"/>
  <c r="F72" i="7"/>
  <c r="F71" i="7" s="1"/>
  <c r="F77" i="7" s="1"/>
  <c r="F78" i="7" s="1"/>
  <c r="E72" i="7"/>
  <c r="E71" i="7" s="1"/>
  <c r="E77" i="7" s="1"/>
  <c r="E78" i="7" s="1"/>
  <c r="D72" i="7"/>
  <c r="D71" i="7" s="1"/>
  <c r="D77" i="7" s="1"/>
  <c r="D78" i="7" s="1"/>
  <c r="C72" i="7"/>
  <c r="N69" i="7"/>
  <c r="M69" i="7"/>
  <c r="L69" i="7"/>
  <c r="K69" i="7"/>
  <c r="J69" i="7"/>
  <c r="I69" i="7"/>
  <c r="H69" i="7"/>
  <c r="G69" i="7"/>
  <c r="F69" i="7"/>
  <c r="E69" i="7"/>
  <c r="D69" i="7"/>
  <c r="C69" i="7"/>
  <c r="N67" i="7"/>
  <c r="M67" i="7"/>
  <c r="M66" i="7" s="1"/>
  <c r="M70" i="7" s="1"/>
  <c r="L67" i="7"/>
  <c r="L66" i="7" s="1"/>
  <c r="L70" i="7" s="1"/>
  <c r="K67" i="7"/>
  <c r="J67" i="7"/>
  <c r="J66" i="7" s="1"/>
  <c r="J68" i="7" s="1"/>
  <c r="I67" i="7"/>
  <c r="I66" i="7" s="1"/>
  <c r="I70" i="7" s="1"/>
  <c r="H67" i="7"/>
  <c r="H66" i="7" s="1"/>
  <c r="H70" i="7" s="1"/>
  <c r="G67" i="7"/>
  <c r="G66" i="7" s="1"/>
  <c r="F67" i="7"/>
  <c r="F66" i="7" s="1"/>
  <c r="F68" i="7" s="1"/>
  <c r="E67" i="7"/>
  <c r="E66" i="7" s="1"/>
  <c r="D67" i="7"/>
  <c r="C67" i="7"/>
  <c r="N66" i="7"/>
  <c r="N68" i="7" s="1"/>
  <c r="N58" i="7"/>
  <c r="M58" i="7"/>
  <c r="L58" i="7"/>
  <c r="K58" i="7"/>
  <c r="J58" i="7"/>
  <c r="I58" i="7"/>
  <c r="H58" i="7"/>
  <c r="G58" i="7"/>
  <c r="F58" i="7"/>
  <c r="E58" i="7"/>
  <c r="D58" i="7"/>
  <c r="C58" i="7"/>
  <c r="N56" i="7"/>
  <c r="M56" i="7"/>
  <c r="L56" i="7"/>
  <c r="K56" i="7"/>
  <c r="J56" i="7"/>
  <c r="I56" i="7"/>
  <c r="H56" i="7"/>
  <c r="G56" i="7"/>
  <c r="F56" i="7"/>
  <c r="E56" i="7"/>
  <c r="D56" i="7"/>
  <c r="C56" i="7"/>
  <c r="N55" i="7"/>
  <c r="M55" i="7"/>
  <c r="L55" i="7"/>
  <c r="K55" i="7"/>
  <c r="J55" i="7"/>
  <c r="I55" i="7"/>
  <c r="H55" i="7"/>
  <c r="G55" i="7"/>
  <c r="F55" i="7"/>
  <c r="E55" i="7"/>
  <c r="D55" i="7"/>
  <c r="C55" i="7"/>
  <c r="N50" i="7"/>
  <c r="M50" i="7"/>
  <c r="L50" i="7"/>
  <c r="K50" i="7"/>
  <c r="J50" i="7"/>
  <c r="I50" i="7"/>
  <c r="H50" i="7"/>
  <c r="G50" i="7"/>
  <c r="F50" i="7"/>
  <c r="E50" i="7"/>
  <c r="D50" i="7"/>
  <c r="C50" i="7"/>
  <c r="N47" i="7"/>
  <c r="M47" i="7"/>
  <c r="L47" i="7"/>
  <c r="K47" i="7"/>
  <c r="J47" i="7"/>
  <c r="I47" i="7"/>
  <c r="H47" i="7"/>
  <c r="G47" i="7"/>
  <c r="F47" i="7"/>
  <c r="F44" i="7" s="1"/>
  <c r="F51" i="7" s="1"/>
  <c r="F52" i="7" s="1"/>
  <c r="E47" i="7"/>
  <c r="D47" i="7"/>
  <c r="C47" i="7"/>
  <c r="N46" i="7"/>
  <c r="M46" i="7"/>
  <c r="L46" i="7"/>
  <c r="K46" i="7"/>
  <c r="J46" i="7"/>
  <c r="I46" i="7"/>
  <c r="H46" i="7"/>
  <c r="G46" i="7"/>
  <c r="E46" i="7"/>
  <c r="D46" i="7"/>
  <c r="C46" i="7"/>
  <c r="N45" i="7"/>
  <c r="M45" i="7"/>
  <c r="L45" i="7"/>
  <c r="K45" i="7"/>
  <c r="J45" i="7"/>
  <c r="I45" i="7"/>
  <c r="H45" i="7"/>
  <c r="G45" i="7"/>
  <c r="E45" i="7"/>
  <c r="D45" i="7"/>
  <c r="C45" i="7"/>
  <c r="N42" i="7"/>
  <c r="N133" i="7" s="1"/>
  <c r="M42" i="7"/>
  <c r="M133" i="7" s="1"/>
  <c r="L42" i="7"/>
  <c r="L133" i="7" s="1"/>
  <c r="K42" i="7"/>
  <c r="K133" i="7" s="1"/>
  <c r="J42" i="7"/>
  <c r="J133" i="7" s="1"/>
  <c r="I42" i="7"/>
  <c r="I133" i="7" s="1"/>
  <c r="H42" i="7"/>
  <c r="H133" i="7" s="1"/>
  <c r="G42" i="7"/>
  <c r="G133" i="7" s="1"/>
  <c r="F42" i="7"/>
  <c r="F133" i="7" s="1"/>
  <c r="E42" i="7"/>
  <c r="E133" i="7" s="1"/>
  <c r="D42" i="7"/>
  <c r="D133" i="7" s="1"/>
  <c r="C42" i="7"/>
  <c r="C133" i="7" s="1"/>
  <c r="N41" i="7"/>
  <c r="M41" i="7"/>
  <c r="L41" i="7"/>
  <c r="K41" i="7"/>
  <c r="J41" i="7"/>
  <c r="I41" i="7"/>
  <c r="H41" i="7"/>
  <c r="G41" i="7"/>
  <c r="F41" i="7"/>
  <c r="E41" i="7"/>
  <c r="D41" i="7"/>
  <c r="C41" i="7"/>
  <c r="N39" i="7"/>
  <c r="M39" i="7"/>
  <c r="L39" i="7"/>
  <c r="K39" i="7"/>
  <c r="J39" i="7"/>
  <c r="I39" i="7"/>
  <c r="H39" i="7"/>
  <c r="G39" i="7"/>
  <c r="F39" i="7"/>
  <c r="E39" i="7"/>
  <c r="D39" i="7"/>
  <c r="C39" i="7"/>
  <c r="N37" i="7"/>
  <c r="F37" i="7"/>
  <c r="E37" i="7"/>
  <c r="D37" i="7"/>
  <c r="C37" i="7"/>
  <c r="N35" i="7"/>
  <c r="M35" i="7"/>
  <c r="L35" i="7"/>
  <c r="K35" i="7"/>
  <c r="J35" i="7"/>
  <c r="I35" i="7"/>
  <c r="H35" i="7"/>
  <c r="G35" i="7"/>
  <c r="F35" i="7"/>
  <c r="E35" i="7"/>
  <c r="D35" i="7"/>
  <c r="C35" i="7"/>
  <c r="N29" i="7"/>
  <c r="M29" i="7"/>
  <c r="L29" i="7"/>
  <c r="K29" i="7"/>
  <c r="J29" i="7"/>
  <c r="I29" i="7"/>
  <c r="H29" i="7"/>
  <c r="G29" i="7"/>
  <c r="F29" i="7"/>
  <c r="E29" i="7"/>
  <c r="D29" i="7"/>
  <c r="C29" i="7"/>
  <c r="N27" i="7"/>
  <c r="M27" i="7"/>
  <c r="L27" i="7"/>
  <c r="K27" i="7"/>
  <c r="J27" i="7"/>
  <c r="I27" i="7"/>
  <c r="H27" i="7"/>
  <c r="G27" i="7"/>
  <c r="F27" i="7"/>
  <c r="E27" i="7"/>
  <c r="D27" i="7"/>
  <c r="C27" i="7"/>
  <c r="N26" i="7"/>
  <c r="M26" i="7"/>
  <c r="L26" i="7"/>
  <c r="K26" i="7"/>
  <c r="J26" i="7"/>
  <c r="I26" i="7"/>
  <c r="H26" i="7"/>
  <c r="G26" i="7"/>
  <c r="F26" i="7"/>
  <c r="E26" i="7"/>
  <c r="D26" i="7"/>
  <c r="C26" i="7"/>
  <c r="N21" i="7"/>
  <c r="M21" i="7"/>
  <c r="L21" i="7"/>
  <c r="K21" i="7"/>
  <c r="J21" i="7"/>
  <c r="I21" i="7"/>
  <c r="H21" i="7"/>
  <c r="G21" i="7"/>
  <c r="F21" i="7"/>
  <c r="E21" i="7"/>
  <c r="D21" i="7"/>
  <c r="C21" i="7"/>
  <c r="N18" i="7"/>
  <c r="M18" i="7"/>
  <c r="L18" i="7"/>
  <c r="K18" i="7"/>
  <c r="J18" i="7"/>
  <c r="I18" i="7"/>
  <c r="H18" i="7"/>
  <c r="G18" i="7"/>
  <c r="F18" i="7"/>
  <c r="E18" i="7"/>
  <c r="D18" i="7"/>
  <c r="C18" i="7"/>
  <c r="N17" i="7"/>
  <c r="M17" i="7"/>
  <c r="L17" i="7"/>
  <c r="K17" i="7"/>
  <c r="J17" i="7"/>
  <c r="I17" i="7"/>
  <c r="H17" i="7"/>
  <c r="G17" i="7"/>
  <c r="F17" i="7"/>
  <c r="E17" i="7"/>
  <c r="D17" i="7"/>
  <c r="C17" i="7"/>
  <c r="N16" i="7"/>
  <c r="M16" i="7"/>
  <c r="M15" i="7" s="1"/>
  <c r="L16" i="7"/>
  <c r="K16" i="7"/>
  <c r="J16" i="7"/>
  <c r="J15" i="7" s="1"/>
  <c r="I16" i="7"/>
  <c r="H16" i="7"/>
  <c r="G16" i="7"/>
  <c r="G15" i="7" s="1"/>
  <c r="F16" i="7"/>
  <c r="F15" i="7" s="1"/>
  <c r="E16" i="7"/>
  <c r="E15" i="7" s="1"/>
  <c r="D16" i="7"/>
  <c r="C16" i="7"/>
  <c r="C15" i="7" s="1"/>
  <c r="C22" i="7" s="1"/>
  <c r="N15" i="7"/>
  <c r="I15" i="7"/>
  <c r="N13" i="7"/>
  <c r="M13" i="7"/>
  <c r="L13" i="7"/>
  <c r="K13" i="7"/>
  <c r="J13" i="7"/>
  <c r="I13" i="7"/>
  <c r="H13" i="7"/>
  <c r="G13" i="7"/>
  <c r="F13" i="7"/>
  <c r="E13" i="7"/>
  <c r="D13" i="7"/>
  <c r="C13" i="7"/>
  <c r="N11" i="7"/>
  <c r="M11" i="7"/>
  <c r="L11" i="7"/>
  <c r="K11" i="7"/>
  <c r="J11" i="7"/>
  <c r="I11" i="7"/>
  <c r="H11" i="7"/>
  <c r="G11" i="7"/>
  <c r="F11" i="7"/>
  <c r="E11" i="7"/>
  <c r="D11" i="7"/>
  <c r="C11" i="7"/>
  <c r="N9" i="7"/>
  <c r="M9" i="7"/>
  <c r="M128" i="7" s="1"/>
  <c r="L9" i="7"/>
  <c r="L128" i="7" s="1"/>
  <c r="K9" i="7"/>
  <c r="K128" i="7" s="1"/>
  <c r="J9" i="7"/>
  <c r="I9" i="7"/>
  <c r="I128" i="7" s="1"/>
  <c r="H9" i="7"/>
  <c r="H128" i="7" s="1"/>
  <c r="G9" i="7"/>
  <c r="G128" i="7" s="1"/>
  <c r="F9" i="7"/>
  <c r="E9" i="7"/>
  <c r="D9" i="7"/>
  <c r="C9" i="7"/>
  <c r="N7" i="7"/>
  <c r="M7" i="7"/>
  <c r="M6" i="7" s="1"/>
  <c r="M14" i="7" s="1"/>
  <c r="L7" i="7"/>
  <c r="K7" i="7"/>
  <c r="K6" i="7" s="1"/>
  <c r="K10" i="7" s="1"/>
  <c r="J7" i="7"/>
  <c r="I7" i="7"/>
  <c r="I6" i="7" s="1"/>
  <c r="I14" i="7" s="1"/>
  <c r="H7" i="7"/>
  <c r="G7" i="7"/>
  <c r="G6" i="7" s="1"/>
  <c r="F7" i="7"/>
  <c r="E7" i="7"/>
  <c r="E6" i="7" s="1"/>
  <c r="D7" i="7"/>
  <c r="C7" i="7"/>
  <c r="C6" i="7" s="1"/>
  <c r="C8" i="7" s="1"/>
  <c r="AQ37" i="4"/>
  <c r="AU36" i="4"/>
  <c r="AT36" i="4"/>
  <c r="AR36" i="4"/>
  <c r="AQ36" i="4"/>
  <c r="AU26" i="4"/>
  <c r="AT26" i="4"/>
  <c r="AS26" i="4"/>
  <c r="AR26" i="4"/>
  <c r="AQ26" i="4"/>
  <c r="AP26" i="4"/>
  <c r="AU25" i="4"/>
  <c r="AT25" i="4"/>
  <c r="AS25" i="4"/>
  <c r="AR25" i="4"/>
  <c r="AQ25" i="4"/>
  <c r="AP25" i="4"/>
  <c r="AU24" i="4"/>
  <c r="AT24" i="4"/>
  <c r="AQ24" i="4"/>
  <c r="AP24" i="4"/>
  <c r="AP9" i="5" s="1"/>
  <c r="AU23" i="4"/>
  <c r="AT23" i="4"/>
  <c r="AS23" i="4"/>
  <c r="AR23" i="4"/>
  <c r="AQ23" i="4"/>
  <c r="AP23" i="4"/>
  <c r="AU35" i="4"/>
  <c r="AT35" i="4"/>
  <c r="AS35" i="4"/>
  <c r="AR35" i="4"/>
  <c r="AQ35" i="4"/>
  <c r="AS20" i="4"/>
  <c r="AR20" i="4"/>
  <c r="AT19" i="4"/>
  <c r="AS19" i="4"/>
  <c r="AP19" i="4"/>
  <c r="AU34" i="4"/>
  <c r="AT34" i="4"/>
  <c r="AS34" i="4"/>
  <c r="AR34" i="4"/>
  <c r="AQ34" i="4"/>
  <c r="AU15" i="4"/>
  <c r="AT15" i="4"/>
  <c r="AS15" i="4"/>
  <c r="AR15" i="4"/>
  <c r="AQ15" i="4"/>
  <c r="AP15" i="4"/>
  <c r="AU13" i="4"/>
  <c r="AT13" i="4"/>
  <c r="AS13" i="4"/>
  <c r="AR13" i="4"/>
  <c r="AQ13" i="4"/>
  <c r="AP13" i="4"/>
  <c r="AU14" i="4"/>
  <c r="AT14" i="4"/>
  <c r="AR14" i="4"/>
  <c r="AQ14" i="4"/>
  <c r="AP14" i="4"/>
  <c r="AU12" i="4"/>
  <c r="AT12" i="4"/>
  <c r="AR12" i="4"/>
  <c r="AQ12" i="4"/>
  <c r="AP12" i="4"/>
  <c r="AU33" i="4"/>
  <c r="AQ33" i="4"/>
  <c r="AU6" i="4"/>
  <c r="AS6" i="4"/>
  <c r="AR6" i="4"/>
  <c r="AQ6" i="4"/>
  <c r="AP6" i="4"/>
  <c r="E70" i="7" l="1"/>
  <c r="AT59" i="4"/>
  <c r="AR57" i="4"/>
  <c r="AQ57" i="4"/>
  <c r="AU57" i="4"/>
  <c r="AS58" i="4"/>
  <c r="AQ59" i="4"/>
  <c r="AU59" i="4"/>
  <c r="E57" i="7"/>
  <c r="I57" i="7"/>
  <c r="I24" i="7"/>
  <c r="I25" i="7" s="1"/>
  <c r="M57" i="7"/>
  <c r="AT57" i="4"/>
  <c r="AP59" i="4"/>
  <c r="J28" i="7"/>
  <c r="J44" i="7"/>
  <c r="J51" i="7" s="1"/>
  <c r="J52" i="7" s="1"/>
  <c r="N44" i="7"/>
  <c r="N51" i="7" s="1"/>
  <c r="N52" i="7" s="1"/>
  <c r="C128" i="7"/>
  <c r="D138" i="7"/>
  <c r="H138" i="7"/>
  <c r="L138" i="7"/>
  <c r="D148" i="7"/>
  <c r="H79" i="7"/>
  <c r="H80" i="7" s="1"/>
  <c r="D128" i="7"/>
  <c r="AP57" i="4"/>
  <c r="DH4" i="4"/>
  <c r="CT7" i="4"/>
  <c r="I34" i="7"/>
  <c r="I40" i="7" s="1"/>
  <c r="E44" i="7"/>
  <c r="E51" i="7" s="1"/>
  <c r="E52" i="7" s="1"/>
  <c r="C83" i="7"/>
  <c r="K83" i="7"/>
  <c r="E144" i="7"/>
  <c r="I144" i="7"/>
  <c r="M144" i="7"/>
  <c r="AS65" i="4"/>
  <c r="E128" i="7"/>
  <c r="E130" i="7"/>
  <c r="I130" i="7"/>
  <c r="M130" i="7"/>
  <c r="I132" i="7"/>
  <c r="M34" i="7"/>
  <c r="M36" i="7" s="1"/>
  <c r="F34" i="7"/>
  <c r="F43" i="7" s="1"/>
  <c r="J34" i="7"/>
  <c r="J36" i="7" s="1"/>
  <c r="N34" i="7"/>
  <c r="N36" i="7" s="1"/>
  <c r="M44" i="7"/>
  <c r="M51" i="7" s="1"/>
  <c r="M52" i="7" s="1"/>
  <c r="G148" i="7"/>
  <c r="J109" i="7"/>
  <c r="J89" i="7"/>
  <c r="J97" i="7" s="1"/>
  <c r="E114" i="7"/>
  <c r="I114" i="7"/>
  <c r="M114" i="7"/>
  <c r="J143" i="7"/>
  <c r="K147" i="7"/>
  <c r="C132" i="7"/>
  <c r="G132" i="7"/>
  <c r="K132" i="7"/>
  <c r="E34" i="7"/>
  <c r="E40" i="7" s="1"/>
  <c r="D34" i="7"/>
  <c r="D36" i="7" s="1"/>
  <c r="H34" i="7"/>
  <c r="H40" i="7" s="1"/>
  <c r="L34" i="7"/>
  <c r="L36" i="7" s="1"/>
  <c r="D109" i="7"/>
  <c r="H109" i="7"/>
  <c r="L109" i="7"/>
  <c r="O107" i="7"/>
  <c r="O108" i="7"/>
  <c r="C114" i="7"/>
  <c r="G114" i="7"/>
  <c r="K114" i="7"/>
  <c r="M109" i="7"/>
  <c r="AS8" i="5"/>
  <c r="AT64" i="4"/>
  <c r="BB25" i="4"/>
  <c r="AP6" i="5"/>
  <c r="AQ64" i="4"/>
  <c r="AU64" i="4"/>
  <c r="AQ9" i="5"/>
  <c r="AQ66" i="4"/>
  <c r="AU9" i="5"/>
  <c r="AU66" i="4"/>
  <c r="BB13" i="4"/>
  <c r="BB3" i="4" s="1"/>
  <c r="BC3" i="4" s="1"/>
  <c r="BB15" i="4"/>
  <c r="AT9" i="5"/>
  <c r="AT66" i="4"/>
  <c r="BB26" i="4"/>
  <c r="AR8" i="5"/>
  <c r="AR64" i="4"/>
  <c r="E14" i="7"/>
  <c r="E19" i="7" s="1"/>
  <c r="E10" i="7"/>
  <c r="AS14" i="4"/>
  <c r="BB14" i="4" s="1"/>
  <c r="AT41" i="4"/>
  <c r="AT6" i="4"/>
  <c r="AS7" i="4"/>
  <c r="AS56" i="4" s="1"/>
  <c r="AQ43" i="4"/>
  <c r="AQ19" i="4"/>
  <c r="AQ6" i="5" s="1"/>
  <c r="AU43" i="4"/>
  <c r="AU19" i="4"/>
  <c r="AU6" i="5" s="1"/>
  <c r="AP20" i="4"/>
  <c r="AP8" i="5" s="1"/>
  <c r="AT20" i="4"/>
  <c r="AT65" i="4" s="1"/>
  <c r="AR24" i="4"/>
  <c r="AP36" i="4"/>
  <c r="AS37" i="4"/>
  <c r="C144" i="7"/>
  <c r="G144" i="7"/>
  <c r="K144" i="7"/>
  <c r="O47" i="7"/>
  <c r="G44" i="7"/>
  <c r="G51" i="7" s="1"/>
  <c r="G52" i="7" s="1"/>
  <c r="K44" i="7"/>
  <c r="K51" i="7" s="1"/>
  <c r="K52" i="7" s="1"/>
  <c r="O73" i="7"/>
  <c r="O76" i="7"/>
  <c r="K138" i="7"/>
  <c r="G83" i="7"/>
  <c r="K89" i="7"/>
  <c r="K97" i="7" s="1"/>
  <c r="K105" i="7" s="1"/>
  <c r="K106" i="7" s="1"/>
  <c r="O99" i="7"/>
  <c r="O102" i="7"/>
  <c r="AQ7" i="4"/>
  <c r="AU7" i="4"/>
  <c r="AP34" i="4"/>
  <c r="AP7" i="4"/>
  <c r="AP7" i="5" s="1"/>
  <c r="AT7" i="4"/>
  <c r="AR33" i="4"/>
  <c r="AR43" i="4"/>
  <c r="AR19" i="4"/>
  <c r="AR58" i="4" s="1"/>
  <c r="AQ20" i="4"/>
  <c r="AU20" i="4"/>
  <c r="AU8" i="5" s="1"/>
  <c r="AP35" i="4"/>
  <c r="AS24" i="4"/>
  <c r="AP37" i="4"/>
  <c r="AT37" i="4"/>
  <c r="O11" i="7"/>
  <c r="C12" i="7"/>
  <c r="F132" i="7"/>
  <c r="J132" i="7"/>
  <c r="N132" i="7"/>
  <c r="D143" i="7"/>
  <c r="H143" i="7"/>
  <c r="L143" i="7"/>
  <c r="C148" i="7"/>
  <c r="O46" i="7"/>
  <c r="H44" i="7"/>
  <c r="H51" i="7" s="1"/>
  <c r="H52" i="7" s="1"/>
  <c r="L44" i="7"/>
  <c r="L51" i="7" s="1"/>
  <c r="L52" i="7" s="1"/>
  <c r="O55" i="7"/>
  <c r="P56" i="7"/>
  <c r="F57" i="7"/>
  <c r="G68" i="7"/>
  <c r="L83" i="7"/>
  <c r="I91" i="7"/>
  <c r="N147" i="7"/>
  <c r="E95" i="7"/>
  <c r="I95" i="7"/>
  <c r="M95" i="7"/>
  <c r="I97" i="7"/>
  <c r="I100" i="7" s="1"/>
  <c r="I101" i="7" s="1"/>
  <c r="AS33" i="4"/>
  <c r="AS42" i="4"/>
  <c r="AS12" i="4"/>
  <c r="AP42" i="4"/>
  <c r="AP66" i="4"/>
  <c r="AU37" i="4"/>
  <c r="J57" i="7"/>
  <c r="H68" i="7"/>
  <c r="J70" i="7"/>
  <c r="J74" i="7" s="1"/>
  <c r="J75" i="7" s="1"/>
  <c r="AR7" i="4"/>
  <c r="AR56" i="4" s="1"/>
  <c r="AP33" i="4"/>
  <c r="AT33" i="4"/>
  <c r="AS41" i="4"/>
  <c r="AP64" i="4"/>
  <c r="AT42" i="4"/>
  <c r="AS44" i="4"/>
  <c r="AS36" i="4"/>
  <c r="AR37" i="4"/>
  <c r="F124" i="7"/>
  <c r="J124" i="7"/>
  <c r="N124" i="7"/>
  <c r="K15" i="7"/>
  <c r="K22" i="7" s="1"/>
  <c r="F143" i="7"/>
  <c r="N143" i="7"/>
  <c r="N144" i="7"/>
  <c r="E148" i="7"/>
  <c r="C34" i="7"/>
  <c r="C40" i="7" s="1"/>
  <c r="G34" i="7"/>
  <c r="G40" i="7" s="1"/>
  <c r="K34" i="7"/>
  <c r="K43" i="7" s="1"/>
  <c r="K53" i="7" s="1"/>
  <c r="K54" i="7" s="1"/>
  <c r="O41" i="7"/>
  <c r="O133" i="7"/>
  <c r="I44" i="7"/>
  <c r="I51" i="7" s="1"/>
  <c r="I52" i="7" s="1"/>
  <c r="N57" i="7"/>
  <c r="O69" i="7"/>
  <c r="O81" i="7"/>
  <c r="K143" i="7"/>
  <c r="D89" i="7"/>
  <c r="D95" i="7" s="1"/>
  <c r="O98" i="7"/>
  <c r="E109" i="7"/>
  <c r="O110" i="7"/>
  <c r="N111" i="7"/>
  <c r="C146" i="7"/>
  <c r="O146" i="7" s="1"/>
  <c r="J128" i="7"/>
  <c r="J6" i="7"/>
  <c r="I22" i="7"/>
  <c r="C23" i="7"/>
  <c r="G14" i="7"/>
  <c r="G10" i="7"/>
  <c r="H130" i="7"/>
  <c r="L130" i="7"/>
  <c r="G12" i="7"/>
  <c r="K14" i="7"/>
  <c r="E22" i="7"/>
  <c r="M22" i="7"/>
  <c r="D124" i="7"/>
  <c r="D28" i="7"/>
  <c r="D6" i="7"/>
  <c r="D8" i="7" s="1"/>
  <c r="H124" i="7"/>
  <c r="H28" i="7"/>
  <c r="H6" i="7"/>
  <c r="H8" i="7" s="1"/>
  <c r="L124" i="7"/>
  <c r="L28" i="7"/>
  <c r="L6" i="7"/>
  <c r="L8" i="7" s="1"/>
  <c r="G8" i="7"/>
  <c r="I10" i="7"/>
  <c r="K12" i="7"/>
  <c r="F135" i="7"/>
  <c r="F22" i="7"/>
  <c r="N22" i="7"/>
  <c r="O27" i="7"/>
  <c r="M74" i="7"/>
  <c r="M75" i="7" s="1"/>
  <c r="M79" i="7"/>
  <c r="M80" i="7" s="1"/>
  <c r="I74" i="7"/>
  <c r="I75" i="7" s="1"/>
  <c r="I79" i="7"/>
  <c r="I80" i="7" s="1"/>
  <c r="M24" i="7"/>
  <c r="M25" i="7" s="1"/>
  <c r="M19" i="7"/>
  <c r="F128" i="7"/>
  <c r="F6" i="7"/>
  <c r="N6" i="7"/>
  <c r="N128" i="7"/>
  <c r="I19" i="7"/>
  <c r="C14" i="7"/>
  <c r="C10" i="7"/>
  <c r="D130" i="7"/>
  <c r="I8" i="7"/>
  <c r="K8" i="7"/>
  <c r="M10" i="7"/>
  <c r="O17" i="7"/>
  <c r="O18" i="7"/>
  <c r="E79" i="7"/>
  <c r="E80" i="7" s="1"/>
  <c r="E74" i="7"/>
  <c r="E75" i="7" s="1"/>
  <c r="M68" i="7"/>
  <c r="E124" i="7"/>
  <c r="M124" i="7"/>
  <c r="O9" i="7"/>
  <c r="O13" i="7"/>
  <c r="I138" i="7"/>
  <c r="J22" i="7"/>
  <c r="E28" i="7"/>
  <c r="M28" i="7"/>
  <c r="C57" i="7"/>
  <c r="K57" i="7"/>
  <c r="O82" i="7"/>
  <c r="M83" i="7"/>
  <c r="E97" i="7"/>
  <c r="M97" i="7"/>
  <c r="D103" i="7"/>
  <c r="D104" i="7" s="1"/>
  <c r="E8" i="7"/>
  <c r="M8" i="7"/>
  <c r="F130" i="7"/>
  <c r="J130" i="7"/>
  <c r="N130" i="7"/>
  <c r="E12" i="7"/>
  <c r="I12" i="7"/>
  <c r="M12" i="7"/>
  <c r="D132" i="7"/>
  <c r="H132" i="7"/>
  <c r="L132" i="7"/>
  <c r="O16" i="7"/>
  <c r="F28" i="7"/>
  <c r="N28" i="7"/>
  <c r="D57" i="7"/>
  <c r="H57" i="7"/>
  <c r="L57" i="7"/>
  <c r="O37" i="7"/>
  <c r="O45" i="7"/>
  <c r="O50" i="7"/>
  <c r="O67" i="7"/>
  <c r="G70" i="7"/>
  <c r="C71" i="7"/>
  <c r="G71" i="7"/>
  <c r="G77" i="7" s="1"/>
  <c r="G78" i="7" s="1"/>
  <c r="K71" i="7"/>
  <c r="K77" i="7" s="1"/>
  <c r="K78" i="7" s="1"/>
  <c r="O72" i="7"/>
  <c r="F109" i="7"/>
  <c r="F91" i="7"/>
  <c r="N109" i="7"/>
  <c r="N89" i="7"/>
  <c r="C130" i="7"/>
  <c r="O42" i="7"/>
  <c r="E83" i="7"/>
  <c r="E68" i="7"/>
  <c r="I83" i="7"/>
  <c r="I68" i="7"/>
  <c r="C103" i="7"/>
  <c r="I124" i="7"/>
  <c r="E138" i="7"/>
  <c r="M138" i="7"/>
  <c r="O35" i="7"/>
  <c r="H38" i="7"/>
  <c r="O39" i="7"/>
  <c r="C124" i="7"/>
  <c r="C28" i="7"/>
  <c r="G124" i="7"/>
  <c r="G28" i="7"/>
  <c r="K124" i="7"/>
  <c r="K28" i="7"/>
  <c r="O7" i="7"/>
  <c r="G130" i="7"/>
  <c r="K130" i="7"/>
  <c r="E132" i="7"/>
  <c r="M132" i="7"/>
  <c r="D15" i="7"/>
  <c r="H15" i="7"/>
  <c r="L15" i="7"/>
  <c r="C138" i="7"/>
  <c r="G138" i="7"/>
  <c r="O21" i="7"/>
  <c r="G22" i="7"/>
  <c r="C143" i="7"/>
  <c r="G143" i="7"/>
  <c r="O26" i="7"/>
  <c r="F144" i="7"/>
  <c r="J144" i="7"/>
  <c r="I28" i="7"/>
  <c r="D44" i="7"/>
  <c r="D51" i="7" s="1"/>
  <c r="D52" i="7" s="1"/>
  <c r="G57" i="7"/>
  <c r="D66" i="7"/>
  <c r="D70" i="7" s="1"/>
  <c r="D83" i="7"/>
  <c r="H74" i="7"/>
  <c r="H75" i="7" s="1"/>
  <c r="L79" i="7"/>
  <c r="L80" i="7" s="1"/>
  <c r="L74" i="7"/>
  <c r="L75" i="7" s="1"/>
  <c r="L68" i="7"/>
  <c r="F70" i="7"/>
  <c r="N70" i="7"/>
  <c r="H83" i="7"/>
  <c r="H148" i="7"/>
  <c r="L148" i="7"/>
  <c r="F93" i="7"/>
  <c r="F97" i="7"/>
  <c r="C109" i="7"/>
  <c r="C89" i="7"/>
  <c r="C91" i="7" s="1"/>
  <c r="G109" i="7"/>
  <c r="G89" i="7"/>
  <c r="G91" i="7" s="1"/>
  <c r="K109" i="7"/>
  <c r="O90" i="7"/>
  <c r="D126" i="7"/>
  <c r="D111" i="7"/>
  <c r="H89" i="7"/>
  <c r="H95" i="7" s="1"/>
  <c r="L126" i="7"/>
  <c r="L111" i="7"/>
  <c r="L89" i="7"/>
  <c r="L95" i="7" s="1"/>
  <c r="F138" i="7"/>
  <c r="J138" i="7"/>
  <c r="N138" i="7"/>
  <c r="E143" i="7"/>
  <c r="I143" i="7"/>
  <c r="M143" i="7"/>
  <c r="D144" i="7"/>
  <c r="H144" i="7"/>
  <c r="L144" i="7"/>
  <c r="C44" i="7"/>
  <c r="C66" i="7"/>
  <c r="K66" i="7"/>
  <c r="F83" i="7"/>
  <c r="J83" i="7"/>
  <c r="N83" i="7"/>
  <c r="F148" i="7"/>
  <c r="J148" i="7"/>
  <c r="N148" i="7"/>
  <c r="E91" i="7"/>
  <c r="M91" i="7"/>
  <c r="E126" i="7"/>
  <c r="E93" i="7"/>
  <c r="I126" i="7"/>
  <c r="I93" i="7"/>
  <c r="M126" i="7"/>
  <c r="M111" i="7"/>
  <c r="M93" i="7"/>
  <c r="O96" i="7"/>
  <c r="K148" i="7"/>
  <c r="H103" i="7"/>
  <c r="H104" i="7" s="1"/>
  <c r="I109" i="7"/>
  <c r="I148" i="7"/>
  <c r="M148" i="7"/>
  <c r="K111" i="7"/>
  <c r="C111" i="7"/>
  <c r="O92" i="7"/>
  <c r="AQ41" i="4"/>
  <c r="AR41" i="4"/>
  <c r="AU41" i="4"/>
  <c r="AR44" i="4"/>
  <c r="AP41" i="4"/>
  <c r="AQ42" i="4"/>
  <c r="AS43" i="4"/>
  <c r="AR42" i="4"/>
  <c r="AQ44" i="4"/>
  <c r="AU44" i="4"/>
  <c r="AP43" i="4"/>
  <c r="AT43" i="4"/>
  <c r="AP45" i="4"/>
  <c r="AT44" i="4"/>
  <c r="AQ45" i="4"/>
  <c r="CD45" i="4" s="1"/>
  <c r="AP44" i="4"/>
  <c r="K91" i="7" l="1"/>
  <c r="D43" i="7"/>
  <c r="J135" i="7"/>
  <c r="D38" i="7"/>
  <c r="E36" i="7"/>
  <c r="J95" i="7"/>
  <c r="E135" i="7"/>
  <c r="G36" i="7"/>
  <c r="J43" i="7"/>
  <c r="J48" i="7" s="1"/>
  <c r="J49" i="7" s="1"/>
  <c r="E24" i="7"/>
  <c r="E25" i="7" s="1"/>
  <c r="K40" i="7"/>
  <c r="N135" i="7"/>
  <c r="AS57" i="4"/>
  <c r="J38" i="7"/>
  <c r="E43" i="7"/>
  <c r="E53" i="7" s="1"/>
  <c r="E54" i="7" s="1"/>
  <c r="E38" i="7"/>
  <c r="K38" i="7"/>
  <c r="K48" i="7"/>
  <c r="K49" i="7" s="1"/>
  <c r="J79" i="7"/>
  <c r="J80" i="7" s="1"/>
  <c r="F36" i="7"/>
  <c r="J40" i="7"/>
  <c r="L43" i="7"/>
  <c r="L53" i="7" s="1"/>
  <c r="L54" i="7" s="1"/>
  <c r="DI4" i="4"/>
  <c r="CU7" i="4"/>
  <c r="CT6" i="4"/>
  <c r="C95" i="7"/>
  <c r="D40" i="7"/>
  <c r="J93" i="7"/>
  <c r="F38" i="7"/>
  <c r="F40" i="7"/>
  <c r="L38" i="7"/>
  <c r="L40" i="7"/>
  <c r="J145" i="7"/>
  <c r="J91" i="7"/>
  <c r="N38" i="7"/>
  <c r="P38" i="7" s="1"/>
  <c r="N145" i="7"/>
  <c r="D97" i="7"/>
  <c r="D100" i="7" s="1"/>
  <c r="D101" i="7" s="1"/>
  <c r="D93" i="7"/>
  <c r="I36" i="7"/>
  <c r="D12" i="7"/>
  <c r="O128" i="7"/>
  <c r="D91" i="7"/>
  <c r="N43" i="7"/>
  <c r="N53" i="7" s="1"/>
  <c r="N54" i="7" s="1"/>
  <c r="M43" i="7"/>
  <c r="M48" i="7" s="1"/>
  <c r="N40" i="7"/>
  <c r="I38" i="7"/>
  <c r="C135" i="7"/>
  <c r="K36" i="7"/>
  <c r="I43" i="7"/>
  <c r="I48" i="7" s="1"/>
  <c r="I49" i="7" s="1"/>
  <c r="O34" i="7"/>
  <c r="F145" i="7"/>
  <c r="AP58" i="4"/>
  <c r="AT8" i="5"/>
  <c r="AT58" i="4"/>
  <c r="O15" i="7"/>
  <c r="C43" i="7"/>
  <c r="C53" i="7" s="1"/>
  <c r="C147" i="7"/>
  <c r="H36" i="7"/>
  <c r="K100" i="7"/>
  <c r="K101" i="7" s="1"/>
  <c r="M40" i="7"/>
  <c r="M135" i="7"/>
  <c r="AR6" i="5"/>
  <c r="AR14" i="5" s="1"/>
  <c r="P109" i="7"/>
  <c r="H43" i="7"/>
  <c r="H48" i="7" s="1"/>
  <c r="H49" i="7" s="1"/>
  <c r="C36" i="7"/>
  <c r="M38" i="7"/>
  <c r="I105" i="7"/>
  <c r="I106" i="7" s="1"/>
  <c r="AQ65" i="4"/>
  <c r="K95" i="7"/>
  <c r="C38" i="7"/>
  <c r="F123" i="7"/>
  <c r="F134" i="7" s="1"/>
  <c r="F141" i="7" s="1"/>
  <c r="F142" i="7" s="1"/>
  <c r="AQ14" i="5"/>
  <c r="AU14" i="5"/>
  <c r="AU63" i="4"/>
  <c r="AU7" i="5"/>
  <c r="AU10" i="5" s="1"/>
  <c r="AU12" i="5" s="1"/>
  <c r="AU30" i="4"/>
  <c r="AU67" i="4" s="1"/>
  <c r="AU65" i="4"/>
  <c r="AP15" i="5"/>
  <c r="AQ30" i="4"/>
  <c r="AQ67" i="4" s="1"/>
  <c r="AS30" i="4"/>
  <c r="AS67" i="4" s="1"/>
  <c r="AP30" i="4"/>
  <c r="AP67" i="4" s="1"/>
  <c r="AS64" i="4"/>
  <c r="AS9" i="5"/>
  <c r="AS66" i="4"/>
  <c r="AS59" i="4"/>
  <c r="AQ7" i="5"/>
  <c r="AQ63" i="4"/>
  <c r="AR9" i="5"/>
  <c r="AR66" i="4"/>
  <c r="AT6" i="5"/>
  <c r="AT30" i="4"/>
  <c r="AT67" i="4" s="1"/>
  <c r="AS6" i="5"/>
  <c r="AP10" i="5"/>
  <c r="AP12" i="5" s="1"/>
  <c r="AP14" i="5"/>
  <c r="CC45" i="4"/>
  <c r="CO45" i="4" s="1"/>
  <c r="AR63" i="4"/>
  <c r="AR7" i="5"/>
  <c r="AT7" i="5"/>
  <c r="AT63" i="4"/>
  <c r="AU56" i="4"/>
  <c r="AS7" i="5"/>
  <c r="AS63" i="4"/>
  <c r="AR65" i="4"/>
  <c r="AQ8" i="5"/>
  <c r="AR30" i="4"/>
  <c r="AR67" i="4" s="1"/>
  <c r="AU42" i="4"/>
  <c r="AR52" i="4"/>
  <c r="CE44" i="4"/>
  <c r="AP50" i="4"/>
  <c r="CC42" i="4"/>
  <c r="AR51" i="4"/>
  <c r="CE43" i="4"/>
  <c r="AP63" i="4"/>
  <c r="BB7" i="4"/>
  <c r="DD4" i="4" s="1"/>
  <c r="AP65" i="4"/>
  <c r="BB20" i="4"/>
  <c r="AU51" i="4"/>
  <c r="CH43" i="4"/>
  <c r="AT49" i="4"/>
  <c r="CG41" i="4"/>
  <c r="CH44" i="4"/>
  <c r="AU52" i="4"/>
  <c r="AP52" i="4"/>
  <c r="CC44" i="4"/>
  <c r="AR50" i="4"/>
  <c r="CE42" i="4"/>
  <c r="AU49" i="4"/>
  <c r="CH41" i="4"/>
  <c r="D68" i="7"/>
  <c r="P83" i="7"/>
  <c r="G135" i="7"/>
  <c r="O132" i="7"/>
  <c r="H12" i="7"/>
  <c r="I135" i="7"/>
  <c r="AT50" i="4"/>
  <c r="CG42" i="4"/>
  <c r="AS49" i="4"/>
  <c r="CF41" i="4"/>
  <c r="AQ58" i="4"/>
  <c r="AP56" i="4"/>
  <c r="AT51" i="4"/>
  <c r="CG43" i="4"/>
  <c r="AS51" i="4"/>
  <c r="CF43" i="4"/>
  <c r="AQ50" i="4"/>
  <c r="CD42" i="4"/>
  <c r="O144" i="7"/>
  <c r="AR59" i="4"/>
  <c r="CD43" i="4"/>
  <c r="AQ51" i="4"/>
  <c r="AQ52" i="4"/>
  <c r="CD44" i="4"/>
  <c r="AT52" i="4"/>
  <c r="CG44" i="4"/>
  <c r="AP51" i="4"/>
  <c r="CC43" i="4"/>
  <c r="AP49" i="4"/>
  <c r="CC41" i="4"/>
  <c r="AR49" i="4"/>
  <c r="CE41" i="4"/>
  <c r="CD41" i="4"/>
  <c r="AQ49" i="4"/>
  <c r="P111" i="7"/>
  <c r="O126" i="7"/>
  <c r="G43" i="7"/>
  <c r="G38" i="7"/>
  <c r="AS52" i="4"/>
  <c r="CF44" i="4"/>
  <c r="K93" i="7"/>
  <c r="AS50" i="4"/>
  <c r="CF42" i="4"/>
  <c r="AQ56" i="4"/>
  <c r="AU58" i="4"/>
  <c r="AT56" i="4"/>
  <c r="M147" i="7"/>
  <c r="G145" i="7"/>
  <c r="G123" i="7"/>
  <c r="N93" i="7"/>
  <c r="N97" i="7"/>
  <c r="N95" i="7"/>
  <c r="M105" i="7"/>
  <c r="M106" i="7" s="1"/>
  <c r="M100" i="7"/>
  <c r="M101" i="7" s="1"/>
  <c r="J105" i="7"/>
  <c r="J106" i="7" s="1"/>
  <c r="J100" i="7"/>
  <c r="J101" i="7" s="1"/>
  <c r="C24" i="7"/>
  <c r="C19" i="7"/>
  <c r="F48" i="7"/>
  <c r="F49" i="7" s="1"/>
  <c r="F53" i="7"/>
  <c r="F54" i="7" s="1"/>
  <c r="G24" i="7"/>
  <c r="G25" i="7" s="1"/>
  <c r="G19" i="7"/>
  <c r="L91" i="7"/>
  <c r="L97" i="7"/>
  <c r="L93" i="7"/>
  <c r="H93" i="7"/>
  <c r="F105" i="7"/>
  <c r="F106" i="7" s="1"/>
  <c r="F100" i="7"/>
  <c r="F101" i="7" s="1"/>
  <c r="O143" i="7"/>
  <c r="O138" i="7"/>
  <c r="P28" i="7"/>
  <c r="N91" i="7"/>
  <c r="G79" i="7"/>
  <c r="G80" i="7" s="1"/>
  <c r="G74" i="7"/>
  <c r="G75" i="7" s="1"/>
  <c r="E105" i="7"/>
  <c r="E106" i="7" s="1"/>
  <c r="E100" i="7"/>
  <c r="E101" i="7" s="1"/>
  <c r="J139" i="7"/>
  <c r="J23" i="7"/>
  <c r="M123" i="7"/>
  <c r="M125" i="7" s="1"/>
  <c r="M145" i="7"/>
  <c r="K139" i="7"/>
  <c r="K23" i="7"/>
  <c r="I20" i="7"/>
  <c r="N139" i="7"/>
  <c r="N23" i="7"/>
  <c r="L123" i="7"/>
  <c r="L127" i="7" s="1"/>
  <c r="L145" i="7"/>
  <c r="H123" i="7"/>
  <c r="H125" i="7" s="1"/>
  <c r="H145" i="7"/>
  <c r="D123" i="7"/>
  <c r="D127" i="7" s="1"/>
  <c r="D145" i="7"/>
  <c r="M139" i="7"/>
  <c r="M23" i="7"/>
  <c r="K24" i="7"/>
  <c r="K25" i="7" s="1"/>
  <c r="K19" i="7"/>
  <c r="C70" i="7"/>
  <c r="O66" i="7"/>
  <c r="C68" i="7"/>
  <c r="C97" i="7"/>
  <c r="C93" i="7"/>
  <c r="O89" i="7"/>
  <c r="N79" i="7"/>
  <c r="N80" i="7" s="1"/>
  <c r="N74" i="7"/>
  <c r="N75" i="7" s="1"/>
  <c r="D74" i="7"/>
  <c r="D75" i="7" s="1"/>
  <c r="D79" i="7"/>
  <c r="D80" i="7" s="1"/>
  <c r="D53" i="7"/>
  <c r="D54" i="7" s="1"/>
  <c r="D48" i="7"/>
  <c r="D49" i="7" s="1"/>
  <c r="G139" i="7"/>
  <c r="G23" i="7"/>
  <c r="L135" i="7"/>
  <c r="L22" i="7"/>
  <c r="K145" i="7"/>
  <c r="K123" i="7"/>
  <c r="K125" i="7" s="1"/>
  <c r="C145" i="7"/>
  <c r="O124" i="7"/>
  <c r="C123" i="7"/>
  <c r="C131" i="7" s="1"/>
  <c r="I123" i="7"/>
  <c r="I125" i="7" s="1"/>
  <c r="I145" i="7"/>
  <c r="O130" i="7"/>
  <c r="J123" i="7"/>
  <c r="J129" i="7" s="1"/>
  <c r="E145" i="7"/>
  <c r="E123" i="7"/>
  <c r="E125" i="7" s="1"/>
  <c r="K135" i="7"/>
  <c r="O6" i="7"/>
  <c r="N123" i="7"/>
  <c r="N131" i="7" s="1"/>
  <c r="M20" i="7"/>
  <c r="F139" i="7"/>
  <c r="F140" i="7" s="1"/>
  <c r="F23" i="7"/>
  <c r="E20" i="7"/>
  <c r="I139" i="7"/>
  <c r="I23" i="7"/>
  <c r="H91" i="7"/>
  <c r="H97" i="7"/>
  <c r="D135" i="7"/>
  <c r="D22" i="7"/>
  <c r="C104" i="7"/>
  <c r="P104" i="7" s="1"/>
  <c r="O103" i="7"/>
  <c r="O71" i="7"/>
  <c r="C77" i="7"/>
  <c r="F12" i="7"/>
  <c r="F8" i="7"/>
  <c r="F10" i="7"/>
  <c r="F14" i="7"/>
  <c r="J14" i="7"/>
  <c r="J12" i="7"/>
  <c r="J8" i="7"/>
  <c r="J10" i="7"/>
  <c r="K70" i="7"/>
  <c r="K68" i="7"/>
  <c r="C51" i="7"/>
  <c r="O44" i="7"/>
  <c r="L147" i="7"/>
  <c r="D147" i="7"/>
  <c r="G97" i="7"/>
  <c r="G93" i="7"/>
  <c r="G95" i="7"/>
  <c r="F79" i="7"/>
  <c r="F80" i="7" s="1"/>
  <c r="F74" i="7"/>
  <c r="F75" i="7" s="1"/>
  <c r="H135" i="7"/>
  <c r="H22" i="7"/>
  <c r="P57" i="7"/>
  <c r="N12" i="7"/>
  <c r="N8" i="7"/>
  <c r="N10" i="7"/>
  <c r="N14" i="7"/>
  <c r="L10" i="7"/>
  <c r="L14" i="7"/>
  <c r="H10" i="7"/>
  <c r="H14" i="7"/>
  <c r="D14" i="7"/>
  <c r="D10" i="7"/>
  <c r="E139" i="7"/>
  <c r="E23" i="7"/>
  <c r="L12" i="7"/>
  <c r="BQ45" i="4" l="1"/>
  <c r="BU45" i="4"/>
  <c r="BY45" i="4"/>
  <c r="BW45" i="4"/>
  <c r="BX45" i="4"/>
  <c r="BR45" i="4"/>
  <c r="BV45" i="4"/>
  <c r="BZ45" i="4"/>
  <c r="BS45" i="4"/>
  <c r="CA45" i="4"/>
  <c r="BT45" i="4"/>
  <c r="BP45" i="4"/>
  <c r="J140" i="7"/>
  <c r="J53" i="7"/>
  <c r="J54" i="7" s="1"/>
  <c r="L48" i="7"/>
  <c r="L49" i="7" s="1"/>
  <c r="F125" i="7"/>
  <c r="E140" i="7"/>
  <c r="I53" i="7"/>
  <c r="I54" i="7" s="1"/>
  <c r="L125" i="7"/>
  <c r="N140" i="7"/>
  <c r="E48" i="7"/>
  <c r="E49" i="7" s="1"/>
  <c r="G140" i="7"/>
  <c r="P36" i="7"/>
  <c r="P40" i="7"/>
  <c r="N48" i="7"/>
  <c r="N49" i="7" s="1"/>
  <c r="DJ4" i="4"/>
  <c r="CV7" i="4"/>
  <c r="CU6" i="4"/>
  <c r="M49" i="7"/>
  <c r="M136" i="7"/>
  <c r="M140" i="7"/>
  <c r="F129" i="7"/>
  <c r="M53" i="7"/>
  <c r="M54" i="7" s="1"/>
  <c r="F131" i="7"/>
  <c r="F127" i="7"/>
  <c r="C48" i="7"/>
  <c r="C49" i="7" s="1"/>
  <c r="D105" i="7"/>
  <c r="D106" i="7" s="1"/>
  <c r="O43" i="7"/>
  <c r="P147" i="7"/>
  <c r="P91" i="7"/>
  <c r="E127" i="7"/>
  <c r="H53" i="7"/>
  <c r="H54" i="7" s="1"/>
  <c r="P95" i="7"/>
  <c r="AQ10" i="5"/>
  <c r="AQ12" i="5" s="1"/>
  <c r="AP11" i="5"/>
  <c r="I140" i="7"/>
  <c r="BB7" i="5"/>
  <c r="AT15" i="5"/>
  <c r="AS14" i="5"/>
  <c r="AS10" i="5"/>
  <c r="AS11" i="5" s="1"/>
  <c r="AS15" i="5"/>
  <c r="AU15" i="5"/>
  <c r="AU11" i="5"/>
  <c r="AR15" i="5"/>
  <c r="BB8" i="5"/>
  <c r="AT10" i="5"/>
  <c r="AT11" i="5" s="1"/>
  <c r="AT14" i="5"/>
  <c r="AQ15" i="5"/>
  <c r="AR10" i="5"/>
  <c r="AR12" i="5" s="1"/>
  <c r="P8" i="7"/>
  <c r="P68" i="7"/>
  <c r="P12" i="7"/>
  <c r="CH42" i="4"/>
  <c r="AU50" i="4"/>
  <c r="P10" i="7"/>
  <c r="O135" i="7"/>
  <c r="BF45" i="4"/>
  <c r="BJ45" i="4"/>
  <c r="BN45" i="4"/>
  <c r="BG45" i="4"/>
  <c r="BK45" i="4"/>
  <c r="BC45" i="4"/>
  <c r="BD45" i="4"/>
  <c r="BH45" i="4"/>
  <c r="BL45" i="4"/>
  <c r="BE45" i="4"/>
  <c r="BI45" i="4"/>
  <c r="BM45" i="4"/>
  <c r="G48" i="7"/>
  <c r="G49" i="7" s="1"/>
  <c r="G53" i="7"/>
  <c r="G54" i="7" s="1"/>
  <c r="D19" i="7"/>
  <c r="D24" i="7"/>
  <c r="D25" i="7" s="1"/>
  <c r="C78" i="7"/>
  <c r="P78" i="7" s="1"/>
  <c r="O77" i="7"/>
  <c r="K20" i="7"/>
  <c r="D134" i="7"/>
  <c r="D141" i="7" s="1"/>
  <c r="D142" i="7" s="1"/>
  <c r="D129" i="7"/>
  <c r="D131" i="7"/>
  <c r="G20" i="7"/>
  <c r="G134" i="7"/>
  <c r="G141" i="7" s="1"/>
  <c r="G142" i="7" s="1"/>
  <c r="G127" i="7"/>
  <c r="G129" i="7"/>
  <c r="H19" i="7"/>
  <c r="H24" i="7"/>
  <c r="H25" i="7" s="1"/>
  <c r="N24" i="7"/>
  <c r="N25" i="7" s="1"/>
  <c r="N19" i="7"/>
  <c r="O51" i="7"/>
  <c r="C52" i="7"/>
  <c r="P52" i="7" s="1"/>
  <c r="C139" i="7"/>
  <c r="H100" i="7"/>
  <c r="H101" i="7" s="1"/>
  <c r="H105" i="7"/>
  <c r="H106" i="7" s="1"/>
  <c r="N134" i="7"/>
  <c r="N141" i="7" s="1"/>
  <c r="N142" i="7" s="1"/>
  <c r="N125" i="7"/>
  <c r="N127" i="7"/>
  <c r="J134" i="7"/>
  <c r="J141" i="7" s="1"/>
  <c r="J142" i="7" s="1"/>
  <c r="J127" i="7"/>
  <c r="J125" i="7"/>
  <c r="I134" i="7"/>
  <c r="I141" i="7" s="1"/>
  <c r="I142" i="7" s="1"/>
  <c r="I131" i="7"/>
  <c r="I129" i="7"/>
  <c r="C125" i="7"/>
  <c r="P93" i="7"/>
  <c r="C74" i="7"/>
  <c r="O70" i="7"/>
  <c r="C79" i="7"/>
  <c r="M134" i="7"/>
  <c r="M141" i="7" s="1"/>
  <c r="M142" i="7" s="1"/>
  <c r="M129" i="7"/>
  <c r="M131" i="7"/>
  <c r="C20" i="7"/>
  <c r="G125" i="7"/>
  <c r="C54" i="7"/>
  <c r="H131" i="7"/>
  <c r="N129" i="7"/>
  <c r="E134" i="7"/>
  <c r="E141" i="7" s="1"/>
  <c r="E142" i="7" s="1"/>
  <c r="E129" i="7"/>
  <c r="E131" i="7"/>
  <c r="P145" i="7"/>
  <c r="L139" i="7"/>
  <c r="L140" i="7" s="1"/>
  <c r="L23" i="7"/>
  <c r="C105" i="7"/>
  <c r="O97" i="7"/>
  <c r="C100" i="7"/>
  <c r="I127" i="7"/>
  <c r="D125" i="7"/>
  <c r="L134" i="7"/>
  <c r="L141" i="7" s="1"/>
  <c r="L142" i="7" s="1"/>
  <c r="L129" i="7"/>
  <c r="K140" i="7"/>
  <c r="L100" i="7"/>
  <c r="L101" i="7" s="1"/>
  <c r="L105" i="7"/>
  <c r="L106" i="7" s="1"/>
  <c r="L131" i="7"/>
  <c r="O14" i="7"/>
  <c r="N105" i="7"/>
  <c r="N106" i="7" s="1"/>
  <c r="N100" i="7"/>
  <c r="N101" i="7" s="1"/>
  <c r="H139" i="7"/>
  <c r="H140" i="7" s="1"/>
  <c r="H23" i="7"/>
  <c r="F24" i="7"/>
  <c r="F25" i="7" s="1"/>
  <c r="F19" i="7"/>
  <c r="L19" i="7"/>
  <c r="L24" i="7"/>
  <c r="L25" i="7" s="1"/>
  <c r="G105" i="7"/>
  <c r="G106" i="7" s="1"/>
  <c r="G100" i="7"/>
  <c r="G101" i="7" s="1"/>
  <c r="K79" i="7"/>
  <c r="K80" i="7" s="1"/>
  <c r="K74" i="7"/>
  <c r="K75" i="7" s="1"/>
  <c r="J24" i="7"/>
  <c r="J25" i="7" s="1"/>
  <c r="J19" i="7"/>
  <c r="D139" i="7"/>
  <c r="D140" i="7" s="1"/>
  <c r="D23" i="7"/>
  <c r="P23" i="7" s="1"/>
  <c r="O22" i="7"/>
  <c r="C134" i="7"/>
  <c r="O123" i="7"/>
  <c r="C127" i="7"/>
  <c r="C129" i="7"/>
  <c r="K134" i="7"/>
  <c r="K141" i="7" s="1"/>
  <c r="K142" i="7" s="1"/>
  <c r="K127" i="7"/>
  <c r="K129" i="7"/>
  <c r="H134" i="7"/>
  <c r="H141" i="7" s="1"/>
  <c r="H142" i="7" s="1"/>
  <c r="H127" i="7"/>
  <c r="H129" i="7"/>
  <c r="I136" i="7"/>
  <c r="J131" i="7"/>
  <c r="G131" i="7"/>
  <c r="C25" i="7"/>
  <c r="K131" i="7"/>
  <c r="M127" i="7"/>
  <c r="E136" i="7" l="1"/>
  <c r="E137" i="7" s="1"/>
  <c r="O53" i="7"/>
  <c r="P49" i="7"/>
  <c r="DK4" i="4"/>
  <c r="CW7" i="4"/>
  <c r="CV6" i="4"/>
  <c r="O48" i="7"/>
  <c r="O24" i="7"/>
  <c r="P54" i="7"/>
  <c r="AQ11" i="5"/>
  <c r="BB45" i="4"/>
  <c r="AT12" i="5"/>
  <c r="AR11" i="5"/>
  <c r="AS12" i="5"/>
  <c r="BO45" i="4"/>
  <c r="O19" i="7"/>
  <c r="P131" i="7"/>
  <c r="P129" i="7"/>
  <c r="J136" i="7"/>
  <c r="J137" i="7" s="1"/>
  <c r="J20" i="7"/>
  <c r="F136" i="7"/>
  <c r="F137" i="7" s="1"/>
  <c r="F20" i="7"/>
  <c r="M137" i="7"/>
  <c r="P25" i="7"/>
  <c r="I137" i="7"/>
  <c r="P127" i="7"/>
  <c r="O105" i="7"/>
  <c r="C106" i="7"/>
  <c r="P106" i="7" s="1"/>
  <c r="C75" i="7"/>
  <c r="P75" i="7" s="1"/>
  <c r="O74" i="7"/>
  <c r="H136" i="7"/>
  <c r="H137" i="7" s="1"/>
  <c r="H20" i="7"/>
  <c r="N136" i="7"/>
  <c r="N137" i="7" s="1"/>
  <c r="N20" i="7"/>
  <c r="G136" i="7"/>
  <c r="G137" i="7" s="1"/>
  <c r="D136" i="7"/>
  <c r="D137" i="7" s="1"/>
  <c r="D20" i="7"/>
  <c r="C141" i="7"/>
  <c r="O134" i="7"/>
  <c r="L136" i="7"/>
  <c r="L137" i="7" s="1"/>
  <c r="L20" i="7"/>
  <c r="C101" i="7"/>
  <c r="P101" i="7" s="1"/>
  <c r="O100" i="7"/>
  <c r="C136" i="7"/>
  <c r="C80" i="7"/>
  <c r="P80" i="7" s="1"/>
  <c r="O79" i="7"/>
  <c r="P125" i="7"/>
  <c r="C140" i="7"/>
  <c r="P140" i="7" s="1"/>
  <c r="O139" i="7"/>
  <c r="K136" i="7"/>
  <c r="K137" i="7" s="1"/>
  <c r="DL4" i="4" l="1"/>
  <c r="CW6" i="4"/>
  <c r="CX7" i="4"/>
  <c r="P20" i="7"/>
  <c r="C137" i="7"/>
  <c r="P137" i="7" s="1"/>
  <c r="O136" i="7"/>
  <c r="O141" i="7"/>
  <c r="C142" i="7"/>
  <c r="P142" i="7" s="1"/>
  <c r="CX6" i="4" l="1"/>
  <c r="DM4" i="4"/>
  <c r="Q42" i="4"/>
  <c r="Q50" i="4" s="1"/>
  <c r="R42" i="4"/>
  <c r="R50" i="4" s="1"/>
  <c r="S42" i="4"/>
  <c r="S50" i="4" s="1"/>
  <c r="T42" i="4"/>
  <c r="T50" i="4" s="1"/>
  <c r="U42" i="4"/>
  <c r="U50" i="4" s="1"/>
  <c r="V42" i="4"/>
  <c r="V50" i="4" s="1"/>
  <c r="W42" i="4"/>
  <c r="W50" i="4" s="1"/>
  <c r="X42" i="4"/>
  <c r="X50" i="4" s="1"/>
  <c r="Y42" i="4"/>
  <c r="Y50" i="4" s="1"/>
  <c r="Z42" i="4"/>
  <c r="Z50" i="4" s="1"/>
  <c r="AA42" i="4"/>
  <c r="AA50" i="4" s="1"/>
  <c r="P42" i="4"/>
  <c r="P50" i="4" s="1"/>
  <c r="Q41" i="4"/>
  <c r="R41" i="4"/>
  <c r="S41" i="4"/>
  <c r="T41" i="4"/>
  <c r="U41" i="4"/>
  <c r="V41" i="4"/>
  <c r="W41" i="4"/>
  <c r="X41" i="4"/>
  <c r="Y41" i="4"/>
  <c r="Z41" i="4"/>
  <c r="AA41" i="4"/>
  <c r="Q43" i="4"/>
  <c r="Q51" i="4" s="1"/>
  <c r="R43" i="4"/>
  <c r="R51" i="4" s="1"/>
  <c r="S43" i="4"/>
  <c r="S51" i="4" s="1"/>
  <c r="T43" i="4"/>
  <c r="T51" i="4" s="1"/>
  <c r="U43" i="4"/>
  <c r="U51" i="4" s="1"/>
  <c r="V43" i="4"/>
  <c r="V51" i="4" s="1"/>
  <c r="W43" i="4"/>
  <c r="W51" i="4" s="1"/>
  <c r="X43" i="4"/>
  <c r="X51" i="4" s="1"/>
  <c r="Y43" i="4"/>
  <c r="Y51" i="4" s="1"/>
  <c r="Z43" i="4"/>
  <c r="Z51" i="4" s="1"/>
  <c r="AA43" i="4"/>
  <c r="AA51" i="4" s="1"/>
  <c r="Q44" i="4"/>
  <c r="R44" i="4"/>
  <c r="S44" i="4"/>
  <c r="T44" i="4"/>
  <c r="U44" i="4"/>
  <c r="V44" i="4"/>
  <c r="W44" i="4"/>
  <c r="X44" i="4"/>
  <c r="Y44" i="4"/>
  <c r="Z44" i="4"/>
  <c r="AA44" i="4"/>
  <c r="Q45" i="4"/>
  <c r="R45" i="4"/>
  <c r="S45" i="4"/>
  <c r="T45" i="4"/>
  <c r="U45" i="4"/>
  <c r="V45" i="4"/>
  <c r="W45" i="4"/>
  <c r="X45" i="4"/>
  <c r="Y45" i="4"/>
  <c r="Z45" i="4"/>
  <c r="AA45" i="4"/>
  <c r="P45" i="4"/>
  <c r="P44" i="4"/>
  <c r="P43" i="4"/>
  <c r="P51" i="4" s="1"/>
  <c r="P41" i="4"/>
  <c r="Q33" i="4"/>
  <c r="R33" i="4"/>
  <c r="S33" i="4"/>
  <c r="T33" i="4"/>
  <c r="U33" i="4"/>
  <c r="V33" i="4"/>
  <c r="W33" i="4"/>
  <c r="X33" i="4"/>
  <c r="Y33" i="4"/>
  <c r="Z33" i="4"/>
  <c r="AA33" i="4"/>
  <c r="Q34" i="4"/>
  <c r="R34" i="4"/>
  <c r="S34" i="4"/>
  <c r="T34" i="4"/>
  <c r="U34" i="4"/>
  <c r="V34" i="4"/>
  <c r="W34" i="4"/>
  <c r="X34" i="4"/>
  <c r="Y34" i="4"/>
  <c r="Z34" i="4"/>
  <c r="AA34" i="4"/>
  <c r="Q35" i="4"/>
  <c r="R35" i="4"/>
  <c r="S35" i="4"/>
  <c r="T35" i="4"/>
  <c r="U35" i="4"/>
  <c r="V35" i="4"/>
  <c r="W35" i="4"/>
  <c r="X35" i="4"/>
  <c r="Y35" i="4"/>
  <c r="Z35" i="4"/>
  <c r="AA35" i="4"/>
  <c r="Q36" i="4"/>
  <c r="R36" i="4"/>
  <c r="S36" i="4"/>
  <c r="T36" i="4"/>
  <c r="U36" i="4"/>
  <c r="V36" i="4"/>
  <c r="W36" i="4"/>
  <c r="X36" i="4"/>
  <c r="Y36" i="4"/>
  <c r="Z36" i="4"/>
  <c r="AA36" i="4"/>
  <c r="Q37" i="4"/>
  <c r="R37" i="4"/>
  <c r="S37" i="4"/>
  <c r="T37" i="4"/>
  <c r="U37" i="4"/>
  <c r="V37" i="4"/>
  <c r="W37" i="4"/>
  <c r="X37" i="4"/>
  <c r="Y37" i="4"/>
  <c r="Z37" i="4"/>
  <c r="AA37" i="4"/>
  <c r="P37" i="4"/>
  <c r="P36" i="4"/>
  <c r="P35" i="4"/>
  <c r="P34" i="4"/>
  <c r="P33" i="4"/>
  <c r="Q6" i="4"/>
  <c r="R6" i="4"/>
  <c r="S6" i="4"/>
  <c r="T6" i="4"/>
  <c r="U6" i="4"/>
  <c r="V6" i="4"/>
  <c r="W6" i="4"/>
  <c r="X6" i="4"/>
  <c r="Y6" i="4"/>
  <c r="Z6" i="4"/>
  <c r="AA6" i="4"/>
  <c r="Q7" i="4"/>
  <c r="R7" i="4"/>
  <c r="S7" i="4"/>
  <c r="T7" i="4"/>
  <c r="U7" i="4"/>
  <c r="V7" i="4"/>
  <c r="W7" i="4"/>
  <c r="X7" i="4"/>
  <c r="Y7" i="4"/>
  <c r="Z7" i="4"/>
  <c r="AA7" i="4"/>
  <c r="Q8" i="4"/>
  <c r="Q8" i="5" s="1"/>
  <c r="R8" i="4"/>
  <c r="R8" i="5" s="1"/>
  <c r="S8" i="4"/>
  <c r="S8" i="5" s="1"/>
  <c r="T8" i="4"/>
  <c r="T8" i="5" s="1"/>
  <c r="U8" i="4"/>
  <c r="U8" i="5" s="1"/>
  <c r="V8" i="4"/>
  <c r="V8" i="5" s="1"/>
  <c r="W8" i="4"/>
  <c r="W8" i="5" s="1"/>
  <c r="X8" i="4"/>
  <c r="X8" i="5" s="1"/>
  <c r="Y8" i="4"/>
  <c r="Y8" i="5" s="1"/>
  <c r="Z8" i="4"/>
  <c r="Z8" i="5" s="1"/>
  <c r="AA8" i="4"/>
  <c r="AA8" i="5" s="1"/>
  <c r="Q12" i="4"/>
  <c r="R12" i="4"/>
  <c r="S12" i="4"/>
  <c r="T12" i="4"/>
  <c r="U12" i="4"/>
  <c r="V12" i="4"/>
  <c r="W12" i="4"/>
  <c r="X12" i="4"/>
  <c r="Y12" i="4"/>
  <c r="Z12" i="4"/>
  <c r="AA12" i="4"/>
  <c r="Q19" i="4"/>
  <c r="R19" i="4"/>
  <c r="S19" i="4"/>
  <c r="T19" i="4"/>
  <c r="U19" i="4"/>
  <c r="V19" i="4"/>
  <c r="W19" i="4"/>
  <c r="X19" i="4"/>
  <c r="Y19" i="4"/>
  <c r="Z19" i="4"/>
  <c r="AA19" i="4"/>
  <c r="Q23" i="4"/>
  <c r="R23" i="4"/>
  <c r="S23" i="4"/>
  <c r="T23" i="4"/>
  <c r="U23" i="4"/>
  <c r="V23" i="4"/>
  <c r="W23" i="4"/>
  <c r="X23" i="4"/>
  <c r="Y23" i="4"/>
  <c r="Z23" i="4"/>
  <c r="AA23" i="4"/>
  <c r="Q24" i="4"/>
  <c r="R24" i="4"/>
  <c r="S24" i="4"/>
  <c r="T24" i="4"/>
  <c r="U24" i="4"/>
  <c r="V24" i="4"/>
  <c r="W24" i="4"/>
  <c r="X24" i="4"/>
  <c r="Y24" i="4"/>
  <c r="Z24" i="4"/>
  <c r="AA24" i="4"/>
  <c r="P24" i="4"/>
  <c r="P23" i="4"/>
  <c r="P19" i="4"/>
  <c r="P12" i="4"/>
  <c r="P8" i="4"/>
  <c r="P8" i="5" s="1"/>
  <c r="P7" i="4"/>
  <c r="P6" i="4"/>
  <c r="C44" i="4"/>
  <c r="C52" i="4" s="1"/>
  <c r="D41" i="4"/>
  <c r="E41" i="4"/>
  <c r="F41" i="4"/>
  <c r="G41" i="4"/>
  <c r="H41" i="4"/>
  <c r="I41" i="4"/>
  <c r="J41" i="4"/>
  <c r="K41" i="4"/>
  <c r="L41" i="4"/>
  <c r="M41" i="4"/>
  <c r="N41" i="4"/>
  <c r="O41" i="4"/>
  <c r="D42" i="4"/>
  <c r="D50" i="4" s="1"/>
  <c r="E42" i="4"/>
  <c r="E50" i="4" s="1"/>
  <c r="F42" i="4"/>
  <c r="F50" i="4" s="1"/>
  <c r="G42" i="4"/>
  <c r="G50" i="4" s="1"/>
  <c r="H42" i="4"/>
  <c r="H50" i="4" s="1"/>
  <c r="I42" i="4"/>
  <c r="I50" i="4" s="1"/>
  <c r="J42" i="4"/>
  <c r="J50" i="4" s="1"/>
  <c r="K42" i="4"/>
  <c r="K50" i="4" s="1"/>
  <c r="L42" i="4"/>
  <c r="L50" i="4" s="1"/>
  <c r="M42" i="4"/>
  <c r="M50" i="4" s="1"/>
  <c r="N42" i="4"/>
  <c r="N50" i="4" s="1"/>
  <c r="O42" i="4"/>
  <c r="D43" i="4"/>
  <c r="D51" i="4" s="1"/>
  <c r="E43" i="4"/>
  <c r="E51" i="4" s="1"/>
  <c r="F43" i="4"/>
  <c r="F51" i="4" s="1"/>
  <c r="G43" i="4"/>
  <c r="G51" i="4" s="1"/>
  <c r="H43" i="4"/>
  <c r="H51" i="4" s="1"/>
  <c r="I43" i="4"/>
  <c r="I51" i="4" s="1"/>
  <c r="J43" i="4"/>
  <c r="J51" i="4" s="1"/>
  <c r="K43" i="4"/>
  <c r="K51" i="4" s="1"/>
  <c r="L43" i="4"/>
  <c r="L51" i="4" s="1"/>
  <c r="M43" i="4"/>
  <c r="M51" i="4" s="1"/>
  <c r="N43" i="4"/>
  <c r="N51" i="4" s="1"/>
  <c r="O43" i="4"/>
  <c r="D44" i="4"/>
  <c r="E44" i="4"/>
  <c r="F44" i="4"/>
  <c r="G44" i="4"/>
  <c r="H44" i="4"/>
  <c r="I44" i="4"/>
  <c r="J44" i="4"/>
  <c r="K44" i="4"/>
  <c r="L44" i="4"/>
  <c r="M44" i="4"/>
  <c r="N44" i="4"/>
  <c r="O44" i="4"/>
  <c r="D45" i="4"/>
  <c r="E45" i="4"/>
  <c r="F45" i="4"/>
  <c r="G45" i="4"/>
  <c r="H45" i="4"/>
  <c r="I45" i="4"/>
  <c r="J45" i="4"/>
  <c r="K45" i="4"/>
  <c r="L45" i="4"/>
  <c r="M45" i="4"/>
  <c r="N45" i="4"/>
  <c r="O45" i="4"/>
  <c r="C45" i="4"/>
  <c r="C43" i="4"/>
  <c r="C51" i="4" s="1"/>
  <c r="C42" i="4"/>
  <c r="C50" i="4" s="1"/>
  <c r="C41" i="4"/>
  <c r="D33" i="4"/>
  <c r="E33" i="4"/>
  <c r="F33" i="4"/>
  <c r="G33" i="4"/>
  <c r="H33" i="4"/>
  <c r="I33" i="4"/>
  <c r="J33" i="4"/>
  <c r="K33" i="4"/>
  <c r="L33" i="4"/>
  <c r="M33" i="4"/>
  <c r="N33" i="4"/>
  <c r="D34" i="4"/>
  <c r="E34" i="4"/>
  <c r="F34" i="4"/>
  <c r="G34" i="4"/>
  <c r="H34" i="4"/>
  <c r="I34" i="4"/>
  <c r="J34" i="4"/>
  <c r="K34" i="4"/>
  <c r="L34" i="4"/>
  <c r="M34" i="4"/>
  <c r="N34" i="4"/>
  <c r="D35" i="4"/>
  <c r="E35" i="4"/>
  <c r="F35" i="4"/>
  <c r="G35" i="4"/>
  <c r="H35" i="4"/>
  <c r="I35" i="4"/>
  <c r="J35" i="4"/>
  <c r="K35" i="4"/>
  <c r="L35" i="4"/>
  <c r="M35" i="4"/>
  <c r="N35" i="4"/>
  <c r="D36" i="4"/>
  <c r="E36" i="4"/>
  <c r="F36" i="4"/>
  <c r="G36" i="4"/>
  <c r="H36" i="4"/>
  <c r="I36" i="4"/>
  <c r="J36" i="4"/>
  <c r="K36" i="4"/>
  <c r="L36" i="4"/>
  <c r="M36" i="4"/>
  <c r="N36" i="4"/>
  <c r="D37" i="4"/>
  <c r="E37" i="4"/>
  <c r="F37" i="4"/>
  <c r="G37" i="4"/>
  <c r="H37" i="4"/>
  <c r="I37" i="4"/>
  <c r="J37" i="4"/>
  <c r="K37" i="4"/>
  <c r="L37" i="4"/>
  <c r="M37" i="4"/>
  <c r="N37" i="4"/>
  <c r="C37" i="4"/>
  <c r="C36" i="4"/>
  <c r="C35" i="4"/>
  <c r="C34" i="4"/>
  <c r="C33" i="4"/>
  <c r="D23" i="4"/>
  <c r="E23" i="4"/>
  <c r="F23" i="4"/>
  <c r="G23" i="4"/>
  <c r="H23" i="4"/>
  <c r="I23" i="4"/>
  <c r="J23" i="4"/>
  <c r="K23" i="4"/>
  <c r="L23" i="4"/>
  <c r="M23" i="4"/>
  <c r="N23" i="4"/>
  <c r="D24" i="4"/>
  <c r="E24" i="4"/>
  <c r="F24" i="4"/>
  <c r="G24" i="4"/>
  <c r="H24" i="4"/>
  <c r="I24" i="4"/>
  <c r="J24" i="4"/>
  <c r="K24" i="4"/>
  <c r="L24" i="4"/>
  <c r="M24" i="4"/>
  <c r="N24" i="4"/>
  <c r="C24" i="4"/>
  <c r="C23" i="4"/>
  <c r="D6" i="4"/>
  <c r="E6" i="4"/>
  <c r="F6" i="4"/>
  <c r="G6" i="4"/>
  <c r="H6" i="4"/>
  <c r="I6" i="4"/>
  <c r="J6" i="4"/>
  <c r="K6" i="4"/>
  <c r="L6" i="4"/>
  <c r="M6" i="4"/>
  <c r="N6" i="4"/>
  <c r="D7" i="4"/>
  <c r="E7" i="4"/>
  <c r="F7" i="4"/>
  <c r="G7" i="4"/>
  <c r="H7" i="4"/>
  <c r="I7" i="4"/>
  <c r="J7" i="4"/>
  <c r="K7" i="4"/>
  <c r="L7" i="4"/>
  <c r="M7" i="4"/>
  <c r="N7" i="4"/>
  <c r="D8" i="4"/>
  <c r="D8" i="5" s="1"/>
  <c r="E8" i="4"/>
  <c r="E8" i="5" s="1"/>
  <c r="F8" i="4"/>
  <c r="F8" i="5" s="1"/>
  <c r="G8" i="4"/>
  <c r="G8" i="5" s="1"/>
  <c r="H8" i="4"/>
  <c r="H8" i="5" s="1"/>
  <c r="I8" i="4"/>
  <c r="I8" i="5" s="1"/>
  <c r="J8" i="4"/>
  <c r="J8" i="5" s="1"/>
  <c r="K8" i="4"/>
  <c r="K8" i="5" s="1"/>
  <c r="L8" i="4"/>
  <c r="L8" i="5" s="1"/>
  <c r="M8" i="4"/>
  <c r="M8" i="5" s="1"/>
  <c r="N8" i="4"/>
  <c r="N8" i="5" s="1"/>
  <c r="D12" i="4"/>
  <c r="E12" i="4"/>
  <c r="F12" i="4"/>
  <c r="G12" i="4"/>
  <c r="H12" i="4"/>
  <c r="I12" i="4"/>
  <c r="J12" i="4"/>
  <c r="K12" i="4"/>
  <c r="L12" i="4"/>
  <c r="M12" i="4"/>
  <c r="N12" i="4"/>
  <c r="D19" i="4"/>
  <c r="E19" i="4"/>
  <c r="F19" i="4"/>
  <c r="G19" i="4"/>
  <c r="H19" i="4"/>
  <c r="I19" i="4"/>
  <c r="J19" i="4"/>
  <c r="K19" i="4"/>
  <c r="L19" i="4"/>
  <c r="M19" i="4"/>
  <c r="N19" i="4"/>
  <c r="C19" i="4"/>
  <c r="C12" i="4"/>
  <c r="C8" i="4"/>
  <c r="C8" i="5" s="1"/>
  <c r="C7" i="4"/>
  <c r="C7" i="5" s="1"/>
  <c r="C6" i="4"/>
  <c r="AU38" i="4"/>
  <c r="AQ38" i="4"/>
  <c r="AB25" i="4"/>
  <c r="AB14" i="4"/>
  <c r="AB13" i="4"/>
  <c r="O25" i="4"/>
  <c r="O14" i="4"/>
  <c r="AO45" i="4"/>
  <c r="AC45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O43" i="4"/>
  <c r="AN43" i="4"/>
  <c r="AM43" i="4"/>
  <c r="AL43" i="4"/>
  <c r="AK43" i="4"/>
  <c r="AJ43" i="4"/>
  <c r="AI43" i="4"/>
  <c r="AH43" i="4"/>
  <c r="AH51" i="4" s="1"/>
  <c r="AG43" i="4"/>
  <c r="AG51" i="4" s="1"/>
  <c r="AF43" i="4"/>
  <c r="AF51" i="4" s="1"/>
  <c r="AE43" i="4"/>
  <c r="AE51" i="4" s="1"/>
  <c r="AD43" i="4"/>
  <c r="AD51" i="4" s="1"/>
  <c r="AC43" i="4"/>
  <c r="AC51" i="4" s="1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N33" i="4"/>
  <c r="AM33" i="4"/>
  <c r="AM38" i="4" s="1"/>
  <c r="AL33" i="4"/>
  <c r="AK33" i="4"/>
  <c r="AK38" i="4" s="1"/>
  <c r="AJ33" i="4"/>
  <c r="AI33" i="4"/>
  <c r="AH33" i="4"/>
  <c r="AG33" i="4"/>
  <c r="AG38" i="4" s="1"/>
  <c r="AF33" i="4"/>
  <c r="AE33" i="4"/>
  <c r="AE38" i="4" s="1"/>
  <c r="AD33" i="4"/>
  <c r="AC33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N24" i="4"/>
  <c r="AN9" i="5" s="1"/>
  <c r="AM24" i="4"/>
  <c r="AM9" i="5" s="1"/>
  <c r="AL24" i="4"/>
  <c r="AL9" i="5" s="1"/>
  <c r="AK24" i="4"/>
  <c r="AK9" i="5" s="1"/>
  <c r="AJ24" i="4"/>
  <c r="AJ9" i="5" s="1"/>
  <c r="AI24" i="4"/>
  <c r="AI9" i="5" s="1"/>
  <c r="AH24" i="4"/>
  <c r="AH9" i="5" s="1"/>
  <c r="AG24" i="4"/>
  <c r="AG9" i="5" s="1"/>
  <c r="AF24" i="4"/>
  <c r="AF9" i="5" s="1"/>
  <c r="AE24" i="4"/>
  <c r="AE9" i="5" s="1"/>
  <c r="AD24" i="4"/>
  <c r="AD9" i="5" s="1"/>
  <c r="AC24" i="4"/>
  <c r="AC9" i="5" s="1"/>
  <c r="AN23" i="4"/>
  <c r="AN59" i="4" s="1"/>
  <c r="AM23" i="4"/>
  <c r="AM59" i="4" s="1"/>
  <c r="AL23" i="4"/>
  <c r="AL59" i="4" s="1"/>
  <c r="AK23" i="4"/>
  <c r="AK59" i="4" s="1"/>
  <c r="AJ23" i="4"/>
  <c r="AJ59" i="4" s="1"/>
  <c r="AI23" i="4"/>
  <c r="AI59" i="4" s="1"/>
  <c r="AH23" i="4"/>
  <c r="AH59" i="4" s="1"/>
  <c r="AG23" i="4"/>
  <c r="AG59" i="4" s="1"/>
  <c r="AF23" i="4"/>
  <c r="AF59" i="4" s="1"/>
  <c r="AE23" i="4"/>
  <c r="AE59" i="4" s="1"/>
  <c r="AD23" i="4"/>
  <c r="AD59" i="4" s="1"/>
  <c r="AC23" i="4"/>
  <c r="AC59" i="4" s="1"/>
  <c r="AN19" i="4"/>
  <c r="AM19" i="4"/>
  <c r="AL19" i="4"/>
  <c r="AK19" i="4"/>
  <c r="AJ19" i="4"/>
  <c r="AI19" i="4"/>
  <c r="AH19" i="4"/>
  <c r="AG19" i="4"/>
  <c r="AF19" i="4"/>
  <c r="AE19" i="4"/>
  <c r="AD19" i="4"/>
  <c r="AC19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N12" i="4"/>
  <c r="AN57" i="4" s="1"/>
  <c r="AM12" i="4"/>
  <c r="AM57" i="4" s="1"/>
  <c r="AL12" i="4"/>
  <c r="AL57" i="4" s="1"/>
  <c r="AK12" i="4"/>
  <c r="AK57" i="4" s="1"/>
  <c r="AJ12" i="4"/>
  <c r="AJ57" i="4" s="1"/>
  <c r="AI12" i="4"/>
  <c r="AI57" i="4" s="1"/>
  <c r="AH12" i="4"/>
  <c r="AH57" i="4" s="1"/>
  <c r="AG12" i="4"/>
  <c r="AF12" i="4"/>
  <c r="AF57" i="4" s="1"/>
  <c r="AE12" i="4"/>
  <c r="AE57" i="4" s="1"/>
  <c r="AD12" i="4"/>
  <c r="AC12" i="4"/>
  <c r="AC57" i="4" s="1"/>
  <c r="AN8" i="4"/>
  <c r="AN8" i="5" s="1"/>
  <c r="AM8" i="4"/>
  <c r="AM8" i="5" s="1"/>
  <c r="AL8" i="4"/>
  <c r="AL8" i="5" s="1"/>
  <c r="AK8" i="4"/>
  <c r="AK8" i="5" s="1"/>
  <c r="AJ8" i="4"/>
  <c r="AJ8" i="5" s="1"/>
  <c r="AI8" i="4"/>
  <c r="AI8" i="5" s="1"/>
  <c r="AH8" i="4"/>
  <c r="AH8" i="5" s="1"/>
  <c r="AG8" i="4"/>
  <c r="AG8" i="5" s="1"/>
  <c r="AF8" i="4"/>
  <c r="AF8" i="5" s="1"/>
  <c r="AE8" i="4"/>
  <c r="AE8" i="5" s="1"/>
  <c r="AD8" i="4"/>
  <c r="AD8" i="5" s="1"/>
  <c r="AC8" i="4"/>
  <c r="AC8" i="5" s="1"/>
  <c r="AN7" i="4"/>
  <c r="AN7" i="5" s="1"/>
  <c r="AM7" i="4"/>
  <c r="AM7" i="5" s="1"/>
  <c r="AL7" i="4"/>
  <c r="AL7" i="5" s="1"/>
  <c r="AK7" i="4"/>
  <c r="AK7" i="5" s="1"/>
  <c r="AJ7" i="4"/>
  <c r="AJ7" i="5" s="1"/>
  <c r="AI7" i="4"/>
  <c r="AI7" i="5" s="1"/>
  <c r="AH7" i="4"/>
  <c r="AH7" i="5" s="1"/>
  <c r="AG7" i="4"/>
  <c r="AG7" i="5" s="1"/>
  <c r="AF7" i="4"/>
  <c r="AF7" i="5" s="1"/>
  <c r="AE7" i="4"/>
  <c r="AE7" i="5" s="1"/>
  <c r="AD7" i="4"/>
  <c r="AD7" i="5" s="1"/>
  <c r="AC7" i="4"/>
  <c r="AC7" i="5" s="1"/>
  <c r="AN6" i="4"/>
  <c r="AM6" i="4"/>
  <c r="AL6" i="4"/>
  <c r="AK6" i="4"/>
  <c r="AK6" i="5" s="1"/>
  <c r="AJ6" i="4"/>
  <c r="AI6" i="4"/>
  <c r="AH6" i="4"/>
  <c r="AG6" i="4"/>
  <c r="AG6" i="5" s="1"/>
  <c r="AF6" i="4"/>
  <c r="AE6" i="4"/>
  <c r="AD6" i="4"/>
  <c r="AC6" i="4"/>
  <c r="AC6" i="5" s="1"/>
  <c r="AD57" i="4" l="1"/>
  <c r="AG57" i="4"/>
  <c r="AH38" i="4"/>
  <c r="AL38" i="4"/>
  <c r="L59" i="4"/>
  <c r="H59" i="4"/>
  <c r="D59" i="4"/>
  <c r="N59" i="4"/>
  <c r="J59" i="4"/>
  <c r="F59" i="4"/>
  <c r="N52" i="4"/>
  <c r="J52" i="4"/>
  <c r="F52" i="4"/>
  <c r="Y59" i="4"/>
  <c r="U59" i="4"/>
  <c r="Q59" i="4"/>
  <c r="L52" i="4"/>
  <c r="H52" i="4"/>
  <c r="D52" i="4"/>
  <c r="L46" i="4"/>
  <c r="L16" i="5" s="1"/>
  <c r="AA59" i="4"/>
  <c r="W59" i="4"/>
  <c r="S59" i="4"/>
  <c r="AI38" i="4"/>
  <c r="AC50" i="4"/>
  <c r="AG50" i="4"/>
  <c r="AE52" i="4"/>
  <c r="AH56" i="4"/>
  <c r="AH6" i="5"/>
  <c r="AD15" i="5"/>
  <c r="AL15" i="5"/>
  <c r="AF56" i="4"/>
  <c r="AF6" i="5"/>
  <c r="AJ56" i="4"/>
  <c r="AJ6" i="5"/>
  <c r="AN56" i="4"/>
  <c r="AN6" i="5"/>
  <c r="AF15" i="5"/>
  <c r="AJ15" i="5"/>
  <c r="AN15" i="5"/>
  <c r="N58" i="4"/>
  <c r="N65" i="4"/>
  <c r="J65" i="4"/>
  <c r="J58" i="4"/>
  <c r="F65" i="4"/>
  <c r="F58" i="4"/>
  <c r="M64" i="4"/>
  <c r="M57" i="4"/>
  <c r="I57" i="4"/>
  <c r="I64" i="4"/>
  <c r="E64" i="4"/>
  <c r="E57" i="4"/>
  <c r="K7" i="5"/>
  <c r="K63" i="4"/>
  <c r="G7" i="5"/>
  <c r="G63" i="4"/>
  <c r="N6" i="5"/>
  <c r="N56" i="4"/>
  <c r="J6" i="5"/>
  <c r="J56" i="4"/>
  <c r="F6" i="5"/>
  <c r="F56" i="4"/>
  <c r="C9" i="5"/>
  <c r="C15" i="5" s="1"/>
  <c r="C66" i="4"/>
  <c r="K9" i="5"/>
  <c r="K66" i="4"/>
  <c r="G9" i="5"/>
  <c r="G66" i="4"/>
  <c r="N49" i="4"/>
  <c r="J49" i="4"/>
  <c r="F49" i="4"/>
  <c r="P6" i="5"/>
  <c r="P56" i="4"/>
  <c r="P65" i="4"/>
  <c r="P58" i="4"/>
  <c r="Z9" i="5"/>
  <c r="Z66" i="4"/>
  <c r="V9" i="5"/>
  <c r="V66" i="4"/>
  <c r="R9" i="5"/>
  <c r="R66" i="4"/>
  <c r="X65" i="4"/>
  <c r="X58" i="4"/>
  <c r="T65" i="4"/>
  <c r="T58" i="4"/>
  <c r="AA57" i="4"/>
  <c r="AA64" i="4"/>
  <c r="W57" i="4"/>
  <c r="W64" i="4"/>
  <c r="S57" i="4"/>
  <c r="S64" i="4"/>
  <c r="Y7" i="5"/>
  <c r="Y63" i="4"/>
  <c r="U7" i="5"/>
  <c r="U63" i="4"/>
  <c r="Q7" i="5"/>
  <c r="Q63" i="4"/>
  <c r="X6" i="5"/>
  <c r="X56" i="4"/>
  <c r="T6" i="5"/>
  <c r="T56" i="4"/>
  <c r="P49" i="4"/>
  <c r="Z52" i="4"/>
  <c r="V52" i="4"/>
  <c r="R52" i="4"/>
  <c r="X49" i="4"/>
  <c r="T49" i="4"/>
  <c r="AC14" i="5"/>
  <c r="AC10" i="5"/>
  <c r="AC11" i="5" s="1"/>
  <c r="AG10" i="5"/>
  <c r="AG12" i="5" s="1"/>
  <c r="AG14" i="5"/>
  <c r="AK10" i="5"/>
  <c r="AK11" i="5" s="1"/>
  <c r="AK14" i="5"/>
  <c r="AC15" i="5"/>
  <c r="AG15" i="5"/>
  <c r="AK15" i="5"/>
  <c r="M58" i="4"/>
  <c r="M65" i="4"/>
  <c r="I58" i="4"/>
  <c r="I65" i="4"/>
  <c r="E58" i="4"/>
  <c r="E65" i="4"/>
  <c r="L57" i="4"/>
  <c r="L64" i="4"/>
  <c r="H57" i="4"/>
  <c r="H64" i="4"/>
  <c r="D57" i="4"/>
  <c r="D64" i="4"/>
  <c r="N7" i="5"/>
  <c r="N63" i="4"/>
  <c r="J7" i="5"/>
  <c r="J63" i="4"/>
  <c r="F7" i="5"/>
  <c r="F63" i="4"/>
  <c r="M6" i="5"/>
  <c r="M56" i="4"/>
  <c r="I6" i="5"/>
  <c r="I56" i="4"/>
  <c r="E6" i="5"/>
  <c r="E56" i="4"/>
  <c r="N9" i="5"/>
  <c r="N66" i="4"/>
  <c r="J9" i="5"/>
  <c r="J66" i="4"/>
  <c r="F9" i="5"/>
  <c r="F66" i="4"/>
  <c r="M59" i="4"/>
  <c r="I59" i="4"/>
  <c r="E59" i="4"/>
  <c r="M52" i="4"/>
  <c r="I52" i="4"/>
  <c r="E52" i="4"/>
  <c r="M49" i="4"/>
  <c r="I49" i="4"/>
  <c r="E49" i="4"/>
  <c r="P7" i="5"/>
  <c r="P63" i="4"/>
  <c r="P59" i="4"/>
  <c r="Y9" i="5"/>
  <c r="Y66" i="4"/>
  <c r="U9" i="5"/>
  <c r="U66" i="4"/>
  <c r="Q9" i="5"/>
  <c r="Q66" i="4"/>
  <c r="X59" i="4"/>
  <c r="T59" i="4"/>
  <c r="AA58" i="4"/>
  <c r="AA65" i="4"/>
  <c r="W58" i="4"/>
  <c r="W65" i="4"/>
  <c r="S58" i="4"/>
  <c r="S65" i="4"/>
  <c r="Z64" i="4"/>
  <c r="Z57" i="4"/>
  <c r="V57" i="4"/>
  <c r="V64" i="4"/>
  <c r="R64" i="4"/>
  <c r="R57" i="4"/>
  <c r="X7" i="5"/>
  <c r="X63" i="4"/>
  <c r="T7" i="5"/>
  <c r="T63" i="4"/>
  <c r="AA6" i="5"/>
  <c r="AA56" i="4"/>
  <c r="W6" i="5"/>
  <c r="W56" i="4"/>
  <c r="S6" i="5"/>
  <c r="S56" i="4"/>
  <c r="Y52" i="4"/>
  <c r="U52" i="4"/>
  <c r="Q52" i="4"/>
  <c r="AA49" i="4"/>
  <c r="W49" i="4"/>
  <c r="S49" i="4"/>
  <c r="AD56" i="4"/>
  <c r="AD6" i="5"/>
  <c r="AL56" i="4"/>
  <c r="AL6" i="5"/>
  <c r="AH15" i="5"/>
  <c r="C64" i="4"/>
  <c r="C57" i="4"/>
  <c r="L58" i="4"/>
  <c r="L65" i="4"/>
  <c r="H58" i="4"/>
  <c r="H65" i="4"/>
  <c r="D58" i="4"/>
  <c r="D65" i="4"/>
  <c r="K57" i="4"/>
  <c r="K64" i="4"/>
  <c r="G57" i="4"/>
  <c r="G64" i="4"/>
  <c r="M7" i="5"/>
  <c r="M63" i="4"/>
  <c r="I7" i="5"/>
  <c r="I63" i="4"/>
  <c r="E7" i="5"/>
  <c r="E63" i="4"/>
  <c r="L6" i="5"/>
  <c r="L56" i="4"/>
  <c r="H6" i="5"/>
  <c r="H56" i="4"/>
  <c r="D6" i="5"/>
  <c r="D56" i="4"/>
  <c r="M9" i="5"/>
  <c r="M66" i="4"/>
  <c r="I9" i="5"/>
  <c r="I66" i="4"/>
  <c r="E9" i="5"/>
  <c r="E66" i="4"/>
  <c r="L49" i="4"/>
  <c r="H46" i="4"/>
  <c r="H16" i="5" s="1"/>
  <c r="H49" i="4"/>
  <c r="D46" i="4"/>
  <c r="D16" i="5" s="1"/>
  <c r="D49" i="4"/>
  <c r="P9" i="5"/>
  <c r="P66" i="4"/>
  <c r="X9" i="5"/>
  <c r="X66" i="4"/>
  <c r="T9" i="5"/>
  <c r="T66" i="4"/>
  <c r="Z58" i="4"/>
  <c r="Z65" i="4"/>
  <c r="V58" i="4"/>
  <c r="V65" i="4"/>
  <c r="R58" i="4"/>
  <c r="R65" i="4"/>
  <c r="Y57" i="4"/>
  <c r="Y64" i="4"/>
  <c r="U57" i="4"/>
  <c r="U64" i="4"/>
  <c r="Q57" i="4"/>
  <c r="Q64" i="4"/>
  <c r="AA7" i="5"/>
  <c r="AA63" i="4"/>
  <c r="W7" i="5"/>
  <c r="W63" i="4"/>
  <c r="S7" i="5"/>
  <c r="S63" i="4"/>
  <c r="Z6" i="5"/>
  <c r="Z56" i="4"/>
  <c r="V6" i="5"/>
  <c r="V56" i="4"/>
  <c r="R6" i="5"/>
  <c r="R56" i="4"/>
  <c r="P52" i="4"/>
  <c r="X52" i="4"/>
  <c r="T52" i="4"/>
  <c r="Z49" i="4"/>
  <c r="V49" i="4"/>
  <c r="R49" i="4"/>
  <c r="AE56" i="4"/>
  <c r="AE6" i="5"/>
  <c r="AI56" i="4"/>
  <c r="AI6" i="5"/>
  <c r="AM56" i="4"/>
  <c r="AM6" i="5"/>
  <c r="AE15" i="5"/>
  <c r="AI15" i="5"/>
  <c r="AM15" i="5"/>
  <c r="C6" i="5"/>
  <c r="O6" i="4"/>
  <c r="C58" i="4"/>
  <c r="C65" i="4"/>
  <c r="K65" i="4"/>
  <c r="K58" i="4"/>
  <c r="G58" i="4"/>
  <c r="G65" i="4"/>
  <c r="N64" i="4"/>
  <c r="N57" i="4"/>
  <c r="J57" i="4"/>
  <c r="J64" i="4"/>
  <c r="F64" i="4"/>
  <c r="F57" i="4"/>
  <c r="L7" i="5"/>
  <c r="L63" i="4"/>
  <c r="H7" i="5"/>
  <c r="H63" i="4"/>
  <c r="D7" i="5"/>
  <c r="D63" i="4"/>
  <c r="K6" i="5"/>
  <c r="K56" i="4"/>
  <c r="G6" i="5"/>
  <c r="G56" i="4"/>
  <c r="C59" i="4"/>
  <c r="L9" i="5"/>
  <c r="L66" i="4"/>
  <c r="H9" i="5"/>
  <c r="H66" i="4"/>
  <c r="D9" i="5"/>
  <c r="D66" i="4"/>
  <c r="K59" i="4"/>
  <c r="G59" i="4"/>
  <c r="C49" i="4"/>
  <c r="K52" i="4"/>
  <c r="G52" i="4"/>
  <c r="K49" i="4"/>
  <c r="G49" i="4"/>
  <c r="P64" i="4"/>
  <c r="P57" i="4"/>
  <c r="AA9" i="5"/>
  <c r="AA66" i="4"/>
  <c r="W9" i="5"/>
  <c r="W66" i="4"/>
  <c r="S9" i="5"/>
  <c r="S66" i="4"/>
  <c r="Z59" i="4"/>
  <c r="V59" i="4"/>
  <c r="R59" i="4"/>
  <c r="Y65" i="4"/>
  <c r="Y58" i="4"/>
  <c r="U65" i="4"/>
  <c r="U58" i="4"/>
  <c r="Q65" i="4"/>
  <c r="Q58" i="4"/>
  <c r="X64" i="4"/>
  <c r="X57" i="4"/>
  <c r="T64" i="4"/>
  <c r="T57" i="4"/>
  <c r="Z7" i="5"/>
  <c r="Z63" i="4"/>
  <c r="V7" i="5"/>
  <c r="V63" i="4"/>
  <c r="R7" i="5"/>
  <c r="R63" i="4"/>
  <c r="Y6" i="5"/>
  <c r="Y56" i="4"/>
  <c r="U6" i="5"/>
  <c r="U56" i="4"/>
  <c r="Q6" i="5"/>
  <c r="Q56" i="4"/>
  <c r="AA52" i="4"/>
  <c r="W52" i="4"/>
  <c r="S52" i="4"/>
  <c r="Y49" i="4"/>
  <c r="U49" i="4"/>
  <c r="Q49" i="4"/>
  <c r="AH63" i="4"/>
  <c r="AH64" i="4"/>
  <c r="AH58" i="4"/>
  <c r="AH65" i="4"/>
  <c r="AH66" i="4"/>
  <c r="AD49" i="4"/>
  <c r="AN51" i="4"/>
  <c r="CN43" i="4"/>
  <c r="AM52" i="4"/>
  <c r="CM44" i="4"/>
  <c r="AE63" i="4"/>
  <c r="AI63" i="4"/>
  <c r="AM63" i="4"/>
  <c r="AE64" i="4"/>
  <c r="AI64" i="4"/>
  <c r="AM64" i="4"/>
  <c r="AE58" i="4"/>
  <c r="AE65" i="4"/>
  <c r="AI58" i="4"/>
  <c r="AI65" i="4"/>
  <c r="AM58" i="4"/>
  <c r="AM65" i="4"/>
  <c r="AE66" i="4"/>
  <c r="AI66" i="4"/>
  <c r="AM66" i="4"/>
  <c r="AE49" i="4"/>
  <c r="AI49" i="4"/>
  <c r="CI41" i="4"/>
  <c r="AM49" i="4"/>
  <c r="CM41" i="4"/>
  <c r="AD50" i="4"/>
  <c r="AH50" i="4"/>
  <c r="AL50" i="4"/>
  <c r="CL42" i="4"/>
  <c r="AK51" i="4"/>
  <c r="CK43" i="4"/>
  <c r="AF52" i="4"/>
  <c r="AJ52" i="4"/>
  <c r="CJ44" i="4"/>
  <c r="AN52" i="4"/>
  <c r="CN44" i="4"/>
  <c r="AD63" i="4"/>
  <c r="AL64" i="4"/>
  <c r="AL58" i="4"/>
  <c r="AL65" i="4"/>
  <c r="AL66" i="4"/>
  <c r="AF63" i="4"/>
  <c r="AJ63" i="4"/>
  <c r="AN63" i="4"/>
  <c r="AF64" i="4"/>
  <c r="AJ64" i="4"/>
  <c r="AN64" i="4"/>
  <c r="AF58" i="4"/>
  <c r="AF65" i="4"/>
  <c r="AJ58" i="4"/>
  <c r="AJ65" i="4"/>
  <c r="AN58" i="4"/>
  <c r="AN65" i="4"/>
  <c r="AF66" i="4"/>
  <c r="AJ66" i="4"/>
  <c r="AN66" i="4"/>
  <c r="AF49" i="4"/>
  <c r="AJ49" i="4"/>
  <c r="CJ41" i="4"/>
  <c r="AN49" i="4"/>
  <c r="CN41" i="4"/>
  <c r="AE50" i="4"/>
  <c r="AI50" i="4"/>
  <c r="CI42" i="4"/>
  <c r="AM50" i="4"/>
  <c r="CM42" i="4"/>
  <c r="CL43" i="4"/>
  <c r="AL51" i="4"/>
  <c r="AC52" i="4"/>
  <c r="AG52" i="4"/>
  <c r="AK52" i="4"/>
  <c r="CK44" i="4"/>
  <c r="AL63" i="4"/>
  <c r="AD64" i="4"/>
  <c r="AD58" i="4"/>
  <c r="AD65" i="4"/>
  <c r="AD66" i="4"/>
  <c r="AD38" i="4"/>
  <c r="AH49" i="4"/>
  <c r="CL41" i="4"/>
  <c r="AL49" i="4"/>
  <c r="AK50" i="4"/>
  <c r="CK42" i="4"/>
  <c r="AJ51" i="4"/>
  <c r="CJ43" i="4"/>
  <c r="AI52" i="4"/>
  <c r="CI44" i="4"/>
  <c r="AC30" i="4"/>
  <c r="AC67" i="4" s="1"/>
  <c r="AC56" i="4"/>
  <c r="AG30" i="4"/>
  <c r="AG67" i="4" s="1"/>
  <c r="AG56" i="4"/>
  <c r="AK30" i="4"/>
  <c r="CK24" i="4" s="1"/>
  <c r="AK56" i="4"/>
  <c r="AC63" i="4"/>
  <c r="AG63" i="4"/>
  <c r="AK63" i="4"/>
  <c r="AC64" i="4"/>
  <c r="AG64" i="4"/>
  <c r="AK64" i="4"/>
  <c r="AC58" i="4"/>
  <c r="AC65" i="4"/>
  <c r="AG58" i="4"/>
  <c r="AG65" i="4"/>
  <c r="AK58" i="4"/>
  <c r="AK65" i="4"/>
  <c r="AC66" i="4"/>
  <c r="AG66" i="4"/>
  <c r="AK66" i="4"/>
  <c r="AC49" i="4"/>
  <c r="AG49" i="4"/>
  <c r="AK49" i="4"/>
  <c r="CK41" i="4"/>
  <c r="AF50" i="4"/>
  <c r="AJ50" i="4"/>
  <c r="CJ42" i="4"/>
  <c r="AN50" i="4"/>
  <c r="CN42" i="4"/>
  <c r="AI51" i="4"/>
  <c r="CI43" i="4"/>
  <c r="AM51" i="4"/>
  <c r="CM43" i="4"/>
  <c r="AD52" i="4"/>
  <c r="AH52" i="4"/>
  <c r="AL52" i="4"/>
  <c r="CL44" i="4"/>
  <c r="C56" i="4"/>
  <c r="U38" i="4"/>
  <c r="O8" i="4"/>
  <c r="X38" i="4"/>
  <c r="C38" i="4"/>
  <c r="C46" i="4"/>
  <c r="C16" i="5" s="1"/>
  <c r="I46" i="4"/>
  <c r="I16" i="5" s="1"/>
  <c r="S30" i="4"/>
  <c r="S67" i="4" s="1"/>
  <c r="AR46" i="4"/>
  <c r="AR16" i="5" s="1"/>
  <c r="AB35" i="4"/>
  <c r="AB37" i="4"/>
  <c r="AA38" i="4"/>
  <c r="S38" i="4"/>
  <c r="V38" i="4"/>
  <c r="AB33" i="4"/>
  <c r="Q46" i="4"/>
  <c r="Q16" i="5" s="1"/>
  <c r="O23" i="4"/>
  <c r="F38" i="4"/>
  <c r="O35" i="4"/>
  <c r="L38" i="4"/>
  <c r="G38" i="4"/>
  <c r="G46" i="4"/>
  <c r="G16" i="5" s="1"/>
  <c r="AB41" i="4"/>
  <c r="AB44" i="4"/>
  <c r="Y46" i="4"/>
  <c r="Y16" i="5" s="1"/>
  <c r="U46" i="4"/>
  <c r="U16" i="5" s="1"/>
  <c r="O7" i="4"/>
  <c r="AB12" i="4"/>
  <c r="V46" i="4"/>
  <c r="V16" i="5" s="1"/>
  <c r="AB43" i="4"/>
  <c r="D30" i="4"/>
  <c r="H30" i="4"/>
  <c r="H60" i="4" s="1"/>
  <c r="L30" i="4"/>
  <c r="O12" i="4"/>
  <c r="AB45" i="4"/>
  <c r="Z46" i="4"/>
  <c r="Z16" i="5" s="1"/>
  <c r="R46" i="4"/>
  <c r="R16" i="5" s="1"/>
  <c r="AS46" i="4"/>
  <c r="AS16" i="5" s="1"/>
  <c r="O37" i="4"/>
  <c r="N38" i="4"/>
  <c r="J38" i="4"/>
  <c r="O36" i="4"/>
  <c r="M38" i="4"/>
  <c r="I38" i="4"/>
  <c r="E38" i="4"/>
  <c r="H38" i="4"/>
  <c r="O34" i="4"/>
  <c r="K38" i="4"/>
  <c r="O33" i="4"/>
  <c r="K46" i="4"/>
  <c r="K16" i="5" s="1"/>
  <c r="AB36" i="4"/>
  <c r="W38" i="4"/>
  <c r="Z38" i="4"/>
  <c r="R38" i="4"/>
  <c r="AP38" i="4"/>
  <c r="AT38" i="4"/>
  <c r="E46" i="4"/>
  <c r="E16" i="5" s="1"/>
  <c r="Y38" i="4"/>
  <c r="Q38" i="4"/>
  <c r="T38" i="4"/>
  <c r="AR38" i="4"/>
  <c r="O19" i="4"/>
  <c r="Y30" i="4"/>
  <c r="Y67" i="4" s="1"/>
  <c r="U30" i="4"/>
  <c r="U67" i="4" s="1"/>
  <c r="AB8" i="4"/>
  <c r="AB8" i="5" s="1"/>
  <c r="T30" i="4"/>
  <c r="T67" i="4" s="1"/>
  <c r="W30" i="4"/>
  <c r="W67" i="4" s="1"/>
  <c r="AB42" i="4"/>
  <c r="W46" i="4"/>
  <c r="W16" i="5" s="1"/>
  <c r="S46" i="4"/>
  <c r="S16" i="5" s="1"/>
  <c r="AB34" i="4"/>
  <c r="R30" i="4"/>
  <c r="R67" i="4" s="1"/>
  <c r="V30" i="4"/>
  <c r="V67" i="4" s="1"/>
  <c r="Z30" i="4"/>
  <c r="Z67" i="4" s="1"/>
  <c r="AA30" i="4"/>
  <c r="AA60" i="4" s="1"/>
  <c r="X30" i="4"/>
  <c r="X67" i="4" s="1"/>
  <c r="AB19" i="4"/>
  <c r="AB7" i="4"/>
  <c r="AB23" i="4"/>
  <c r="Q30" i="4"/>
  <c r="Q67" i="4" s="1"/>
  <c r="P30" i="4"/>
  <c r="P67" i="4" s="1"/>
  <c r="D38" i="4"/>
  <c r="AT46" i="4"/>
  <c r="AT16" i="5" s="1"/>
  <c r="AQ46" i="4"/>
  <c r="AQ16" i="5" s="1"/>
  <c r="AU46" i="4"/>
  <c r="AU16" i="5" s="1"/>
  <c r="AP46" i="4"/>
  <c r="AP16" i="5" s="1"/>
  <c r="AS53" i="4"/>
  <c r="AS17" i="5" s="1"/>
  <c r="AS38" i="4"/>
  <c r="AU53" i="4"/>
  <c r="AU17" i="5" s="1"/>
  <c r="AR53" i="4"/>
  <c r="AR17" i="5" s="1"/>
  <c r="AQ53" i="4"/>
  <c r="AQ17" i="5" s="1"/>
  <c r="AB6" i="4"/>
  <c r="AB24" i="4"/>
  <c r="P38" i="4"/>
  <c r="AA46" i="4"/>
  <c r="AA16" i="5" s="1"/>
  <c r="P46" i="4"/>
  <c r="P16" i="5" s="1"/>
  <c r="T46" i="4"/>
  <c r="T16" i="5" s="1"/>
  <c r="X46" i="4"/>
  <c r="X16" i="5" s="1"/>
  <c r="O13" i="4"/>
  <c r="O24" i="4"/>
  <c r="E30" i="4"/>
  <c r="C63" i="4"/>
  <c r="I30" i="4"/>
  <c r="M30" i="4"/>
  <c r="M46" i="4"/>
  <c r="M16" i="5" s="1"/>
  <c r="F30" i="4"/>
  <c r="J30" i="4"/>
  <c r="N30" i="4"/>
  <c r="F46" i="4"/>
  <c r="F16" i="5" s="1"/>
  <c r="J46" i="4"/>
  <c r="J16" i="5" s="1"/>
  <c r="N46" i="4"/>
  <c r="N16" i="5" s="1"/>
  <c r="C30" i="4"/>
  <c r="G30" i="4"/>
  <c r="K30" i="4"/>
  <c r="AO7" i="4"/>
  <c r="AO8" i="4"/>
  <c r="AO12" i="4"/>
  <c r="AO14" i="4"/>
  <c r="AO19" i="4"/>
  <c r="AO25" i="4"/>
  <c r="AO33" i="4"/>
  <c r="AO34" i="4"/>
  <c r="AO35" i="4"/>
  <c r="AO36" i="4"/>
  <c r="AO37" i="4"/>
  <c r="AC46" i="4"/>
  <c r="AC16" i="5" s="1"/>
  <c r="AG46" i="4"/>
  <c r="AG16" i="5" s="1"/>
  <c r="AK46" i="4"/>
  <c r="AK16" i="5" s="1"/>
  <c r="AD30" i="4"/>
  <c r="AD60" i="4" s="1"/>
  <c r="AL30" i="4"/>
  <c r="AL60" i="4" s="1"/>
  <c r="AD46" i="4"/>
  <c r="AD16" i="5" s="1"/>
  <c r="AH30" i="4"/>
  <c r="AH60" i="4" s="1"/>
  <c r="AF38" i="4"/>
  <c r="AJ38" i="4"/>
  <c r="AN38" i="4"/>
  <c r="AO23" i="4"/>
  <c r="AL46" i="4"/>
  <c r="AL16" i="5" s="1"/>
  <c r="AO6" i="4"/>
  <c r="AO13" i="4"/>
  <c r="AO24" i="4"/>
  <c r="AE30" i="4"/>
  <c r="AI30" i="4"/>
  <c r="CI23" i="4" s="1"/>
  <c r="AM30" i="4"/>
  <c r="CM24" i="4" s="1"/>
  <c r="AC38" i="4"/>
  <c r="AE46" i="4"/>
  <c r="AE16" i="5" s="1"/>
  <c r="AI46" i="4"/>
  <c r="AI16" i="5" s="1"/>
  <c r="AM46" i="4"/>
  <c r="AM16" i="5" s="1"/>
  <c r="AH46" i="4"/>
  <c r="AH16" i="5" s="1"/>
  <c r="AF30" i="4"/>
  <c r="AJ30" i="4"/>
  <c r="CJ23" i="4" s="1"/>
  <c r="AN30" i="4"/>
  <c r="CN23" i="4" s="1"/>
  <c r="AF46" i="4"/>
  <c r="AF16" i="5" s="1"/>
  <c r="AJ46" i="4"/>
  <c r="AJ16" i="5" s="1"/>
  <c r="AN46" i="4"/>
  <c r="AN16" i="5" s="1"/>
  <c r="O27" i="4" l="1"/>
  <c r="AB9" i="5"/>
  <c r="AB27" i="4"/>
  <c r="AO9" i="5"/>
  <c r="AO27" i="4"/>
  <c r="O58" i="4"/>
  <c r="O21" i="4"/>
  <c r="AB58" i="4"/>
  <c r="AB21" i="4"/>
  <c r="AB9" i="4"/>
  <c r="AO58" i="4"/>
  <c r="AO21" i="4"/>
  <c r="AB57" i="4"/>
  <c r="AB16" i="4"/>
  <c r="DC3" i="4"/>
  <c r="AO9" i="4"/>
  <c r="O16" i="4"/>
  <c r="O9" i="4"/>
  <c r="AO16" i="4"/>
  <c r="H53" i="4"/>
  <c r="H17" i="5" s="1"/>
  <c r="V53" i="4"/>
  <c r="V17" i="5" s="1"/>
  <c r="O7" i="5"/>
  <c r="DA4" i="4"/>
  <c r="DC4" i="4"/>
  <c r="DB3" i="4"/>
  <c r="AB7" i="5"/>
  <c r="AB15" i="5" s="1"/>
  <c r="DB4" i="4"/>
  <c r="DA3" i="4"/>
  <c r="AC60" i="4"/>
  <c r="T53" i="4"/>
  <c r="T17" i="5" s="1"/>
  <c r="AL67" i="4"/>
  <c r="G53" i="4"/>
  <c r="G17" i="5" s="1"/>
  <c r="R53" i="4"/>
  <c r="R17" i="5" s="1"/>
  <c r="F53" i="4"/>
  <c r="F17" i="5" s="1"/>
  <c r="K53" i="4"/>
  <c r="K17" i="5" s="1"/>
  <c r="AK67" i="4"/>
  <c r="CK23" i="4"/>
  <c r="AK60" i="4"/>
  <c r="M53" i="4"/>
  <c r="M17" i="5" s="1"/>
  <c r="X53" i="4"/>
  <c r="X17" i="5" s="1"/>
  <c r="AG60" i="4"/>
  <c r="W53" i="4"/>
  <c r="W17" i="5" s="1"/>
  <c r="Z53" i="4"/>
  <c r="Z17" i="5" s="1"/>
  <c r="AC12" i="5"/>
  <c r="T60" i="4"/>
  <c r="H67" i="4"/>
  <c r="CK7" i="4"/>
  <c r="Y60" i="4"/>
  <c r="CG8" i="4"/>
  <c r="AG11" i="5"/>
  <c r="G14" i="5"/>
  <c r="G10" i="5"/>
  <c r="G11" i="5" s="1"/>
  <c r="D15" i="5"/>
  <c r="L15" i="5"/>
  <c r="V10" i="5"/>
  <c r="V12" i="5" s="1"/>
  <c r="V14" i="5"/>
  <c r="S15" i="5"/>
  <c r="AA15" i="5"/>
  <c r="AL14" i="5"/>
  <c r="AL10" i="5"/>
  <c r="AL11" i="5" s="1"/>
  <c r="T14" i="5"/>
  <c r="T10" i="5"/>
  <c r="T12" i="5" s="1"/>
  <c r="Q15" i="5"/>
  <c r="Y15" i="5"/>
  <c r="P14" i="5"/>
  <c r="P10" i="5"/>
  <c r="P12" i="5" s="1"/>
  <c r="AN14" i="5"/>
  <c r="AN10" i="5"/>
  <c r="AN11" i="5" s="1"/>
  <c r="AF14" i="5"/>
  <c r="AF10" i="5"/>
  <c r="AF11" i="5" s="1"/>
  <c r="AO6" i="5"/>
  <c r="O66" i="4"/>
  <c r="O9" i="5"/>
  <c r="AB6" i="5"/>
  <c r="Q14" i="5"/>
  <c r="Q10" i="5"/>
  <c r="Q11" i="5" s="1"/>
  <c r="Y14" i="5"/>
  <c r="Y10" i="5"/>
  <c r="Y11" i="5" s="1"/>
  <c r="V15" i="5"/>
  <c r="O6" i="5"/>
  <c r="AM14" i="5"/>
  <c r="AM10" i="5"/>
  <c r="AM11" i="5" s="1"/>
  <c r="AE14" i="5"/>
  <c r="AE10" i="5"/>
  <c r="AE11" i="5" s="1"/>
  <c r="H14" i="5"/>
  <c r="H10" i="5"/>
  <c r="H12" i="5" s="1"/>
  <c r="E15" i="5"/>
  <c r="M15" i="5"/>
  <c r="W14" i="5"/>
  <c r="W10" i="5"/>
  <c r="W12" i="5" s="1"/>
  <c r="T15" i="5"/>
  <c r="I10" i="5"/>
  <c r="I12" i="5" s="1"/>
  <c r="I14" i="5"/>
  <c r="F15" i="5"/>
  <c r="N15" i="5"/>
  <c r="AK12" i="5"/>
  <c r="J10" i="5"/>
  <c r="J12" i="5" s="1"/>
  <c r="J14" i="5"/>
  <c r="G15" i="5"/>
  <c r="AO8" i="5"/>
  <c r="O57" i="4"/>
  <c r="K14" i="5"/>
  <c r="K10" i="5"/>
  <c r="K12" i="5" s="1"/>
  <c r="H15" i="5"/>
  <c r="C14" i="5"/>
  <c r="C10" i="5"/>
  <c r="C11" i="5" s="1"/>
  <c r="R14" i="5"/>
  <c r="R10" i="5"/>
  <c r="R12" i="5" s="1"/>
  <c r="Z14" i="5"/>
  <c r="Z10" i="5"/>
  <c r="Z12" i="5" s="1"/>
  <c r="W15" i="5"/>
  <c r="AD10" i="5"/>
  <c r="AD11" i="5" s="1"/>
  <c r="AD14" i="5"/>
  <c r="P15" i="5"/>
  <c r="X14" i="5"/>
  <c r="X10" i="5"/>
  <c r="X12" i="5" s="1"/>
  <c r="U15" i="5"/>
  <c r="AJ14" i="5"/>
  <c r="AJ10" i="5"/>
  <c r="AJ11" i="5" s="1"/>
  <c r="AH14" i="5"/>
  <c r="AH10" i="5"/>
  <c r="AH11" i="5" s="1"/>
  <c r="AO7" i="5"/>
  <c r="O8" i="5"/>
  <c r="U10" i="5"/>
  <c r="U12" i="5" s="1"/>
  <c r="U14" i="5"/>
  <c r="R15" i="5"/>
  <c r="Z15" i="5"/>
  <c r="AI10" i="5"/>
  <c r="AI11" i="5" s="1"/>
  <c r="AI14" i="5"/>
  <c r="D14" i="5"/>
  <c r="D10" i="5"/>
  <c r="D11" i="5" s="1"/>
  <c r="L14" i="5"/>
  <c r="L10" i="5"/>
  <c r="L12" i="5" s="1"/>
  <c r="I15" i="5"/>
  <c r="S14" i="5"/>
  <c r="S10" i="5"/>
  <c r="S11" i="5" s="1"/>
  <c r="AA14" i="5"/>
  <c r="AA10" i="5"/>
  <c r="AA11" i="5" s="1"/>
  <c r="X15" i="5"/>
  <c r="E14" i="5"/>
  <c r="E10" i="5"/>
  <c r="E11" i="5" s="1"/>
  <c r="M14" i="5"/>
  <c r="M10" i="5"/>
  <c r="M11" i="5" s="1"/>
  <c r="J15" i="5"/>
  <c r="F10" i="5"/>
  <c r="F12" i="5" s="1"/>
  <c r="F14" i="5"/>
  <c r="N10" i="5"/>
  <c r="N11" i="5" s="1"/>
  <c r="N14" i="5"/>
  <c r="K15" i="5"/>
  <c r="CJ12" i="4"/>
  <c r="CO42" i="4"/>
  <c r="CJ6" i="4"/>
  <c r="CO43" i="4"/>
  <c r="CO44" i="4"/>
  <c r="CO41" i="4"/>
  <c r="CI7" i="4"/>
  <c r="CG19" i="4"/>
  <c r="CJ24" i="4"/>
  <c r="BW24" i="4" s="1"/>
  <c r="CL24" i="4"/>
  <c r="CM19" i="4"/>
  <c r="CD19" i="4"/>
  <c r="CN7" i="4"/>
  <c r="CI12" i="4"/>
  <c r="CN8" i="4"/>
  <c r="CJ19" i="4"/>
  <c r="CL12" i="4"/>
  <c r="CI8" i="4"/>
  <c r="CC13" i="4"/>
  <c r="CC20" i="4"/>
  <c r="CC14" i="4"/>
  <c r="CC25" i="4"/>
  <c r="CC15" i="4"/>
  <c r="CC26" i="4"/>
  <c r="CH8" i="4"/>
  <c r="CM6" i="4"/>
  <c r="CG13" i="4"/>
  <c r="CG20" i="4"/>
  <c r="BG19" i="4" s="1"/>
  <c r="CG14" i="4"/>
  <c r="CG25" i="4"/>
  <c r="CG15" i="4"/>
  <c r="CG26" i="4"/>
  <c r="CF13" i="4"/>
  <c r="CF14" i="4"/>
  <c r="CF15" i="4"/>
  <c r="CF20" i="4"/>
  <c r="CF25" i="4"/>
  <c r="CF26" i="4"/>
  <c r="CE14" i="4"/>
  <c r="CE25" i="4"/>
  <c r="CE15" i="4"/>
  <c r="CE26" i="4"/>
  <c r="CE13" i="4"/>
  <c r="CE20" i="4"/>
  <c r="Z60" i="4"/>
  <c r="CH13" i="4"/>
  <c r="CH20" i="4"/>
  <c r="CH14" i="4"/>
  <c r="CH25" i="4"/>
  <c r="CH15" i="4"/>
  <c r="CH26" i="4"/>
  <c r="CK6" i="4"/>
  <c r="CE8" i="4"/>
  <c r="CM23" i="4"/>
  <c r="CG7" i="4"/>
  <c r="CE7" i="4"/>
  <c r="CJ8" i="4"/>
  <c r="CK12" i="4"/>
  <c r="CL19" i="4"/>
  <c r="CF19" i="4"/>
  <c r="BS19" i="4" s="1"/>
  <c r="CI6" i="4"/>
  <c r="BV6" i="4" s="1"/>
  <c r="CD12" i="4"/>
  <c r="CI19" i="4"/>
  <c r="CC8" i="4"/>
  <c r="CN24" i="4"/>
  <c r="CA23" i="4" s="1"/>
  <c r="CM12" i="4"/>
  <c r="CD6" i="4"/>
  <c r="CN13" i="4"/>
  <c r="CN14" i="4"/>
  <c r="CN15" i="4"/>
  <c r="CN20" i="4"/>
  <c r="CN25" i="4"/>
  <c r="CN26" i="4"/>
  <c r="CI15" i="4"/>
  <c r="CI26" i="4"/>
  <c r="CI13" i="4"/>
  <c r="CI20" i="4"/>
  <c r="CI14" i="4"/>
  <c r="CI25" i="4"/>
  <c r="CH7" i="4"/>
  <c r="CM8" i="4"/>
  <c r="CC19" i="4"/>
  <c r="BP19" i="4" s="1"/>
  <c r="CI24" i="4"/>
  <c r="BI23" i="4" s="1"/>
  <c r="CH6" i="4"/>
  <c r="CM7" i="4"/>
  <c r="CG12" i="4"/>
  <c r="CC12" i="4"/>
  <c r="CC7" i="4"/>
  <c r="CF7" i="4"/>
  <c r="CH12" i="4"/>
  <c r="CE19" i="4"/>
  <c r="BR19" i="4" s="1"/>
  <c r="CN6" i="4"/>
  <c r="CA6" i="4" s="1"/>
  <c r="CM13" i="4"/>
  <c r="CM20" i="4"/>
  <c r="CM14" i="4"/>
  <c r="CM25" i="4"/>
  <c r="CM15" i="4"/>
  <c r="CM26" i="4"/>
  <c r="D67" i="4"/>
  <c r="CD15" i="4"/>
  <c r="CD26" i="4"/>
  <c r="CD13" i="4"/>
  <c r="CD20" i="4"/>
  <c r="CD14" i="4"/>
  <c r="CD25" i="4"/>
  <c r="CD7" i="4"/>
  <c r="CK14" i="4"/>
  <c r="CK25" i="4"/>
  <c r="CK15" i="4"/>
  <c r="CK26" i="4"/>
  <c r="CK13" i="4"/>
  <c r="CK20" i="4"/>
  <c r="CJ13" i="4"/>
  <c r="CJ14" i="4"/>
  <c r="CJ15" i="4"/>
  <c r="CJ20" i="4"/>
  <c r="BJ19" i="4" s="1"/>
  <c r="CJ25" i="4"/>
  <c r="CJ26" i="4"/>
  <c r="CC24" i="4"/>
  <c r="CC23" i="4"/>
  <c r="AA53" i="4"/>
  <c r="AA17" i="5" s="1"/>
  <c r="L60" i="4"/>
  <c r="CL13" i="4"/>
  <c r="CL20" i="4"/>
  <c r="CL14" i="4"/>
  <c r="CL25" i="4"/>
  <c r="CL15" i="4"/>
  <c r="CL26" i="4"/>
  <c r="CG6" i="4"/>
  <c r="BT6" i="4" s="1"/>
  <c r="CL7" i="4"/>
  <c r="CF12" i="4"/>
  <c r="CN12" i="4"/>
  <c r="CK19" i="4"/>
  <c r="BX19" i="4" s="1"/>
  <c r="CC6" i="4"/>
  <c r="BP6" i="4" s="1"/>
  <c r="CF6" i="4"/>
  <c r="CE12" i="4"/>
  <c r="CN19" i="4"/>
  <c r="CA19" i="4" s="1"/>
  <c r="CL6" i="4"/>
  <c r="CF8" i="4"/>
  <c r="CH19" i="4"/>
  <c r="BU19" i="4" s="1"/>
  <c r="CL23" i="4"/>
  <c r="CL8" i="4"/>
  <c r="CE6" i="4"/>
  <c r="BR6" i="4" s="1"/>
  <c r="CJ7" i="4"/>
  <c r="CK8" i="4"/>
  <c r="CD8" i="4"/>
  <c r="CH23" i="4"/>
  <c r="CH24" i="4"/>
  <c r="CE23" i="4"/>
  <c r="CE24" i="4"/>
  <c r="CG23" i="4"/>
  <c r="CG24" i="4"/>
  <c r="CF23" i="4"/>
  <c r="CF24" i="4"/>
  <c r="CD24" i="4"/>
  <c r="CD23" i="4"/>
  <c r="AT53" i="4"/>
  <c r="AT17" i="5" s="1"/>
  <c r="S60" i="4"/>
  <c r="I53" i="4"/>
  <c r="I17" i="5" s="1"/>
  <c r="E53" i="4"/>
  <c r="E17" i="5" s="1"/>
  <c r="J53" i="4"/>
  <c r="J17" i="5" s="1"/>
  <c r="S53" i="4"/>
  <c r="S17" i="5" s="1"/>
  <c r="D60" i="4"/>
  <c r="AP53" i="4"/>
  <c r="AP17" i="5" s="1"/>
  <c r="O52" i="4"/>
  <c r="Q60" i="4"/>
  <c r="O56" i="4"/>
  <c r="X60" i="4"/>
  <c r="W60" i="4"/>
  <c r="AB52" i="4"/>
  <c r="R60" i="4"/>
  <c r="AA67" i="4"/>
  <c r="O38" i="4"/>
  <c r="D53" i="4"/>
  <c r="D17" i="5" s="1"/>
  <c r="L67" i="4"/>
  <c r="P60" i="4"/>
  <c r="U60" i="4"/>
  <c r="AB64" i="4"/>
  <c r="AB38" i="4"/>
  <c r="O64" i="4"/>
  <c r="O50" i="4"/>
  <c r="AJ53" i="4"/>
  <c r="AJ17" i="5" s="1"/>
  <c r="N53" i="4"/>
  <c r="N17" i="5" s="1"/>
  <c r="AB59" i="4"/>
  <c r="O63" i="4"/>
  <c r="AB50" i="4"/>
  <c r="Y53" i="4"/>
  <c r="Y17" i="5" s="1"/>
  <c r="Q53" i="4"/>
  <c r="Q17" i="5" s="1"/>
  <c r="AB49" i="4"/>
  <c r="AB46" i="4"/>
  <c r="AB16" i="5" s="1"/>
  <c r="U53" i="4"/>
  <c r="U17" i="5" s="1"/>
  <c r="P53" i="4"/>
  <c r="P17" i="5" s="1"/>
  <c r="AB30" i="4"/>
  <c r="AB67" i="4" s="1"/>
  <c r="AB66" i="4"/>
  <c r="V60" i="4"/>
  <c r="AB56" i="4"/>
  <c r="O46" i="4"/>
  <c r="O16" i="5" s="1"/>
  <c r="L53" i="4"/>
  <c r="L17" i="5" s="1"/>
  <c r="O49" i="4"/>
  <c r="C53" i="4"/>
  <c r="C17" i="5" s="1"/>
  <c r="O59" i="4"/>
  <c r="AS60" i="4"/>
  <c r="AU60" i="4"/>
  <c r="AT60" i="4"/>
  <c r="AQ60" i="4"/>
  <c r="AP60" i="4"/>
  <c r="AR60" i="4"/>
  <c r="AB63" i="4"/>
  <c r="AK53" i="4"/>
  <c r="AK17" i="5" s="1"/>
  <c r="G67" i="4"/>
  <c r="G60" i="4"/>
  <c r="F67" i="4"/>
  <c r="F60" i="4"/>
  <c r="E67" i="4"/>
  <c r="E60" i="4"/>
  <c r="C67" i="4"/>
  <c r="C60" i="4"/>
  <c r="O30" i="4"/>
  <c r="N67" i="4"/>
  <c r="N60" i="4"/>
  <c r="I67" i="4"/>
  <c r="I60" i="4"/>
  <c r="M67" i="4"/>
  <c r="M60" i="4"/>
  <c r="K67" i="4"/>
  <c r="K60" i="4"/>
  <c r="J67" i="4"/>
  <c r="J60" i="4"/>
  <c r="AN53" i="4"/>
  <c r="AN17" i="5" s="1"/>
  <c r="AH53" i="4"/>
  <c r="AH17" i="5" s="1"/>
  <c r="AE53" i="4"/>
  <c r="AE17" i="5" s="1"/>
  <c r="AM53" i="4"/>
  <c r="AM17" i="5" s="1"/>
  <c r="AO57" i="4"/>
  <c r="AO56" i="4"/>
  <c r="AH67" i="4"/>
  <c r="AF53" i="4"/>
  <c r="AF17" i="5" s="1"/>
  <c r="AD67" i="4"/>
  <c r="AO64" i="4"/>
  <c r="AL53" i="4"/>
  <c r="AL17" i="5" s="1"/>
  <c r="AI53" i="4"/>
  <c r="AI17" i="5" s="1"/>
  <c r="AC53" i="4"/>
  <c r="AC17" i="5" s="1"/>
  <c r="AG53" i="4"/>
  <c r="AG17" i="5" s="1"/>
  <c r="AO52" i="4"/>
  <c r="AO49" i="4"/>
  <c r="AO46" i="4"/>
  <c r="AO16" i="5" s="1"/>
  <c r="AO38" i="4"/>
  <c r="AO66" i="4"/>
  <c r="AD53" i="4"/>
  <c r="AD17" i="5" s="1"/>
  <c r="AN67" i="4"/>
  <c r="AN60" i="4"/>
  <c r="AI67" i="4"/>
  <c r="AI60" i="4"/>
  <c r="AO50" i="4"/>
  <c r="AJ67" i="4"/>
  <c r="AJ60" i="4"/>
  <c r="AE67" i="4"/>
  <c r="AE60" i="4"/>
  <c r="AO59" i="4"/>
  <c r="AF67" i="4"/>
  <c r="AF60" i="4"/>
  <c r="AO63" i="4"/>
  <c r="AM67" i="4"/>
  <c r="AM60" i="4"/>
  <c r="AO30" i="4"/>
  <c r="BW9" i="5" l="1"/>
  <c r="BW15" i="5" s="1"/>
  <c r="BW67" i="4"/>
  <c r="BY23" i="4"/>
  <c r="BY59" i="4" s="1"/>
  <c r="BY24" i="4"/>
  <c r="CA65" i="4"/>
  <c r="CA58" i="4"/>
  <c r="BX65" i="4"/>
  <c r="BX58" i="4"/>
  <c r="BT56" i="4"/>
  <c r="BT63" i="4"/>
  <c r="BV56" i="4"/>
  <c r="BV63" i="4"/>
  <c r="BV24" i="4"/>
  <c r="BY6" i="4"/>
  <c r="BU58" i="4"/>
  <c r="BU65" i="4"/>
  <c r="CA56" i="4"/>
  <c r="CA63" i="4"/>
  <c r="BU6" i="4"/>
  <c r="BS65" i="4"/>
  <c r="BS58" i="4"/>
  <c r="BX6" i="4"/>
  <c r="BW19" i="4"/>
  <c r="BQ19" i="4"/>
  <c r="BT19" i="4"/>
  <c r="BX24" i="4"/>
  <c r="BX23" i="4"/>
  <c r="BV23" i="4"/>
  <c r="BV59" i="4" s="1"/>
  <c r="BP63" i="4"/>
  <c r="BP56" i="4"/>
  <c r="BP65" i="4"/>
  <c r="BP58" i="4"/>
  <c r="CB19" i="4"/>
  <c r="BZ23" i="4"/>
  <c r="BZ59" i="4" s="1"/>
  <c r="BZ24" i="4"/>
  <c r="BR56" i="4"/>
  <c r="BR63" i="4"/>
  <c r="BS6" i="4"/>
  <c r="BR58" i="4"/>
  <c r="BR65" i="4"/>
  <c r="BQ6" i="4"/>
  <c r="BV19" i="4"/>
  <c r="BY19" i="4"/>
  <c r="BZ19" i="4"/>
  <c r="BW6" i="4"/>
  <c r="CA24" i="4"/>
  <c r="BW23" i="4"/>
  <c r="BW59" i="4" s="1"/>
  <c r="BZ6" i="4"/>
  <c r="BT24" i="4"/>
  <c r="BT23" i="4"/>
  <c r="BU23" i="4"/>
  <c r="BU24" i="4"/>
  <c r="BR41" i="4"/>
  <c r="BR49" i="4" s="1"/>
  <c r="BV41" i="4"/>
  <c r="BV49" i="4" s="1"/>
  <c r="BZ41" i="4"/>
  <c r="BZ49" i="4" s="1"/>
  <c r="BX41" i="4"/>
  <c r="BX49" i="4" s="1"/>
  <c r="BQ41" i="4"/>
  <c r="BQ49" i="4" s="1"/>
  <c r="BY41" i="4"/>
  <c r="BY49" i="4" s="1"/>
  <c r="BS41" i="4"/>
  <c r="BS49" i="4" s="1"/>
  <c r="BW41" i="4"/>
  <c r="BW49" i="4" s="1"/>
  <c r="CA41" i="4"/>
  <c r="CA49" i="4" s="1"/>
  <c r="BP41" i="4"/>
  <c r="BP49" i="4" s="1"/>
  <c r="BT41" i="4"/>
  <c r="BT49" i="4" s="1"/>
  <c r="BU41" i="4"/>
  <c r="BU49" i="4" s="1"/>
  <c r="BR42" i="4"/>
  <c r="BR50" i="4" s="1"/>
  <c r="BV42" i="4"/>
  <c r="BV50" i="4" s="1"/>
  <c r="BZ42" i="4"/>
  <c r="BZ50" i="4" s="1"/>
  <c r="BT42" i="4"/>
  <c r="BT50" i="4" s="1"/>
  <c r="BP42" i="4"/>
  <c r="BP50" i="4" s="1"/>
  <c r="BU42" i="4"/>
  <c r="BU50" i="4" s="1"/>
  <c r="BS42" i="4"/>
  <c r="BS50" i="4" s="1"/>
  <c r="BW42" i="4"/>
  <c r="BW50" i="4" s="1"/>
  <c r="CA42" i="4"/>
  <c r="CA50" i="4" s="1"/>
  <c r="BX42" i="4"/>
  <c r="BX50" i="4" s="1"/>
  <c r="BQ42" i="4"/>
  <c r="BQ50" i="4" s="1"/>
  <c r="BY42" i="4"/>
  <c r="BY50" i="4" s="1"/>
  <c r="BS24" i="4"/>
  <c r="BS23" i="4"/>
  <c r="BR23" i="4"/>
  <c r="BR24" i="4"/>
  <c r="BT44" i="4"/>
  <c r="BT52" i="4" s="1"/>
  <c r="BX44" i="4"/>
  <c r="BR44" i="4"/>
  <c r="BZ44" i="4"/>
  <c r="BZ52" i="4" s="1"/>
  <c r="BP44" i="4"/>
  <c r="BS44" i="4"/>
  <c r="CA44" i="4"/>
  <c r="CA52" i="4" s="1"/>
  <c r="BQ44" i="4"/>
  <c r="BU44" i="4"/>
  <c r="BY44" i="4"/>
  <c r="BY52" i="4" s="1"/>
  <c r="BV44" i="4"/>
  <c r="BV52" i="4" s="1"/>
  <c r="BW44" i="4"/>
  <c r="BW52" i="4" s="1"/>
  <c r="BQ24" i="4"/>
  <c r="BQ23" i="4"/>
  <c r="BP24" i="4"/>
  <c r="BP23" i="4"/>
  <c r="BS43" i="4"/>
  <c r="BS51" i="4" s="1"/>
  <c r="BW43" i="4"/>
  <c r="BW51" i="4" s="1"/>
  <c r="CA43" i="4"/>
  <c r="CA51" i="4" s="1"/>
  <c r="BP43" i="4"/>
  <c r="BP51" i="4" s="1"/>
  <c r="BU43" i="4"/>
  <c r="BU51" i="4" s="1"/>
  <c r="BV43" i="4"/>
  <c r="BV51" i="4" s="1"/>
  <c r="BT43" i="4"/>
  <c r="BT51" i="4" s="1"/>
  <c r="BX43" i="4"/>
  <c r="BX51" i="4" s="1"/>
  <c r="BQ43" i="4"/>
  <c r="BQ51" i="4" s="1"/>
  <c r="BY43" i="4"/>
  <c r="BY51" i="4" s="1"/>
  <c r="BR43" i="4"/>
  <c r="BR51" i="4" s="1"/>
  <c r="BZ43" i="4"/>
  <c r="BZ51" i="4" s="1"/>
  <c r="AO29" i="4"/>
  <c r="O29" i="4"/>
  <c r="AB29" i="4"/>
  <c r="BF58" i="4"/>
  <c r="I11" i="5"/>
  <c r="O15" i="5"/>
  <c r="K11" i="5"/>
  <c r="D12" i="5"/>
  <c r="AI12" i="5"/>
  <c r="J11" i="5"/>
  <c r="M12" i="5"/>
  <c r="N12" i="5"/>
  <c r="L11" i="5"/>
  <c r="AH12" i="5"/>
  <c r="AJ12" i="5"/>
  <c r="W11" i="5"/>
  <c r="V11" i="5"/>
  <c r="X11" i="5"/>
  <c r="AA12" i="5"/>
  <c r="Y12" i="5"/>
  <c r="Z11" i="5"/>
  <c r="E12" i="5"/>
  <c r="S12" i="5"/>
  <c r="C12" i="5"/>
  <c r="BH19" i="4"/>
  <c r="BH65" i="4" s="1"/>
  <c r="BK23" i="4"/>
  <c r="BD65" i="4"/>
  <c r="AM12" i="5"/>
  <c r="AF12" i="5"/>
  <c r="AL12" i="5"/>
  <c r="AO15" i="5"/>
  <c r="U11" i="5"/>
  <c r="P11" i="5"/>
  <c r="H11" i="5"/>
  <c r="F11" i="5"/>
  <c r="T11" i="5"/>
  <c r="BJ23" i="4"/>
  <c r="BC65" i="4"/>
  <c r="R11" i="5"/>
  <c r="AD12" i="5"/>
  <c r="AE12" i="5"/>
  <c r="O14" i="5"/>
  <c r="O10" i="5"/>
  <c r="O11" i="5" s="1"/>
  <c r="Q12" i="5"/>
  <c r="AO10" i="5"/>
  <c r="AO11" i="5" s="1"/>
  <c r="AO14" i="5"/>
  <c r="AN12" i="5"/>
  <c r="G12" i="5"/>
  <c r="BG6" i="4"/>
  <c r="BG56" i="4" s="1"/>
  <c r="BN23" i="4"/>
  <c r="BI24" i="4"/>
  <c r="BI59" i="4" s="1"/>
  <c r="AB14" i="5"/>
  <c r="AB10" i="5"/>
  <c r="AB11" i="5" s="1"/>
  <c r="BM24" i="4"/>
  <c r="BM23" i="4"/>
  <c r="BL24" i="4"/>
  <c r="BL23" i="4"/>
  <c r="BN24" i="4"/>
  <c r="BF41" i="4"/>
  <c r="BJ41" i="4"/>
  <c r="BN41" i="4"/>
  <c r="BG41" i="4"/>
  <c r="BK41" i="4"/>
  <c r="BC41" i="4"/>
  <c r="BD41" i="4"/>
  <c r="BH41" i="4"/>
  <c r="BL41" i="4"/>
  <c r="BE41" i="4"/>
  <c r="BI41" i="4"/>
  <c r="BM41" i="4"/>
  <c r="BJ58" i="4"/>
  <c r="BJ65" i="4"/>
  <c r="BG58" i="4"/>
  <c r="BG65" i="4"/>
  <c r="BK24" i="4"/>
  <c r="BE44" i="4"/>
  <c r="BI44" i="4"/>
  <c r="BM44" i="4"/>
  <c r="BF44" i="4"/>
  <c r="BJ44" i="4"/>
  <c r="BN44" i="4"/>
  <c r="BG44" i="4"/>
  <c r="BK44" i="4"/>
  <c r="BK52" i="4" s="1"/>
  <c r="BC44" i="4"/>
  <c r="BD44" i="4"/>
  <c r="BH44" i="4"/>
  <c r="BL44" i="4"/>
  <c r="BJ24" i="4"/>
  <c r="BG42" i="4"/>
  <c r="BG50" i="4" s="1"/>
  <c r="BK42" i="4"/>
  <c r="BK50" i="4" s="1"/>
  <c r="BC42" i="4"/>
  <c r="AX50" i="4"/>
  <c r="BD42" i="4"/>
  <c r="BD50" i="4" s="1"/>
  <c r="BH42" i="4"/>
  <c r="BH50" i="4" s="1"/>
  <c r="BL42" i="4"/>
  <c r="BL50" i="4" s="1"/>
  <c r="AY50" i="4"/>
  <c r="BE42" i="4"/>
  <c r="BE50" i="4" s="1"/>
  <c r="BI42" i="4"/>
  <c r="BI50" i="4" s="1"/>
  <c r="BM42" i="4"/>
  <c r="BM50" i="4" s="1"/>
  <c r="AZ50" i="4"/>
  <c r="BF42" i="4"/>
  <c r="BF50" i="4" s="1"/>
  <c r="BJ42" i="4"/>
  <c r="BJ50" i="4" s="1"/>
  <c r="BN42" i="4"/>
  <c r="BN50" i="4" s="1"/>
  <c r="AW50" i="4"/>
  <c r="BA50" i="4"/>
  <c r="BG23" i="4"/>
  <c r="BG24" i="4"/>
  <c r="BH24" i="4"/>
  <c r="BH23" i="4"/>
  <c r="BD43" i="4"/>
  <c r="BD51" i="4" s="1"/>
  <c r="BH43" i="4"/>
  <c r="BH51" i="4" s="1"/>
  <c r="BL43" i="4"/>
  <c r="BL51" i="4" s="1"/>
  <c r="AW51" i="4"/>
  <c r="BA51" i="4"/>
  <c r="BE43" i="4"/>
  <c r="BE51" i="4" s="1"/>
  <c r="BI43" i="4"/>
  <c r="BI51" i="4" s="1"/>
  <c r="BM43" i="4"/>
  <c r="BM51" i="4" s="1"/>
  <c r="AX51" i="4"/>
  <c r="BF43" i="4"/>
  <c r="BF51" i="4" s="1"/>
  <c r="BJ43" i="4"/>
  <c r="BJ51" i="4" s="1"/>
  <c r="BN43" i="4"/>
  <c r="BN51" i="4" s="1"/>
  <c r="AY51" i="4"/>
  <c r="BG43" i="4"/>
  <c r="BG51" i="4" s="1"/>
  <c r="BK43" i="4"/>
  <c r="BK51" i="4" s="1"/>
  <c r="BC43" i="4"/>
  <c r="AZ51" i="4"/>
  <c r="CJ30" i="4"/>
  <c r="CC30" i="4"/>
  <c r="BP12" i="4" s="1"/>
  <c r="CM30" i="4"/>
  <c r="BM6" i="4"/>
  <c r="BN19" i="4"/>
  <c r="BK19" i="4"/>
  <c r="CI30" i="4"/>
  <c r="BI6" i="4"/>
  <c r="BJ6" i="4"/>
  <c r="BM19" i="4"/>
  <c r="CL30" i="4"/>
  <c r="BL6" i="4"/>
  <c r="CN30" i="4"/>
  <c r="BN6" i="4"/>
  <c r="BH6" i="4"/>
  <c r="CK30" i="4"/>
  <c r="BK6" i="4"/>
  <c r="BI19" i="4"/>
  <c r="BL19" i="4"/>
  <c r="CE30" i="4"/>
  <c r="BR12" i="4" s="1"/>
  <c r="CF30" i="4"/>
  <c r="BS12" i="4" s="1"/>
  <c r="CD30" i="4"/>
  <c r="BQ12" i="4" s="1"/>
  <c r="CG30" i="4"/>
  <c r="CH30" i="4"/>
  <c r="AB60" i="4"/>
  <c r="AB53" i="4"/>
  <c r="AB17" i="5" s="1"/>
  <c r="O53" i="4"/>
  <c r="O17" i="5" s="1"/>
  <c r="O67" i="4"/>
  <c r="O60" i="4"/>
  <c r="AO53" i="4"/>
  <c r="AO17" i="5" s="1"/>
  <c r="AO67" i="4"/>
  <c r="AO60" i="4"/>
  <c r="BZ56" i="4" l="1"/>
  <c r="BZ63" i="4"/>
  <c r="BZ65" i="4"/>
  <c r="BZ58" i="4"/>
  <c r="BT65" i="4"/>
  <c r="BT58" i="4"/>
  <c r="BI12" i="4"/>
  <c r="BV12" i="4"/>
  <c r="BQ63" i="4"/>
  <c r="BQ56" i="4"/>
  <c r="CB21" i="4"/>
  <c r="CB58" i="4"/>
  <c r="CB65" i="4"/>
  <c r="BX9" i="5"/>
  <c r="BX15" i="5" s="1"/>
  <c r="BX67" i="4"/>
  <c r="BX66" i="4"/>
  <c r="BN12" i="4"/>
  <c r="CA12" i="4"/>
  <c r="BJ12" i="4"/>
  <c r="BW12" i="4"/>
  <c r="BY58" i="4"/>
  <c r="BY65" i="4"/>
  <c r="BZ9" i="5"/>
  <c r="BZ15" i="5" s="1"/>
  <c r="BZ67" i="4"/>
  <c r="BZ66" i="4"/>
  <c r="BQ58" i="4"/>
  <c r="BQ65" i="4"/>
  <c r="BY56" i="4"/>
  <c r="BY63" i="4"/>
  <c r="BY9" i="5"/>
  <c r="BY67" i="4"/>
  <c r="BY66" i="4"/>
  <c r="BW66" i="4"/>
  <c r="BL12" i="4"/>
  <c r="BY12" i="4"/>
  <c r="BY6" i="5" s="1"/>
  <c r="BM12" i="4"/>
  <c r="BZ12" i="4"/>
  <c r="BZ6" i="5" s="1"/>
  <c r="BW63" i="4"/>
  <c r="BW60" i="4"/>
  <c r="BW56" i="4"/>
  <c r="BW6" i="5"/>
  <c r="CB6" i="4"/>
  <c r="BX56" i="4"/>
  <c r="BX63" i="4"/>
  <c r="BX60" i="4"/>
  <c r="BK12" i="4"/>
  <c r="BK57" i="4" s="1"/>
  <c r="BX12" i="4"/>
  <c r="BX52" i="4"/>
  <c r="CA67" i="4"/>
  <c r="CA66" i="4"/>
  <c r="CA9" i="5"/>
  <c r="BV65" i="4"/>
  <c r="BV58" i="4"/>
  <c r="BS56" i="4"/>
  <c r="BS63" i="4"/>
  <c r="BX59" i="4"/>
  <c r="BW65" i="4"/>
  <c r="BW58" i="4"/>
  <c r="BU63" i="4"/>
  <c r="BU56" i="4"/>
  <c r="BV66" i="4"/>
  <c r="BV9" i="5"/>
  <c r="BV15" i="5" s="1"/>
  <c r="BV67" i="4"/>
  <c r="CA59" i="4"/>
  <c r="BW53" i="4"/>
  <c r="BW17" i="5" s="1"/>
  <c r="BV53" i="4"/>
  <c r="BV17" i="5" s="1"/>
  <c r="CB51" i="4"/>
  <c r="BR52" i="4"/>
  <c r="BR53" i="4" s="1"/>
  <c r="BR17" i="5" s="1"/>
  <c r="BQ52" i="4"/>
  <c r="BQ53" i="4" s="1"/>
  <c r="BQ17" i="5" s="1"/>
  <c r="BT59" i="4"/>
  <c r="BU59" i="4"/>
  <c r="BP64" i="4"/>
  <c r="BP6" i="5"/>
  <c r="BP57" i="4"/>
  <c r="BP60" i="4"/>
  <c r="BZ53" i="4"/>
  <c r="BZ17" i="5" s="1"/>
  <c r="BU66" i="4"/>
  <c r="BU9" i="5"/>
  <c r="BU67" i="4"/>
  <c r="BR59" i="4"/>
  <c r="BR64" i="4"/>
  <c r="BR6" i="5"/>
  <c r="BR60" i="4"/>
  <c r="BR57" i="4"/>
  <c r="BQ59" i="4"/>
  <c r="BY53" i="4"/>
  <c r="BY17" i="5" s="1"/>
  <c r="BS52" i="4"/>
  <c r="BS53" i="4" s="1"/>
  <c r="BS17" i="5" s="1"/>
  <c r="BX53" i="4"/>
  <c r="BX17" i="5" s="1"/>
  <c r="BS59" i="4"/>
  <c r="CB49" i="4"/>
  <c r="BQ60" i="4"/>
  <c r="BQ57" i="4"/>
  <c r="BQ64" i="4"/>
  <c r="BQ6" i="5"/>
  <c r="BP59" i="4"/>
  <c r="CB23" i="4"/>
  <c r="BR66" i="4"/>
  <c r="BR67" i="4"/>
  <c r="BR9" i="5"/>
  <c r="BR15" i="5" s="1"/>
  <c r="BS64" i="4"/>
  <c r="BS60" i="4"/>
  <c r="BS6" i="5"/>
  <c r="BS57" i="4"/>
  <c r="CB24" i="4"/>
  <c r="BP66" i="4"/>
  <c r="BP9" i="5"/>
  <c r="BP15" i="5" s="1"/>
  <c r="BP67" i="4"/>
  <c r="CA53" i="4"/>
  <c r="CA17" i="5" s="1"/>
  <c r="BH12" i="4"/>
  <c r="BH34" i="4" s="1"/>
  <c r="BU12" i="4"/>
  <c r="BG12" i="4"/>
  <c r="BG34" i="4" s="1"/>
  <c r="BT12" i="4"/>
  <c r="BQ66" i="4"/>
  <c r="BQ9" i="5"/>
  <c r="BQ67" i="4"/>
  <c r="BU52" i="4"/>
  <c r="BU53" i="4" s="1"/>
  <c r="BU17" i="5" s="1"/>
  <c r="BP52" i="4"/>
  <c r="BP53" i="4" s="1"/>
  <c r="BT53" i="4"/>
  <c r="BT17" i="5" s="1"/>
  <c r="BS9" i="5"/>
  <c r="BS67" i="4"/>
  <c r="BS66" i="4"/>
  <c r="CB50" i="4"/>
  <c r="BT67" i="4"/>
  <c r="BT66" i="4"/>
  <c r="BT9" i="5"/>
  <c r="BT15" i="5" s="1"/>
  <c r="BF65" i="4"/>
  <c r="BH58" i="4"/>
  <c r="BD58" i="4"/>
  <c r="BI66" i="4"/>
  <c r="BF6" i="5"/>
  <c r="BF14" i="5" s="1"/>
  <c r="BN6" i="5"/>
  <c r="BN14" i="5" s="1"/>
  <c r="BN52" i="4"/>
  <c r="BG33" i="4"/>
  <c r="BG63" i="4"/>
  <c r="BC58" i="4"/>
  <c r="BF52" i="4"/>
  <c r="BI52" i="4"/>
  <c r="BI37" i="4"/>
  <c r="AO12" i="5"/>
  <c r="BH9" i="5"/>
  <c r="BH67" i="4"/>
  <c r="AV50" i="4"/>
  <c r="BB50" i="4" s="1"/>
  <c r="BB54" i="4" s="1"/>
  <c r="BB42" i="4"/>
  <c r="AV51" i="4"/>
  <c r="BB51" i="4" s="1"/>
  <c r="BB43" i="4"/>
  <c r="BC50" i="4"/>
  <c r="BO50" i="4" s="1"/>
  <c r="BO42" i="4"/>
  <c r="BD6" i="5"/>
  <c r="BH6" i="5"/>
  <c r="BC51" i="4"/>
  <c r="BO51" i="4" s="1"/>
  <c r="BO43" i="4"/>
  <c r="BL52" i="4"/>
  <c r="BO44" i="4"/>
  <c r="BB44" i="4"/>
  <c r="BN9" i="5"/>
  <c r="BN67" i="4"/>
  <c r="BF9" i="5"/>
  <c r="BF67" i="4"/>
  <c r="BI9" i="5"/>
  <c r="BI67" i="4"/>
  <c r="BK9" i="5"/>
  <c r="BK67" i="4"/>
  <c r="BC66" i="4"/>
  <c r="BC9" i="5"/>
  <c r="BC67" i="4"/>
  <c r="BD67" i="4"/>
  <c r="BD9" i="5"/>
  <c r="BO41" i="4"/>
  <c r="BL9" i="5"/>
  <c r="BL67" i="4"/>
  <c r="BM67" i="4"/>
  <c r="BM9" i="5"/>
  <c r="BC6" i="5"/>
  <c r="BG9" i="5"/>
  <c r="BG67" i="4"/>
  <c r="BJ9" i="5"/>
  <c r="BJ67" i="4"/>
  <c r="BM52" i="4"/>
  <c r="BB41" i="4"/>
  <c r="AB12" i="5"/>
  <c r="BE6" i="5"/>
  <c r="BJ6" i="5"/>
  <c r="BE9" i="5"/>
  <c r="BE67" i="4"/>
  <c r="O12" i="5"/>
  <c r="BD52" i="4"/>
  <c r="BG52" i="4"/>
  <c r="BH56" i="4"/>
  <c r="BH63" i="4"/>
  <c r="BH33" i="4"/>
  <c r="BM56" i="4"/>
  <c r="BM63" i="4"/>
  <c r="BM33" i="4"/>
  <c r="BG59" i="4"/>
  <c r="BG36" i="4"/>
  <c r="BD59" i="4"/>
  <c r="BE49" i="4"/>
  <c r="BE46" i="4"/>
  <c r="BE16" i="5" s="1"/>
  <c r="BK49" i="4"/>
  <c r="BK53" i="4" s="1"/>
  <c r="BK17" i="5" s="1"/>
  <c r="BK46" i="4"/>
  <c r="BK16" i="5" s="1"/>
  <c r="BJ49" i="4"/>
  <c r="BJ46" i="4"/>
  <c r="BJ16" i="5" s="1"/>
  <c r="BE66" i="4"/>
  <c r="BH57" i="4"/>
  <c r="BE57" i="4"/>
  <c r="BE64" i="4"/>
  <c r="BI35" i="4"/>
  <c r="BI58" i="4"/>
  <c r="BI65" i="4"/>
  <c r="BK56" i="4"/>
  <c r="BK63" i="4"/>
  <c r="BK33" i="4"/>
  <c r="BN56" i="4"/>
  <c r="BN63" i="4"/>
  <c r="BN33" i="4"/>
  <c r="BL56" i="4"/>
  <c r="BL63" i="4"/>
  <c r="BL33" i="4"/>
  <c r="BE56" i="4"/>
  <c r="BE63" i="4"/>
  <c r="BH59" i="4"/>
  <c r="BH36" i="4"/>
  <c r="BK66" i="4"/>
  <c r="BK37" i="4"/>
  <c r="BH35" i="4"/>
  <c r="BD66" i="4"/>
  <c r="AX46" i="4"/>
  <c r="AX16" i="5" s="1"/>
  <c r="BA46" i="4"/>
  <c r="BA16" i="5" s="1"/>
  <c r="BD49" i="4"/>
  <c r="BD46" i="4"/>
  <c r="BD16" i="5" s="1"/>
  <c r="BG49" i="4"/>
  <c r="BG46" i="4"/>
  <c r="BG16" i="5" s="1"/>
  <c r="BF49" i="4"/>
  <c r="BF46" i="4"/>
  <c r="BF16" i="5" s="1"/>
  <c r="BF66" i="4"/>
  <c r="BM36" i="4"/>
  <c r="BM59" i="4"/>
  <c r="BI36" i="4"/>
  <c r="BJ57" i="4"/>
  <c r="BJ64" i="4"/>
  <c r="BJ34" i="4"/>
  <c r="BM58" i="4"/>
  <c r="BM65" i="4"/>
  <c r="BM35" i="4"/>
  <c r="BN58" i="4"/>
  <c r="BN65" i="4"/>
  <c r="BN35" i="4"/>
  <c r="BE58" i="4"/>
  <c r="BE65" i="4"/>
  <c r="BJ52" i="4"/>
  <c r="BH49" i="4"/>
  <c r="BH46" i="4"/>
  <c r="BH16" i="5" s="1"/>
  <c r="BL59" i="4"/>
  <c r="BL36" i="4"/>
  <c r="BL58" i="4"/>
  <c r="BL65" i="4"/>
  <c r="BL35" i="4"/>
  <c r="BD56" i="4"/>
  <c r="BD63" i="4"/>
  <c r="BJ33" i="4"/>
  <c r="BJ56" i="4"/>
  <c r="BJ63" i="4"/>
  <c r="BH66" i="4"/>
  <c r="BH37" i="4"/>
  <c r="BC52" i="4"/>
  <c r="BE52" i="4"/>
  <c r="BG35" i="4"/>
  <c r="BJ35" i="4"/>
  <c r="BM49" i="4"/>
  <c r="BM46" i="4"/>
  <c r="BM16" i="5" s="1"/>
  <c r="AW46" i="4"/>
  <c r="AW16" i="5" s="1"/>
  <c r="AZ46" i="4"/>
  <c r="AZ16" i="5" s="1"/>
  <c r="AY46" i="4"/>
  <c r="AY16" i="5" s="1"/>
  <c r="BN37" i="4"/>
  <c r="BN66" i="4"/>
  <c r="BL37" i="4"/>
  <c r="BL66" i="4"/>
  <c r="BF59" i="4"/>
  <c r="BM37" i="4"/>
  <c r="BM66" i="4"/>
  <c r="BN59" i="4"/>
  <c r="BJ36" i="4"/>
  <c r="BK59" i="4"/>
  <c r="BF57" i="4"/>
  <c r="BF64" i="4"/>
  <c r="BC57" i="4"/>
  <c r="BC64" i="4"/>
  <c r="BJ37" i="4"/>
  <c r="BJ66" i="4"/>
  <c r="AV46" i="4"/>
  <c r="BD57" i="4"/>
  <c r="BD64" i="4"/>
  <c r="BF56" i="4"/>
  <c r="BF63" i="4"/>
  <c r="BK34" i="4"/>
  <c r="BN34" i="4"/>
  <c r="BN57" i="4"/>
  <c r="BN64" i="4"/>
  <c r="BI56" i="4"/>
  <c r="BI63" i="4"/>
  <c r="BI33" i="4"/>
  <c r="BK58" i="4"/>
  <c r="BK65" i="4"/>
  <c r="BK35" i="4"/>
  <c r="BC56" i="4"/>
  <c r="BC63" i="4"/>
  <c r="BG66" i="4"/>
  <c r="BG37" i="4"/>
  <c r="BH52" i="4"/>
  <c r="BC59" i="4"/>
  <c r="BI49" i="4"/>
  <c r="BI46" i="4"/>
  <c r="BI16" i="5" s="1"/>
  <c r="BL49" i="4"/>
  <c r="BL46" i="4"/>
  <c r="BL16" i="5" s="1"/>
  <c r="BC49" i="4"/>
  <c r="BC46" i="4"/>
  <c r="BN49" i="4"/>
  <c r="BN46" i="4"/>
  <c r="BN16" i="5" s="1"/>
  <c r="BE59" i="4"/>
  <c r="BN36" i="4"/>
  <c r="BJ59" i="4"/>
  <c r="BK36" i="4"/>
  <c r="BN60" i="4"/>
  <c r="BO19" i="4"/>
  <c r="BJ60" i="4"/>
  <c r="BO6" i="4"/>
  <c r="BC60" i="4"/>
  <c r="BO23" i="4"/>
  <c r="BF60" i="4"/>
  <c r="BD60" i="4"/>
  <c r="BE60" i="4"/>
  <c r="BY14" i="5" l="1"/>
  <c r="BY10" i="5"/>
  <c r="BY12" i="5"/>
  <c r="BZ10" i="5"/>
  <c r="BZ11" i="5" s="1"/>
  <c r="BZ14" i="5"/>
  <c r="CA15" i="5"/>
  <c r="BX64" i="4"/>
  <c r="BX57" i="4"/>
  <c r="BX6" i="5"/>
  <c r="CA64" i="4"/>
  <c r="CA57" i="4"/>
  <c r="CA60" i="4"/>
  <c r="CA6" i="5"/>
  <c r="BY57" i="4"/>
  <c r="BY64" i="4"/>
  <c r="BK60" i="4"/>
  <c r="BK64" i="4"/>
  <c r="BK6" i="5"/>
  <c r="BK10" i="5" s="1"/>
  <c r="BK12" i="5" s="1"/>
  <c r="CB63" i="4"/>
  <c r="CB56" i="4"/>
  <c r="CB9" i="4"/>
  <c r="BY15" i="5"/>
  <c r="BY11" i="5"/>
  <c r="BY60" i="4"/>
  <c r="BW57" i="4"/>
  <c r="BW64" i="4"/>
  <c r="BV64" i="4"/>
  <c r="BV57" i="4"/>
  <c r="BV60" i="4"/>
  <c r="BV6" i="5"/>
  <c r="BW14" i="5"/>
  <c r="BW10" i="5"/>
  <c r="BW11" i="5" s="1"/>
  <c r="BW12" i="5"/>
  <c r="BZ57" i="4"/>
  <c r="BZ64" i="4"/>
  <c r="BZ60" i="4"/>
  <c r="BG57" i="4"/>
  <c r="BG60" i="4"/>
  <c r="BG64" i="4"/>
  <c r="BH64" i="4"/>
  <c r="BH60" i="4"/>
  <c r="BP17" i="5"/>
  <c r="CB53" i="4"/>
  <c r="CB17" i="5" s="1"/>
  <c r="CB66" i="4"/>
  <c r="CB27" i="4"/>
  <c r="CB59" i="4"/>
  <c r="BG6" i="5"/>
  <c r="BG10" i="5" s="1"/>
  <c r="BG11" i="5" s="1"/>
  <c r="BQ15" i="5"/>
  <c r="BU60" i="4"/>
  <c r="BU57" i="4"/>
  <c r="BU64" i="4"/>
  <c r="BU6" i="5"/>
  <c r="BS14" i="5"/>
  <c r="BS10" i="5"/>
  <c r="BS12" i="5" s="1"/>
  <c r="BQ10" i="5"/>
  <c r="BQ11" i="5" s="1"/>
  <c r="BQ14" i="5"/>
  <c r="BT6" i="5"/>
  <c r="BT57" i="4"/>
  <c r="BT64" i="4"/>
  <c r="BT60" i="4"/>
  <c r="CB9" i="5"/>
  <c r="CB15" i="5" s="1"/>
  <c r="CB67" i="4"/>
  <c r="BS15" i="5"/>
  <c r="BP14" i="5"/>
  <c r="BP10" i="5"/>
  <c r="BP11" i="5" s="1"/>
  <c r="CB52" i="4"/>
  <c r="BR10" i="5"/>
  <c r="BR11" i="5" s="1"/>
  <c r="BR14" i="5"/>
  <c r="BU15" i="5"/>
  <c r="CB12" i="4"/>
  <c r="BO21" i="4"/>
  <c r="CQ21" i="4" s="1"/>
  <c r="CR21" i="4" s="1"/>
  <c r="CS21" i="4" s="1"/>
  <c r="CT21" i="4" s="1"/>
  <c r="CU21" i="4" s="1"/>
  <c r="CV21" i="4" s="1"/>
  <c r="CW21" i="4" s="1"/>
  <c r="CX21" i="4" s="1"/>
  <c r="DE3" i="4"/>
  <c r="BO9" i="4"/>
  <c r="BI6" i="5"/>
  <c r="BI10" i="5" s="1"/>
  <c r="BI12" i="5" s="1"/>
  <c r="BM6" i="5"/>
  <c r="BM10" i="5" s="1"/>
  <c r="BM12" i="5" s="1"/>
  <c r="BL6" i="5"/>
  <c r="BL14" i="5" s="1"/>
  <c r="BJ53" i="4"/>
  <c r="BJ17" i="5" s="1"/>
  <c r="CQ1" i="4"/>
  <c r="CQ9" i="4"/>
  <c r="BF10" i="5"/>
  <c r="BF12" i="5" s="1"/>
  <c r="BI60" i="4"/>
  <c r="BO56" i="4"/>
  <c r="BO63" i="4"/>
  <c r="BD14" i="5"/>
  <c r="BD10" i="5"/>
  <c r="BD12" i="5" s="1"/>
  <c r="BH15" i="5"/>
  <c r="BE15" i="5"/>
  <c r="BM15" i="5"/>
  <c r="BC15" i="5"/>
  <c r="BC16" i="5"/>
  <c r="BO46" i="4"/>
  <c r="BO16" i="5" s="1"/>
  <c r="BJ15" i="5"/>
  <c r="BK14" i="5"/>
  <c r="BL15" i="5"/>
  <c r="BK15" i="5"/>
  <c r="BF15" i="5"/>
  <c r="BO58" i="4"/>
  <c r="BO65" i="4"/>
  <c r="BB46" i="4"/>
  <c r="BB16" i="5" s="1"/>
  <c r="AV16" i="5"/>
  <c r="BJ14" i="5"/>
  <c r="BJ10" i="5"/>
  <c r="BJ11" i="5" s="1"/>
  <c r="BG15" i="5"/>
  <c r="BD15" i="5"/>
  <c r="BI15" i="5"/>
  <c r="BN15" i="5"/>
  <c r="BN10" i="5"/>
  <c r="BN12" i="5" s="1"/>
  <c r="BE10" i="5"/>
  <c r="BE11" i="5" s="1"/>
  <c r="BE14" i="5"/>
  <c r="BG14" i="5"/>
  <c r="BC14" i="5"/>
  <c r="BC10" i="5"/>
  <c r="BC12" i="5" s="1"/>
  <c r="BH14" i="5"/>
  <c r="BH10" i="5"/>
  <c r="BH11" i="5" s="1"/>
  <c r="BF38" i="4"/>
  <c r="BG38" i="4"/>
  <c r="BO52" i="4"/>
  <c r="BJ38" i="4"/>
  <c r="BO36" i="4"/>
  <c r="BC38" i="4"/>
  <c r="BO33" i="4"/>
  <c r="BB49" i="4"/>
  <c r="BN38" i="4"/>
  <c r="BD38" i="4"/>
  <c r="BE38" i="4"/>
  <c r="BH38" i="4"/>
  <c r="BI57" i="4"/>
  <c r="BI64" i="4"/>
  <c r="BI34" i="4"/>
  <c r="BI38" i="4" s="1"/>
  <c r="BK38" i="4"/>
  <c r="BL57" i="4"/>
  <c r="BL64" i="4"/>
  <c r="BL34" i="4"/>
  <c r="BL38" i="4" s="1"/>
  <c r="BM34" i="4"/>
  <c r="BM38" i="4" s="1"/>
  <c r="BM57" i="4"/>
  <c r="BM64" i="4"/>
  <c r="BO49" i="4"/>
  <c r="BO37" i="4"/>
  <c r="BO35" i="4"/>
  <c r="BO12" i="4"/>
  <c r="BO16" i="4" s="1"/>
  <c r="BL60" i="4"/>
  <c r="BM53" i="4"/>
  <c r="BM17" i="5" s="1"/>
  <c r="BL53" i="4"/>
  <c r="BL17" i="5" s="1"/>
  <c r="BI53" i="4"/>
  <c r="BI17" i="5" s="1"/>
  <c r="BN53" i="4"/>
  <c r="BN17" i="5" s="1"/>
  <c r="BM60" i="4"/>
  <c r="BE53" i="4"/>
  <c r="BE17" i="5" s="1"/>
  <c r="BH53" i="4"/>
  <c r="BH17" i="5" s="1"/>
  <c r="BF53" i="4"/>
  <c r="BF17" i="5" s="1"/>
  <c r="BD53" i="4"/>
  <c r="BD17" i="5" s="1"/>
  <c r="BG53" i="4"/>
  <c r="BG17" i="5" s="1"/>
  <c r="BO24" i="4"/>
  <c r="BO27" i="4" s="1"/>
  <c r="CQ27" i="4" s="1"/>
  <c r="CR27" i="4" s="1"/>
  <c r="CS27" i="4" s="1"/>
  <c r="CT27" i="4" s="1"/>
  <c r="CU27" i="4" s="1"/>
  <c r="CV27" i="4" s="1"/>
  <c r="CW27" i="4" s="1"/>
  <c r="CX27" i="4" s="1"/>
  <c r="BV10" i="5" l="1"/>
  <c r="BV11" i="5" s="1"/>
  <c r="BV14" i="5"/>
  <c r="CA14" i="5"/>
  <c r="CA10" i="5"/>
  <c r="CA11" i="5" s="1"/>
  <c r="BX14" i="5"/>
  <c r="BX10" i="5"/>
  <c r="BX11" i="5" s="1"/>
  <c r="BX12" i="5"/>
  <c r="BZ12" i="5"/>
  <c r="BS11" i="5"/>
  <c r="BU10" i="5"/>
  <c r="BU11" i="5" s="1"/>
  <c r="BU14" i="5"/>
  <c r="BT14" i="5"/>
  <c r="BT10" i="5"/>
  <c r="BT11" i="5" s="1"/>
  <c r="CB64" i="4"/>
  <c r="CB60" i="4"/>
  <c r="CB16" i="4"/>
  <c r="CB29" i="4" s="1"/>
  <c r="CB6" i="5"/>
  <c r="CB57" i="4"/>
  <c r="BQ12" i="5"/>
  <c r="BR12" i="5"/>
  <c r="BP12" i="5"/>
  <c r="BO29" i="4"/>
  <c r="CQ29" i="4"/>
  <c r="BM14" i="5"/>
  <c r="BF11" i="5"/>
  <c r="BL10" i="5"/>
  <c r="BL11" i="5" s="1"/>
  <c r="BI14" i="5"/>
  <c r="BO60" i="4"/>
  <c r="CQ6" i="4"/>
  <c r="CR1" i="4" s="1"/>
  <c r="CR3" i="4"/>
  <c r="BD11" i="5"/>
  <c r="BJ12" i="5"/>
  <c r="BC11" i="5"/>
  <c r="BE12" i="5"/>
  <c r="BN11" i="5"/>
  <c r="BK11" i="5"/>
  <c r="BH12" i="5"/>
  <c r="BO9" i="5"/>
  <c r="BO66" i="4"/>
  <c r="BO67" i="4"/>
  <c r="BM11" i="5"/>
  <c r="BO59" i="4"/>
  <c r="BO57" i="4"/>
  <c r="BO64" i="4"/>
  <c r="BO34" i="4"/>
  <c r="BG12" i="5"/>
  <c r="BI11" i="5"/>
  <c r="BO6" i="5"/>
  <c r="BO38" i="4"/>
  <c r="BC53" i="4"/>
  <c r="BB30" i="4"/>
  <c r="AW65" i="4"/>
  <c r="AW53" i="4"/>
  <c r="AW17" i="5" s="1"/>
  <c r="BA65" i="4"/>
  <c r="AX65" i="4"/>
  <c r="AV58" i="4"/>
  <c r="BV12" i="5" l="1"/>
  <c r="CA12" i="5"/>
  <c r="BT12" i="5"/>
  <c r="BU12" i="5"/>
  <c r="CB10" i="5"/>
  <c r="CB11" i="5" s="1"/>
  <c r="CB14" i="5"/>
  <c r="BL12" i="5"/>
  <c r="AX57" i="4"/>
  <c r="BA57" i="4"/>
  <c r="AZ57" i="4"/>
  <c r="AW64" i="4"/>
  <c r="AY57" i="4"/>
  <c r="AV57" i="4"/>
  <c r="CS3" i="4"/>
  <c r="CS6" i="4" s="1"/>
  <c r="CT9" i="4" s="1"/>
  <c r="CT29" i="4" s="1"/>
  <c r="CR6" i="4"/>
  <c r="CS9" i="4" s="1"/>
  <c r="CS29" i="4" s="1"/>
  <c r="CR9" i="4"/>
  <c r="CR29" i="4" s="1"/>
  <c r="BB23" i="4"/>
  <c r="AW59" i="4"/>
  <c r="AZ59" i="4"/>
  <c r="BA60" i="4"/>
  <c r="BA6" i="5"/>
  <c r="AX63" i="4"/>
  <c r="AX6" i="5"/>
  <c r="AX9" i="5"/>
  <c r="AX67" i="4"/>
  <c r="BO10" i="5"/>
  <c r="BO12" i="5" s="1"/>
  <c r="BO14" i="5"/>
  <c r="AV9" i="5"/>
  <c r="AV67" i="4"/>
  <c r="BB36" i="4"/>
  <c r="AW58" i="4"/>
  <c r="AY56" i="4"/>
  <c r="AY6" i="5"/>
  <c r="AV56" i="4"/>
  <c r="AV6" i="5"/>
  <c r="AW56" i="4"/>
  <c r="AW6" i="5"/>
  <c r="AW66" i="4"/>
  <c r="AW9" i="5"/>
  <c r="AW67" i="4"/>
  <c r="BO53" i="4"/>
  <c r="BO17" i="5" s="1"/>
  <c r="BC17" i="5"/>
  <c r="AY9" i="5"/>
  <c r="AY67" i="4"/>
  <c r="BA9" i="5"/>
  <c r="BA67" i="4"/>
  <c r="AZ56" i="4"/>
  <c r="AZ6" i="5"/>
  <c r="AZ66" i="4"/>
  <c r="AZ9" i="5"/>
  <c r="AZ67" i="4"/>
  <c r="BA59" i="4"/>
  <c r="BO15" i="5"/>
  <c r="AY66" i="4"/>
  <c r="AV65" i="4"/>
  <c r="AY59" i="4"/>
  <c r="AX59" i="4"/>
  <c r="AX58" i="4"/>
  <c r="AY63" i="4"/>
  <c r="AY58" i="4"/>
  <c r="AV66" i="4"/>
  <c r="AZ60" i="4"/>
  <c r="AZ64" i="4"/>
  <c r="AX60" i="4"/>
  <c r="AZ58" i="4"/>
  <c r="BA66" i="4"/>
  <c r="AW60" i="4"/>
  <c r="BA56" i="4"/>
  <c r="AV59" i="4"/>
  <c r="BB6" i="4"/>
  <c r="AV64" i="4"/>
  <c r="BA58" i="4"/>
  <c r="BA64" i="4"/>
  <c r="AY60" i="4"/>
  <c r="AX64" i="4"/>
  <c r="AY65" i="4"/>
  <c r="AV60" i="4"/>
  <c r="AZ63" i="4"/>
  <c r="AZ65" i="4"/>
  <c r="AW63" i="4"/>
  <c r="BA63" i="4"/>
  <c r="AY52" i="4"/>
  <c r="AY53" i="4" s="1"/>
  <c r="AY17" i="5" s="1"/>
  <c r="BA52" i="4"/>
  <c r="BA53" i="4" s="1"/>
  <c r="BA17" i="5" s="1"/>
  <c r="AZ52" i="4"/>
  <c r="AZ53" i="4" s="1"/>
  <c r="AZ17" i="5" s="1"/>
  <c r="BB12" i="4"/>
  <c r="BB16" i="4" s="1"/>
  <c r="BB19" i="4"/>
  <c r="BB21" i="4" s="1"/>
  <c r="AX52" i="4"/>
  <c r="AX53" i="4" s="1"/>
  <c r="AX17" i="5" s="1"/>
  <c r="BB24" i="4"/>
  <c r="AW57" i="4"/>
  <c r="AV63" i="4"/>
  <c r="AX56" i="4"/>
  <c r="AY64" i="4"/>
  <c r="AX66" i="4"/>
  <c r="CB12" i="5" l="1"/>
  <c r="BB27" i="4"/>
  <c r="DD3" i="4"/>
  <c r="BB9" i="4"/>
  <c r="AZ38" i="4"/>
  <c r="BB64" i="4"/>
  <c r="CU9" i="4"/>
  <c r="CU29" i="4" s="1"/>
  <c r="BO11" i="5"/>
  <c r="BB58" i="4"/>
  <c r="BB65" i="4"/>
  <c r="AY15" i="5"/>
  <c r="AX14" i="5"/>
  <c r="AX10" i="5"/>
  <c r="AX12" i="5" s="1"/>
  <c r="BB6" i="5"/>
  <c r="BB63" i="4"/>
  <c r="BA15" i="5"/>
  <c r="AW15" i="5"/>
  <c r="AV14" i="5"/>
  <c r="AV10" i="5"/>
  <c r="AV11" i="5" s="1"/>
  <c r="AV15" i="5"/>
  <c r="AZ14" i="5"/>
  <c r="AZ10" i="5"/>
  <c r="AZ12" i="5" s="1"/>
  <c r="BA10" i="5"/>
  <c r="BA11" i="5" s="1"/>
  <c r="BA14" i="5"/>
  <c r="BB9" i="5"/>
  <c r="BB66" i="4"/>
  <c r="AZ15" i="5"/>
  <c r="BB67" i="4"/>
  <c r="AW10" i="5"/>
  <c r="AW11" i="5" s="1"/>
  <c r="AW14" i="5"/>
  <c r="AY10" i="5"/>
  <c r="AY12" i="5" s="1"/>
  <c r="AY14" i="5"/>
  <c r="AX11" i="5"/>
  <c r="AX15" i="5"/>
  <c r="BB33" i="4"/>
  <c r="AV38" i="4"/>
  <c r="AW38" i="4"/>
  <c r="AV53" i="4"/>
  <c r="BB52" i="4"/>
  <c r="BB60" i="4"/>
  <c r="BB56" i="4"/>
  <c r="BA38" i="4"/>
  <c r="AX38" i="4"/>
  <c r="BB37" i="4"/>
  <c r="BB34" i="4"/>
  <c r="BB35" i="4"/>
  <c r="BB57" i="4"/>
  <c r="AY38" i="4"/>
  <c r="BB59" i="4"/>
  <c r="BB29" i="4" l="1"/>
  <c r="CV9" i="4"/>
  <c r="CV29" i="4" s="1"/>
  <c r="BA12" i="5"/>
  <c r="AW12" i="5"/>
  <c r="AY11" i="5"/>
  <c r="BB53" i="4"/>
  <c r="BB17" i="5" s="1"/>
  <c r="AV17" i="5"/>
  <c r="BB15" i="5"/>
  <c r="AZ11" i="5"/>
  <c r="BB14" i="5"/>
  <c r="BB10" i="5"/>
  <c r="BB12" i="5" s="1"/>
  <c r="AV12" i="5"/>
  <c r="BB38" i="4"/>
  <c r="BB11" i="5" l="1"/>
  <c r="CW9" i="4"/>
  <c r="CW29" i="4" s="1"/>
  <c r="CX9" i="4" l="1"/>
  <c r="CX29" i="4" s="1"/>
  <c r="BP36" i="4" l="1"/>
  <c r="BP33" i="4"/>
  <c r="BP35" i="4"/>
  <c r="BP37" i="4"/>
  <c r="BV35" i="4"/>
  <c r="BU37" i="4"/>
  <c r="CA35" i="4"/>
  <c r="BZ35" i="4"/>
  <c r="BY37" i="4"/>
  <c r="BX36" i="4"/>
  <c r="BX35" i="4"/>
  <c r="BQ33" i="4"/>
  <c r="BV37" i="4"/>
  <c r="BR35" i="4"/>
  <c r="BU36" i="4"/>
  <c r="CA37" i="4"/>
  <c r="BV36" i="4"/>
  <c r="BY33" i="4"/>
  <c r="BS37" i="4"/>
  <c r="BZ37" i="4"/>
  <c r="BY35" i="4"/>
  <c r="BS35" i="4"/>
  <c r="BW37" i="4"/>
  <c r="BW35" i="4"/>
  <c r="BU35" i="4"/>
  <c r="BU33" i="4"/>
  <c r="BR33" i="4"/>
  <c r="BR37" i="4"/>
  <c r="BV33" i="4"/>
  <c r="BY36" i="4"/>
  <c r="BS33" i="4"/>
  <c r="BW33" i="4"/>
  <c r="BX33" i="4"/>
  <c r="BT35" i="4"/>
  <c r="BT37" i="4"/>
  <c r="BZ33" i="4"/>
  <c r="BS36" i="4"/>
  <c r="BQ37" i="4"/>
  <c r="BR36" i="4"/>
  <c r="BW36" i="4"/>
  <c r="CA36" i="4"/>
  <c r="CA33" i="4"/>
  <c r="CB41" i="4"/>
  <c r="BT33" i="4"/>
  <c r="BT36" i="4"/>
  <c r="CB43" i="4"/>
  <c r="BQ35" i="4"/>
  <c r="BZ36" i="4"/>
  <c r="CB44" i="4"/>
  <c r="BQ36" i="4"/>
  <c r="CB45" i="4"/>
  <c r="BX37" i="4"/>
  <c r="BP46" i="4"/>
  <c r="BP16" i="5" s="1"/>
  <c r="BP34" i="4"/>
  <c r="BU46" i="4"/>
  <c r="BU16" i="5" s="1"/>
  <c r="BV46" i="4"/>
  <c r="BV16" i="5" s="1"/>
  <c r="CA46" i="4"/>
  <c r="CA16" i="5" s="1"/>
  <c r="BR46" i="4"/>
  <c r="BR16" i="5" s="1"/>
  <c r="BQ46" i="4"/>
  <c r="BU34" i="4"/>
  <c r="BV34" i="4"/>
  <c r="BV38" i="4" s="1"/>
  <c r="BZ46" i="4"/>
  <c r="BZ16" i="5" s="1"/>
  <c r="CA34" i="4"/>
  <c r="BS46" i="4"/>
  <c r="BS16" i="5" s="1"/>
  <c r="BX46" i="4"/>
  <c r="BX16" i="5" s="1"/>
  <c r="BX34" i="4"/>
  <c r="BT34" i="4"/>
  <c r="BT46" i="4"/>
  <c r="BT16" i="5" s="1"/>
  <c r="BY46" i="4"/>
  <c r="BY16" i="5" s="1"/>
  <c r="BY34" i="4"/>
  <c r="BY38" i="4" s="1"/>
  <c r="BW34" i="4"/>
  <c r="BW46" i="4"/>
  <c r="BW16" i="5" s="1"/>
  <c r="BR34" i="4"/>
  <c r="BS34" i="4"/>
  <c r="BQ34" i="4"/>
  <c r="CB42" i="4"/>
  <c r="BZ34" i="4"/>
  <c r="BS38" i="4" l="1"/>
  <c r="CB34" i="4"/>
  <c r="CB46" i="4"/>
  <c r="CB16" i="5" s="1"/>
  <c r="BQ16" i="5"/>
  <c r="CB35" i="4"/>
  <c r="BX38" i="4"/>
  <c r="BP38" i="4"/>
  <c r="BR38" i="4"/>
  <c r="BZ38" i="4"/>
  <c r="CB36" i="4"/>
  <c r="CB37" i="4"/>
  <c r="CA38" i="4"/>
  <c r="CB33" i="4"/>
  <c r="BQ38" i="4"/>
  <c r="BW38" i="4"/>
  <c r="BT38" i="4"/>
  <c r="BU38" i="4"/>
  <c r="CB38" i="4" l="1"/>
</calcChain>
</file>

<file path=xl/comments1.xml><?xml version="1.0" encoding="utf-8"?>
<comments xmlns="http://schemas.openxmlformats.org/spreadsheetml/2006/main">
  <authors>
    <author>PLANIFICACIÓN</author>
    <author>Analista-Planif</author>
  </authors>
  <commentList>
    <comment ref="O26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O55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O81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M96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ajustado</t>
        </r>
      </text>
    </comment>
    <comment ref="O107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P142" authorId="1" shapeId="0">
      <text>
        <r>
          <rPr>
            <b/>
            <sz val="9"/>
            <color indexed="81"/>
            <rFont val="Tahoma"/>
            <family val="2"/>
          </rPr>
          <t>Analista-Planif:</t>
        </r>
        <r>
          <rPr>
            <sz val="9"/>
            <color indexed="81"/>
            <rFont val="Tahoma"/>
            <family val="2"/>
          </rPr>
          <t xml:space="preserve">
Revisar las celdas</t>
        </r>
      </text>
    </comment>
    <comment ref="O143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</commentList>
</comments>
</file>

<file path=xl/comments2.xml><?xml version="1.0" encoding="utf-8"?>
<comments xmlns="http://schemas.openxmlformats.org/spreadsheetml/2006/main">
  <authors>
    <author>PLANIFICACIÓN</author>
    <author>Ing. Ronald Guerrero</author>
    <author>RGH</author>
    <author>Analista-Planif</author>
  </authors>
  <commentList>
    <comment ref="O27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H43" authorId="1" shapeId="0">
      <text>
        <r>
          <rPr>
            <b/>
            <sz val="9"/>
            <color indexed="81"/>
            <rFont val="Tahoma"/>
            <family val="2"/>
          </rPr>
          <t>Ing. Ronald Guerrero:</t>
        </r>
        <r>
          <rPr>
            <sz val="9"/>
            <color indexed="81"/>
            <rFont val="Tahoma"/>
            <family val="2"/>
          </rPr>
          <t xml:space="preserve">
Aquí si estaba considerando nuevamente el Consumo auxiliar del FV y Eolico</t>
        </r>
      </text>
    </comment>
    <comment ref="I43" authorId="2" shapeId="0">
      <text>
        <r>
          <rPr>
            <b/>
            <sz val="9"/>
            <color indexed="81"/>
            <rFont val="Tahoma"/>
            <family val="2"/>
          </rPr>
          <t>RGH:</t>
        </r>
        <r>
          <rPr>
            <sz val="9"/>
            <color indexed="81"/>
            <rFont val="Tahoma"/>
            <family val="2"/>
          </rPr>
          <t xml:space="preserve">
Se estaba considerando nuevamente el FV(K46)  y  EO(K56)</t>
        </r>
      </text>
    </comment>
    <comment ref="O58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O86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M102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ajustado</t>
        </r>
      </text>
    </comment>
    <comment ref="O114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G139" authorId="1" shapeId="0">
      <text>
        <r>
          <rPr>
            <b/>
            <sz val="9"/>
            <color indexed="81"/>
            <rFont val="Tahoma"/>
            <family val="2"/>
          </rPr>
          <t>Ing. Ronald Guerrero:</t>
        </r>
        <r>
          <rPr>
            <sz val="9"/>
            <color indexed="81"/>
            <rFont val="Tahoma"/>
            <family val="2"/>
          </rPr>
          <t xml:space="preserve">
La suma de Comercial no coincide con el total en sistemas aislados</t>
        </r>
      </text>
    </comment>
    <comment ref="P151" authorId="3" shapeId="0">
      <text>
        <r>
          <rPr>
            <b/>
            <sz val="9"/>
            <color indexed="81"/>
            <rFont val="Tahoma"/>
            <family val="2"/>
          </rPr>
          <t>Analista-Planif:</t>
        </r>
        <r>
          <rPr>
            <sz val="9"/>
            <color indexed="81"/>
            <rFont val="Tahoma"/>
            <family val="2"/>
          </rPr>
          <t xml:space="preserve">
Revisar las celdas</t>
        </r>
      </text>
    </comment>
    <comment ref="O152" authorId="0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</commentList>
</comments>
</file>

<file path=xl/comments3.xml><?xml version="1.0" encoding="utf-8"?>
<comments xmlns="http://schemas.openxmlformats.org/spreadsheetml/2006/main">
  <authors>
    <author>Ronald Guerrero</author>
    <author>PLANIFICACIÓN</author>
    <author>RGH</author>
    <author>Ing. Ronald Guerrero</author>
    <author>Analista-Planif</author>
  </authors>
  <commentList>
    <comment ref="L5" authorId="0" shapeId="0">
      <text>
        <r>
          <rPr>
            <b/>
            <sz val="9"/>
            <color indexed="81"/>
            <rFont val="Tahoma"/>
            <family val="2"/>
          </rPr>
          <t>Ronald Guerrero:</t>
        </r>
        <r>
          <rPr>
            <sz val="9"/>
            <color indexed="81"/>
            <rFont val="Tahoma"/>
            <family val="2"/>
          </rPr>
          <t xml:space="preserve">
FALTA FACTURACIÓN MES DE OCTUBRE</t>
        </r>
      </text>
    </comment>
    <comment ref="O26" authorId="1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E39" authorId="0" shapeId="0">
      <text>
        <r>
          <rPr>
            <b/>
            <sz val="9"/>
            <color indexed="81"/>
            <rFont val="Tahoma"/>
            <family val="2"/>
          </rPr>
          <t>Ronald Guerrero:</t>
        </r>
        <r>
          <rPr>
            <sz val="9"/>
            <color indexed="81"/>
            <rFont val="Tahoma"/>
            <family val="2"/>
          </rPr>
          <t xml:space="preserve">
FV Puerto Ayora + FV Baltra</t>
        </r>
      </text>
    </comment>
    <comment ref="E43" authorId="0" shapeId="0">
      <text>
        <r>
          <rPr>
            <b/>
            <sz val="9"/>
            <color indexed="81"/>
            <rFont val="Tahoma"/>
            <family val="2"/>
          </rPr>
          <t>Ronald Guerrero:</t>
        </r>
        <r>
          <rPr>
            <sz val="9"/>
            <color indexed="81"/>
            <rFont val="Tahoma"/>
            <family val="2"/>
          </rPr>
          <t xml:space="preserve">
Incluye consumo auxiliares FV-Baterías Baltra</t>
        </r>
      </text>
    </comment>
    <comment ref="O59" authorId="1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I79" authorId="2" shapeId="0">
      <text>
        <r>
          <rPr>
            <b/>
            <sz val="9"/>
            <color indexed="81"/>
            <rFont val="Tahoma"/>
            <family val="2"/>
          </rPr>
          <t>RGH:</t>
        </r>
        <r>
          <rPr>
            <sz val="9"/>
            <color indexed="81"/>
            <rFont val="Tahoma"/>
            <family val="2"/>
          </rPr>
          <t xml:space="preserve">
esto no puede ser porsible, seguramente estén midiendo mal la energía de cada alimentador.</t>
        </r>
      </text>
    </comment>
    <comment ref="O86" authorId="1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O113" authorId="1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  <comment ref="G138" authorId="3" shapeId="0">
      <text>
        <r>
          <rPr>
            <b/>
            <sz val="9"/>
            <color indexed="81"/>
            <rFont val="Tahoma"/>
            <family val="2"/>
          </rPr>
          <t>Ing. Ronald Guerrero:</t>
        </r>
        <r>
          <rPr>
            <sz val="9"/>
            <color indexed="81"/>
            <rFont val="Tahoma"/>
            <family val="2"/>
          </rPr>
          <t xml:space="preserve">
La suma de Comercial no coincide con el total en sistemas aislados</t>
        </r>
      </text>
    </comment>
    <comment ref="F148" authorId="0" shapeId="0">
      <text>
        <r>
          <rPr>
            <b/>
            <sz val="9"/>
            <color indexed="81"/>
            <rFont val="Tahoma"/>
            <family val="2"/>
          </rPr>
          <t>Pérdidas en negativo</t>
        </r>
      </text>
    </comment>
    <comment ref="P150" authorId="4" shapeId="0">
      <text>
        <r>
          <rPr>
            <b/>
            <sz val="9"/>
            <color indexed="81"/>
            <rFont val="Tahoma"/>
            <family val="2"/>
          </rPr>
          <t>Analista-Planif:</t>
        </r>
        <r>
          <rPr>
            <sz val="9"/>
            <color indexed="81"/>
            <rFont val="Tahoma"/>
            <family val="2"/>
          </rPr>
          <t xml:space="preserve">
Revisar las celdas</t>
        </r>
      </text>
    </comment>
    <comment ref="O151" authorId="1" shapeId="0">
      <text>
        <r>
          <rPr>
            <b/>
            <sz val="9"/>
            <color indexed="81"/>
            <rFont val="Tahoma"/>
            <family val="2"/>
          </rPr>
          <t>PLANIFICACIÓN:</t>
        </r>
        <r>
          <rPr>
            <sz val="9"/>
            <color indexed="81"/>
            <rFont val="Tahoma"/>
            <family val="2"/>
          </rPr>
          <t xml:space="preserve">
MÁXIMA</t>
        </r>
      </text>
    </comment>
  </commentList>
</comments>
</file>

<file path=xl/sharedStrings.xml><?xml version="1.0" encoding="utf-8"?>
<sst xmlns="http://schemas.openxmlformats.org/spreadsheetml/2006/main" count="1824" uniqueCount="247">
  <si>
    <t>EMPRESA ELÉCTRICA PROVINCIAL GALÁPAGOS S.A.</t>
  </si>
  <si>
    <t>BALANCE ENERGETICO Y ANALISIS DE RENDIMIENTO PARA EL AÑO 2012</t>
  </si>
  <si>
    <t>SAN CRISTÓBAL</t>
  </si>
  <si>
    <t>Parametros</t>
  </si>
  <si>
    <t>Ene.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</si>
  <si>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</si>
  <si>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</si>
  <si>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</si>
  <si>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</si>
  <si>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</si>
  <si>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</si>
  <si>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</si>
  <si>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</si>
  <si>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</si>
  <si>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</si>
  <si>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</si>
  <si>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Acumulado</t>
  </si>
  <si>
    <t xml:space="preserve"> Energía Neta (KWH)</t>
  </si>
  <si>
    <t>Energía Térmica Diesel (KWH)</t>
  </si>
  <si>
    <t>% Penetración Térmico Diesel</t>
  </si>
  <si>
    <t xml:space="preserve"> Energía Eólica (KWH)</t>
  </si>
  <si>
    <t>% Penetración Eólico</t>
  </si>
  <si>
    <t>Energía Fotovoltaica</t>
  </si>
  <si>
    <t>% Penetración Fotovoltaico</t>
  </si>
  <si>
    <t xml:space="preserve"> Consumo Generación (KWH)</t>
  </si>
  <si>
    <t>Energía Disponible Gener (KWH)</t>
  </si>
  <si>
    <t>Energía Facturada Total (KWH)</t>
  </si>
  <si>
    <t>Energía Facturada (KWH)</t>
  </si>
  <si>
    <t>Energía Perdida (KWH)</t>
  </si>
  <si>
    <t>% Pérdidas de Energía</t>
  </si>
  <si>
    <t>Potencia Máxima (KW)</t>
  </si>
  <si>
    <t>Consumo Diesel (Galones)</t>
  </si>
  <si>
    <t>Rendimiento (KWH/Gal.)</t>
  </si>
  <si>
    <t>Clientes</t>
  </si>
  <si>
    <t>SANTA CRUZ</t>
  </si>
  <si>
    <t>Energía Disponible Dist (KWH)</t>
  </si>
  <si>
    <t>Energía Pérdida S/E (KWH)</t>
  </si>
  <si>
    <t>% Pérdidas Tecn. en S/E</t>
  </si>
  <si>
    <t>% Perdida Distrib. (KWH)</t>
  </si>
  <si>
    <t>% Pérdidas</t>
  </si>
  <si>
    <t>ISABELA</t>
  </si>
  <si>
    <t xml:space="preserve"> Energía Facturada (KWH)</t>
  </si>
  <si>
    <t>Energia Pérdidas Totales (KWH)</t>
  </si>
  <si>
    <t>% Pérdidas Totales</t>
  </si>
  <si>
    <t>Rendimiento Diesel(KWH/Gal.)</t>
  </si>
  <si>
    <t>FLOREANA</t>
  </si>
  <si>
    <t>Energía Térmica aceite Piñon (KWH)</t>
  </si>
  <si>
    <t>% Penetración Térmico Piñón</t>
  </si>
  <si>
    <t>Consumo Generación (KWH)</t>
  </si>
  <si>
    <t>Consumo aceite piñon (Galones)</t>
  </si>
  <si>
    <t>Rendimiento Diesel (KWH/Gal.)</t>
  </si>
  <si>
    <t>Rendimiento aceite piñon (KWH/Gal.)</t>
  </si>
  <si>
    <t>TOTALIZADO</t>
  </si>
  <si>
    <t>Energía Neta (KWH)</t>
  </si>
  <si>
    <t>EMPRESA ELÉCTRICA PROVINCIAL GALÁPAGOS ELECGALAPAGOS S.A.</t>
  </si>
  <si>
    <t>BALANCE ENERGÉTICO Y ANÁLISIS DE RENDIMIENTO -2013-</t>
  </si>
  <si>
    <t>Item</t>
  </si>
  <si>
    <t>PARÁMETROS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</si>
  <si>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</si>
  <si>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</si>
  <si>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</si>
  <si>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</si>
  <si>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</si>
  <si>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</si>
  <si>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</si>
  <si>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</si>
  <si>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</si>
  <si>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</si>
  <si>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</si>
  <si>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</si>
  <si>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</si>
  <si>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PROMEDIO</t>
  </si>
  <si>
    <t>Energía Bruta (kWh)</t>
  </si>
  <si>
    <t>-</t>
  </si>
  <si>
    <t>Energía Térmica - Diesel (kWh)</t>
  </si>
  <si>
    <t>Aporte de Térmica - Diesel (% )</t>
  </si>
  <si>
    <t>Energía Eólica (kWh)</t>
  </si>
  <si>
    <t>Aporte Eólico (% )</t>
  </si>
  <si>
    <t>Energía Solar Fotovoltaica (kWh)</t>
  </si>
  <si>
    <t>Aporte de Solar Fotovoltaica (%)</t>
  </si>
  <si>
    <t>Consumo de equipos auxiliares (kWh)</t>
  </si>
  <si>
    <t>Energía Neta (kWh)</t>
  </si>
  <si>
    <t>Energía Disponible (kWh)</t>
  </si>
  <si>
    <t>Energía Alimentador 1 (kWh)</t>
  </si>
  <si>
    <t>Energía Alimentador 2 (kWh)</t>
  </si>
  <si>
    <t>Energía Alimentador 3 (kWh)</t>
  </si>
  <si>
    <t>Pérdidas de Energía en S/E (kWh)</t>
  </si>
  <si>
    <t>Pérdidas de Energía en S/E (%)</t>
  </si>
  <si>
    <t>Energía Facturada (kWh)</t>
  </si>
  <si>
    <t>Pérdidas de Energía en Distribución (kWh)</t>
  </si>
  <si>
    <t>Pérdidas de Energía en Distribución (%)</t>
  </si>
  <si>
    <t>Pérdidas de Energía (kWh)</t>
  </si>
  <si>
    <t>Pérdidas de Energía (%)</t>
  </si>
  <si>
    <t>Potencia Máxima (kW)</t>
  </si>
  <si>
    <t>Rendimiento (kWh/Gal.)</t>
  </si>
  <si>
    <t>Autoconsumo grupos Hyundai (kWh)</t>
  </si>
  <si>
    <t xml:space="preserve"> Energía Alimentador 1 (kWh)</t>
  </si>
  <si>
    <t xml:space="preserve"> Energía Alimentador 2 (kWh)</t>
  </si>
  <si>
    <t xml:space="preserve"> Energía Alimentador 3 (kWh)</t>
  </si>
  <si>
    <t>Energía Térmica Diesel (kWh)</t>
  </si>
  <si>
    <t xml:space="preserve"> Energía Bruta (kWh)</t>
  </si>
  <si>
    <t>Energía Térmica aceite Piñón (kWh)</t>
  </si>
  <si>
    <t>Aporte de Térmica - Piñón (% )</t>
  </si>
  <si>
    <t>Rendimiento Diesel (kWh/Gal.)</t>
  </si>
  <si>
    <t>Consumo Piñon (Galones)</t>
  </si>
  <si>
    <t>Rendimiento Piñon (kWh/Gal.)</t>
  </si>
  <si>
    <t>BALANCE ENERGETICO Y ANALISIS TOTAL DE RENDIMIENTO PARA EL AÑO 2013</t>
  </si>
  <si>
    <t>Energía Térmica aceite Piñon (kWh)</t>
  </si>
  <si>
    <t>Energía Fotovoltaica (kWh)</t>
  </si>
  <si>
    <t>Aporte Fotovoltaico (%)</t>
  </si>
  <si>
    <t>Rendimiento Diesel  (kWh/Gal.)</t>
  </si>
  <si>
    <t>Consumo aceite Piñón (Galones)</t>
  </si>
  <si>
    <t>Rendimiento Piñón (kWh/Gal.)</t>
  </si>
  <si>
    <t>*De la facturación de enero a junio se restó la facturación por autoconsumos, ya que se los condideraba dentro de clientes regulados; a partir de julio, se dejó de facturar los autoconsumos</t>
  </si>
  <si>
    <t>DATOS ESTADÍSTICOS PROVINCIAL</t>
  </si>
  <si>
    <t>Energia generada
 (kWh)</t>
  </si>
  <si>
    <t>SAN CRISTÓBAL TERMICO</t>
  </si>
  <si>
    <t>SAN CRISTÓBAL EÓLICA</t>
  </si>
  <si>
    <t>SAN CRISTÓBAL SOLAR</t>
  </si>
  <si>
    <t>SANTA CRUZ TERMICO</t>
  </si>
  <si>
    <t>SANTA CRUZ SOLAR</t>
  </si>
  <si>
    <t>SANTA CRUZ EÓLICA</t>
  </si>
  <si>
    <t>ISABELA TÉRMICO</t>
  </si>
  <si>
    <t>FLOREANA DIESEL</t>
  </si>
  <si>
    <t>FLOREANA PIÑÓN</t>
  </si>
  <si>
    <t>FLOREANA SOLAR</t>
  </si>
  <si>
    <t>TOTAL PROVINCIA</t>
  </si>
  <si>
    <t>Consumo
(Galones)</t>
  </si>
  <si>
    <t>SAN CRISTÓBAL DIESEL</t>
  </si>
  <si>
    <t>SANTA CRUZ DIESEL</t>
  </si>
  <si>
    <t>ISABELA DIESEL</t>
  </si>
  <si>
    <t>Rendimiento Central Térmica
(kWh/Galones)</t>
  </si>
  <si>
    <t>Ahorro de combustible DIESEL
(Galones)</t>
  </si>
  <si>
    <t xml:space="preserve">SANTA CRUZ </t>
  </si>
  <si>
    <t xml:space="preserve">FLOREANA </t>
  </si>
  <si>
    <t>% Energía -convencional-  (kWh)</t>
  </si>
  <si>
    <t>% Energía -no convencional-  (kWh)</t>
  </si>
  <si>
    <t>MATRIZ ENERGÉTICA ISABELA</t>
  </si>
  <si>
    <t>GENERACIÓN (kWh)</t>
  </si>
  <si>
    <t>FUENTES DE GENERACIÓN ENERGÉTICA</t>
  </si>
  <si>
    <t>TOTAL 2014</t>
  </si>
  <si>
    <t>Energía generada con Diesel (kWh)</t>
  </si>
  <si>
    <t>Energía generada con Recurso Eólico (kWh)</t>
  </si>
  <si>
    <t>Energía generada con Recurso Fotovoltaico (kWh)</t>
  </si>
  <si>
    <t>Energía generada  con Aceite Piñón (kWh)</t>
  </si>
  <si>
    <t>TOTAL DE ENERGÍA GENERADA (kWh)</t>
  </si>
  <si>
    <t>CONVENCIONAL (kWh)</t>
  </si>
  <si>
    <t>NO CONVENCIONAL (kWh)</t>
  </si>
  <si>
    <t>RENDIEMIENTO UNIDADES TÉRMICAS (kWh/Galones)</t>
  </si>
  <si>
    <t>AHORRO DE DIESEL (Galones)</t>
  </si>
  <si>
    <t>BALANCE ENERGÉTICO Y ANÁLISIS DE RENDIMIENTO -2015-</t>
  </si>
  <si>
    <t>Autoconsumo de equipos auxiliares (kWh)</t>
  </si>
  <si>
    <t>Aporte Eólico (%)</t>
  </si>
  <si>
    <t>Energía Solar - Fotovoltaica (kWh)</t>
  </si>
  <si>
    <t>Aporte de Solar Fotovoltaica (% )</t>
  </si>
  <si>
    <t>Energía generada Sistemas Aislados (kWh)</t>
  </si>
  <si>
    <t>Autoconsumo de equipos auxiliares (kWh) FV, EO</t>
  </si>
  <si>
    <t>Consumo auxiliar de unidades Hyundai (kWh) FV, EO</t>
  </si>
  <si>
    <t>Aporte Fotovoltaico - Perla solar (% )</t>
  </si>
  <si>
    <t>BALANCE ENERGETICO Y ANALISIS TOTAL DE RENDIMIENTO PARA EL AÑO 2015</t>
  </si>
  <si>
    <t>Consumo auxiliar de unidades Hyundai y FV (kWh)</t>
  </si>
  <si>
    <t>BALANCE ENERGÉTICO Y ANÁLISIS DE RENDIMIENTO -2014-</t>
  </si>
  <si>
    <t>Consumo auxiliar de unidades Hyundai (kWh) y FV</t>
  </si>
  <si>
    <t>BALANCE ENERGETICO Y ANALISIS TOTAL DE RENDIMIENTO PARA EL AÑO 2014</t>
  </si>
  <si>
    <t>SANTA CRUZ Sistemas Aislados</t>
  </si>
  <si>
    <t>ISABELA Sistemas Aislados</t>
  </si>
  <si>
    <t>FLOREANA Sistemas Aislados</t>
  </si>
  <si>
    <t>%FR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</si>
  <si>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</si>
  <si>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</si>
  <si>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</si>
  <si>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</si>
  <si>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</si>
  <si>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</si>
  <si>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</si>
  <si>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</si>
  <si>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</si>
  <si>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</si>
  <si>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</si>
  <si>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</si>
  <si>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2012</t>
  </si>
  <si>
    <t>TOTAL 2013</t>
  </si>
  <si>
    <t>TOTAL 2015</t>
  </si>
  <si>
    <t>TOTAL 2016</t>
  </si>
  <si>
    <t>residencscial</t>
  </si>
  <si>
    <t>eficiencia ahorro</t>
  </si>
  <si>
    <t>total</t>
  </si>
  <si>
    <t>Total</t>
  </si>
  <si>
    <t>PROYECCION FINAL (kW)</t>
  </si>
  <si>
    <t>Etiquetas de fila</t>
  </si>
  <si>
    <t>SX</t>
  </si>
  <si>
    <t>SB</t>
  </si>
  <si>
    <t>ISA</t>
  </si>
  <si>
    <t>FLO</t>
  </si>
  <si>
    <t>TOTAL PTOVINCIAL</t>
  </si>
  <si>
    <t>DEMANDA MAXIMA NO COINCIDENTE</t>
  </si>
  <si>
    <t>kW</t>
  </si>
  <si>
    <t>MW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</si>
  <si>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</si>
  <si>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</si>
  <si>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</si>
  <si>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</si>
  <si>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</si>
  <si>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</si>
  <si>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</si>
  <si>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</si>
  <si>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</si>
  <si>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</si>
  <si>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</si>
  <si>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</si>
  <si>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</si>
  <si>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</si>
  <si>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</si>
  <si>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</si>
  <si>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</si>
  <si>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</si>
  <si>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</si>
  <si>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</si>
  <si>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</si>
  <si>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</si>
  <si>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</si>
  <si>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</si>
  <si>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</si>
  <si>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Movilida electrica</t>
  </si>
  <si>
    <t>PROYECCION FINAL (unidades)</t>
  </si>
  <si>
    <t>auto</t>
  </si>
  <si>
    <t>motos</t>
  </si>
  <si>
    <t>REPORTE AÑO ANTERIOR</t>
  </si>
  <si>
    <t>Energía Refacturada (kWh)</t>
  </si>
  <si>
    <t>Aporte aceite de Piñón (%)</t>
  </si>
  <si>
    <t>BALANCE ENERGÉTICO Y ANÁLISIS DE RENDIMIENTO -2016-</t>
  </si>
  <si>
    <t xml:space="preserve"> Energía Alimentador 4 (kWh)</t>
  </si>
  <si>
    <t xml:space="preserve"> Energía Alimentador 5 (kWh)</t>
  </si>
  <si>
    <t xml:space="preserve"> Energía Alimentador 6 (kWh)</t>
  </si>
  <si>
    <t>BALANCE ENERGETICO Y ANALISIS TOTAL DE RENDIMIENTO PARA EL AÑO 2016</t>
  </si>
  <si>
    <t>Consumo auxiliar de unidades Hyundai, FV, EO (kWh)</t>
  </si>
  <si>
    <t>TOTAL 2017</t>
  </si>
  <si>
    <t>participación eólica</t>
  </si>
  <si>
    <t>Potencia eólica (kW)</t>
  </si>
  <si>
    <t>Energía Bruta 2014 (kWh)</t>
  </si>
  <si>
    <t>Energía Bruta 2017 (kWh)</t>
  </si>
  <si>
    <t>Consumo Diesel 2014 (Galones)</t>
  </si>
  <si>
    <t>Consumo Diesel 2017 (Galones)</t>
  </si>
  <si>
    <t xml:space="preserve">Incremento del consumo de Diesel </t>
  </si>
  <si>
    <t>Incremento de la demanda 2014-2017</t>
  </si>
  <si>
    <t>Demanda Máxima (kW)</t>
  </si>
  <si>
    <t>Demanda 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</si>
</sst>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0.0%"/>
    <numFmt numFmtId="165" formatCode="#,##0.0"/>
    <numFmt numFmtId="166" formatCode="#,##0.000"/>
    <numFmt numFmtId="167" formatCode="#,##0.0000"/>
    <numFmt numFmtId="168" formatCode="_ * #,##0.00_ ;_ * \-#,##0.00_ ;_ * &quot;-&quot;??_ ;_ @_ "/>
    <numFmt numFmtId="169" formatCode="_ * #,##0_ ;_ * \-#,##0_ ;_ * &quot;-&quot;??_ ;_ @_ "/>
    <numFmt numFmtId="170" formatCode="_(* #,##0_);_(* \(#,##0\);_(* &quot;-&quot;??_);_(@_)"/>
    <numFmt numFmtId="171" formatCode="0.00000%"/>
    <numFmt numFmtId="172" formatCode="0.000%"/>
    <numFmt numFmtId="173" formatCode="0.0000"/>
    <numFmt numFmtId="174" formatCode="0.00000"/>
    <numFmt numFmtId="175" formatCode="0.000"/>
    <numFmt numFmtId="176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sz val="18"/>
      <color theme="1"/>
      <name val="Calibri"/>
      <family val="2"/>
      <scheme val="minor"/>
    </font>
    <font>
      <sz val="8"/>
      <name val="Tahoma"/>
      <family val="2"/>
    </font>
    <font>
      <b/>
      <sz val="11"/>
      <color indexed="56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0"/>
      <color rgb="FFFF0000"/>
      <name val="Tahoma"/>
      <family val="2"/>
    </font>
    <font>
      <b/>
      <sz val="11"/>
      <name val="Calibri"/>
      <family val="2"/>
      <scheme val="minor"/>
    </font>
    <font>
      <sz val="10"/>
      <name val="Calibri Light"/>
      <family val="1"/>
      <scheme val="major"/>
    </font>
    <font>
      <b/>
      <sz val="10"/>
      <name val="Calibri Light"/>
      <family val="1"/>
      <scheme val="major"/>
    </font>
    <font>
      <sz val="11"/>
      <color rgb="FF00B050"/>
      <name val="Calibri"/>
      <family val="2"/>
      <scheme val="minor"/>
    </font>
    <font>
      <sz val="10"/>
      <color rgb="FFFF0000"/>
      <name val="Arial"/>
      <family val="2"/>
    </font>
    <font>
      <sz val="10"/>
      <name val="Tahoma"/>
      <family val="2"/>
    </font>
    <font>
      <sz val="10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7" fillId="0" borderId="0"/>
    <xf numFmtId="168" fontId="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15" fillId="0" borderId="0" applyFont="0" applyFill="0" applyBorder="0" applyAlignment="0" applyProtection="0"/>
    <xf numFmtId="16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75">
    <xf numFmtId="0" fontId="0" fillId="0" borderId="0" xfId="0"/>
    <xf numFmtId="0" fontId="5" fillId="0" borderId="0" xfId="2"/>
    <xf numFmtId="0" fontId="6" fillId="2" borderId="0" xfId="2" applyFont="1" applyFill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7" fillId="2" borderId="5" xfId="2" applyFont="1" applyFill="1" applyBorder="1" applyAlignment="1">
      <alignment horizontal="center"/>
    </xf>
    <xf numFmtId="0" fontId="7" fillId="2" borderId="6" xfId="2" applyFont="1" applyFill="1" applyBorder="1" applyAlignment="1">
      <alignment horizontal="center"/>
    </xf>
    <xf numFmtId="0" fontId="7" fillId="2" borderId="7" xfId="2" applyFont="1" applyFill="1" applyBorder="1"/>
    <xf numFmtId="3" fontId="7" fillId="2" borderId="8" xfId="2" applyNumberFormat="1" applyFont="1" applyFill="1" applyBorder="1"/>
    <xf numFmtId="0" fontId="7" fillId="2" borderId="9" xfId="2" applyFont="1" applyFill="1" applyBorder="1" applyAlignment="1"/>
    <xf numFmtId="3" fontId="7" fillId="2" borderId="7" xfId="2" applyNumberFormat="1" applyFont="1" applyFill="1" applyBorder="1"/>
    <xf numFmtId="3" fontId="7" fillId="2" borderId="0" xfId="2" applyNumberFormat="1" applyFont="1" applyFill="1" applyBorder="1"/>
    <xf numFmtId="3" fontId="7" fillId="2" borderId="10" xfId="2" applyNumberFormat="1" applyFont="1" applyFill="1" applyBorder="1"/>
    <xf numFmtId="164" fontId="7" fillId="2" borderId="7" xfId="3" applyNumberFormat="1" applyFont="1" applyFill="1" applyBorder="1"/>
    <xf numFmtId="10" fontId="7" fillId="2" borderId="7" xfId="3" applyNumberFormat="1" applyFont="1" applyFill="1" applyBorder="1"/>
    <xf numFmtId="3" fontId="7" fillId="2" borderId="9" xfId="2" applyNumberFormat="1" applyFont="1" applyFill="1" applyBorder="1" applyAlignment="1">
      <alignment horizontal="right"/>
    </xf>
    <xf numFmtId="3" fontId="7" fillId="2" borderId="10" xfId="2" applyNumberFormat="1" applyFont="1" applyFill="1" applyBorder="1" applyAlignment="1">
      <alignment horizontal="right"/>
    </xf>
    <xf numFmtId="3" fontId="7" fillId="2" borderId="7" xfId="2" applyNumberFormat="1" applyFont="1" applyFill="1" applyBorder="1" applyAlignment="1">
      <alignment horizontal="right"/>
    </xf>
    <xf numFmtId="164" fontId="7" fillId="2" borderId="7" xfId="3" applyNumberFormat="1" applyFont="1" applyFill="1" applyBorder="1" applyAlignment="1">
      <alignment horizontal="right"/>
    </xf>
    <xf numFmtId="10" fontId="7" fillId="2" borderId="7" xfId="3" applyNumberFormat="1" applyFont="1" applyFill="1" applyBorder="1" applyAlignment="1">
      <alignment horizontal="right"/>
    </xf>
    <xf numFmtId="3" fontId="7" fillId="2" borderId="7" xfId="3" applyNumberFormat="1" applyFont="1" applyFill="1" applyBorder="1" applyAlignment="1">
      <alignment horizontal="right"/>
    </xf>
    <xf numFmtId="3" fontId="7" fillId="2" borderId="9" xfId="3" applyNumberFormat="1" applyFont="1" applyFill="1" applyBorder="1" applyAlignment="1">
      <alignment horizontal="right"/>
    </xf>
    <xf numFmtId="3" fontId="7" fillId="2" borderId="10" xfId="3" applyNumberFormat="1" applyFont="1" applyFill="1" applyBorder="1" applyAlignment="1">
      <alignment horizontal="right"/>
    </xf>
    <xf numFmtId="3" fontId="7" fillId="2" borderId="9" xfId="2" applyNumberFormat="1" applyFont="1" applyFill="1" applyBorder="1"/>
    <xf numFmtId="0" fontId="7" fillId="2" borderId="9" xfId="2" applyFont="1" applyFill="1" applyBorder="1"/>
    <xf numFmtId="4" fontId="7" fillId="2" borderId="7" xfId="2" applyNumberFormat="1" applyFont="1" applyFill="1" applyBorder="1"/>
    <xf numFmtId="0" fontId="7" fillId="2" borderId="11" xfId="2" applyFont="1" applyFill="1" applyBorder="1"/>
    <xf numFmtId="3" fontId="7" fillId="2" borderId="11" xfId="2" applyNumberFormat="1" applyFont="1" applyFill="1" applyBorder="1"/>
    <xf numFmtId="3" fontId="7" fillId="2" borderId="12" xfId="2" applyNumberFormat="1" applyFont="1" applyFill="1" applyBorder="1"/>
    <xf numFmtId="3" fontId="7" fillId="2" borderId="13" xfId="2" applyNumberFormat="1" applyFont="1" applyFill="1" applyBorder="1"/>
    <xf numFmtId="0" fontId="7" fillId="2" borderId="12" xfId="2" applyFont="1" applyFill="1" applyBorder="1"/>
    <xf numFmtId="0" fontId="7" fillId="2" borderId="14" xfId="2" applyFont="1" applyFill="1" applyBorder="1"/>
    <xf numFmtId="3" fontId="7" fillId="2" borderId="14" xfId="2" applyNumberFormat="1" applyFont="1" applyFill="1" applyBorder="1"/>
    <xf numFmtId="0" fontId="7" fillId="2" borderId="13" xfId="2" applyFont="1" applyFill="1" applyBorder="1"/>
    <xf numFmtId="9" fontId="7" fillId="2" borderId="7" xfId="3" applyFont="1" applyFill="1" applyBorder="1"/>
    <xf numFmtId="4" fontId="7" fillId="2" borderId="7" xfId="2" applyNumberFormat="1" applyFont="1" applyFill="1" applyBorder="1" applyAlignment="1">
      <alignment horizontal="right"/>
    </xf>
    <xf numFmtId="0" fontId="7" fillId="2" borderId="0" xfId="2" applyFont="1" applyFill="1"/>
    <xf numFmtId="4" fontId="7" fillId="2" borderId="0" xfId="2" applyNumberFormat="1" applyFont="1" applyFill="1"/>
    <xf numFmtId="3" fontId="7" fillId="2" borderId="0" xfId="2" applyNumberFormat="1" applyFont="1" applyFill="1"/>
    <xf numFmtId="0" fontId="7" fillId="2" borderId="15" xfId="2" applyFont="1" applyFill="1" applyBorder="1" applyAlignment="1">
      <alignment horizontal="center"/>
    </xf>
    <xf numFmtId="9" fontId="7" fillId="2" borderId="9" xfId="3" applyFont="1" applyFill="1" applyBorder="1"/>
    <xf numFmtId="9" fontId="7" fillId="2" borderId="10" xfId="3" applyFont="1" applyFill="1" applyBorder="1"/>
    <xf numFmtId="4" fontId="7" fillId="2" borderId="9" xfId="2" applyNumberFormat="1" applyFont="1" applyFill="1" applyBorder="1"/>
    <xf numFmtId="4" fontId="7" fillId="2" borderId="0" xfId="2" applyNumberFormat="1" applyFont="1" applyFill="1" applyBorder="1"/>
    <xf numFmtId="0" fontId="7" fillId="2" borderId="0" xfId="2" applyFont="1" applyFill="1" applyBorder="1"/>
    <xf numFmtId="0" fontId="6" fillId="2" borderId="0" xfId="2" applyFont="1" applyFill="1"/>
    <xf numFmtId="3" fontId="7" fillId="2" borderId="1" xfId="2" applyNumberFormat="1" applyFont="1" applyFill="1" applyBorder="1"/>
    <xf numFmtId="0" fontId="7" fillId="2" borderId="7" xfId="2" applyFont="1" applyFill="1" applyBorder="1" applyAlignment="1">
      <alignment horizontal="left"/>
    </xf>
    <xf numFmtId="165" fontId="7" fillId="2" borderId="7" xfId="2" applyNumberFormat="1" applyFont="1" applyFill="1" applyBorder="1"/>
    <xf numFmtId="166" fontId="7" fillId="2" borderId="7" xfId="2" applyNumberFormat="1" applyFont="1" applyFill="1" applyBorder="1"/>
    <xf numFmtId="0" fontId="7" fillId="2" borderId="11" xfId="2" applyFont="1" applyFill="1" applyBorder="1" applyAlignment="1">
      <alignment horizontal="left"/>
    </xf>
    <xf numFmtId="0" fontId="5" fillId="2" borderId="0" xfId="2" applyFill="1"/>
    <xf numFmtId="0" fontId="8" fillId="2" borderId="0" xfId="2" applyFont="1" applyFill="1" applyBorder="1"/>
    <xf numFmtId="3" fontId="8" fillId="2" borderId="0" xfId="2" applyNumberFormat="1" applyFont="1" applyFill="1" applyBorder="1"/>
    <xf numFmtId="0" fontId="8" fillId="2" borderId="0" xfId="2" applyFont="1" applyFill="1"/>
    <xf numFmtId="0" fontId="8" fillId="2" borderId="0" xfId="2" applyFont="1" applyFill="1" applyBorder="1" applyAlignment="1"/>
    <xf numFmtId="3" fontId="8" fillId="2" borderId="0" xfId="2" applyNumberFormat="1" applyFont="1" applyFill="1"/>
    <xf numFmtId="167" fontId="8" fillId="2" borderId="0" xfId="2" applyNumberFormat="1" applyFont="1" applyFill="1" applyBorder="1"/>
    <xf numFmtId="10" fontId="8" fillId="2" borderId="0" xfId="3" applyNumberFormat="1" applyFont="1" applyFill="1"/>
    <xf numFmtId="0" fontId="9" fillId="2" borderId="0" xfId="2" applyFont="1" applyFill="1" applyBorder="1"/>
    <xf numFmtId="3" fontId="9" fillId="2" borderId="0" xfId="2" applyNumberFormat="1" applyFont="1" applyFill="1" applyBorder="1"/>
    <xf numFmtId="3" fontId="5" fillId="2" borderId="0" xfId="2" applyNumberFormat="1" applyFill="1"/>
    <xf numFmtId="169" fontId="7" fillId="2" borderId="0" xfId="4" applyNumberFormat="1" applyFont="1" applyFill="1" applyBorder="1"/>
    <xf numFmtId="2" fontId="5" fillId="2" borderId="0" xfId="2" applyNumberFormat="1" applyFill="1"/>
    <xf numFmtId="2" fontId="7" fillId="2" borderId="0" xfId="2" applyNumberFormat="1" applyFont="1" applyFill="1"/>
    <xf numFmtId="0" fontId="5" fillId="0" borderId="0" xfId="2" applyFill="1" applyAlignment="1">
      <alignment horizontal="center"/>
    </xf>
    <xf numFmtId="0" fontId="6" fillId="0" borderId="0" xfId="2" applyFont="1" applyFill="1" applyAlignment="1">
      <alignment horizontal="center"/>
    </xf>
    <xf numFmtId="1" fontId="6" fillId="0" borderId="0" xfId="2" applyNumberFormat="1" applyFont="1" applyFill="1" applyAlignment="1">
      <alignment horizontal="right"/>
    </xf>
    <xf numFmtId="1" fontId="6" fillId="2" borderId="0" xfId="2" applyNumberFormat="1" applyFont="1" applyFill="1" applyAlignment="1">
      <alignment horizontal="center"/>
    </xf>
    <xf numFmtId="1" fontId="6" fillId="0" borderId="0" xfId="2" applyNumberFormat="1" applyFont="1" applyFill="1" applyAlignment="1">
      <alignment horizontal="center"/>
    </xf>
    <xf numFmtId="0" fontId="5" fillId="0" borderId="0" xfId="2" applyFill="1" applyBorder="1" applyAlignment="1">
      <alignment horizontal="center"/>
    </xf>
    <xf numFmtId="0" fontId="6" fillId="0" borderId="16" xfId="2" applyFont="1" applyFill="1" applyBorder="1" applyAlignment="1">
      <alignment horizontal="center" vertical="center" wrapText="1"/>
    </xf>
    <xf numFmtId="1" fontId="6" fillId="0" borderId="17" xfId="2" applyNumberFormat="1" applyFont="1" applyFill="1" applyBorder="1" applyAlignment="1">
      <alignment horizontal="center" vertical="center"/>
    </xf>
    <xf numFmtId="1" fontId="6" fillId="2" borderId="17" xfId="2" applyNumberFormat="1" applyFont="1" applyFill="1" applyBorder="1" applyAlignment="1">
      <alignment horizontal="center" vertical="center"/>
    </xf>
    <xf numFmtId="1" fontId="6" fillId="0" borderId="18" xfId="2" applyNumberFormat="1" applyFont="1" applyFill="1" applyBorder="1" applyAlignment="1">
      <alignment horizontal="center" vertical="center"/>
    </xf>
    <xf numFmtId="1" fontId="6" fillId="0" borderId="8" xfId="2" applyNumberFormat="1" applyFont="1" applyFill="1" applyBorder="1" applyAlignment="1">
      <alignment horizontal="center" vertical="center"/>
    </xf>
    <xf numFmtId="0" fontId="7" fillId="2" borderId="19" xfId="2" applyFont="1" applyFill="1" applyBorder="1"/>
    <xf numFmtId="3" fontId="7" fillId="2" borderId="20" xfId="2" applyNumberFormat="1" applyFont="1" applyFill="1" applyBorder="1" applyAlignment="1">
      <alignment horizontal="right"/>
    </xf>
    <xf numFmtId="3" fontId="7" fillId="2" borderId="21" xfId="2" applyNumberFormat="1" applyFont="1" applyFill="1" applyBorder="1" applyAlignment="1">
      <alignment horizontal="right"/>
    </xf>
    <xf numFmtId="3" fontId="7" fillId="2" borderId="22" xfId="2" applyNumberFormat="1" applyFont="1" applyFill="1" applyBorder="1" applyAlignment="1">
      <alignment horizontal="right"/>
    </xf>
    <xf numFmtId="0" fontId="5" fillId="0" borderId="23" xfId="2" applyBorder="1" applyAlignment="1">
      <alignment horizontal="center"/>
    </xf>
    <xf numFmtId="3" fontId="6" fillId="4" borderId="25" xfId="2" applyNumberFormat="1" applyFont="1" applyFill="1" applyBorder="1" applyAlignment="1">
      <alignment horizontal="right"/>
    </xf>
    <xf numFmtId="3" fontId="6" fillId="4" borderId="26" xfId="2" applyNumberFormat="1" applyFont="1" applyFill="1" applyBorder="1" applyAlignment="1">
      <alignment horizontal="right"/>
    </xf>
    <xf numFmtId="3" fontId="6" fillId="4" borderId="27" xfId="2" applyNumberFormat="1" applyFont="1" applyFill="1" applyBorder="1" applyAlignment="1">
      <alignment horizontal="right"/>
    </xf>
    <xf numFmtId="3" fontId="6" fillId="4" borderId="27" xfId="2" applyNumberFormat="1" applyFont="1" applyFill="1" applyBorder="1" applyAlignment="1">
      <alignment horizontal="center"/>
    </xf>
    <xf numFmtId="0" fontId="7" fillId="2" borderId="24" xfId="2" applyFont="1" applyFill="1" applyBorder="1"/>
    <xf numFmtId="9" fontId="7" fillId="2" borderId="25" xfId="5" applyFont="1" applyFill="1" applyBorder="1" applyAlignment="1">
      <alignment horizontal="right"/>
    </xf>
    <xf numFmtId="9" fontId="7" fillId="2" borderId="26" xfId="5" applyFont="1" applyFill="1" applyBorder="1" applyAlignment="1">
      <alignment horizontal="right"/>
    </xf>
    <xf numFmtId="1" fontId="5" fillId="0" borderId="27" xfId="2" applyNumberFormat="1" applyFill="1" applyBorder="1" applyAlignment="1">
      <alignment horizontal="center"/>
    </xf>
    <xf numFmtId="9" fontId="7" fillId="2" borderId="28" xfId="5" applyFont="1" applyFill="1" applyBorder="1" applyAlignment="1">
      <alignment horizontal="right"/>
    </xf>
    <xf numFmtId="0" fontId="7" fillId="0" borderId="24" xfId="2" applyFont="1" applyFill="1" applyBorder="1"/>
    <xf numFmtId="3" fontId="6" fillId="5" borderId="25" xfId="2" applyNumberFormat="1" applyFont="1" applyFill="1" applyBorder="1" applyAlignment="1">
      <alignment horizontal="right"/>
    </xf>
    <xf numFmtId="3" fontId="6" fillId="5" borderId="26" xfId="2" applyNumberFormat="1" applyFont="1" applyFill="1" applyBorder="1" applyAlignment="1">
      <alignment horizontal="right"/>
    </xf>
    <xf numFmtId="3" fontId="6" fillId="5" borderId="27" xfId="2" applyNumberFormat="1" applyFont="1" applyFill="1" applyBorder="1" applyAlignment="1">
      <alignment horizontal="right"/>
    </xf>
    <xf numFmtId="3" fontId="6" fillId="5" borderId="27" xfId="2" applyNumberFormat="1" applyFont="1" applyFill="1" applyBorder="1" applyAlignment="1">
      <alignment horizontal="center"/>
    </xf>
    <xf numFmtId="9" fontId="7" fillId="0" borderId="25" xfId="5" applyFont="1" applyFill="1" applyBorder="1" applyAlignment="1">
      <alignment horizontal="right"/>
    </xf>
    <xf numFmtId="9" fontId="7" fillId="0" borderId="26" xfId="5" applyFont="1" applyFill="1" applyBorder="1" applyAlignment="1">
      <alignment horizontal="right"/>
    </xf>
    <xf numFmtId="9" fontId="7" fillId="0" borderId="28" xfId="5" applyFont="1" applyFill="1" applyBorder="1" applyAlignment="1">
      <alignment horizontal="right"/>
    </xf>
    <xf numFmtId="0" fontId="7" fillId="0" borderId="29" xfId="2" applyFont="1" applyFill="1" applyBorder="1"/>
    <xf numFmtId="10" fontId="7" fillId="0" borderId="30" xfId="5" applyNumberFormat="1" applyFont="1" applyFill="1" applyBorder="1" applyAlignment="1">
      <alignment horizontal="right"/>
    </xf>
    <xf numFmtId="10" fontId="7" fillId="0" borderId="31" xfId="5" applyNumberFormat="1" applyFont="1" applyFill="1" applyBorder="1" applyAlignment="1">
      <alignment horizontal="right"/>
    </xf>
    <xf numFmtId="10" fontId="7" fillId="0" borderId="28" xfId="5" applyNumberFormat="1" applyFont="1" applyFill="1" applyBorder="1" applyAlignment="1">
      <alignment horizontal="right"/>
    </xf>
    <xf numFmtId="3" fontId="6" fillId="6" borderId="25" xfId="2" applyNumberFormat="1" applyFont="1" applyFill="1" applyBorder="1" applyAlignment="1">
      <alignment horizontal="right"/>
    </xf>
    <xf numFmtId="3" fontId="6" fillId="6" borderId="26" xfId="2" applyNumberFormat="1" applyFont="1" applyFill="1" applyBorder="1" applyAlignment="1">
      <alignment horizontal="right"/>
    </xf>
    <xf numFmtId="3" fontId="6" fillId="6" borderId="27" xfId="2" applyNumberFormat="1" applyFont="1" applyFill="1" applyBorder="1" applyAlignment="1">
      <alignment horizontal="right"/>
    </xf>
    <xf numFmtId="3" fontId="6" fillId="6" borderId="27" xfId="2" applyNumberFormat="1" applyFont="1" applyFill="1" applyBorder="1" applyAlignment="1">
      <alignment horizontal="center"/>
    </xf>
    <xf numFmtId="3" fontId="7" fillId="0" borderId="25" xfId="2" applyNumberFormat="1" applyFont="1" applyFill="1" applyBorder="1" applyAlignment="1">
      <alignment horizontal="right"/>
    </xf>
    <xf numFmtId="3" fontId="7" fillId="0" borderId="26" xfId="2" applyNumberFormat="1" applyFont="1" applyFill="1" applyBorder="1" applyAlignment="1">
      <alignment horizontal="right"/>
    </xf>
    <xf numFmtId="3" fontId="7" fillId="0" borderId="27" xfId="2" applyNumberFormat="1" applyFont="1" applyFill="1" applyBorder="1" applyAlignment="1">
      <alignment horizontal="right"/>
    </xf>
    <xf numFmtId="0" fontId="5" fillId="0" borderId="28" xfId="2" applyBorder="1" applyAlignment="1">
      <alignment horizontal="center"/>
    </xf>
    <xf numFmtId="3" fontId="7" fillId="2" borderId="25" xfId="2" applyNumberFormat="1" applyFont="1" applyFill="1" applyBorder="1" applyAlignment="1">
      <alignment horizontal="right"/>
    </xf>
    <xf numFmtId="3" fontId="7" fillId="2" borderId="26" xfId="2" applyNumberFormat="1" applyFont="1" applyFill="1" applyBorder="1" applyAlignment="1">
      <alignment horizontal="right"/>
    </xf>
    <xf numFmtId="3" fontId="7" fillId="2" borderId="27" xfId="2" applyNumberFormat="1" applyFont="1" applyFill="1" applyBorder="1" applyAlignment="1">
      <alignment horizontal="right"/>
    </xf>
    <xf numFmtId="10" fontId="7" fillId="0" borderId="25" xfId="5" applyNumberFormat="1" applyFont="1" applyFill="1" applyBorder="1" applyAlignment="1">
      <alignment horizontal="right"/>
    </xf>
    <xf numFmtId="10" fontId="7" fillId="0" borderId="26" xfId="5" applyNumberFormat="1" applyFont="1" applyFill="1" applyBorder="1" applyAlignment="1">
      <alignment horizontal="right"/>
    </xf>
    <xf numFmtId="10" fontId="7" fillId="2" borderId="25" xfId="3" applyNumberFormat="1" applyFont="1" applyFill="1" applyBorder="1" applyAlignment="1">
      <alignment horizontal="right"/>
    </xf>
    <xf numFmtId="10" fontId="7" fillId="2" borderId="26" xfId="3" applyNumberFormat="1" applyFont="1" applyFill="1" applyBorder="1" applyAlignment="1">
      <alignment horizontal="right"/>
    </xf>
    <xf numFmtId="10" fontId="7" fillId="2" borderId="28" xfId="3" applyNumberFormat="1" applyFont="1" applyFill="1" applyBorder="1" applyAlignment="1">
      <alignment horizontal="right"/>
    </xf>
    <xf numFmtId="2" fontId="7" fillId="0" borderId="25" xfId="2" applyNumberFormat="1" applyFont="1" applyFill="1" applyBorder="1" applyAlignment="1">
      <alignment horizontal="right"/>
    </xf>
    <xf numFmtId="2" fontId="7" fillId="0" borderId="26" xfId="2" applyNumberFormat="1" applyFont="1" applyFill="1" applyBorder="1" applyAlignment="1">
      <alignment horizontal="right"/>
    </xf>
    <xf numFmtId="2" fontId="7" fillId="0" borderId="28" xfId="2" applyNumberFormat="1" applyFont="1" applyFill="1" applyBorder="1" applyAlignment="1">
      <alignment horizontal="right"/>
    </xf>
    <xf numFmtId="0" fontId="7" fillId="0" borderId="32" xfId="2" applyFont="1" applyFill="1" applyBorder="1"/>
    <xf numFmtId="3" fontId="6" fillId="6" borderId="33" xfId="2" applyNumberFormat="1" applyFont="1" applyFill="1" applyBorder="1" applyAlignment="1">
      <alignment horizontal="right"/>
    </xf>
    <xf numFmtId="3" fontId="6" fillId="6" borderId="34" xfId="2" applyNumberFormat="1" applyFont="1" applyFill="1" applyBorder="1" applyAlignment="1">
      <alignment horizontal="right"/>
    </xf>
    <xf numFmtId="3" fontId="6" fillId="6" borderId="35" xfId="2" applyNumberFormat="1" applyFont="1" applyFill="1" applyBorder="1" applyAlignment="1">
      <alignment horizontal="center"/>
    </xf>
    <xf numFmtId="0" fontId="7" fillId="0" borderId="0" xfId="2" applyFont="1" applyFill="1" applyBorder="1"/>
    <xf numFmtId="1" fontId="7" fillId="0" borderId="0" xfId="2" applyNumberFormat="1" applyFont="1" applyFill="1" applyBorder="1" applyAlignment="1">
      <alignment horizontal="right"/>
    </xf>
    <xf numFmtId="1" fontId="7" fillId="2" borderId="0" xfId="2" applyNumberFormat="1" applyFont="1" applyFill="1" applyBorder="1"/>
    <xf numFmtId="1" fontId="7" fillId="0" borderId="0" xfId="2" applyNumberFormat="1" applyFont="1" applyFill="1" applyBorder="1"/>
    <xf numFmtId="0" fontId="5" fillId="2" borderId="0" xfId="2" applyFill="1" applyBorder="1" applyAlignment="1">
      <alignment horizontal="center"/>
    </xf>
    <xf numFmtId="1" fontId="7" fillId="2" borderId="0" xfId="2" applyNumberFormat="1" applyFont="1" applyFill="1" applyBorder="1" applyAlignment="1">
      <alignment horizontal="right"/>
    </xf>
    <xf numFmtId="0" fontId="6" fillId="0" borderId="16" xfId="2" applyFont="1" applyFill="1" applyBorder="1" applyAlignment="1">
      <alignment horizontal="center" wrapText="1"/>
    </xf>
    <xf numFmtId="1" fontId="6" fillId="0" borderId="17" xfId="2" applyNumberFormat="1" applyFont="1" applyFill="1" applyBorder="1" applyAlignment="1">
      <alignment horizontal="center"/>
    </xf>
    <xf numFmtId="1" fontId="6" fillId="2" borderId="17" xfId="2" applyNumberFormat="1" applyFont="1" applyFill="1" applyBorder="1" applyAlignment="1">
      <alignment horizontal="center"/>
    </xf>
    <xf numFmtId="1" fontId="6" fillId="0" borderId="18" xfId="2" applyNumberFormat="1" applyFont="1" applyFill="1" applyBorder="1" applyAlignment="1">
      <alignment horizontal="center"/>
    </xf>
    <xf numFmtId="1" fontId="6" fillId="0" borderId="4" xfId="2" applyNumberFormat="1" applyFont="1" applyFill="1" applyBorder="1" applyAlignment="1">
      <alignment horizontal="center"/>
    </xf>
    <xf numFmtId="1" fontId="6" fillId="0" borderId="4" xfId="2" applyNumberFormat="1" applyFont="1" applyFill="1" applyBorder="1" applyAlignment="1">
      <alignment horizontal="center" vertical="center"/>
    </xf>
    <xf numFmtId="3" fontId="7" fillId="0" borderId="22" xfId="2" applyNumberFormat="1" applyFont="1" applyFill="1" applyBorder="1" applyAlignment="1">
      <alignment horizontal="right"/>
    </xf>
    <xf numFmtId="3" fontId="7" fillId="0" borderId="22" xfId="2" applyNumberFormat="1" applyFont="1" applyFill="1" applyBorder="1" applyAlignment="1">
      <alignment horizontal="center"/>
    </xf>
    <xf numFmtId="1" fontId="5" fillId="0" borderId="9" xfId="2" applyNumberFormat="1" applyFill="1" applyBorder="1" applyAlignment="1">
      <alignment horizontal="center"/>
    </xf>
    <xf numFmtId="9" fontId="7" fillId="0" borderId="27" xfId="5" applyFont="1" applyFill="1" applyBorder="1" applyAlignment="1">
      <alignment horizontal="right"/>
    </xf>
    <xf numFmtId="3" fontId="7" fillId="0" borderId="27" xfId="2" applyNumberFormat="1" applyFont="1" applyFill="1" applyBorder="1" applyAlignment="1">
      <alignment horizontal="center"/>
    </xf>
    <xf numFmtId="10" fontId="7" fillId="0" borderId="25" xfId="3" applyNumberFormat="1" applyFont="1" applyFill="1" applyBorder="1" applyAlignment="1">
      <alignment horizontal="right"/>
    </xf>
    <xf numFmtId="10" fontId="7" fillId="0" borderId="26" xfId="3" applyNumberFormat="1" applyFont="1" applyFill="1" applyBorder="1" applyAlignment="1">
      <alignment horizontal="right"/>
    </xf>
    <xf numFmtId="10" fontId="7" fillId="0" borderId="27" xfId="3" applyNumberFormat="1" applyFont="1" applyFill="1" applyBorder="1" applyAlignment="1">
      <alignment horizontal="right"/>
    </xf>
    <xf numFmtId="3" fontId="6" fillId="4" borderId="36" xfId="2" applyNumberFormat="1" applyFont="1" applyFill="1" applyBorder="1" applyAlignment="1">
      <alignment horizontal="center"/>
    </xf>
    <xf numFmtId="2" fontId="7" fillId="0" borderId="27" xfId="2" applyNumberFormat="1" applyFont="1" applyFill="1" applyBorder="1" applyAlignment="1">
      <alignment horizontal="right"/>
    </xf>
    <xf numFmtId="0" fontId="7" fillId="0" borderId="0" xfId="2" applyFont="1" applyFill="1"/>
    <xf numFmtId="1" fontId="7" fillId="0" borderId="0" xfId="2" applyNumberFormat="1" applyFont="1" applyFill="1" applyAlignment="1">
      <alignment horizontal="right"/>
    </xf>
    <xf numFmtId="1" fontId="7" fillId="2" borderId="0" xfId="2" applyNumberFormat="1" applyFont="1" applyFill="1"/>
    <xf numFmtId="1" fontId="7" fillId="0" borderId="0" xfId="2" applyNumberFormat="1" applyFont="1" applyFill="1"/>
    <xf numFmtId="0" fontId="7" fillId="0" borderId="0" xfId="2" applyFont="1" applyFill="1" applyAlignment="1">
      <alignment horizontal="center"/>
    </xf>
    <xf numFmtId="0" fontId="7" fillId="0" borderId="37" xfId="2" applyFont="1" applyFill="1" applyBorder="1"/>
    <xf numFmtId="3" fontId="7" fillId="0" borderId="38" xfId="2" applyNumberFormat="1" applyFont="1" applyFill="1" applyBorder="1" applyAlignment="1">
      <alignment horizontal="right"/>
    </xf>
    <xf numFmtId="3" fontId="7" fillId="0" borderId="39" xfId="2" applyNumberFormat="1" applyFont="1" applyFill="1" applyBorder="1" applyAlignment="1">
      <alignment horizontal="right"/>
    </xf>
    <xf numFmtId="0" fontId="5" fillId="0" borderId="8" xfId="2" applyBorder="1" applyAlignment="1">
      <alignment horizontal="center"/>
    </xf>
    <xf numFmtId="0" fontId="7" fillId="0" borderId="24" xfId="2" applyFont="1" applyFill="1" applyBorder="1" applyAlignment="1"/>
    <xf numFmtId="9" fontId="7" fillId="0" borderId="25" xfId="3" applyFont="1" applyFill="1" applyBorder="1" applyAlignment="1">
      <alignment horizontal="right"/>
    </xf>
    <xf numFmtId="9" fontId="7" fillId="0" borderId="26" xfId="3" applyFont="1" applyFill="1" applyBorder="1" applyAlignment="1">
      <alignment horizontal="right"/>
    </xf>
    <xf numFmtId="1" fontId="5" fillId="0" borderId="7" xfId="2" applyNumberFormat="1" applyFill="1" applyBorder="1" applyAlignment="1">
      <alignment horizontal="center"/>
    </xf>
    <xf numFmtId="9" fontId="7" fillId="0" borderId="27" xfId="3" applyFont="1" applyFill="1" applyBorder="1" applyAlignment="1">
      <alignment horizontal="right"/>
    </xf>
    <xf numFmtId="0" fontId="5" fillId="0" borderId="7" xfId="2" applyBorder="1" applyAlignment="1">
      <alignment horizontal="center"/>
    </xf>
    <xf numFmtId="10" fontId="7" fillId="0" borderId="27" xfId="5" applyNumberFormat="1" applyFont="1" applyFill="1" applyBorder="1" applyAlignment="1">
      <alignment horizontal="right"/>
    </xf>
    <xf numFmtId="0" fontId="7" fillId="0" borderId="19" xfId="2" applyFont="1" applyFill="1" applyBorder="1"/>
    <xf numFmtId="3" fontId="7" fillId="0" borderId="20" xfId="2" applyNumberFormat="1" applyFont="1" applyFill="1" applyBorder="1" applyAlignment="1">
      <alignment horizontal="right"/>
    </xf>
    <xf numFmtId="3" fontId="7" fillId="0" borderId="21" xfId="2" applyNumberFormat="1" applyFont="1" applyFill="1" applyBorder="1" applyAlignment="1">
      <alignment horizontal="right"/>
    </xf>
    <xf numFmtId="3" fontId="7" fillId="0" borderId="40" xfId="2" applyNumberFormat="1" applyFont="1" applyFill="1" applyBorder="1" applyAlignment="1">
      <alignment horizontal="center"/>
    </xf>
    <xf numFmtId="9" fontId="7" fillId="0" borderId="25" xfId="3" applyNumberFormat="1" applyFont="1" applyFill="1" applyBorder="1" applyAlignment="1">
      <alignment horizontal="right"/>
    </xf>
    <xf numFmtId="9" fontId="7" fillId="0" borderId="26" xfId="3" applyNumberFormat="1" applyFont="1" applyFill="1" applyBorder="1" applyAlignment="1">
      <alignment horizontal="right"/>
    </xf>
    <xf numFmtId="1" fontId="6" fillId="4" borderId="25" xfId="2" applyNumberFormat="1" applyFont="1" applyFill="1" applyBorder="1" applyAlignment="1">
      <alignment horizontal="right"/>
    </xf>
    <xf numFmtId="1" fontId="6" fillId="4" borderId="26" xfId="2" applyNumberFormat="1" applyFont="1" applyFill="1" applyBorder="1" applyAlignment="1">
      <alignment horizontal="right"/>
    </xf>
    <xf numFmtId="1" fontId="6" fillId="4" borderId="27" xfId="2" applyNumberFormat="1" applyFont="1" applyFill="1" applyBorder="1" applyAlignment="1">
      <alignment horizontal="right"/>
    </xf>
    <xf numFmtId="3" fontId="7" fillId="2" borderId="27" xfId="2" applyNumberFormat="1" applyFont="1" applyFill="1" applyBorder="1" applyAlignment="1">
      <alignment horizontal="center"/>
    </xf>
    <xf numFmtId="2" fontId="7" fillId="0" borderId="25" xfId="5" applyNumberFormat="1" applyFont="1" applyFill="1" applyBorder="1" applyAlignment="1">
      <alignment horizontal="right"/>
    </xf>
    <xf numFmtId="2" fontId="7" fillId="0" borderId="26" xfId="5" applyNumberFormat="1" applyFont="1" applyFill="1" applyBorder="1" applyAlignment="1">
      <alignment horizontal="right"/>
    </xf>
    <xf numFmtId="2" fontId="7" fillId="0" borderId="27" xfId="5" applyNumberFormat="1" applyFont="1" applyFill="1" applyBorder="1" applyAlignment="1">
      <alignment horizontal="right"/>
    </xf>
    <xf numFmtId="1" fontId="6" fillId="6" borderId="33" xfId="2" applyNumberFormat="1" applyFont="1" applyFill="1" applyBorder="1" applyAlignment="1">
      <alignment horizontal="right"/>
    </xf>
    <xf numFmtId="1" fontId="6" fillId="6" borderId="34" xfId="2" applyNumberFormat="1" applyFont="1" applyFill="1" applyBorder="1" applyAlignment="1">
      <alignment horizontal="right"/>
    </xf>
    <xf numFmtId="1" fontId="6" fillId="6" borderId="35" xfId="2" applyNumberFormat="1" applyFont="1" applyFill="1" applyBorder="1" applyAlignment="1">
      <alignment horizontal="center"/>
    </xf>
    <xf numFmtId="9" fontId="7" fillId="0" borderId="0" xfId="5" applyFont="1" applyFill="1" applyBorder="1" applyAlignment="1">
      <alignment horizontal="right"/>
    </xf>
    <xf numFmtId="3" fontId="5" fillId="0" borderId="0" xfId="2" applyNumberFormat="1"/>
    <xf numFmtId="3" fontId="7" fillId="0" borderId="23" xfId="2" applyNumberFormat="1" applyFont="1" applyFill="1" applyBorder="1" applyAlignment="1">
      <alignment horizontal="center"/>
    </xf>
    <xf numFmtId="3" fontId="6" fillId="4" borderId="28" xfId="2" applyNumberFormat="1" applyFont="1" applyFill="1" applyBorder="1" applyAlignment="1">
      <alignment horizontal="center"/>
    </xf>
    <xf numFmtId="3" fontId="6" fillId="6" borderId="28" xfId="2" applyNumberFormat="1" applyFont="1" applyFill="1" applyBorder="1" applyAlignment="1">
      <alignment horizontal="center"/>
    </xf>
    <xf numFmtId="3" fontId="7" fillId="0" borderId="28" xfId="2" applyNumberFormat="1" applyFont="1" applyFill="1" applyBorder="1" applyAlignment="1">
      <alignment horizontal="center"/>
    </xf>
    <xf numFmtId="3" fontId="6" fillId="0" borderId="25" xfId="2" applyNumberFormat="1" applyFont="1" applyFill="1" applyBorder="1" applyAlignment="1">
      <alignment horizontal="right"/>
    </xf>
    <xf numFmtId="3" fontId="6" fillId="0" borderId="26" xfId="2" applyNumberFormat="1" applyFont="1" applyFill="1" applyBorder="1" applyAlignment="1">
      <alignment horizontal="right"/>
    </xf>
    <xf numFmtId="3" fontId="6" fillId="0" borderId="27" xfId="2" applyNumberFormat="1" applyFont="1" applyFill="1" applyBorder="1" applyAlignment="1">
      <alignment horizontal="right"/>
    </xf>
    <xf numFmtId="3" fontId="6" fillId="0" borderId="28" xfId="2" applyNumberFormat="1" applyFont="1" applyFill="1" applyBorder="1" applyAlignment="1">
      <alignment horizontal="center"/>
    </xf>
    <xf numFmtId="10" fontId="5" fillId="0" borderId="7" xfId="2" applyNumberFormat="1" applyFill="1" applyBorder="1" applyAlignment="1">
      <alignment horizontal="center"/>
    </xf>
    <xf numFmtId="10" fontId="7" fillId="0" borderId="28" xfId="3" applyNumberFormat="1" applyFont="1" applyFill="1" applyBorder="1"/>
    <xf numFmtId="10" fontId="7" fillId="0" borderId="28" xfId="3" applyNumberFormat="1" applyFont="1" applyFill="1" applyBorder="1" applyAlignment="1">
      <alignment horizontal="right"/>
    </xf>
    <xf numFmtId="10" fontId="7" fillId="7" borderId="25" xfId="3" applyNumberFormat="1" applyFont="1" applyFill="1" applyBorder="1" applyAlignment="1">
      <alignment horizontal="right"/>
    </xf>
    <xf numFmtId="10" fontId="7" fillId="7" borderId="26" xfId="3" applyNumberFormat="1" applyFont="1" applyFill="1" applyBorder="1" applyAlignment="1">
      <alignment horizontal="right"/>
    </xf>
    <xf numFmtId="10" fontId="7" fillId="7" borderId="27" xfId="3" applyNumberFormat="1" applyFont="1" applyFill="1" applyBorder="1" applyAlignment="1">
      <alignment horizontal="center"/>
    </xf>
    <xf numFmtId="10" fontId="7" fillId="7" borderId="28" xfId="3" applyNumberFormat="1" applyFont="1" applyFill="1" applyBorder="1" applyAlignment="1">
      <alignment horizontal="right"/>
    </xf>
    <xf numFmtId="3" fontId="6" fillId="6" borderId="41" xfId="2" applyNumberFormat="1" applyFont="1" applyFill="1" applyBorder="1" applyAlignment="1">
      <alignment horizontal="center"/>
    </xf>
    <xf numFmtId="1" fontId="5" fillId="0" borderId="0" xfId="2" applyNumberFormat="1" applyFill="1" applyAlignment="1">
      <alignment horizontal="right"/>
    </xf>
    <xf numFmtId="1" fontId="5" fillId="2" borderId="0" xfId="2" applyNumberFormat="1" applyFill="1"/>
    <xf numFmtId="1" fontId="5" fillId="0" borderId="0" xfId="2" applyNumberFormat="1" applyFill="1"/>
    <xf numFmtId="0" fontId="12" fillId="9" borderId="4" xfId="0" applyFont="1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3" fontId="0" fillId="10" borderId="42" xfId="0" applyNumberFormat="1" applyFill="1" applyBorder="1"/>
    <xf numFmtId="3" fontId="0" fillId="10" borderId="38" xfId="0" applyNumberFormat="1" applyFill="1" applyBorder="1"/>
    <xf numFmtId="3" fontId="0" fillId="10" borderId="39" xfId="0" applyNumberFormat="1" applyFill="1" applyBorder="1"/>
    <xf numFmtId="3" fontId="0" fillId="10" borderId="22" xfId="0" applyNumberFormat="1" applyFill="1" applyBorder="1"/>
    <xf numFmtId="0" fontId="0" fillId="10" borderId="27" xfId="0" applyFill="1" applyBorder="1" applyAlignment="1">
      <alignment horizontal="center" vertical="center"/>
    </xf>
    <xf numFmtId="3" fontId="0" fillId="10" borderId="43" xfId="0" applyNumberFormat="1" applyFill="1" applyBorder="1"/>
    <xf numFmtId="3" fontId="0" fillId="10" borderId="25" xfId="0" applyNumberFormat="1" applyFill="1" applyBorder="1"/>
    <xf numFmtId="3" fontId="0" fillId="10" borderId="26" xfId="0" applyNumberFormat="1" applyFill="1" applyBorder="1"/>
    <xf numFmtId="3" fontId="0" fillId="10" borderId="40" xfId="0" applyNumberFormat="1" applyFill="1" applyBorder="1"/>
    <xf numFmtId="3" fontId="0" fillId="0" borderId="0" xfId="0" applyNumberFormat="1"/>
    <xf numFmtId="0" fontId="0" fillId="11" borderId="27" xfId="0" applyFill="1" applyBorder="1" applyAlignment="1">
      <alignment horizontal="center" vertical="center"/>
    </xf>
    <xf numFmtId="3" fontId="0" fillId="11" borderId="43" xfId="0" applyNumberFormat="1" applyFill="1" applyBorder="1"/>
    <xf numFmtId="3" fontId="0" fillId="11" borderId="25" xfId="0" applyNumberFormat="1" applyFill="1" applyBorder="1"/>
    <xf numFmtId="3" fontId="0" fillId="11" borderId="26" xfId="0" applyNumberFormat="1" applyFill="1" applyBorder="1"/>
    <xf numFmtId="3" fontId="0" fillId="11" borderId="27" xfId="0" applyNumberFormat="1" applyFill="1" applyBorder="1"/>
    <xf numFmtId="170" fontId="13" fillId="11" borderId="43" xfId="0" applyNumberFormat="1" applyFont="1" applyFill="1" applyBorder="1" applyAlignment="1">
      <alignment horizontal="right"/>
    </xf>
    <xf numFmtId="0" fontId="0" fillId="12" borderId="27" xfId="0" applyFill="1" applyBorder="1" applyAlignment="1">
      <alignment horizontal="center" vertical="center"/>
    </xf>
    <xf numFmtId="3" fontId="0" fillId="12" borderId="43" xfId="0" applyNumberFormat="1" applyFill="1" applyBorder="1"/>
    <xf numFmtId="3" fontId="0" fillId="12" borderId="25" xfId="0" applyNumberFormat="1" applyFill="1" applyBorder="1"/>
    <xf numFmtId="3" fontId="0" fillId="12" borderId="26" xfId="0" applyNumberFormat="1" applyFill="1" applyBorder="1"/>
    <xf numFmtId="3" fontId="0" fillId="12" borderId="27" xfId="0" applyNumberFormat="1" applyFill="1" applyBorder="1"/>
    <xf numFmtId="0" fontId="0" fillId="13" borderId="27" xfId="0" applyFill="1" applyBorder="1" applyAlignment="1">
      <alignment horizontal="center" vertical="center"/>
    </xf>
    <xf numFmtId="3" fontId="0" fillId="13" borderId="43" xfId="0" applyNumberFormat="1" applyFill="1" applyBorder="1"/>
    <xf numFmtId="3" fontId="0" fillId="13" borderId="27" xfId="0" applyNumberFormat="1" applyFill="1" applyBorder="1"/>
    <xf numFmtId="3" fontId="3" fillId="14" borderId="32" xfId="0" applyNumberFormat="1" applyFont="1" applyFill="1" applyBorder="1" applyAlignment="1">
      <alignment vertical="center"/>
    </xf>
    <xf numFmtId="3" fontId="3" fillId="14" borderId="33" xfId="0" applyNumberFormat="1" applyFont="1" applyFill="1" applyBorder="1" applyAlignment="1">
      <alignment vertical="center"/>
    </xf>
    <xf numFmtId="3" fontId="3" fillId="14" borderId="13" xfId="0" applyNumberFormat="1" applyFont="1" applyFill="1" applyBorder="1" applyAlignment="1">
      <alignment vertical="center"/>
    </xf>
    <xf numFmtId="0" fontId="0" fillId="15" borderId="27" xfId="0" applyFill="1" applyBorder="1" applyAlignment="1">
      <alignment horizontal="center" vertical="center"/>
    </xf>
    <xf numFmtId="3" fontId="0" fillId="15" borderId="43" xfId="0" applyNumberFormat="1" applyFill="1" applyBorder="1"/>
    <xf numFmtId="3" fontId="0" fillId="15" borderId="25" xfId="0" applyNumberFormat="1" applyFill="1" applyBorder="1"/>
    <xf numFmtId="3" fontId="0" fillId="15" borderId="26" xfId="0" applyNumberFormat="1" applyFill="1" applyBorder="1"/>
    <xf numFmtId="3" fontId="0" fillId="15" borderId="27" xfId="0" applyNumberFormat="1" applyFill="1" applyBorder="1"/>
    <xf numFmtId="0" fontId="0" fillId="4" borderId="44" xfId="0" applyFill="1" applyBorder="1" applyAlignment="1">
      <alignment horizontal="center" vertical="center"/>
    </xf>
    <xf numFmtId="3" fontId="0" fillId="4" borderId="43" xfId="0" applyNumberFormat="1" applyFill="1" applyBorder="1"/>
    <xf numFmtId="3" fontId="0" fillId="4" borderId="45" xfId="0" applyNumberFormat="1" applyFill="1" applyBorder="1"/>
    <xf numFmtId="3" fontId="0" fillId="4" borderId="27" xfId="0" applyNumberFormat="1" applyFill="1" applyBorder="1"/>
    <xf numFmtId="0" fontId="0" fillId="4" borderId="35" xfId="0" applyFill="1" applyBorder="1" applyAlignment="1">
      <alignment horizontal="center" vertical="center"/>
    </xf>
    <xf numFmtId="3" fontId="0" fillId="4" borderId="25" xfId="0" applyNumberFormat="1" applyFill="1" applyBorder="1"/>
    <xf numFmtId="170" fontId="13" fillId="16" borderId="43" xfId="0" applyNumberFormat="1" applyFont="1" applyFill="1" applyBorder="1" applyAlignment="1">
      <alignment horizontal="right"/>
    </xf>
    <xf numFmtId="3" fontId="0" fillId="4" borderId="26" xfId="0" applyNumberFormat="1" applyFill="1" applyBorder="1"/>
    <xf numFmtId="3" fontId="0" fillId="4" borderId="35" xfId="0" applyNumberFormat="1" applyFill="1" applyBorder="1"/>
    <xf numFmtId="3" fontId="3" fillId="14" borderId="46" xfId="0" applyNumberFormat="1" applyFont="1" applyFill="1" applyBorder="1" applyAlignment="1">
      <alignment vertical="center"/>
    </xf>
    <xf numFmtId="3" fontId="3" fillId="14" borderId="41" xfId="0" applyNumberFormat="1" applyFont="1" applyFill="1" applyBorder="1" applyAlignment="1">
      <alignment vertical="center"/>
    </xf>
    <xf numFmtId="4" fontId="0" fillId="10" borderId="42" xfId="0" applyNumberFormat="1" applyFill="1" applyBorder="1"/>
    <xf numFmtId="4" fontId="0" fillId="10" borderId="38" xfId="0" applyNumberFormat="1" applyFill="1" applyBorder="1"/>
    <xf numFmtId="4" fontId="0" fillId="10" borderId="39" xfId="0" applyNumberFormat="1" applyFill="1" applyBorder="1"/>
    <xf numFmtId="4" fontId="0" fillId="10" borderId="22" xfId="0" applyNumberFormat="1" applyFill="1" applyBorder="1"/>
    <xf numFmtId="4" fontId="0" fillId="15" borderId="43" xfId="0" applyNumberFormat="1" applyFill="1" applyBorder="1"/>
    <xf numFmtId="4" fontId="0" fillId="15" borderId="25" xfId="0" applyNumberFormat="1" applyFill="1" applyBorder="1"/>
    <xf numFmtId="4" fontId="0" fillId="15" borderId="26" xfId="0" applyNumberFormat="1" applyFill="1" applyBorder="1"/>
    <xf numFmtId="4" fontId="0" fillId="15" borderId="27" xfId="0" applyNumberFormat="1" applyFill="1" applyBorder="1"/>
    <xf numFmtId="4" fontId="0" fillId="12" borderId="43" xfId="0" applyNumberFormat="1" applyFill="1" applyBorder="1"/>
    <xf numFmtId="4" fontId="0" fillId="12" borderId="25" xfId="0" applyNumberFormat="1" applyFill="1" applyBorder="1"/>
    <xf numFmtId="4" fontId="0" fillId="12" borderId="26" xfId="0" applyNumberFormat="1" applyFill="1" applyBorder="1"/>
    <xf numFmtId="4" fontId="0" fillId="12" borderId="27" xfId="0" applyNumberFormat="1" applyFill="1" applyBorder="1"/>
    <xf numFmtId="4" fontId="0" fillId="4" borderId="43" xfId="0" applyNumberFormat="1" applyFill="1" applyBorder="1"/>
    <xf numFmtId="4" fontId="0" fillId="4" borderId="45" xfId="0" applyNumberFormat="1" applyFill="1" applyBorder="1"/>
    <xf numFmtId="4" fontId="0" fillId="4" borderId="27" xfId="0" applyNumberFormat="1" applyFill="1" applyBorder="1"/>
    <xf numFmtId="4" fontId="0" fillId="4" borderId="35" xfId="0" applyNumberFormat="1" applyFill="1" applyBorder="1"/>
    <xf numFmtId="4" fontId="3" fillId="14" borderId="46" xfId="0" applyNumberFormat="1" applyFont="1" applyFill="1" applyBorder="1" applyAlignment="1">
      <alignment vertical="center"/>
    </xf>
    <xf numFmtId="4" fontId="3" fillId="14" borderId="13" xfId="0" applyNumberFormat="1" applyFont="1" applyFill="1" applyBorder="1" applyAlignment="1">
      <alignment vertical="center"/>
    </xf>
    <xf numFmtId="10" fontId="0" fillId="10" borderId="42" xfId="6" applyNumberFormat="1" applyFont="1" applyFill="1" applyBorder="1"/>
    <xf numFmtId="10" fontId="0" fillId="15" borderId="43" xfId="6" applyNumberFormat="1" applyFont="1" applyFill="1" applyBorder="1"/>
    <xf numFmtId="10" fontId="0" fillId="12" borderId="43" xfId="0" applyNumberFormat="1" applyFill="1" applyBorder="1"/>
    <xf numFmtId="10" fontId="0" fillId="4" borderId="43" xfId="6" applyNumberFormat="1" applyFont="1" applyFill="1" applyBorder="1"/>
    <xf numFmtId="10" fontId="3" fillId="14" borderId="46" xfId="6" applyNumberFormat="1" applyFont="1" applyFill="1" applyBorder="1" applyAlignment="1">
      <alignment vertical="center"/>
    </xf>
    <xf numFmtId="0" fontId="3" fillId="0" borderId="0" xfId="0" applyFont="1"/>
    <xf numFmtId="0" fontId="12" fillId="9" borderId="48" xfId="0" applyFont="1" applyFill="1" applyBorder="1" applyAlignment="1">
      <alignment horizontal="center" vertical="center"/>
    </xf>
    <xf numFmtId="0" fontId="12" fillId="9" borderId="49" xfId="0" applyFont="1" applyFill="1" applyBorder="1" applyAlignment="1">
      <alignment horizontal="center" vertical="center"/>
    </xf>
    <xf numFmtId="0" fontId="12" fillId="9" borderId="50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3" fontId="0" fillId="10" borderId="47" xfId="0" applyNumberFormat="1" applyFill="1" applyBorder="1"/>
    <xf numFmtId="3" fontId="0" fillId="12" borderId="45" xfId="0" applyNumberFormat="1" applyFill="1" applyBorder="1"/>
    <xf numFmtId="3" fontId="0" fillId="13" borderId="45" xfId="0" applyNumberFormat="1" applyFill="1" applyBorder="1"/>
    <xf numFmtId="4" fontId="0" fillId="15" borderId="45" xfId="0" applyNumberFormat="1" applyFill="1" applyBorder="1"/>
    <xf numFmtId="0" fontId="7" fillId="18" borderId="7" xfId="2" applyFont="1" applyFill="1" applyBorder="1"/>
    <xf numFmtId="0" fontId="7" fillId="18" borderId="9" xfId="2" applyFont="1" applyFill="1" applyBorder="1" applyAlignment="1"/>
    <xf numFmtId="0" fontId="7" fillId="21" borderId="7" xfId="2" applyFont="1" applyFill="1" applyBorder="1"/>
    <xf numFmtId="0" fontId="7" fillId="22" borderId="7" xfId="2" applyFont="1" applyFill="1" applyBorder="1"/>
    <xf numFmtId="0" fontId="7" fillId="21" borderId="9" xfId="2" applyFont="1" applyFill="1" applyBorder="1"/>
    <xf numFmtId="0" fontId="7" fillId="22" borderId="9" xfId="2" applyFont="1" applyFill="1" applyBorder="1"/>
    <xf numFmtId="0" fontId="7" fillId="18" borderId="24" xfId="2" applyFont="1" applyFill="1" applyBorder="1" applyAlignment="1"/>
    <xf numFmtId="0" fontId="7" fillId="18" borderId="24" xfId="2" applyFont="1" applyFill="1" applyBorder="1"/>
    <xf numFmtId="0" fontId="7" fillId="20" borderId="24" xfId="2" applyFont="1" applyFill="1" applyBorder="1"/>
    <xf numFmtId="0" fontId="7" fillId="22" borderId="24" xfId="2" applyFont="1" applyFill="1" applyBorder="1"/>
    <xf numFmtId="0" fontId="0" fillId="0" borderId="0" xfId="0" applyFill="1" applyAlignment="1">
      <alignment horizontal="center"/>
    </xf>
    <xf numFmtId="0" fontId="0" fillId="0" borderId="0" xfId="0" applyBorder="1"/>
    <xf numFmtId="0" fontId="6" fillId="0" borderId="0" xfId="0" applyFont="1" applyFill="1" applyAlignment="1">
      <alignment horizontal="center"/>
    </xf>
    <xf numFmtId="1" fontId="6" fillId="0" borderId="0" xfId="0" applyNumberFormat="1" applyFont="1" applyFill="1" applyAlignment="1">
      <alignment horizontal="right"/>
    </xf>
    <xf numFmtId="1" fontId="6" fillId="2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16" xfId="0" applyFont="1" applyFill="1" applyBorder="1" applyAlignment="1">
      <alignment horizontal="center" vertical="center" wrapText="1"/>
    </xf>
    <xf numFmtId="1" fontId="6" fillId="0" borderId="17" xfId="0" applyNumberFormat="1" applyFont="1" applyFill="1" applyBorder="1" applyAlignment="1">
      <alignment horizontal="center" vertical="center"/>
    </xf>
    <xf numFmtId="1" fontId="6" fillId="2" borderId="17" xfId="0" applyNumberFormat="1" applyFont="1" applyFill="1" applyBorder="1" applyAlignment="1">
      <alignment horizontal="center" vertical="center"/>
    </xf>
    <xf numFmtId="1" fontId="6" fillId="0" borderId="18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7" fillId="2" borderId="19" xfId="0" applyFont="1" applyFill="1" applyBorder="1"/>
    <xf numFmtId="3" fontId="7" fillId="2" borderId="20" xfId="0" applyNumberFormat="1" applyFont="1" applyFill="1" applyBorder="1" applyAlignment="1">
      <alignment horizontal="right"/>
    </xf>
    <xf numFmtId="3" fontId="7" fillId="2" borderId="21" xfId="0" applyNumberFormat="1" applyFont="1" applyFill="1" applyBorder="1" applyAlignment="1">
      <alignment horizontal="right"/>
    </xf>
    <xf numFmtId="3" fontId="7" fillId="2" borderId="22" xfId="0" applyNumberFormat="1" applyFont="1" applyFill="1" applyBorder="1" applyAlignment="1">
      <alignment horizontal="right"/>
    </xf>
    <xf numFmtId="4" fontId="17" fillId="0" borderId="0" xfId="8" applyNumberFormat="1" applyFont="1" applyFill="1" applyBorder="1" applyProtection="1">
      <protection locked="0"/>
    </xf>
    <xf numFmtId="0" fontId="7" fillId="2" borderId="24" xfId="0" applyFont="1" applyFill="1" applyBorder="1" applyAlignment="1"/>
    <xf numFmtId="3" fontId="6" fillId="4" borderId="25" xfId="0" applyNumberFormat="1" applyFont="1" applyFill="1" applyBorder="1" applyAlignment="1">
      <alignment horizontal="right"/>
    </xf>
    <xf numFmtId="3" fontId="6" fillId="4" borderId="26" xfId="0" applyNumberFormat="1" applyFont="1" applyFill="1" applyBorder="1" applyAlignment="1">
      <alignment horizontal="right"/>
    </xf>
    <xf numFmtId="3" fontId="6" fillId="4" borderId="27" xfId="0" applyNumberFormat="1" applyFont="1" applyFill="1" applyBorder="1" applyAlignment="1">
      <alignment horizontal="right"/>
    </xf>
    <xf numFmtId="3" fontId="6" fillId="4" borderId="36" xfId="0" applyNumberFormat="1" applyFont="1" applyFill="1" applyBorder="1" applyAlignment="1">
      <alignment horizontal="center"/>
    </xf>
    <xf numFmtId="0" fontId="7" fillId="2" borderId="24" xfId="0" applyFont="1" applyFill="1" applyBorder="1"/>
    <xf numFmtId="1" fontId="0" fillId="0" borderId="27" xfId="0" applyNumberFormat="1" applyFill="1" applyBorder="1" applyAlignment="1">
      <alignment horizontal="center"/>
    </xf>
    <xf numFmtId="0" fontId="7" fillId="0" borderId="24" xfId="0" applyFont="1" applyFill="1" applyBorder="1"/>
    <xf numFmtId="3" fontId="6" fillId="5" borderId="25" xfId="0" applyNumberFormat="1" applyFont="1" applyFill="1" applyBorder="1" applyAlignment="1">
      <alignment horizontal="right"/>
    </xf>
    <xf numFmtId="3" fontId="6" fillId="5" borderId="26" xfId="0" applyNumberFormat="1" applyFont="1" applyFill="1" applyBorder="1" applyAlignment="1">
      <alignment horizontal="right"/>
    </xf>
    <xf numFmtId="3" fontId="6" fillId="5" borderId="27" xfId="0" applyNumberFormat="1" applyFont="1" applyFill="1" applyBorder="1" applyAlignment="1">
      <alignment horizontal="right"/>
    </xf>
    <xf numFmtId="0" fontId="7" fillId="0" borderId="29" xfId="0" applyFont="1" applyFill="1" applyBorder="1"/>
    <xf numFmtId="10" fontId="7" fillId="0" borderId="45" xfId="5" applyNumberFormat="1" applyFont="1" applyFill="1" applyBorder="1" applyAlignment="1">
      <alignment horizontal="right"/>
    </xf>
    <xf numFmtId="3" fontId="6" fillId="6" borderId="25" xfId="0" applyNumberFormat="1" applyFont="1" applyFill="1" applyBorder="1" applyAlignment="1">
      <alignment horizontal="right"/>
    </xf>
    <xf numFmtId="3" fontId="6" fillId="6" borderId="27" xfId="0" applyNumberFormat="1" applyFont="1" applyFill="1" applyBorder="1" applyAlignment="1">
      <alignment horizontal="right"/>
    </xf>
    <xf numFmtId="3" fontId="6" fillId="6" borderId="36" xfId="0" applyNumberFormat="1" applyFont="1" applyFill="1" applyBorder="1" applyAlignment="1">
      <alignment horizontal="center"/>
    </xf>
    <xf numFmtId="3" fontId="7" fillId="0" borderId="25" xfId="0" applyNumberFormat="1" applyFont="1" applyFill="1" applyBorder="1" applyAlignment="1">
      <alignment horizontal="right"/>
    </xf>
    <xf numFmtId="3" fontId="7" fillId="0" borderId="26" xfId="0" applyNumberFormat="1" applyFont="1" applyFill="1" applyBorder="1" applyAlignment="1">
      <alignment horizontal="right"/>
    </xf>
    <xf numFmtId="3" fontId="7" fillId="0" borderId="27" xfId="0" applyNumberFormat="1" applyFont="1" applyFill="1" applyBorder="1" applyAlignment="1">
      <alignment horizontal="right"/>
    </xf>
    <xf numFmtId="3" fontId="7" fillId="2" borderId="25" xfId="0" applyNumberFormat="1" applyFont="1" applyFill="1" applyBorder="1" applyAlignment="1">
      <alignment horizontal="right"/>
    </xf>
    <xf numFmtId="3" fontId="7" fillId="2" borderId="26" xfId="0" applyNumberFormat="1" applyFont="1" applyFill="1" applyBorder="1" applyAlignment="1">
      <alignment horizontal="right"/>
    </xf>
    <xf numFmtId="3" fontId="7" fillId="2" borderId="27" xfId="0" applyNumberFormat="1" applyFont="1" applyFill="1" applyBorder="1" applyAlignment="1">
      <alignment horizontal="right"/>
    </xf>
    <xf numFmtId="4" fontId="0" fillId="0" borderId="0" xfId="0" applyNumberFormat="1" applyBorder="1"/>
    <xf numFmtId="10" fontId="7" fillId="19" borderId="25" xfId="6" applyNumberFormat="1" applyFont="1" applyFill="1" applyBorder="1" applyAlignment="1">
      <alignment horizontal="right"/>
    </xf>
    <xf numFmtId="10" fontId="7" fillId="11" borderId="25" xfId="6" applyNumberFormat="1" applyFont="1" applyFill="1" applyBorder="1" applyAlignment="1">
      <alignment horizontal="right"/>
    </xf>
    <xf numFmtId="10" fontId="7" fillId="11" borderId="26" xfId="6" applyNumberFormat="1" applyFont="1" applyFill="1" applyBorder="1" applyAlignment="1">
      <alignment horizontal="right"/>
    </xf>
    <xf numFmtId="1" fontId="0" fillId="11" borderId="27" xfId="0" applyNumberFormat="1" applyFill="1" applyBorder="1" applyAlignment="1">
      <alignment horizontal="center"/>
    </xf>
    <xf numFmtId="2" fontId="7" fillId="0" borderId="25" xfId="0" applyNumberFormat="1" applyFont="1" applyFill="1" applyBorder="1" applyAlignment="1">
      <alignment horizontal="right"/>
    </xf>
    <xf numFmtId="2" fontId="7" fillId="0" borderId="26" xfId="0" applyNumberFormat="1" applyFont="1" applyFill="1" applyBorder="1" applyAlignment="1">
      <alignment horizontal="right"/>
    </xf>
    <xf numFmtId="2" fontId="7" fillId="0" borderId="45" xfId="0" applyNumberFormat="1" applyFont="1" applyFill="1" applyBorder="1" applyAlignment="1">
      <alignment horizontal="right"/>
    </xf>
    <xf numFmtId="0" fontId="7" fillId="0" borderId="32" xfId="0" applyFont="1" applyFill="1" applyBorder="1"/>
    <xf numFmtId="3" fontId="6" fillId="6" borderId="33" xfId="0" applyNumberFormat="1" applyFont="1" applyFill="1" applyBorder="1" applyAlignment="1">
      <alignment horizontal="right"/>
    </xf>
    <xf numFmtId="3" fontId="6" fillId="6" borderId="34" xfId="0" applyNumberFormat="1" applyFont="1" applyFill="1" applyBorder="1" applyAlignment="1">
      <alignment horizontal="right"/>
    </xf>
    <xf numFmtId="3" fontId="6" fillId="6" borderId="35" xfId="0" applyNumberFormat="1" applyFont="1" applyFill="1" applyBorder="1" applyAlignment="1">
      <alignment horizontal="center"/>
    </xf>
    <xf numFmtId="3" fontId="6" fillId="6" borderId="52" xfId="0" applyNumberFormat="1" applyFont="1" applyFill="1" applyBorder="1" applyAlignment="1">
      <alignment horizontal="center"/>
    </xf>
    <xf numFmtId="0" fontId="7" fillId="0" borderId="0" xfId="0" applyFont="1" applyFill="1" applyBorder="1"/>
    <xf numFmtId="1" fontId="7" fillId="0" borderId="0" xfId="0" applyNumberFormat="1" applyFont="1" applyFill="1" applyBorder="1" applyAlignment="1">
      <alignment horizontal="right"/>
    </xf>
    <xf numFmtId="1" fontId="7" fillId="2" borderId="0" xfId="0" applyNumberFormat="1" applyFont="1" applyFill="1" applyBorder="1"/>
    <xf numFmtId="1" fontId="7" fillId="0" borderId="0" xfId="0" applyNumberFormat="1" applyFont="1" applyFill="1" applyBorder="1"/>
    <xf numFmtId="0" fontId="0" fillId="2" borderId="0" xfId="0" applyFill="1" applyBorder="1" applyAlignment="1">
      <alignment horizontal="center"/>
    </xf>
    <xf numFmtId="0" fontId="7" fillId="2" borderId="0" xfId="0" applyFont="1" applyFill="1" applyBorder="1"/>
    <xf numFmtId="1" fontId="7" fillId="2" borderId="0" xfId="0" applyNumberFormat="1" applyFont="1" applyFill="1" applyBorder="1" applyAlignment="1">
      <alignment horizontal="right"/>
    </xf>
    <xf numFmtId="0" fontId="6" fillId="0" borderId="16" xfId="0" applyFont="1" applyFill="1" applyBorder="1" applyAlignment="1">
      <alignment horizontal="center" wrapText="1"/>
    </xf>
    <xf numFmtId="1" fontId="6" fillId="0" borderId="17" xfId="0" applyNumberFormat="1" applyFont="1" applyFill="1" applyBorder="1" applyAlignment="1">
      <alignment horizontal="center"/>
    </xf>
    <xf numFmtId="1" fontId="6" fillId="2" borderId="17" xfId="0" applyNumberFormat="1" applyFont="1" applyFill="1" applyBorder="1" applyAlignment="1">
      <alignment horizontal="center"/>
    </xf>
    <xf numFmtId="1" fontId="6" fillId="0" borderId="18" xfId="0" applyNumberFormat="1" applyFont="1" applyFill="1" applyBorder="1" applyAlignment="1">
      <alignment horizontal="center"/>
    </xf>
    <xf numFmtId="1" fontId="6" fillId="0" borderId="4" xfId="0" applyNumberFormat="1" applyFont="1" applyFill="1" applyBorder="1" applyAlignment="1">
      <alignment horizontal="center"/>
    </xf>
    <xf numFmtId="1" fontId="6" fillId="0" borderId="15" xfId="0" applyNumberFormat="1" applyFont="1" applyFill="1" applyBorder="1" applyAlignment="1">
      <alignment horizontal="center" vertical="center"/>
    </xf>
    <xf numFmtId="3" fontId="7" fillId="0" borderId="22" xfId="0" applyNumberFormat="1" applyFont="1" applyFill="1" applyBorder="1" applyAlignment="1">
      <alignment horizontal="right"/>
    </xf>
    <xf numFmtId="10" fontId="0" fillId="0" borderId="0" xfId="6" applyNumberFormat="1" applyFont="1" applyBorder="1"/>
    <xf numFmtId="9" fontId="0" fillId="0" borderId="0" xfId="6" applyFont="1" applyBorder="1"/>
    <xf numFmtId="1" fontId="0" fillId="0" borderId="9" xfId="0" applyNumberFormat="1" applyFill="1" applyBorder="1" applyAlignment="1">
      <alignment horizontal="center"/>
    </xf>
    <xf numFmtId="9" fontId="7" fillId="0" borderId="36" xfId="5" applyFont="1" applyFill="1" applyBorder="1" applyAlignment="1">
      <alignment horizontal="right"/>
    </xf>
    <xf numFmtId="4" fontId="6" fillId="4" borderId="25" xfId="0" applyNumberFormat="1" applyFont="1" applyFill="1" applyBorder="1" applyAlignment="1">
      <alignment horizontal="right"/>
    </xf>
    <xf numFmtId="4" fontId="6" fillId="6" borderId="25" xfId="0" applyNumberFormat="1" applyFont="1" applyFill="1" applyBorder="1" applyAlignment="1">
      <alignment horizontal="right"/>
    </xf>
    <xf numFmtId="3" fontId="6" fillId="6" borderId="26" xfId="0" applyNumberFormat="1" applyFont="1" applyFill="1" applyBorder="1" applyAlignment="1">
      <alignment horizontal="right"/>
    </xf>
    <xf numFmtId="3" fontId="7" fillId="0" borderId="36" xfId="0" applyNumberFormat="1" applyFont="1" applyFill="1" applyBorder="1" applyAlignment="1">
      <alignment horizontal="center"/>
    </xf>
    <xf numFmtId="10" fontId="7" fillId="0" borderId="25" xfId="6" applyNumberFormat="1" applyFont="1" applyFill="1" applyBorder="1" applyAlignment="1">
      <alignment horizontal="right"/>
    </xf>
    <xf numFmtId="10" fontId="7" fillId="0" borderId="26" xfId="6" applyNumberFormat="1" applyFont="1" applyFill="1" applyBorder="1" applyAlignment="1">
      <alignment horizontal="right"/>
    </xf>
    <xf numFmtId="10" fontId="7" fillId="0" borderId="36" xfId="6" applyNumberFormat="1" applyFont="1" applyFill="1" applyBorder="1" applyAlignment="1">
      <alignment horizontal="right"/>
    </xf>
    <xf numFmtId="1" fontId="0" fillId="11" borderId="9" xfId="0" applyNumberFormat="1" applyFill="1" applyBorder="1" applyAlignment="1">
      <alignment horizontal="center"/>
    </xf>
    <xf numFmtId="10" fontId="7" fillId="11" borderId="36" xfId="6" applyNumberFormat="1" applyFont="1" applyFill="1" applyBorder="1" applyAlignment="1">
      <alignment horizontal="right"/>
    </xf>
    <xf numFmtId="2" fontId="7" fillId="0" borderId="36" xfId="0" applyNumberFormat="1" applyFont="1" applyFill="1" applyBorder="1" applyAlignment="1">
      <alignment horizontal="right"/>
    </xf>
    <xf numFmtId="0" fontId="7" fillId="0" borderId="0" xfId="0" applyFont="1" applyFill="1"/>
    <xf numFmtId="1" fontId="7" fillId="0" borderId="0" xfId="0" applyNumberFormat="1" applyFont="1" applyFill="1" applyAlignment="1">
      <alignment horizontal="right"/>
    </xf>
    <xf numFmtId="1" fontId="7" fillId="2" borderId="0" xfId="0" applyNumberFormat="1" applyFont="1" applyFill="1"/>
    <xf numFmtId="1" fontId="7" fillId="0" borderId="0" xfId="0" applyNumberFormat="1" applyFont="1" applyFill="1"/>
    <xf numFmtId="0" fontId="7" fillId="0" borderId="0" xfId="0" applyFont="1" applyFill="1" applyAlignment="1">
      <alignment horizontal="center"/>
    </xf>
    <xf numFmtId="0" fontId="7" fillId="0" borderId="37" xfId="0" applyFont="1" applyFill="1" applyBorder="1"/>
    <xf numFmtId="3" fontId="7" fillId="0" borderId="38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7" fillId="0" borderId="24" xfId="0" applyFont="1" applyFill="1" applyBorder="1" applyAlignment="1"/>
    <xf numFmtId="9" fontId="7" fillId="0" borderId="25" xfId="6" applyNumberFormat="1" applyFont="1" applyFill="1" applyBorder="1" applyAlignment="1">
      <alignment horizontal="right"/>
    </xf>
    <xf numFmtId="1" fontId="0" fillId="0" borderId="7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10" fontId="7" fillId="0" borderId="36" xfId="5" applyNumberFormat="1" applyFont="1" applyFill="1" applyBorder="1" applyAlignment="1">
      <alignment horizontal="right"/>
    </xf>
    <xf numFmtId="1" fontId="0" fillId="11" borderId="7" xfId="0" applyNumberFormat="1" applyFill="1" applyBorder="1" applyAlignment="1">
      <alignment horizontal="center"/>
    </xf>
    <xf numFmtId="4" fontId="17" fillId="0" borderId="0" xfId="9" applyNumberFormat="1" applyFont="1" applyFill="1" applyBorder="1" applyProtection="1">
      <protection locked="0"/>
    </xf>
    <xf numFmtId="0" fontId="7" fillId="0" borderId="19" xfId="0" applyFont="1" applyFill="1" applyBorder="1"/>
    <xf numFmtId="3" fontId="7" fillId="0" borderId="20" xfId="0" applyNumberFormat="1" applyFont="1" applyFill="1" applyBorder="1" applyAlignment="1">
      <alignment horizontal="right"/>
    </xf>
    <xf numFmtId="3" fontId="7" fillId="0" borderId="53" xfId="0" applyNumberFormat="1" applyFont="1" applyFill="1" applyBorder="1" applyAlignment="1">
      <alignment horizontal="center"/>
    </xf>
    <xf numFmtId="3" fontId="0" fillId="0" borderId="0" xfId="0" applyNumberFormat="1" applyBorder="1"/>
    <xf numFmtId="9" fontId="7" fillId="0" borderId="26" xfId="6" applyNumberFormat="1" applyFont="1" applyFill="1" applyBorder="1" applyAlignment="1">
      <alignment horizontal="right"/>
    </xf>
    <xf numFmtId="1" fontId="6" fillId="4" borderId="36" xfId="0" applyNumberFormat="1" applyFont="1" applyFill="1" applyBorder="1" applyAlignment="1">
      <alignment horizontal="right"/>
    </xf>
    <xf numFmtId="10" fontId="7" fillId="0" borderId="25" xfId="10" applyNumberFormat="1" applyFont="1" applyFill="1" applyBorder="1" applyAlignment="1">
      <alignment horizontal="right"/>
    </xf>
    <xf numFmtId="3" fontId="7" fillId="2" borderId="36" xfId="0" applyNumberFormat="1" applyFont="1" applyFill="1" applyBorder="1" applyAlignment="1">
      <alignment horizontal="center"/>
    </xf>
    <xf numFmtId="2" fontId="7" fillId="0" borderId="36" xfId="5" applyNumberFormat="1" applyFont="1" applyFill="1" applyBorder="1" applyAlignment="1">
      <alignment horizontal="right"/>
    </xf>
    <xf numFmtId="1" fontId="6" fillId="6" borderId="33" xfId="0" applyNumberFormat="1" applyFont="1" applyFill="1" applyBorder="1" applyAlignment="1">
      <alignment horizontal="right"/>
    </xf>
    <xf numFmtId="1" fontId="6" fillId="6" borderId="34" xfId="0" applyNumberFormat="1" applyFont="1" applyFill="1" applyBorder="1" applyAlignment="1">
      <alignment horizontal="right"/>
    </xf>
    <xf numFmtId="1" fontId="6" fillId="6" borderId="35" xfId="0" applyNumberFormat="1" applyFont="1" applyFill="1" applyBorder="1" applyAlignment="1">
      <alignment horizontal="center"/>
    </xf>
    <xf numFmtId="1" fontId="6" fillId="6" borderId="52" xfId="0" applyNumberFormat="1" applyFont="1" applyFill="1" applyBorder="1" applyAlignment="1">
      <alignment horizontal="center"/>
    </xf>
    <xf numFmtId="1" fontId="6" fillId="0" borderId="15" xfId="0" applyNumberFormat="1" applyFont="1" applyFill="1" applyBorder="1" applyAlignment="1">
      <alignment horizontal="center"/>
    </xf>
    <xf numFmtId="3" fontId="7" fillId="0" borderId="47" xfId="0" applyNumberFormat="1" applyFont="1" applyFill="1" applyBorder="1" applyAlignment="1">
      <alignment horizontal="center"/>
    </xf>
    <xf numFmtId="3" fontId="6" fillId="4" borderId="45" xfId="0" applyNumberFormat="1" applyFont="1" applyFill="1" applyBorder="1" applyAlignment="1">
      <alignment horizontal="center"/>
    </xf>
    <xf numFmtId="3" fontId="6" fillId="6" borderId="45" xfId="0" applyNumberFormat="1" applyFont="1" applyFill="1" applyBorder="1" applyAlignment="1">
      <alignment horizontal="center"/>
    </xf>
    <xf numFmtId="3" fontId="7" fillId="0" borderId="45" xfId="0" applyNumberFormat="1" applyFont="1" applyFill="1" applyBorder="1" applyAlignment="1">
      <alignment horizontal="center"/>
    </xf>
    <xf numFmtId="3" fontId="6" fillId="0" borderId="25" xfId="0" applyNumberFormat="1" applyFont="1" applyFill="1" applyBorder="1" applyAlignment="1">
      <alignment horizontal="right"/>
    </xf>
    <xf numFmtId="3" fontId="6" fillId="0" borderId="26" xfId="0" applyNumberFormat="1" applyFont="1" applyFill="1" applyBorder="1" applyAlignment="1">
      <alignment horizontal="right"/>
    </xf>
    <xf numFmtId="3" fontId="6" fillId="0" borderId="27" xfId="0" applyNumberFormat="1" applyFont="1" applyFill="1" applyBorder="1" applyAlignment="1">
      <alignment horizontal="right"/>
    </xf>
    <xf numFmtId="3" fontId="6" fillId="0" borderId="45" xfId="0" applyNumberFormat="1" applyFont="1" applyFill="1" applyBorder="1" applyAlignment="1">
      <alignment horizontal="center"/>
    </xf>
    <xf numFmtId="10" fontId="0" fillId="0" borderId="7" xfId="0" applyNumberFormat="1" applyFill="1" applyBorder="1" applyAlignment="1">
      <alignment horizontal="center"/>
    </xf>
    <xf numFmtId="10" fontId="7" fillId="0" borderId="45" xfId="6" applyNumberFormat="1" applyFont="1" applyFill="1" applyBorder="1"/>
    <xf numFmtId="10" fontId="7" fillId="0" borderId="45" xfId="6" applyNumberFormat="1" applyFont="1" applyFill="1" applyBorder="1" applyAlignment="1">
      <alignment horizontal="right"/>
    </xf>
    <xf numFmtId="10" fontId="7" fillId="7" borderId="25" xfId="6" applyNumberFormat="1" applyFont="1" applyFill="1" applyBorder="1" applyAlignment="1">
      <alignment horizontal="right"/>
    </xf>
    <xf numFmtId="10" fontId="7" fillId="7" borderId="27" xfId="6" applyNumberFormat="1" applyFont="1" applyFill="1" applyBorder="1" applyAlignment="1">
      <alignment horizontal="center"/>
    </xf>
    <xf numFmtId="10" fontId="7" fillId="7" borderId="45" xfId="6" applyNumberFormat="1" applyFont="1" applyFill="1" applyBorder="1" applyAlignment="1">
      <alignment horizontal="right"/>
    </xf>
    <xf numFmtId="171" fontId="0" fillId="0" borderId="0" xfId="0" applyNumberFormat="1" applyBorder="1"/>
    <xf numFmtId="3" fontId="6" fillId="6" borderId="51" xfId="0" applyNumberFormat="1" applyFont="1" applyFill="1" applyBorder="1" applyAlignment="1">
      <alignment horizontal="center"/>
    </xf>
    <xf numFmtId="3" fontId="0" fillId="0" borderId="0" xfId="0" applyNumberFormat="1" applyFill="1" applyAlignment="1">
      <alignment horizontal="right"/>
    </xf>
    <xf numFmtId="1" fontId="0" fillId="0" borderId="0" xfId="0" applyNumberFormat="1" applyFill="1" applyAlignment="1">
      <alignment horizontal="right"/>
    </xf>
    <xf numFmtId="1" fontId="0" fillId="2" borderId="0" xfId="0" applyNumberFormat="1" applyFill="1"/>
    <xf numFmtId="1" fontId="0" fillId="0" borderId="0" xfId="0" applyNumberFormat="1" applyFill="1"/>
    <xf numFmtId="172" fontId="0" fillId="0" borderId="0" xfId="6" applyNumberFormat="1" applyFont="1" applyFill="1"/>
    <xf numFmtId="10" fontId="0" fillId="0" borderId="0" xfId="6" applyNumberFormat="1" applyFont="1" applyFill="1" applyAlignment="1">
      <alignment horizontal="right"/>
    </xf>
    <xf numFmtId="171" fontId="0" fillId="0" borderId="0" xfId="6" applyNumberFormat="1" applyFont="1" applyFill="1"/>
    <xf numFmtId="173" fontId="0" fillId="0" borderId="0" xfId="0" applyNumberFormat="1" applyFill="1"/>
    <xf numFmtId="0" fontId="0" fillId="0" borderId="23" xfId="0" applyBorder="1" applyAlignment="1">
      <alignment horizontal="center"/>
    </xf>
    <xf numFmtId="3" fontId="6" fillId="4" borderId="27" xfId="0" applyNumberFormat="1" applyFont="1" applyFill="1" applyBorder="1" applyAlignment="1">
      <alignment horizontal="center"/>
    </xf>
    <xf numFmtId="3" fontId="6" fillId="5" borderId="27" xfId="0" applyNumberFormat="1" applyFont="1" applyFill="1" applyBorder="1" applyAlignment="1">
      <alignment horizontal="center"/>
    </xf>
    <xf numFmtId="3" fontId="6" fillId="6" borderId="27" xfId="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10" fontId="7" fillId="11" borderId="25" xfId="10" applyNumberFormat="1" applyFont="1" applyFill="1" applyBorder="1" applyAlignment="1">
      <alignment horizontal="right"/>
    </xf>
    <xf numFmtId="10" fontId="7" fillId="11" borderId="26" xfId="10" applyNumberFormat="1" applyFont="1" applyFill="1" applyBorder="1" applyAlignment="1">
      <alignment horizontal="right"/>
    </xf>
    <xf numFmtId="10" fontId="7" fillId="11" borderId="28" xfId="10" applyNumberFormat="1" applyFont="1" applyFill="1" applyBorder="1" applyAlignment="1">
      <alignment horizontal="right"/>
    </xf>
    <xf numFmtId="2" fontId="7" fillId="0" borderId="28" xfId="0" applyNumberFormat="1" applyFont="1" applyFill="1" applyBorder="1" applyAlignment="1">
      <alignment horizontal="right"/>
    </xf>
    <xf numFmtId="1" fontId="6" fillId="0" borderId="4" xfId="0" applyNumberFormat="1" applyFont="1" applyFill="1" applyBorder="1" applyAlignment="1">
      <alignment horizontal="center" vertical="center"/>
    </xf>
    <xf numFmtId="3" fontId="7" fillId="0" borderId="22" xfId="0" applyNumberFormat="1" applyFont="1" applyFill="1" applyBorder="1" applyAlignment="1">
      <alignment horizontal="center"/>
    </xf>
    <xf numFmtId="10" fontId="0" fillId="0" borderId="0" xfId="10" applyNumberFormat="1" applyFont="1"/>
    <xf numFmtId="3" fontId="7" fillId="0" borderId="27" xfId="0" applyNumberFormat="1" applyFont="1" applyFill="1" applyBorder="1" applyAlignment="1">
      <alignment horizontal="center"/>
    </xf>
    <xf numFmtId="10" fontId="7" fillId="0" borderId="26" xfId="10" applyNumberFormat="1" applyFont="1" applyFill="1" applyBorder="1" applyAlignment="1">
      <alignment horizontal="right"/>
    </xf>
    <xf numFmtId="10" fontId="7" fillId="0" borderId="27" xfId="10" applyNumberFormat="1" applyFont="1" applyFill="1" applyBorder="1" applyAlignment="1">
      <alignment horizontal="right"/>
    </xf>
    <xf numFmtId="10" fontId="7" fillId="11" borderId="27" xfId="10" applyNumberFormat="1" applyFont="1" applyFill="1" applyBorder="1" applyAlignment="1">
      <alignment horizontal="right"/>
    </xf>
    <xf numFmtId="2" fontId="7" fillId="0" borderId="27" xfId="0" applyNumberFormat="1" applyFont="1" applyFill="1" applyBorder="1" applyAlignment="1">
      <alignment horizontal="right"/>
    </xf>
    <xf numFmtId="3" fontId="7" fillId="0" borderId="39" xfId="0" applyNumberFormat="1" applyFont="1" applyFill="1" applyBorder="1" applyAlignment="1">
      <alignment horizontal="right"/>
    </xf>
    <xf numFmtId="0" fontId="0" fillId="0" borderId="8" xfId="0" applyBorder="1" applyAlignment="1">
      <alignment horizontal="center"/>
    </xf>
    <xf numFmtId="9" fontId="7" fillId="0" borderId="25" xfId="10" applyFont="1" applyFill="1" applyBorder="1" applyAlignment="1">
      <alignment horizontal="right"/>
    </xf>
    <xf numFmtId="9" fontId="7" fillId="0" borderId="26" xfId="10" applyFont="1" applyFill="1" applyBorder="1" applyAlignment="1">
      <alignment horizontal="right"/>
    </xf>
    <xf numFmtId="9" fontId="7" fillId="0" borderId="27" xfId="10" applyFont="1" applyFill="1" applyBorder="1" applyAlignment="1">
      <alignment horizontal="right"/>
    </xf>
    <xf numFmtId="0" fontId="0" fillId="0" borderId="7" xfId="0" applyBorder="1" applyAlignment="1">
      <alignment horizontal="center"/>
    </xf>
    <xf numFmtId="3" fontId="7" fillId="0" borderId="40" xfId="0" applyNumberFormat="1" applyFont="1" applyFill="1" applyBorder="1" applyAlignment="1">
      <alignment horizontal="center"/>
    </xf>
    <xf numFmtId="9" fontId="7" fillId="0" borderId="25" xfId="10" applyNumberFormat="1" applyFont="1" applyFill="1" applyBorder="1" applyAlignment="1">
      <alignment horizontal="right"/>
    </xf>
    <xf numFmtId="9" fontId="7" fillId="0" borderId="26" xfId="10" applyNumberFormat="1" applyFont="1" applyFill="1" applyBorder="1" applyAlignment="1">
      <alignment horizontal="right"/>
    </xf>
    <xf numFmtId="1" fontId="6" fillId="4" borderId="27" xfId="0" applyNumberFormat="1" applyFont="1" applyFill="1" applyBorder="1" applyAlignment="1">
      <alignment horizontal="right"/>
    </xf>
    <xf numFmtId="3" fontId="7" fillId="2" borderId="27" xfId="0" applyNumberFormat="1" applyFont="1" applyFill="1" applyBorder="1" applyAlignment="1">
      <alignment horizontal="center"/>
    </xf>
    <xf numFmtId="3" fontId="7" fillId="0" borderId="23" xfId="0" applyNumberFormat="1" applyFont="1" applyFill="1" applyBorder="1" applyAlignment="1">
      <alignment horizontal="center"/>
    </xf>
    <xf numFmtId="3" fontId="6" fillId="4" borderId="28" xfId="0" applyNumberFormat="1" applyFont="1" applyFill="1" applyBorder="1" applyAlignment="1">
      <alignment horizontal="center"/>
    </xf>
    <xf numFmtId="3" fontId="6" fillId="6" borderId="28" xfId="0" applyNumberFormat="1" applyFont="1" applyFill="1" applyBorder="1" applyAlignment="1">
      <alignment horizontal="center"/>
    </xf>
    <xf numFmtId="3" fontId="7" fillId="0" borderId="28" xfId="0" applyNumberFormat="1" applyFont="1" applyFill="1" applyBorder="1" applyAlignment="1">
      <alignment horizontal="center"/>
    </xf>
    <xf numFmtId="3" fontId="6" fillId="0" borderId="28" xfId="0" applyNumberFormat="1" applyFont="1" applyFill="1" applyBorder="1" applyAlignment="1">
      <alignment horizontal="center"/>
    </xf>
    <xf numFmtId="10" fontId="7" fillId="0" borderId="28" xfId="10" applyNumberFormat="1" applyFont="1" applyFill="1" applyBorder="1"/>
    <xf numFmtId="10" fontId="7" fillId="0" borderId="28" xfId="10" applyNumberFormat="1" applyFont="1" applyFill="1" applyBorder="1" applyAlignment="1">
      <alignment horizontal="right"/>
    </xf>
    <xf numFmtId="10" fontId="7" fillId="7" borderId="25" xfId="10" applyNumberFormat="1" applyFont="1" applyFill="1" applyBorder="1" applyAlignment="1">
      <alignment horizontal="right"/>
    </xf>
    <xf numFmtId="10" fontId="7" fillId="7" borderId="27" xfId="10" applyNumberFormat="1" applyFont="1" applyFill="1" applyBorder="1" applyAlignment="1">
      <alignment horizontal="center"/>
    </xf>
    <xf numFmtId="10" fontId="7" fillId="7" borderId="28" xfId="10" applyNumberFormat="1" applyFont="1" applyFill="1" applyBorder="1" applyAlignment="1">
      <alignment horizontal="right"/>
    </xf>
    <xf numFmtId="0" fontId="7" fillId="18" borderId="0" xfId="0" applyFont="1" applyFill="1" applyAlignment="1">
      <alignment horizontal="center"/>
    </xf>
    <xf numFmtId="0" fontId="7" fillId="18" borderId="24" xfId="0" applyFont="1" applyFill="1" applyBorder="1"/>
    <xf numFmtId="3" fontId="6" fillId="18" borderId="25" xfId="0" applyNumberFormat="1" applyFont="1" applyFill="1" applyBorder="1" applyAlignment="1">
      <alignment horizontal="right"/>
    </xf>
    <xf numFmtId="3" fontId="6" fillId="18" borderId="26" xfId="0" applyNumberFormat="1" applyFont="1" applyFill="1" applyBorder="1" applyAlignment="1">
      <alignment horizontal="right"/>
    </xf>
    <xf numFmtId="3" fontId="6" fillId="18" borderId="27" xfId="0" applyNumberFormat="1" applyFont="1" applyFill="1" applyBorder="1" applyAlignment="1">
      <alignment horizontal="right"/>
    </xf>
    <xf numFmtId="3" fontId="6" fillId="18" borderId="28" xfId="0" applyNumberFormat="1" applyFont="1" applyFill="1" applyBorder="1" applyAlignment="1">
      <alignment horizontal="center"/>
    </xf>
    <xf numFmtId="0" fontId="0" fillId="18" borderId="0" xfId="0" applyFill="1"/>
    <xf numFmtId="3" fontId="6" fillId="6" borderId="41" xfId="0" applyNumberFormat="1" applyFont="1" applyFill="1" applyBorder="1" applyAlignment="1">
      <alignment horizontal="center"/>
    </xf>
    <xf numFmtId="172" fontId="0" fillId="0" borderId="0" xfId="10" applyNumberFormat="1" applyFont="1" applyFill="1"/>
    <xf numFmtId="10" fontId="0" fillId="0" borderId="0" xfId="10" applyNumberFormat="1" applyFont="1" applyFill="1" applyAlignment="1">
      <alignment horizontal="right"/>
    </xf>
    <xf numFmtId="171" fontId="0" fillId="0" borderId="0" xfId="10" applyNumberFormat="1" applyFont="1" applyFill="1"/>
    <xf numFmtId="0" fontId="7" fillId="18" borderId="24" xfId="0" applyFont="1" applyFill="1" applyBorder="1" applyAlignment="1"/>
    <xf numFmtId="0" fontId="7" fillId="18" borderId="29" xfId="0" applyFont="1" applyFill="1" applyBorder="1"/>
    <xf numFmtId="170" fontId="13" fillId="11" borderId="45" xfId="0" applyNumberFormat="1" applyFont="1" applyFill="1" applyBorder="1" applyAlignment="1">
      <alignment horizontal="right"/>
    </xf>
    <xf numFmtId="0" fontId="12" fillId="9" borderId="54" xfId="0" applyFont="1" applyFill="1" applyBorder="1" applyAlignment="1">
      <alignment horizontal="center" vertical="center"/>
    </xf>
    <xf numFmtId="3" fontId="3" fillId="14" borderId="34" xfId="0" applyNumberFormat="1" applyFont="1" applyFill="1" applyBorder="1" applyAlignment="1">
      <alignment vertical="center"/>
    </xf>
    <xf numFmtId="3" fontId="3" fillId="14" borderId="11" xfId="0" applyNumberFormat="1" applyFont="1" applyFill="1" applyBorder="1" applyAlignment="1">
      <alignment vertical="center"/>
    </xf>
    <xf numFmtId="4" fontId="3" fillId="14" borderId="51" xfId="0" applyNumberFormat="1" applyFont="1" applyFill="1" applyBorder="1" applyAlignment="1">
      <alignment vertical="center"/>
    </xf>
    <xf numFmtId="4" fontId="3" fillId="14" borderId="11" xfId="0" applyNumberFormat="1" applyFont="1" applyFill="1" applyBorder="1" applyAlignment="1">
      <alignment vertical="center"/>
    </xf>
    <xf numFmtId="0" fontId="12" fillId="9" borderId="55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10" fontId="0" fillId="0" borderId="0" xfId="1" applyNumberFormat="1" applyFont="1"/>
    <xf numFmtId="10" fontId="0" fillId="0" borderId="0" xfId="0" applyNumberFormat="1"/>
    <xf numFmtId="3" fontId="21" fillId="10" borderId="42" xfId="0" applyNumberFormat="1" applyFont="1" applyFill="1" applyBorder="1"/>
    <xf numFmtId="3" fontId="21" fillId="10" borderId="25" xfId="0" applyNumberFormat="1" applyFont="1" applyFill="1" applyBorder="1"/>
    <xf numFmtId="3" fontId="21" fillId="10" borderId="26" xfId="0" applyNumberFormat="1" applyFont="1" applyFill="1" applyBorder="1"/>
    <xf numFmtId="3" fontId="21" fillId="11" borderId="25" xfId="0" applyNumberFormat="1" applyFont="1" applyFill="1" applyBorder="1"/>
    <xf numFmtId="170" fontId="22" fillId="11" borderId="43" xfId="0" applyNumberFormat="1" applyFont="1" applyFill="1" applyBorder="1" applyAlignment="1">
      <alignment horizontal="right"/>
    </xf>
    <xf numFmtId="170" fontId="22" fillId="11" borderId="45" xfId="0" applyNumberFormat="1" applyFont="1" applyFill="1" applyBorder="1" applyAlignment="1">
      <alignment horizontal="right"/>
    </xf>
    <xf numFmtId="3" fontId="21" fillId="12" borderId="43" xfId="0" applyNumberFormat="1" applyFont="1" applyFill="1" applyBorder="1"/>
    <xf numFmtId="3" fontId="21" fillId="12" borderId="45" xfId="0" applyNumberFormat="1" applyFont="1" applyFill="1" applyBorder="1"/>
    <xf numFmtId="3" fontId="21" fillId="13" borderId="43" xfId="0" applyNumberFormat="1" applyFont="1" applyFill="1" applyBorder="1"/>
    <xf numFmtId="3" fontId="21" fillId="10" borderId="43" xfId="0" applyNumberFormat="1" applyFont="1" applyFill="1" applyBorder="1"/>
    <xf numFmtId="4" fontId="0" fillId="0" borderId="0" xfId="0" applyNumberFormat="1"/>
    <xf numFmtId="4" fontId="3" fillId="0" borderId="0" xfId="0" applyNumberFormat="1" applyFont="1"/>
    <xf numFmtId="3" fontId="21" fillId="10" borderId="38" xfId="0" applyNumberFormat="1" applyFont="1" applyFill="1" applyBorder="1"/>
    <xf numFmtId="3" fontId="21" fillId="10" borderId="39" xfId="0" applyNumberFormat="1" applyFont="1" applyFill="1" applyBorder="1"/>
    <xf numFmtId="3" fontId="21" fillId="15" borderId="25" xfId="0" applyNumberFormat="1" applyFont="1" applyFill="1" applyBorder="1"/>
    <xf numFmtId="3" fontId="21" fillId="15" borderId="26" xfId="0" applyNumberFormat="1" applyFont="1" applyFill="1" applyBorder="1"/>
    <xf numFmtId="3" fontId="21" fillId="12" borderId="25" xfId="0" applyNumberFormat="1" applyFont="1" applyFill="1" applyBorder="1"/>
    <xf numFmtId="3" fontId="21" fillId="12" borderId="26" xfId="0" applyNumberFormat="1" applyFont="1" applyFill="1" applyBorder="1"/>
    <xf numFmtId="3" fontId="21" fillId="4" borderId="43" xfId="0" applyNumberFormat="1" applyFont="1" applyFill="1" applyBorder="1"/>
    <xf numFmtId="3" fontId="21" fillId="4" borderId="45" xfId="0" applyNumberFormat="1" applyFont="1" applyFill="1" applyBorder="1"/>
    <xf numFmtId="170" fontId="22" fillId="16" borderId="43" xfId="0" applyNumberFormat="1" applyFont="1" applyFill="1" applyBorder="1" applyAlignment="1">
      <alignment horizontal="right"/>
    </xf>
    <xf numFmtId="3" fontId="21" fillId="4" borderId="25" xfId="0" applyNumberFormat="1" applyFont="1" applyFill="1" applyBorder="1"/>
    <xf numFmtId="3" fontId="21" fillId="4" borderId="26" xfId="0" applyNumberFormat="1" applyFont="1" applyFill="1" applyBorder="1"/>
    <xf numFmtId="10" fontId="21" fillId="10" borderId="42" xfId="6" applyNumberFormat="1" applyFont="1" applyFill="1" applyBorder="1"/>
    <xf numFmtId="10" fontId="21" fillId="15" borderId="43" xfId="6" applyNumberFormat="1" applyFont="1" applyFill="1" applyBorder="1"/>
    <xf numFmtId="10" fontId="21" fillId="12" borderId="43" xfId="0" applyNumberFormat="1" applyFont="1" applyFill="1" applyBorder="1"/>
    <xf numFmtId="10" fontId="21" fillId="4" borderId="43" xfId="6" applyNumberFormat="1" applyFont="1" applyFill="1" applyBorder="1"/>
    <xf numFmtId="4" fontId="21" fillId="15" borderId="43" xfId="0" applyNumberFormat="1" applyFont="1" applyFill="1" applyBorder="1"/>
    <xf numFmtId="4" fontId="21" fillId="12" borderId="25" xfId="0" applyNumberFormat="1" applyFont="1" applyFill="1" applyBorder="1"/>
    <xf numFmtId="4" fontId="21" fillId="12" borderId="26" xfId="0" applyNumberFormat="1" applyFont="1" applyFill="1" applyBorder="1"/>
    <xf numFmtId="4" fontId="21" fillId="12" borderId="43" xfId="0" applyNumberFormat="1" applyFont="1" applyFill="1" applyBorder="1"/>
    <xf numFmtId="4" fontId="21" fillId="4" borderId="43" xfId="0" applyNumberFormat="1" applyFont="1" applyFill="1" applyBorder="1"/>
    <xf numFmtId="4" fontId="21" fillId="10" borderId="42" xfId="0" applyNumberFormat="1" applyFont="1" applyFill="1" applyBorder="1"/>
    <xf numFmtId="4" fontId="14" fillId="10" borderId="22" xfId="0" applyNumberFormat="1" applyFont="1" applyFill="1" applyBorder="1"/>
    <xf numFmtId="4" fontId="14" fillId="15" borderId="27" xfId="0" applyNumberFormat="1" applyFont="1" applyFill="1" applyBorder="1"/>
    <xf numFmtId="4" fontId="14" fillId="12" borderId="27" xfId="0" applyNumberFormat="1" applyFont="1" applyFill="1" applyBorder="1"/>
    <xf numFmtId="4" fontId="14" fillId="4" borderId="27" xfId="0" applyNumberFormat="1" applyFont="1" applyFill="1" applyBorder="1"/>
    <xf numFmtId="4" fontId="14" fillId="4" borderId="35" xfId="0" applyNumberFormat="1" applyFont="1" applyFill="1" applyBorder="1"/>
    <xf numFmtId="4" fontId="23" fillId="14" borderId="13" xfId="0" applyNumberFormat="1" applyFont="1" applyFill="1" applyBorder="1" applyAlignment="1">
      <alignment vertical="center"/>
    </xf>
    <xf numFmtId="0" fontId="14" fillId="0" borderId="0" xfId="0" applyFont="1"/>
    <xf numFmtId="10" fontId="14" fillId="10" borderId="42" xfId="6" applyNumberFormat="1" applyFont="1" applyFill="1" applyBorder="1"/>
    <xf numFmtId="10" fontId="14" fillId="15" borderId="43" xfId="6" applyNumberFormat="1" applyFont="1" applyFill="1" applyBorder="1"/>
    <xf numFmtId="10" fontId="14" fillId="12" borderId="43" xfId="0" applyNumberFormat="1" applyFont="1" applyFill="1" applyBorder="1"/>
    <xf numFmtId="10" fontId="14" fillId="4" borderId="43" xfId="6" applyNumberFormat="1" applyFont="1" applyFill="1" applyBorder="1"/>
    <xf numFmtId="10" fontId="23" fillId="14" borderId="46" xfId="6" applyNumberFormat="1" applyFont="1" applyFill="1" applyBorder="1" applyAlignment="1">
      <alignment vertical="center"/>
    </xf>
    <xf numFmtId="0" fontId="2" fillId="17" borderId="8" xfId="0" applyFont="1" applyFill="1" applyBorder="1" applyAlignment="1"/>
    <xf numFmtId="0" fontId="2" fillId="17" borderId="0" xfId="0" applyFont="1" applyFill="1" applyBorder="1" applyAlignment="1"/>
    <xf numFmtId="0" fontId="4" fillId="17" borderId="55" xfId="0" applyFont="1" applyFill="1" applyBorder="1" applyAlignment="1">
      <alignment horizontal="center" vertical="center"/>
    </xf>
    <xf numFmtId="0" fontId="4" fillId="17" borderId="49" xfId="0" applyFont="1" applyFill="1" applyBorder="1" applyAlignment="1">
      <alignment horizontal="center" vertical="center"/>
    </xf>
    <xf numFmtId="0" fontId="4" fillId="17" borderId="50" xfId="0" applyFont="1" applyFill="1" applyBorder="1" applyAlignment="1">
      <alignment horizontal="center" vertical="center"/>
    </xf>
    <xf numFmtId="2" fontId="24" fillId="2" borderId="25" xfId="7" applyNumberFormat="1" applyFont="1" applyFill="1" applyBorder="1" applyAlignment="1">
      <alignment horizontal="left" vertical="center"/>
    </xf>
    <xf numFmtId="3" fontId="24" fillId="2" borderId="25" xfId="7" applyNumberFormat="1" applyFont="1" applyFill="1" applyBorder="1" applyAlignment="1">
      <alignment horizontal="left" vertical="center"/>
    </xf>
    <xf numFmtId="0" fontId="24" fillId="0" borderId="25" xfId="0" applyFont="1" applyBorder="1" applyAlignment="1">
      <alignment horizontal="left" vertical="center" wrapText="1"/>
    </xf>
    <xf numFmtId="3" fontId="24" fillId="0" borderId="25" xfId="0" applyNumberFormat="1" applyFont="1" applyBorder="1" applyAlignment="1">
      <alignment horizontal="left" vertical="center" wrapText="1"/>
    </xf>
    <xf numFmtId="0" fontId="25" fillId="0" borderId="25" xfId="0" applyFont="1" applyBorder="1" applyAlignment="1">
      <alignment horizontal="left" vertical="center" wrapText="1"/>
    </xf>
    <xf numFmtId="3" fontId="25" fillId="0" borderId="25" xfId="0" applyNumberFormat="1" applyFont="1" applyBorder="1" applyAlignment="1">
      <alignment horizontal="left" vertical="center" wrapText="1"/>
    </xf>
    <xf numFmtId="10" fontId="24" fillId="0" borderId="25" xfId="0" applyNumberFormat="1" applyFont="1" applyBorder="1" applyAlignment="1">
      <alignment horizontal="left" vertical="center" wrapText="1"/>
    </xf>
    <xf numFmtId="0" fontId="14" fillId="0" borderId="25" xfId="0" applyFont="1" applyBorder="1"/>
    <xf numFmtId="3" fontId="14" fillId="0" borderId="25" xfId="0" applyNumberFormat="1" applyFont="1" applyBorder="1"/>
    <xf numFmtId="0" fontId="24" fillId="0" borderId="25" xfId="0" applyFont="1" applyFill="1" applyBorder="1" applyAlignment="1">
      <alignment vertical="center" wrapText="1"/>
    </xf>
    <xf numFmtId="3" fontId="24" fillId="0" borderId="25" xfId="0" applyNumberFormat="1" applyFont="1" applyFill="1" applyBorder="1" applyAlignment="1">
      <alignment vertical="center" wrapText="1"/>
    </xf>
    <xf numFmtId="170" fontId="14" fillId="0" borderId="25" xfId="0" applyNumberFormat="1" applyFont="1" applyBorder="1"/>
    <xf numFmtId="4" fontId="24" fillId="0" borderId="25" xfId="0" applyNumberFormat="1" applyFont="1" applyFill="1" applyBorder="1" applyAlignment="1">
      <alignment vertical="center" wrapText="1"/>
    </xf>
    <xf numFmtId="4" fontId="14" fillId="0" borderId="25" xfId="0" applyNumberFormat="1" applyFont="1" applyBorder="1"/>
    <xf numFmtId="9" fontId="0" fillId="0" borderId="0" xfId="0" applyNumberFormat="1"/>
    <xf numFmtId="3" fontId="21" fillId="10" borderId="22" xfId="0" applyNumberFormat="1" applyFont="1" applyFill="1" applyBorder="1"/>
    <xf numFmtId="4" fontId="6" fillId="6" borderId="27" xfId="0" applyNumberFormat="1" applyFont="1" applyFill="1" applyBorder="1" applyAlignment="1">
      <alignment horizontal="right"/>
    </xf>
    <xf numFmtId="3" fontId="0" fillId="10" borderId="0" xfId="0" applyNumberFormat="1" applyFill="1" applyBorder="1"/>
    <xf numFmtId="3" fontId="0" fillId="8" borderId="0" xfId="0" applyNumberFormat="1" applyFill="1" applyBorder="1"/>
    <xf numFmtId="3" fontId="14" fillId="13" borderId="0" xfId="0" applyNumberFormat="1" applyFont="1" applyFill="1"/>
    <xf numFmtId="0" fontId="14" fillId="13" borderId="0" xfId="0" applyFont="1" applyFill="1"/>
    <xf numFmtId="0" fontId="0" fillId="10" borderId="12" xfId="0" applyFill="1" applyBorder="1" applyAlignment="1">
      <alignment horizontal="center" vertical="center" wrapText="1"/>
    </xf>
    <xf numFmtId="9" fontId="0" fillId="0" borderId="0" xfId="1" applyFont="1"/>
    <xf numFmtId="3" fontId="0" fillId="18" borderId="43" xfId="0" applyNumberFormat="1" applyFill="1" applyBorder="1"/>
    <xf numFmtId="3" fontId="0" fillId="18" borderId="45" xfId="0" applyNumberFormat="1" applyFill="1" applyBorder="1"/>
    <xf numFmtId="3" fontId="21" fillId="18" borderId="43" xfId="0" applyNumberFormat="1" applyFont="1" applyFill="1" applyBorder="1"/>
    <xf numFmtId="10" fontId="0" fillId="18" borderId="0" xfId="1" applyNumberFormat="1" applyFont="1" applyFill="1"/>
    <xf numFmtId="3" fontId="3" fillId="18" borderId="1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/>
    </xf>
    <xf numFmtId="0" fontId="0" fillId="25" borderId="0" xfId="0" applyNumberFormat="1" applyFill="1" applyBorder="1" applyAlignment="1">
      <alignment horizontal="left"/>
    </xf>
    <xf numFmtId="0" fontId="0" fillId="0" borderId="0" xfId="0" applyFill="1"/>
    <xf numFmtId="0" fontId="3" fillId="25" borderId="56" xfId="0" applyFont="1" applyFill="1" applyBorder="1"/>
    <xf numFmtId="21" fontId="14" fillId="0" borderId="0" xfId="0" applyNumberFormat="1" applyFont="1" applyFill="1" applyAlignment="1">
      <alignment horizontal="left"/>
    </xf>
    <xf numFmtId="0" fontId="0" fillId="15" borderId="0" xfId="0" applyFill="1"/>
    <xf numFmtId="0" fontId="0" fillId="24" borderId="0" xfId="0" applyFill="1"/>
    <xf numFmtId="21" fontId="14" fillId="24" borderId="0" xfId="0" applyNumberFormat="1" applyFont="1" applyFill="1" applyAlignment="1">
      <alignment horizontal="left"/>
    </xf>
    <xf numFmtId="169" fontId="2" fillId="26" borderId="57" xfId="4" applyNumberFormat="1" applyFont="1" applyFill="1" applyBorder="1" applyAlignment="1" applyProtection="1">
      <alignment horizontal="center"/>
      <protection hidden="1"/>
    </xf>
    <xf numFmtId="169" fontId="0" fillId="0" borderId="0" xfId="0" applyNumberFormat="1"/>
    <xf numFmtId="0" fontId="0" fillId="4" borderId="0" xfId="0" applyFill="1"/>
    <xf numFmtId="0" fontId="0" fillId="0" borderId="25" xfId="0" applyBorder="1"/>
    <xf numFmtId="0" fontId="0" fillId="25" borderId="25" xfId="0" applyNumberFormat="1" applyFill="1" applyBorder="1" applyAlignment="1">
      <alignment horizontal="left"/>
    </xf>
    <xf numFmtId="0" fontId="0" fillId="4" borderId="25" xfId="0" applyFill="1" applyBorder="1"/>
    <xf numFmtId="0" fontId="0" fillId="0" borderId="25" xfId="0" applyFill="1" applyBorder="1"/>
    <xf numFmtId="0" fontId="0" fillId="0" borderId="30" xfId="0" applyFill="1" applyBorder="1"/>
    <xf numFmtId="0" fontId="0" fillId="4" borderId="2" xfId="0" applyFill="1" applyBorder="1"/>
    <xf numFmtId="0" fontId="0" fillId="4" borderId="3" xfId="0" applyFill="1" applyBorder="1"/>
    <xf numFmtId="0" fontId="0" fillId="0" borderId="10" xfId="0" applyBorder="1"/>
    <xf numFmtId="0" fontId="0" fillId="4" borderId="8" xfId="0" applyFill="1" applyBorder="1"/>
    <xf numFmtId="0" fontId="0" fillId="0" borderId="7" xfId="0" applyFill="1" applyBorder="1"/>
    <xf numFmtId="0" fontId="0" fillId="4" borderId="15" xfId="0" applyFill="1" applyBorder="1"/>
    <xf numFmtId="0" fontId="0" fillId="4" borderId="6" xfId="0" applyFill="1" applyBorder="1"/>
    <xf numFmtId="0" fontId="0" fillId="4" borderId="5" xfId="0" applyFill="1" applyBorder="1"/>
    <xf numFmtId="0" fontId="0" fillId="4" borderId="4" xfId="0" applyFill="1" applyBorder="1"/>
    <xf numFmtId="0" fontId="5" fillId="2" borderId="19" xfId="0" applyFont="1" applyFill="1" applyBorder="1"/>
    <xf numFmtId="3" fontId="5" fillId="2" borderId="20" xfId="0" applyNumberFormat="1" applyFont="1" applyFill="1" applyBorder="1" applyAlignment="1">
      <alignment horizontal="right"/>
    </xf>
    <xf numFmtId="3" fontId="5" fillId="2" borderId="21" xfId="0" applyNumberFormat="1" applyFont="1" applyFill="1" applyBorder="1" applyAlignment="1">
      <alignment horizontal="right"/>
    </xf>
    <xf numFmtId="3" fontId="5" fillId="2" borderId="22" xfId="0" applyNumberFormat="1" applyFont="1" applyFill="1" applyBorder="1" applyAlignment="1">
      <alignment horizontal="right"/>
    </xf>
    <xf numFmtId="4" fontId="17" fillId="0" borderId="0" xfId="11" applyNumberFormat="1" applyFont="1" applyFill="1" applyBorder="1" applyProtection="1">
      <protection locked="0"/>
    </xf>
    <xf numFmtId="0" fontId="5" fillId="2" borderId="24" xfId="0" applyFont="1" applyFill="1" applyBorder="1" applyAlignment="1"/>
    <xf numFmtId="0" fontId="5" fillId="2" borderId="24" xfId="0" applyFont="1" applyFill="1" applyBorder="1"/>
    <xf numFmtId="9" fontId="5" fillId="2" borderId="25" xfId="12" applyFont="1" applyFill="1" applyBorder="1" applyAlignment="1">
      <alignment horizontal="right"/>
    </xf>
    <xf numFmtId="9" fontId="5" fillId="2" borderId="26" xfId="12" applyFont="1" applyFill="1" applyBorder="1" applyAlignment="1">
      <alignment horizontal="right"/>
    </xf>
    <xf numFmtId="9" fontId="5" fillId="2" borderId="28" xfId="12" applyFont="1" applyFill="1" applyBorder="1" applyAlignment="1">
      <alignment horizontal="right"/>
    </xf>
    <xf numFmtId="0" fontId="5" fillId="0" borderId="24" xfId="0" applyFont="1" applyFill="1" applyBorder="1"/>
    <xf numFmtId="9" fontId="5" fillId="0" borderId="25" xfId="12" applyFont="1" applyFill="1" applyBorder="1" applyAlignment="1">
      <alignment horizontal="right"/>
    </xf>
    <xf numFmtId="9" fontId="5" fillId="0" borderId="26" xfId="12" applyFont="1" applyFill="1" applyBorder="1" applyAlignment="1">
      <alignment horizontal="right"/>
    </xf>
    <xf numFmtId="0" fontId="5" fillId="0" borderId="29" xfId="0" applyFont="1" applyFill="1" applyBorder="1"/>
    <xf numFmtId="10" fontId="5" fillId="0" borderId="30" xfId="12" applyNumberFormat="1" applyFont="1" applyFill="1" applyBorder="1" applyAlignment="1">
      <alignment horizontal="right"/>
    </xf>
    <xf numFmtId="10" fontId="5" fillId="0" borderId="31" xfId="12" applyNumberFormat="1" applyFont="1" applyFill="1" applyBorder="1" applyAlignment="1">
      <alignment horizontal="right"/>
    </xf>
    <xf numFmtId="3" fontId="5" fillId="0" borderId="25" xfId="0" applyNumberFormat="1" applyFont="1" applyFill="1" applyBorder="1" applyAlignment="1">
      <alignment horizontal="right"/>
    </xf>
    <xf numFmtId="3" fontId="5" fillId="0" borderId="26" xfId="0" applyNumberFormat="1" applyFont="1" applyFill="1" applyBorder="1" applyAlignment="1">
      <alignment horizontal="right"/>
    </xf>
    <xf numFmtId="3" fontId="5" fillId="0" borderId="27" xfId="0" applyNumberFormat="1" applyFont="1" applyFill="1" applyBorder="1" applyAlignment="1">
      <alignment horizontal="right"/>
    </xf>
    <xf numFmtId="3" fontId="5" fillId="2" borderId="25" xfId="0" applyNumberFormat="1" applyFont="1" applyFill="1" applyBorder="1" applyAlignment="1">
      <alignment horizontal="right"/>
    </xf>
    <xf numFmtId="3" fontId="5" fillId="2" borderId="26" xfId="0" applyNumberFormat="1" applyFont="1" applyFill="1" applyBorder="1" applyAlignment="1">
      <alignment horizontal="right"/>
    </xf>
    <xf numFmtId="3" fontId="5" fillId="2" borderId="27" xfId="0" applyNumberFormat="1" applyFont="1" applyFill="1" applyBorder="1" applyAlignment="1">
      <alignment horizontal="right"/>
    </xf>
    <xf numFmtId="164" fontId="0" fillId="0" borderId="0" xfId="10" applyNumberFormat="1" applyFont="1" applyBorder="1"/>
    <xf numFmtId="2" fontId="0" fillId="0" borderId="0" xfId="0" applyNumberFormat="1" applyBorder="1"/>
    <xf numFmtId="10" fontId="5" fillId="0" borderId="25" xfId="12" applyNumberFormat="1" applyFont="1" applyFill="1" applyBorder="1" applyAlignment="1">
      <alignment horizontal="right"/>
    </xf>
    <xf numFmtId="10" fontId="5" fillId="0" borderId="26" xfId="12" applyNumberFormat="1" applyFont="1" applyFill="1" applyBorder="1" applyAlignment="1">
      <alignment horizontal="right"/>
    </xf>
    <xf numFmtId="3" fontId="6" fillId="27" borderId="25" xfId="0" applyNumberFormat="1" applyFont="1" applyFill="1" applyBorder="1" applyAlignment="1">
      <alignment horizontal="right"/>
    </xf>
    <xf numFmtId="3" fontId="6" fillId="27" borderId="27" xfId="0" applyNumberFormat="1" applyFont="1" applyFill="1" applyBorder="1" applyAlignment="1">
      <alignment horizontal="right"/>
    </xf>
    <xf numFmtId="3" fontId="6" fillId="27" borderId="28" xfId="0" applyNumberFormat="1" applyFont="1" applyFill="1" applyBorder="1" applyAlignment="1">
      <alignment horizontal="center"/>
    </xf>
    <xf numFmtId="2" fontId="5" fillId="0" borderId="25" xfId="0" applyNumberFormat="1" applyFont="1" applyFill="1" applyBorder="1" applyAlignment="1">
      <alignment horizontal="right"/>
    </xf>
    <xf numFmtId="2" fontId="5" fillId="0" borderId="26" xfId="0" applyNumberFormat="1" applyFont="1" applyFill="1" applyBorder="1" applyAlignment="1">
      <alignment horizontal="right"/>
    </xf>
    <xf numFmtId="2" fontId="5" fillId="0" borderId="28" xfId="0" applyNumberFormat="1" applyFont="1" applyFill="1" applyBorder="1" applyAlignment="1">
      <alignment horizontal="right"/>
    </xf>
    <xf numFmtId="0" fontId="5" fillId="0" borderId="32" xfId="0" applyFont="1" applyFill="1" applyBorder="1"/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/>
    <xf numFmtId="1" fontId="5" fillId="0" borderId="0" xfId="0" applyNumberFormat="1" applyFont="1" applyFill="1" applyBorder="1"/>
    <xf numFmtId="0" fontId="5" fillId="2" borderId="0" xfId="0" applyFont="1" applyFill="1" applyBorder="1"/>
    <xf numFmtId="1" fontId="5" fillId="2" borderId="0" xfId="0" applyNumberFormat="1" applyFont="1" applyFill="1" applyBorder="1" applyAlignment="1">
      <alignment horizontal="right"/>
    </xf>
    <xf numFmtId="3" fontId="5" fillId="0" borderId="22" xfId="0" applyNumberFormat="1" applyFont="1" applyFill="1" applyBorder="1" applyAlignment="1">
      <alignment horizontal="right"/>
    </xf>
    <xf numFmtId="3" fontId="5" fillId="0" borderId="22" xfId="0" applyNumberFormat="1" applyFont="1" applyFill="1" applyBorder="1" applyAlignment="1">
      <alignment horizontal="center"/>
    </xf>
    <xf numFmtId="10" fontId="0" fillId="0" borderId="0" xfId="10" applyNumberFormat="1" applyFont="1" applyBorder="1"/>
    <xf numFmtId="9" fontId="0" fillId="0" borderId="0" xfId="10" applyFont="1" applyBorder="1"/>
    <xf numFmtId="9" fontId="5" fillId="0" borderId="27" xfId="12" applyFont="1" applyFill="1" applyBorder="1" applyAlignment="1">
      <alignment horizontal="right"/>
    </xf>
    <xf numFmtId="3" fontId="6" fillId="4" borderId="58" xfId="0" applyNumberFormat="1" applyFont="1" applyFill="1" applyBorder="1" applyAlignment="1">
      <alignment horizontal="right"/>
    </xf>
    <xf numFmtId="3" fontId="5" fillId="0" borderId="20" xfId="0" applyNumberFormat="1" applyFont="1" applyFill="1" applyBorder="1" applyAlignment="1">
      <alignment horizontal="right"/>
    </xf>
    <xf numFmtId="3" fontId="5" fillId="0" borderId="27" xfId="0" applyNumberFormat="1" applyFont="1" applyFill="1" applyBorder="1" applyAlignment="1">
      <alignment horizontal="center"/>
    </xf>
    <xf numFmtId="10" fontId="5" fillId="0" borderId="25" xfId="10" applyNumberFormat="1" applyFont="1" applyFill="1" applyBorder="1" applyAlignment="1">
      <alignment horizontal="right"/>
    </xf>
    <xf numFmtId="10" fontId="5" fillId="0" borderId="26" xfId="10" applyNumberFormat="1" applyFont="1" applyFill="1" applyBorder="1" applyAlignment="1">
      <alignment horizontal="right"/>
    </xf>
    <xf numFmtId="2" fontId="5" fillId="0" borderId="27" xfId="12" applyNumberFormat="1" applyFont="1" applyFill="1" applyBorder="1" applyAlignment="1">
      <alignment horizontal="right"/>
    </xf>
    <xf numFmtId="0" fontId="5" fillId="0" borderId="0" xfId="0" applyFont="1" applyFill="1"/>
    <xf numFmtId="1" fontId="5" fillId="0" borderId="0" xfId="0" applyNumberFormat="1" applyFont="1" applyFill="1" applyAlignment="1">
      <alignment horizontal="right"/>
    </xf>
    <xf numFmtId="1" fontId="5" fillId="2" borderId="0" xfId="0" applyNumberFormat="1" applyFont="1" applyFill="1"/>
    <xf numFmtId="1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37" xfId="0" applyFont="1" applyFill="1" applyBorder="1"/>
    <xf numFmtId="3" fontId="5" fillId="0" borderId="38" xfId="0" applyNumberFormat="1" applyFont="1" applyFill="1" applyBorder="1" applyAlignment="1">
      <alignment horizontal="right"/>
    </xf>
    <xf numFmtId="0" fontId="5" fillId="0" borderId="24" xfId="0" applyFont="1" applyFill="1" applyBorder="1" applyAlignment="1"/>
    <xf numFmtId="9" fontId="5" fillId="0" borderId="25" xfId="10" applyNumberFormat="1" applyFont="1" applyFill="1" applyBorder="1" applyAlignment="1">
      <alignment horizontal="right"/>
    </xf>
    <xf numFmtId="9" fontId="5" fillId="0" borderId="25" xfId="10" applyFont="1" applyFill="1" applyBorder="1" applyAlignment="1">
      <alignment horizontal="right"/>
    </xf>
    <xf numFmtId="9" fontId="5" fillId="0" borderId="26" xfId="10" applyFont="1" applyFill="1" applyBorder="1" applyAlignment="1">
      <alignment horizontal="right"/>
    </xf>
    <xf numFmtId="9" fontId="5" fillId="0" borderId="27" xfId="10" applyFont="1" applyFill="1" applyBorder="1" applyAlignment="1">
      <alignment horizontal="right"/>
    </xf>
    <xf numFmtId="10" fontId="5" fillId="0" borderId="27" xfId="10" applyNumberFormat="1" applyFont="1" applyFill="1" applyBorder="1" applyAlignment="1">
      <alignment horizontal="right"/>
    </xf>
    <xf numFmtId="165" fontId="6" fillId="4" borderId="25" xfId="0" applyNumberFormat="1" applyFont="1" applyFill="1" applyBorder="1" applyAlignment="1">
      <alignment horizontal="right"/>
    </xf>
    <xf numFmtId="0" fontId="5" fillId="0" borderId="19" xfId="0" applyFont="1" applyFill="1" applyBorder="1"/>
    <xf numFmtId="3" fontId="5" fillId="0" borderId="40" xfId="0" applyNumberFormat="1" applyFont="1" applyFill="1" applyBorder="1" applyAlignment="1">
      <alignment horizontal="center"/>
    </xf>
    <xf numFmtId="9" fontId="5" fillId="0" borderId="26" xfId="10" applyNumberFormat="1" applyFont="1" applyFill="1" applyBorder="1" applyAlignment="1">
      <alignment horizontal="right"/>
    </xf>
    <xf numFmtId="3" fontId="5" fillId="2" borderId="27" xfId="0" applyNumberFormat="1" applyFont="1" applyFill="1" applyBorder="1" applyAlignment="1">
      <alignment horizontal="center"/>
    </xf>
    <xf numFmtId="2" fontId="5" fillId="0" borderId="25" xfId="12" applyNumberFormat="1" applyFont="1" applyFill="1" applyBorder="1" applyAlignment="1">
      <alignment horizontal="right"/>
    </xf>
    <xf numFmtId="2" fontId="5" fillId="0" borderId="26" xfId="12" applyNumberFormat="1" applyFont="1" applyFill="1" applyBorder="1" applyAlignment="1">
      <alignment horizontal="right"/>
    </xf>
    <xf numFmtId="9" fontId="5" fillId="0" borderId="0" xfId="12" applyFont="1" applyFill="1" applyBorder="1" applyAlignment="1">
      <alignment horizontal="right"/>
    </xf>
    <xf numFmtId="173" fontId="5" fillId="0" borderId="0" xfId="0" applyNumberFormat="1" applyFont="1" applyFill="1" applyAlignment="1">
      <alignment horizontal="right"/>
    </xf>
    <xf numFmtId="3" fontId="5" fillId="0" borderId="23" xfId="0" applyNumberFormat="1" applyFont="1" applyFill="1" applyBorder="1" applyAlignment="1">
      <alignment horizontal="center"/>
    </xf>
    <xf numFmtId="10" fontId="5" fillId="0" borderId="28" xfId="12" applyNumberFormat="1" applyFont="1" applyFill="1" applyBorder="1" applyAlignment="1">
      <alignment horizontal="right"/>
    </xf>
    <xf numFmtId="3" fontId="5" fillId="0" borderId="28" xfId="0" applyNumberFormat="1" applyFont="1" applyFill="1" applyBorder="1" applyAlignment="1">
      <alignment horizontal="center"/>
    </xf>
    <xf numFmtId="3" fontId="0" fillId="2" borderId="0" xfId="0" applyNumberFormat="1" applyFill="1" applyAlignment="1">
      <alignment horizontal="right"/>
    </xf>
    <xf numFmtId="1" fontId="0" fillId="2" borderId="0" xfId="0" applyNumberFormat="1" applyFill="1" applyAlignment="1">
      <alignment horizontal="right"/>
    </xf>
    <xf numFmtId="2" fontId="0" fillId="2" borderId="0" xfId="0" applyNumberFormat="1" applyFill="1" applyAlignment="1">
      <alignment horizontal="right"/>
    </xf>
    <xf numFmtId="175" fontId="0" fillId="2" borderId="0" xfId="0" applyNumberFormat="1" applyFill="1" applyAlignment="1">
      <alignment horizontal="right"/>
    </xf>
    <xf numFmtId="172" fontId="0" fillId="2" borderId="0" xfId="10" applyNumberFormat="1" applyFont="1" applyFill="1"/>
    <xf numFmtId="10" fontId="0" fillId="2" borderId="0" xfId="10" applyNumberFormat="1" applyFont="1" applyFill="1" applyAlignment="1">
      <alignment horizontal="right"/>
    </xf>
    <xf numFmtId="10" fontId="26" fillId="2" borderId="0" xfId="10" applyNumberFormat="1" applyFont="1" applyFill="1" applyAlignment="1">
      <alignment horizontal="right"/>
    </xf>
    <xf numFmtId="174" fontId="0" fillId="2" borderId="0" xfId="0" applyNumberFormat="1" applyFill="1" applyAlignment="1">
      <alignment horizontal="right"/>
    </xf>
    <xf numFmtId="174" fontId="26" fillId="2" borderId="0" xfId="0" applyNumberFormat="1" applyFont="1" applyFill="1" applyAlignment="1">
      <alignment horizontal="right"/>
    </xf>
    <xf numFmtId="171" fontId="0" fillId="2" borderId="0" xfId="10" applyNumberFormat="1" applyFont="1" applyFill="1"/>
    <xf numFmtId="173" fontId="0" fillId="2" borderId="0" xfId="0" applyNumberFormat="1" applyFill="1"/>
    <xf numFmtId="165" fontId="0" fillId="0" borderId="0" xfId="0" applyNumberFormat="1" applyBorder="1"/>
    <xf numFmtId="0" fontId="3" fillId="0" borderId="0" xfId="0" applyFont="1" applyFill="1" applyBorder="1" applyAlignment="1">
      <alignment horizontal="center"/>
    </xf>
    <xf numFmtId="0" fontId="6" fillId="2" borderId="24" xfId="0" applyFont="1" applyFill="1" applyBorder="1"/>
    <xf numFmtId="10" fontId="6" fillId="19" borderId="25" xfId="10" applyNumberFormat="1" applyFont="1" applyFill="1" applyBorder="1" applyAlignment="1">
      <alignment horizontal="right"/>
    </xf>
    <xf numFmtId="10" fontId="10" fillId="19" borderId="25" xfId="10" applyNumberFormat="1" applyFont="1" applyFill="1" applyBorder="1" applyAlignment="1">
      <alignment horizontal="right"/>
    </xf>
    <xf numFmtId="1" fontId="3" fillId="11" borderId="27" xfId="0" applyNumberFormat="1" applyFont="1" applyFill="1" applyBorder="1" applyAlignment="1">
      <alignment horizontal="center"/>
    </xf>
    <xf numFmtId="10" fontId="6" fillId="11" borderId="28" xfId="10" applyNumberFormat="1" applyFont="1" applyFill="1" applyBorder="1" applyAlignment="1">
      <alignment horizontal="right"/>
    </xf>
    <xf numFmtId="0" fontId="3" fillId="0" borderId="0" xfId="0" applyFont="1" applyBorder="1"/>
    <xf numFmtId="3" fontId="6" fillId="6" borderId="58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" fontId="3" fillId="11" borderId="9" xfId="0" applyNumberFormat="1" applyFont="1" applyFill="1" applyBorder="1" applyAlignment="1">
      <alignment horizontal="center"/>
    </xf>
    <xf numFmtId="10" fontId="6" fillId="11" borderId="27" xfId="10" applyNumberFormat="1" applyFont="1" applyFill="1" applyBorder="1" applyAlignment="1">
      <alignment horizontal="right"/>
    </xf>
    <xf numFmtId="10" fontId="3" fillId="0" borderId="0" xfId="10" applyNumberFormat="1" applyFont="1" applyBorder="1"/>
    <xf numFmtId="1" fontId="3" fillId="11" borderId="7" xfId="0" applyNumberFormat="1" applyFont="1" applyFill="1" applyBorder="1" applyAlignment="1">
      <alignment horizontal="center"/>
    </xf>
    <xf numFmtId="174" fontId="0" fillId="0" borderId="0" xfId="0" applyNumberFormat="1" applyBorder="1"/>
    <xf numFmtId="10" fontId="27" fillId="0" borderId="25" xfId="10" applyNumberFormat="1" applyFont="1" applyFill="1" applyBorder="1" applyAlignment="1">
      <alignment horizontal="right"/>
    </xf>
    <xf numFmtId="175" fontId="0" fillId="0" borderId="0" xfId="0" applyNumberFormat="1" applyBorder="1"/>
    <xf numFmtId="0" fontId="10" fillId="0" borderId="0" xfId="0" applyFont="1" applyFill="1" applyAlignment="1">
      <alignment horizontal="center" vertical="center"/>
    </xf>
    <xf numFmtId="0" fontId="10" fillId="2" borderId="24" xfId="0" applyFont="1" applyFill="1" applyBorder="1" applyAlignment="1">
      <alignment vertical="center"/>
    </xf>
    <xf numFmtId="10" fontId="10" fillId="7" borderId="25" xfId="10" applyNumberFormat="1" applyFont="1" applyFill="1" applyBorder="1" applyAlignment="1">
      <alignment horizontal="right" vertical="center"/>
    </xf>
    <xf numFmtId="10" fontId="10" fillId="7" borderId="27" xfId="10" applyNumberFormat="1" applyFont="1" applyFill="1" applyBorder="1" applyAlignment="1">
      <alignment horizontal="center" vertical="center"/>
    </xf>
    <xf numFmtId="10" fontId="10" fillId="7" borderId="28" xfId="1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73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3" fontId="14" fillId="10" borderId="42" xfId="0" applyNumberFormat="1" applyFont="1" applyFill="1" applyBorder="1"/>
    <xf numFmtId="3" fontId="14" fillId="10" borderId="43" xfId="0" applyNumberFormat="1" applyFont="1" applyFill="1" applyBorder="1"/>
    <xf numFmtId="170" fontId="28" fillId="11" borderId="43" xfId="0" applyNumberFormat="1" applyFont="1" applyFill="1" applyBorder="1" applyAlignment="1">
      <alignment horizontal="right"/>
    </xf>
    <xf numFmtId="3" fontId="29" fillId="11" borderId="25" xfId="0" applyNumberFormat="1" applyFont="1" applyFill="1" applyBorder="1"/>
    <xf numFmtId="3" fontId="14" fillId="12" borderId="43" xfId="0" applyNumberFormat="1" applyFont="1" applyFill="1" applyBorder="1"/>
    <xf numFmtId="3" fontId="14" fillId="13" borderId="43" xfId="0" applyNumberFormat="1" applyFont="1" applyFill="1" applyBorder="1"/>
    <xf numFmtId="3" fontId="14" fillId="15" borderId="43" xfId="0" applyNumberFormat="1" applyFont="1" applyFill="1" applyBorder="1"/>
    <xf numFmtId="3" fontId="14" fillId="4" borderId="43" xfId="0" applyNumberFormat="1" applyFont="1" applyFill="1" applyBorder="1"/>
    <xf numFmtId="0" fontId="16" fillId="0" borderId="0" xfId="0" applyFont="1" applyBorder="1" applyAlignment="1">
      <alignment horizontal="center" vertical="center"/>
    </xf>
    <xf numFmtId="0" fontId="12" fillId="9" borderId="9" xfId="0" applyFont="1" applyFill="1" applyBorder="1" applyAlignment="1">
      <alignment horizontal="center" vertical="center"/>
    </xf>
    <xf numFmtId="3" fontId="21" fillId="15" borderId="43" xfId="0" applyNumberFormat="1" applyFont="1" applyFill="1" applyBorder="1"/>
    <xf numFmtId="10" fontId="5" fillId="2" borderId="28" xfId="12" applyNumberFormat="1" applyFont="1" applyFill="1" applyBorder="1" applyAlignment="1">
      <alignment horizontal="right"/>
    </xf>
    <xf numFmtId="10" fontId="5" fillId="19" borderId="25" xfId="10" applyNumberFormat="1" applyFont="1" applyFill="1" applyBorder="1" applyAlignment="1">
      <alignment horizontal="right"/>
    </xf>
    <xf numFmtId="10" fontId="5" fillId="11" borderId="28" xfId="10" applyNumberFormat="1" applyFont="1" applyFill="1" applyBorder="1" applyAlignment="1">
      <alignment horizontal="right"/>
    </xf>
    <xf numFmtId="10" fontId="5" fillId="0" borderId="27" xfId="12" applyNumberFormat="1" applyFont="1" applyFill="1" applyBorder="1" applyAlignment="1">
      <alignment horizontal="right"/>
    </xf>
    <xf numFmtId="3" fontId="6" fillId="27" borderId="27" xfId="0" applyNumberFormat="1" applyFont="1" applyFill="1" applyBorder="1" applyAlignment="1">
      <alignment horizontal="center"/>
    </xf>
    <xf numFmtId="10" fontId="5" fillId="11" borderId="27" xfId="10" applyNumberFormat="1" applyFont="1" applyFill="1" applyBorder="1" applyAlignment="1">
      <alignment horizontal="right"/>
    </xf>
    <xf numFmtId="3" fontId="6" fillId="6" borderId="9" xfId="0" applyNumberFormat="1" applyFont="1" applyFill="1" applyBorder="1" applyAlignment="1">
      <alignment horizontal="center"/>
    </xf>
    <xf numFmtId="9" fontId="5" fillId="0" borderId="25" xfId="6" applyNumberFormat="1" applyFont="1" applyFill="1" applyBorder="1" applyAlignment="1">
      <alignment horizontal="right"/>
    </xf>
    <xf numFmtId="9" fontId="5" fillId="0" borderId="25" xfId="6" applyFont="1" applyFill="1" applyBorder="1" applyAlignment="1">
      <alignment horizontal="right"/>
    </xf>
    <xf numFmtId="9" fontId="5" fillId="0" borderId="26" xfId="6" applyFont="1" applyFill="1" applyBorder="1" applyAlignment="1">
      <alignment horizontal="right"/>
    </xf>
    <xf numFmtId="9" fontId="5" fillId="0" borderId="36" xfId="6" applyFont="1" applyFill="1" applyBorder="1" applyAlignment="1">
      <alignment horizontal="right"/>
    </xf>
    <xf numFmtId="10" fontId="5" fillId="0" borderId="36" xfId="12" applyNumberFormat="1" applyFont="1" applyFill="1" applyBorder="1" applyAlignment="1">
      <alignment horizontal="right"/>
    </xf>
    <xf numFmtId="10" fontId="5" fillId="0" borderId="25" xfId="6" applyNumberFormat="1" applyFont="1" applyFill="1" applyBorder="1" applyAlignment="1">
      <alignment horizontal="right"/>
    </xf>
    <xf numFmtId="10" fontId="5" fillId="0" borderId="26" xfId="6" applyNumberFormat="1" applyFont="1" applyFill="1" applyBorder="1" applyAlignment="1">
      <alignment horizontal="right"/>
    </xf>
    <xf numFmtId="10" fontId="5" fillId="0" borderId="36" xfId="6" applyNumberFormat="1" applyFont="1" applyFill="1" applyBorder="1" applyAlignment="1">
      <alignment horizontal="right"/>
    </xf>
    <xf numFmtId="10" fontId="5" fillId="19" borderId="25" xfId="6" applyNumberFormat="1" applyFont="1" applyFill="1" applyBorder="1" applyAlignment="1">
      <alignment horizontal="right"/>
    </xf>
    <xf numFmtId="10" fontId="5" fillId="11" borderId="25" xfId="6" applyNumberFormat="1" applyFont="1" applyFill="1" applyBorder="1" applyAlignment="1">
      <alignment horizontal="right"/>
    </xf>
    <xf numFmtId="10" fontId="5" fillId="11" borderId="26" xfId="6" applyNumberFormat="1" applyFont="1" applyFill="1" applyBorder="1" applyAlignment="1">
      <alignment horizontal="right"/>
    </xf>
    <xf numFmtId="10" fontId="5" fillId="11" borderId="36" xfId="6" applyNumberFormat="1" applyFont="1" applyFill="1" applyBorder="1" applyAlignment="1">
      <alignment horizontal="right"/>
    </xf>
    <xf numFmtId="2" fontId="5" fillId="0" borderId="36" xfId="0" applyNumberFormat="1" applyFont="1" applyFill="1" applyBorder="1" applyAlignment="1">
      <alignment horizontal="right"/>
    </xf>
    <xf numFmtId="2" fontId="0" fillId="0" borderId="0" xfId="0" applyNumberFormat="1"/>
    <xf numFmtId="176" fontId="0" fillId="0" borderId="0" xfId="0" applyNumberFormat="1"/>
    <xf numFmtId="0" fontId="6" fillId="3" borderId="15" xfId="2" applyFont="1" applyFill="1" applyBorder="1" applyAlignment="1">
      <alignment horizontal="center"/>
    </xf>
    <xf numFmtId="0" fontId="6" fillId="3" borderId="6" xfId="2" applyFont="1" applyFill="1" applyBorder="1" applyAlignment="1">
      <alignment horizontal="center"/>
    </xf>
    <xf numFmtId="0" fontId="6" fillId="3" borderId="5" xfId="2" applyFont="1" applyFill="1" applyBorder="1" applyAlignment="1">
      <alignment horizontal="center"/>
    </xf>
    <xf numFmtId="0" fontId="6" fillId="2" borderId="0" xfId="2" applyFont="1" applyFill="1" applyAlignment="1">
      <alignment horizontal="center"/>
    </xf>
    <xf numFmtId="0" fontId="6" fillId="3" borderId="1" xfId="2" applyFont="1" applyFill="1" applyBorder="1" applyAlignment="1">
      <alignment horizontal="center"/>
    </xf>
    <xf numFmtId="0" fontId="6" fillId="3" borderId="2" xfId="2" applyFont="1" applyFill="1" applyBorder="1" applyAlignment="1">
      <alignment horizontal="center"/>
    </xf>
    <xf numFmtId="0" fontId="6" fillId="3" borderId="3" xfId="2" applyFont="1" applyFill="1" applyBorder="1" applyAlignment="1">
      <alignment horizontal="center"/>
    </xf>
    <xf numFmtId="0" fontId="6" fillId="0" borderId="0" xfId="2" applyFont="1" applyFill="1" applyAlignment="1">
      <alignment horizontal="center"/>
    </xf>
    <xf numFmtId="0" fontId="10" fillId="0" borderId="15" xfId="2" applyFont="1" applyFill="1" applyBorder="1" applyAlignment="1">
      <alignment horizontal="center"/>
    </xf>
    <xf numFmtId="0" fontId="10" fillId="0" borderId="6" xfId="2" applyFont="1" applyFill="1" applyBorder="1" applyAlignment="1">
      <alignment horizontal="center"/>
    </xf>
    <xf numFmtId="0" fontId="10" fillId="0" borderId="5" xfId="2" applyFont="1" applyFill="1" applyBorder="1" applyAlignment="1">
      <alignment horizontal="center"/>
    </xf>
    <xf numFmtId="0" fontId="6" fillId="0" borderId="15" xfId="2" applyFont="1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18" borderId="25" xfId="0" applyFill="1" applyBorder="1" applyAlignment="1">
      <alignment horizontal="center"/>
    </xf>
    <xf numFmtId="0" fontId="14" fillId="10" borderId="8" xfId="0" applyFont="1" applyFill="1" applyBorder="1" applyAlignment="1">
      <alignment horizontal="center" vertical="center" wrapText="1"/>
    </xf>
    <xf numFmtId="0" fontId="14" fillId="10" borderId="7" xfId="0" applyFont="1" applyFill="1" applyBorder="1" applyAlignment="1">
      <alignment horizontal="center" vertical="center"/>
    </xf>
    <xf numFmtId="0" fontId="3" fillId="14" borderId="15" xfId="0" applyFont="1" applyFill="1" applyBorder="1" applyAlignment="1">
      <alignment horizontal="left" vertical="center" wrapText="1"/>
    </xf>
    <xf numFmtId="0" fontId="3" fillId="14" borderId="5" xfId="0" applyFont="1" applyFill="1" applyBorder="1" applyAlignment="1">
      <alignment horizontal="left" vertical="center" wrapText="1"/>
    </xf>
    <xf numFmtId="0" fontId="11" fillId="8" borderId="0" xfId="0" applyFont="1" applyFill="1" applyAlignment="1">
      <alignment horizontal="center"/>
    </xf>
    <xf numFmtId="0" fontId="3" fillId="14" borderId="14" xfId="0" applyFont="1" applyFill="1" applyBorder="1" applyAlignment="1">
      <alignment horizontal="left" vertical="center" wrapText="1"/>
    </xf>
    <xf numFmtId="0" fontId="0" fillId="10" borderId="8" xfId="0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10" borderId="12" xfId="0" applyFill="1" applyBorder="1" applyAlignment="1">
      <alignment horizontal="center" vertical="center" wrapText="1"/>
    </xf>
    <xf numFmtId="0" fontId="0" fillId="24" borderId="25" xfId="0" applyFill="1" applyBorder="1" applyAlignment="1">
      <alignment horizontal="center"/>
    </xf>
    <xf numFmtId="0" fontId="0" fillId="24" borderId="30" xfId="0" applyFill="1" applyBorder="1" applyAlignment="1">
      <alignment horizontal="center"/>
    </xf>
    <xf numFmtId="0" fontId="0" fillId="23" borderId="25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18" borderId="9" xfId="0" applyFill="1" applyBorder="1" applyAlignment="1">
      <alignment horizontal="center" vertical="center" wrapText="1"/>
    </xf>
    <xf numFmtId="0" fontId="0" fillId="18" borderId="10" xfId="0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7" borderId="26" xfId="0" applyFill="1" applyBorder="1" applyAlignment="1">
      <alignment horizontal="center"/>
    </xf>
    <xf numFmtId="0" fontId="0" fillId="7" borderId="45" xfId="0" applyFill="1" applyBorder="1" applyAlignment="1">
      <alignment horizontal="center"/>
    </xf>
    <xf numFmtId="43" fontId="0" fillId="0" borderId="25" xfId="13" applyFont="1" applyBorder="1"/>
    <xf numFmtId="43" fontId="3" fillId="0" borderId="25" xfId="13" applyFont="1" applyBorder="1"/>
  </cellXfs>
  <cellStyles count="14">
    <cellStyle name="Encabezado 4 2" xfId="9"/>
    <cellStyle name="Millares" xfId="13" builtinId="3"/>
    <cellStyle name="Millares 11" xfId="8"/>
    <cellStyle name="Millares 11 2" xfId="11"/>
    <cellStyle name="Millares 2" xfId="4"/>
    <cellStyle name="Normal" xfId="0" builtinId="0"/>
    <cellStyle name="Normal 2" xfId="2"/>
    <cellStyle name="Normal 2 2" xfId="7"/>
    <cellStyle name="Porcentaje" xfId="1" builtinId="5"/>
    <cellStyle name="Porcentaje 2" xfId="3"/>
    <cellStyle name="Porcentaje 2 2" xfId="10"/>
    <cellStyle name="Porcentaje 3" xfId="6"/>
    <cellStyle name="Porcentual 2" xfId="5"/>
    <cellStyle name="Porcentual 2 2" xfId="12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  <dxf>
      <fill>
        <patternFill patternType="solid"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Participación Energía Eólica anual 2014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Hoja2!$C$5</c:f>
              <c:strCache>
                <c:ptCount val="1"/>
                <c:pt idx="0">
                  <c:v>Energía Térmica - Diesel (kWh)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Hoja2!$D$5:$O$5</c:f>
              <c:numCache>
                <c:formatCode>General</c:formatCode>
                <c:ptCount val="12"/>
                <c:pt idx="0">
                  <c:v>889519</c:v>
                </c:pt>
                <c:pt idx="1">
                  <c:v>967287</c:v>
                </c:pt>
                <c:pt idx="2">
                  <c:v>1262791</c:v>
                </c:pt>
                <c:pt idx="3">
                  <c:v>987586.5</c:v>
                </c:pt>
                <c:pt idx="4">
                  <c:v>878566</c:v>
                </c:pt>
                <c:pt idx="5">
                  <c:v>736228</c:v>
                </c:pt>
                <c:pt idx="6">
                  <c:v>641683</c:v>
                </c:pt>
                <c:pt idx="7">
                  <c:v>706460</c:v>
                </c:pt>
                <c:pt idx="8">
                  <c:v>488772</c:v>
                </c:pt>
                <c:pt idx="9">
                  <c:v>632074</c:v>
                </c:pt>
                <c:pt idx="10">
                  <c:v>790888</c:v>
                </c:pt>
                <c:pt idx="11">
                  <c:v>942479</c:v>
                </c:pt>
              </c:numCache>
            </c:numRef>
          </c:val>
        </c:ser>
        <c:ser>
          <c:idx val="1"/>
          <c:order val="1"/>
          <c:tx>
            <c:strRef>
              <c:f>Hoja2!$C$6</c:f>
              <c:strCache>
                <c:ptCount val="1"/>
                <c:pt idx="0">
                  <c:v>Energía Eólica (kWh)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val>
            <c:numRef>
              <c:f>Hoja2!$D$6:$O$6</c:f>
              <c:numCache>
                <c:formatCode>General</c:formatCode>
                <c:ptCount val="12"/>
                <c:pt idx="0">
                  <c:v>266583.234375</c:v>
                </c:pt>
                <c:pt idx="1">
                  <c:v>206789.703125</c:v>
                </c:pt>
                <c:pt idx="2">
                  <c:v>64602</c:v>
                </c:pt>
                <c:pt idx="3">
                  <c:v>156558</c:v>
                </c:pt>
                <c:pt idx="4">
                  <c:v>382341</c:v>
                </c:pt>
                <c:pt idx="5">
                  <c:v>409877</c:v>
                </c:pt>
                <c:pt idx="6">
                  <c:v>486786</c:v>
                </c:pt>
                <c:pt idx="7">
                  <c:v>312229</c:v>
                </c:pt>
                <c:pt idx="8">
                  <c:v>494311</c:v>
                </c:pt>
                <c:pt idx="9">
                  <c:v>425371</c:v>
                </c:pt>
                <c:pt idx="10">
                  <c:v>331738</c:v>
                </c:pt>
                <c:pt idx="11">
                  <c:v>327207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205520"/>
        <c:axId val="618206608"/>
      </c:areaChart>
      <c:catAx>
        <c:axId val="61820552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18206608"/>
        <c:crosses val="autoZero"/>
        <c:auto val="1"/>
        <c:lblAlgn val="ctr"/>
        <c:lblOffset val="100"/>
        <c:noMultiLvlLbl val="0"/>
      </c:catAx>
      <c:valAx>
        <c:axId val="61820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1820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C" sz="1200" b="0" i="0" baseline="0">
                <a:effectLst/>
              </a:rPr>
              <a:t>ENERGIA GENERADA ISLA FLOREANA (kWH)</a:t>
            </a:r>
            <a:endParaRPr lang="es-EC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ISLAS!$B$23</c:f>
              <c:strCache>
                <c:ptCount val="1"/>
                <c:pt idx="0">
                  <c:v>FLOREANA DIESEL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ISLAS!$C$23:$BO$23</c:f>
              <c:numCache>
                <c:formatCode>#,##0</c:formatCode>
                <c:ptCount val="17"/>
                <c:pt idx="0">
                  <c:v>276487.8</c:v>
                </c:pt>
                <c:pt idx="1">
                  <c:v>170558.2</c:v>
                </c:pt>
                <c:pt idx="2">
                  <c:v>208014.75</c:v>
                </c:pt>
                <c:pt idx="3">
                  <c:v>167466.45000000001</c:v>
                </c:pt>
                <c:pt idx="4">
                  <c:v>15961.5</c:v>
                </c:pt>
                <c:pt idx="5">
                  <c:v>13061.5</c:v>
                </c:pt>
                <c:pt idx="6">
                  <c:v>13350</c:v>
                </c:pt>
                <c:pt idx="7">
                  <c:v>16303.5</c:v>
                </c:pt>
                <c:pt idx="8">
                  <c:v>14128.174526588224</c:v>
                </c:pt>
                <c:pt idx="9">
                  <c:v>12759.13170582907</c:v>
                </c:pt>
                <c:pt idx="10">
                  <c:v>14913.235560947447</c:v>
                </c:pt>
                <c:pt idx="11">
                  <c:v>13810.257239224775</c:v>
                </c:pt>
                <c:pt idx="12">
                  <c:v>11296.733173308487</c:v>
                </c:pt>
                <c:pt idx="13">
                  <c:v>10973.873322233036</c:v>
                </c:pt>
                <c:pt idx="14">
                  <c:v>12239.951388527665</c:v>
                </c:pt>
                <c:pt idx="15">
                  <c:v>14277.20787477562</c:v>
                </c:pt>
                <c:pt idx="16">
                  <c:v>163075.06479143433</c:v>
                </c:pt>
              </c:numCache>
            </c:numRef>
          </c:val>
        </c:ser>
        <c:ser>
          <c:idx val="1"/>
          <c:order val="1"/>
          <c:tx>
            <c:strRef>
              <c:f>ISLAS!$B$24</c:f>
              <c:strCache>
                <c:ptCount val="1"/>
                <c:pt idx="0">
                  <c:v>FLOREANA PIÑÓN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ISLAS!$C$24:$BO$24</c:f>
              <c:numCache>
                <c:formatCode>#,##0</c:formatCode>
                <c:ptCount val="17"/>
                <c:pt idx="0">
                  <c:v>87721.2</c:v>
                </c:pt>
                <c:pt idx="1">
                  <c:v>177581.05</c:v>
                </c:pt>
                <c:pt idx="2">
                  <c:v>48698.25</c:v>
                </c:pt>
                <c:pt idx="3">
                  <c:v>59338.55</c:v>
                </c:pt>
                <c:pt idx="4">
                  <c:v>5713.5</c:v>
                </c:pt>
                <c:pt idx="5">
                  <c:v>6403.5</c:v>
                </c:pt>
                <c:pt idx="6">
                  <c:v>7262</c:v>
                </c:pt>
                <c:pt idx="7">
                  <c:v>4244.5</c:v>
                </c:pt>
                <c:pt idx="8">
                  <c:v>4709.3915088627409</c:v>
                </c:pt>
                <c:pt idx="9">
                  <c:v>4253.0439019430232</c:v>
                </c:pt>
                <c:pt idx="10">
                  <c:v>4971.0785203158157</c:v>
                </c:pt>
                <c:pt idx="11">
                  <c:v>4603.4190797415913</c:v>
                </c:pt>
                <c:pt idx="12">
                  <c:v>3765.5777244361625</c:v>
                </c:pt>
                <c:pt idx="13">
                  <c:v>3657.9577740776786</c:v>
                </c:pt>
                <c:pt idx="14">
                  <c:v>4079.9837961758885</c:v>
                </c:pt>
                <c:pt idx="15">
                  <c:v>4759.0692915918735</c:v>
                </c:pt>
                <c:pt idx="16">
                  <c:v>58423.021597144776</c:v>
                </c:pt>
              </c:numCache>
            </c:numRef>
          </c:val>
        </c:ser>
        <c:ser>
          <c:idx val="2"/>
          <c:order val="2"/>
          <c:tx>
            <c:strRef>
              <c:f>ISLAS!$B$25</c:f>
              <c:strCache>
                <c:ptCount val="1"/>
                <c:pt idx="0">
                  <c:v>FLOREANA SOLAR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ISLAS!$C$25:$BO$25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3111.797</c:v>
                </c:pt>
                <c:pt idx="3">
                  <c:v>14167.960000000001</c:v>
                </c:pt>
                <c:pt idx="4">
                  <c:v>1565.49</c:v>
                </c:pt>
                <c:pt idx="5">
                  <c:v>1662</c:v>
                </c:pt>
                <c:pt idx="6">
                  <c:v>1416.73</c:v>
                </c:pt>
                <c:pt idx="7">
                  <c:v>2045.319</c:v>
                </c:pt>
                <c:pt idx="8">
                  <c:v>2757.3536537908371</c:v>
                </c:pt>
                <c:pt idx="9">
                  <c:v>2432.1632311782437</c:v>
                </c:pt>
                <c:pt idx="10">
                  <c:v>2409.5151301581554</c:v>
                </c:pt>
                <c:pt idx="11">
                  <c:v>2705.5427086161649</c:v>
                </c:pt>
                <c:pt idx="12">
                  <c:v>3104.1470860225299</c:v>
                </c:pt>
                <c:pt idx="13">
                  <c:v>3291.3148079818861</c:v>
                </c:pt>
                <c:pt idx="14">
                  <c:v>3105.5017890294343</c:v>
                </c:pt>
                <c:pt idx="15">
                  <c:v>2980.3175225769037</c:v>
                </c:pt>
                <c:pt idx="16">
                  <c:v>29475.394929354152</c:v>
                </c:pt>
              </c:numCache>
            </c:numRef>
          </c:val>
        </c:ser>
        <c:ser>
          <c:idx val="3"/>
          <c:order val="3"/>
          <c:tx>
            <c:strRef>
              <c:f>ISLAS!$B$26</c:f>
              <c:strCache>
                <c:ptCount val="1"/>
                <c:pt idx="0">
                  <c:v>FLOREANA Sistemas Aislados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ISLAS!$C$26:$BO$26</c:f>
              <c:numCache>
                <c:formatCode>#,##0</c:formatCode>
                <c:ptCount val="17"/>
                <c:pt idx="3">
                  <c:v>7192</c:v>
                </c:pt>
                <c:pt idx="4">
                  <c:v>580</c:v>
                </c:pt>
                <c:pt idx="5">
                  <c:v>580</c:v>
                </c:pt>
                <c:pt idx="6">
                  <c:v>580</c:v>
                </c:pt>
                <c:pt idx="7">
                  <c:v>580</c:v>
                </c:pt>
                <c:pt idx="8">
                  <c:v>580</c:v>
                </c:pt>
                <c:pt idx="9">
                  <c:v>580</c:v>
                </c:pt>
                <c:pt idx="10">
                  <c:v>580</c:v>
                </c:pt>
                <c:pt idx="11">
                  <c:v>580</c:v>
                </c:pt>
                <c:pt idx="12">
                  <c:v>580</c:v>
                </c:pt>
                <c:pt idx="13">
                  <c:v>580</c:v>
                </c:pt>
                <c:pt idx="14">
                  <c:v>580</c:v>
                </c:pt>
                <c:pt idx="15">
                  <c:v>580</c:v>
                </c:pt>
                <c:pt idx="16">
                  <c:v>6960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5086176"/>
        <c:axId val="795087808"/>
      </c:barChart>
      <c:catAx>
        <c:axId val="79508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87808"/>
        <c:crosses val="autoZero"/>
        <c:auto val="1"/>
        <c:lblAlgn val="ctr"/>
        <c:lblOffset val="100"/>
        <c:noMultiLvlLbl val="0"/>
      </c:catAx>
      <c:valAx>
        <c:axId val="79508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8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/>
              <a:t>Ahorro de combustible DIESEL (Galones)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ISLAS!$B$49</c:f>
              <c:strCache>
                <c:ptCount val="1"/>
                <c:pt idx="0">
                  <c:v>SAN CRISTÓBAL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ISLAS!$C$49:$BO$49</c:f>
              <c:numCache>
                <c:formatCode>#,##0.00</c:formatCode>
                <c:ptCount val="17"/>
                <c:pt idx="0">
                  <c:v>232901.05176306298</c:v>
                </c:pt>
                <c:pt idx="1">
                  <c:v>286169.09856865782</c:v>
                </c:pt>
                <c:pt idx="2">
                  <c:v>304950.78774546471</c:v>
                </c:pt>
                <c:pt idx="3">
                  <c:v>279830.48328308703</c:v>
                </c:pt>
                <c:pt idx="4" formatCode="#,##0">
                  <c:v>11429.152155492804</c:v>
                </c:pt>
                <c:pt idx="5" formatCode="#,##0">
                  <c:v>2338.2474215400775</c:v>
                </c:pt>
                <c:pt idx="6" formatCode="#,##0">
                  <c:v>2421.3505193432484</c:v>
                </c:pt>
                <c:pt idx="7" formatCode="#,##0">
                  <c:v>8342.0681248557084</c:v>
                </c:pt>
                <c:pt idx="8" formatCode="#,##0">
                  <c:v>23676.437995353634</c:v>
                </c:pt>
                <c:pt idx="9" formatCode="#,##0">
                  <c:v>23113.136084252586</c:v>
                </c:pt>
                <c:pt idx="10" formatCode="#,##0">
                  <c:v>26920.3113406884</c:v>
                </c:pt>
                <c:pt idx="11" formatCode="#,##0">
                  <c:v>21124.976259343406</c:v>
                </c:pt>
                <c:pt idx="12" formatCode="#,##0">
                  <c:v>32279.563982054729</c:v>
                </c:pt>
                <c:pt idx="13" formatCode="#,##0">
                  <c:v>25438.984359047179</c:v>
                </c:pt>
                <c:pt idx="14" formatCode="#,##0">
                  <c:v>41721.053683069789</c:v>
                </c:pt>
                <c:pt idx="15" formatCode="#,##0">
                  <c:v>29001.012026405075</c:v>
                </c:pt>
                <c:pt idx="16">
                  <c:v>247806.29395144666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ISLAS!$B$50</c:f>
              <c:strCache>
                <c:ptCount val="1"/>
                <c:pt idx="0">
                  <c:v>SANTA CRUZ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ISLAS!$C$50:$BO$50</c:f>
              <c:numCache>
                <c:formatCode>#,##0.00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88183.070084294843</c:v>
                </c:pt>
                <c:pt idx="3">
                  <c:v>348453.07292152487</c:v>
                </c:pt>
                <c:pt idx="4">
                  <c:v>36814.970317961648</c:v>
                </c:pt>
                <c:pt idx="5">
                  <c:v>26569.20265098277</c:v>
                </c:pt>
                <c:pt idx="6">
                  <c:v>18729.974643488658</c:v>
                </c:pt>
                <c:pt idx="7">
                  <c:v>25097.004077282752</c:v>
                </c:pt>
                <c:pt idx="8">
                  <c:v>40119.810462092595</c:v>
                </c:pt>
                <c:pt idx="9">
                  <c:v>36924.945512803919</c:v>
                </c:pt>
                <c:pt idx="10">
                  <c:v>39754.00933981414</c:v>
                </c:pt>
                <c:pt idx="11">
                  <c:v>41377.310837938494</c:v>
                </c:pt>
                <c:pt idx="12">
                  <c:v>49423.725818579092</c:v>
                </c:pt>
                <c:pt idx="13">
                  <c:v>44465.458332240058</c:v>
                </c:pt>
                <c:pt idx="14">
                  <c:v>55267.567321869697</c:v>
                </c:pt>
                <c:pt idx="15">
                  <c:v>44005.522361108931</c:v>
                </c:pt>
                <c:pt idx="16">
                  <c:v>458549.50167616276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ISLAS!$B$51</c:f>
              <c:strCache>
                <c:ptCount val="1"/>
                <c:pt idx="0">
                  <c:v>ISABELA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ISLAS!$C$51:$BO$51</c:f>
              <c:numCache>
                <c:formatCode>#,##0.00</c:formatCode>
                <c:ptCount val="17"/>
                <c:pt idx="3">
                  <c:v>1592.9318594868835</c:v>
                </c:pt>
                <c:pt idx="4">
                  <c:v>103.0492271795521</c:v>
                </c:pt>
                <c:pt idx="5">
                  <c:v>103.0492271795521</c:v>
                </c:pt>
                <c:pt idx="6">
                  <c:v>103.0492271795521</c:v>
                </c:pt>
                <c:pt idx="7">
                  <c:v>103.0492271795521</c:v>
                </c:pt>
                <c:pt idx="8">
                  <c:v>140.52167342666198</c:v>
                </c:pt>
                <c:pt idx="9">
                  <c:v>140.52167342666198</c:v>
                </c:pt>
                <c:pt idx="10">
                  <c:v>140.52167342666198</c:v>
                </c:pt>
                <c:pt idx="11">
                  <c:v>140.52167342666198</c:v>
                </c:pt>
                <c:pt idx="12">
                  <c:v>140.52167342666198</c:v>
                </c:pt>
                <c:pt idx="13">
                  <c:v>140.52167342666198</c:v>
                </c:pt>
                <c:pt idx="14">
                  <c:v>140.52167342666198</c:v>
                </c:pt>
                <c:pt idx="15">
                  <c:v>140.52167342666198</c:v>
                </c:pt>
                <c:pt idx="16">
                  <c:v>1536.3702961315041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ISLAS!$B$52</c:f>
              <c:strCache>
                <c:ptCount val="1"/>
                <c:pt idx="0">
                  <c:v>FLOREANA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ISLAS!$C$52:$BO$52</c:f>
              <c:numCache>
                <c:formatCode>#,##0.00</c:formatCode>
                <c:ptCount val="17"/>
                <c:pt idx="0">
                  <c:v>5435.8446442219984</c:v>
                </c:pt>
                <c:pt idx="1">
                  <c:v>15659.705593563616</c:v>
                </c:pt>
                <c:pt idx="2">
                  <c:v>5165.5348830992152</c:v>
                </c:pt>
                <c:pt idx="3">
                  <c:v>7079.3787901862543</c:v>
                </c:pt>
                <c:pt idx="4">
                  <c:v>798.53198368199378</c:v>
                </c:pt>
                <c:pt idx="5">
                  <c:v>878.4472642060465</c:v>
                </c:pt>
                <c:pt idx="6">
                  <c:v>940.75600468711457</c:v>
                </c:pt>
                <c:pt idx="7">
                  <c:v>698.0248344388084</c:v>
                </c:pt>
                <c:pt idx="8">
                  <c:v>817.60930818301722</c:v>
                </c:pt>
                <c:pt idx="9">
                  <c:v>738.19921693142453</c:v>
                </c:pt>
                <c:pt idx="10">
                  <c:v>808.85567216643165</c:v>
                </c:pt>
                <c:pt idx="11">
                  <c:v>801.57734086043729</c:v>
                </c:pt>
                <c:pt idx="12">
                  <c:v>756.94758878437881</c:v>
                </c:pt>
                <c:pt idx="13">
                  <c:v>765.03023551810998</c:v>
                </c:pt>
                <c:pt idx="14">
                  <c:v>789.03123793361931</c:v>
                </c:pt>
                <c:pt idx="15">
                  <c:v>845.31173289901346</c:v>
                </c:pt>
                <c:pt idx="16">
                  <c:v>9638.3224202903966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983184"/>
        <c:axId val="925994064"/>
      </c:lineChart>
      <c:catAx>
        <c:axId val="92598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94064"/>
        <c:crosses val="autoZero"/>
        <c:auto val="1"/>
        <c:lblAlgn val="ctr"/>
        <c:lblOffset val="100"/>
        <c:noMultiLvlLbl val="0"/>
      </c:catAx>
      <c:valAx>
        <c:axId val="92599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400" b="0" i="0" u="none" strike="noStrike" baseline="0">
                <a:effectLst/>
              </a:rPr>
              <a:t>ENERGIA GENERADA ISLA SAN CRISTOBAL (kWH)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ISLAS!$B$6</c:f>
              <c:strCache>
                <c:ptCount val="1"/>
                <c:pt idx="0">
                  <c:v>SAN CRISTÓBAL TERMICO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ISLAS!$O$5:$CB$5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ISLAS!$C$6:$CB$6</c:f>
              <c:numCache>
                <c:formatCode>#,##0</c:formatCode>
                <c:ptCount val="30"/>
                <c:pt idx="0">
                  <c:v>8668079</c:v>
                </c:pt>
                <c:pt idx="1">
                  <c:v>7829615</c:v>
                </c:pt>
                <c:pt idx="2">
                  <c:v>9924333.5</c:v>
                </c:pt>
                <c:pt idx="3">
                  <c:v>12454861.1</c:v>
                </c:pt>
                <c:pt idx="4">
                  <c:v>1261007</c:v>
                </c:pt>
                <c:pt idx="5">
                  <c:v>1155560</c:v>
                </c:pt>
                <c:pt idx="6">
                  <c:v>1476498</c:v>
                </c:pt>
                <c:pt idx="7">
                  <c:v>1313439</c:v>
                </c:pt>
                <c:pt idx="8">
                  <c:v>1161102.3491922077</c:v>
                </c:pt>
                <c:pt idx="9">
                  <c:v>1071943.5945218913</c:v>
                </c:pt>
                <c:pt idx="10">
                  <c:v>962674.43932563486</c:v>
                </c:pt>
                <c:pt idx="11">
                  <c:v>901100.82515031472</c:v>
                </c:pt>
                <c:pt idx="12">
                  <c:v>714962.52552929346</c:v>
                </c:pt>
                <c:pt idx="13">
                  <c:v>893169.12877317856</c:v>
                </c:pt>
                <c:pt idx="14">
                  <c:v>759463.95166501717</c:v>
                </c:pt>
                <c:pt idx="15">
                  <c:v>1053808.7013872147</c:v>
                </c:pt>
                <c:pt idx="16">
                  <c:v>12724729.515544754</c:v>
                </c:pt>
                <c:pt idx="17">
                  <c:v>925192.43453940877</c:v>
                </c:pt>
                <c:pt idx="18">
                  <c:v>1217954.3249719972</c:v>
                </c:pt>
                <c:pt idx="19">
                  <c:v>1522295.2994221447</c:v>
                </c:pt>
                <c:pt idx="20">
                  <c:v>1402255.1639534431</c:v>
                </c:pt>
                <c:pt idx="21">
                  <c:v>1257057.7103338491</c:v>
                </c:pt>
                <c:pt idx="22">
                  <c:v>1163812.6022488582</c:v>
                </c:pt>
                <c:pt idx="23">
                  <c:v>1049052.5225123966</c:v>
                </c:pt>
                <c:pt idx="24">
                  <c:v>978996.28230562713</c:v>
                </c:pt>
                <c:pt idx="25">
                  <c:v>792619.9871219768</c:v>
                </c:pt>
                <c:pt idx="26">
                  <c:v>974168.10414188274</c:v>
                </c:pt>
                <c:pt idx="27">
                  <c:v>852258.76499796368</c:v>
                </c:pt>
                <c:pt idx="28">
                  <c:v>1162388.4038406077</c:v>
                </c:pt>
                <c:pt idx="29">
                  <c:v>13298051.600390157</c:v>
                </c:pt>
              </c:numCache>
            </c:numRef>
          </c:val>
        </c:ser>
        <c:ser>
          <c:idx val="1"/>
          <c:order val="1"/>
          <c:tx>
            <c:strRef>
              <c:f>ISLAS!$B$7</c:f>
              <c:strCache>
                <c:ptCount val="1"/>
                <c:pt idx="0">
                  <c:v>SAN CRISTÓBAL EÓLICA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strRef>
              <c:f>ISLAS!$O$5:$CB$5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ISLAS!$C$7:$CB$7</c:f>
              <c:numCache>
                <c:formatCode>#,##0</c:formatCode>
                <c:ptCount val="30"/>
                <c:pt idx="0">
                  <c:v>2398373</c:v>
                </c:pt>
                <c:pt idx="1">
                  <c:v>3451451.06</c:v>
                </c:pt>
                <c:pt idx="2">
                  <c:v>3864392.9375</c:v>
                </c:pt>
                <c:pt idx="3">
                  <c:v>3396365</c:v>
                </c:pt>
                <c:pt idx="4">
                  <c:v>143915</c:v>
                </c:pt>
                <c:pt idx="5">
                  <c:v>28444</c:v>
                </c:pt>
                <c:pt idx="6">
                  <c:v>29534.16</c:v>
                </c:pt>
                <c:pt idx="7">
                  <c:v>104720</c:v>
                </c:pt>
                <c:pt idx="8">
                  <c:v>299630.31483489368</c:v>
                </c:pt>
                <c:pt idx="9">
                  <c:v>292648.40143270197</c:v>
                </c:pt>
                <c:pt idx="10">
                  <c:v>341042.2760629073</c:v>
                </c:pt>
                <c:pt idx="11">
                  <c:v>267202.29930364498</c:v>
                </c:pt>
                <c:pt idx="12">
                  <c:v>408875.14572156832</c:v>
                </c:pt>
                <c:pt idx="13">
                  <c:v>321749.84130671667</c:v>
                </c:pt>
                <c:pt idx="14">
                  <c:v>528980.19420780463</c:v>
                </c:pt>
                <c:pt idx="15">
                  <c:v>367238.4922618788</c:v>
                </c:pt>
                <c:pt idx="16">
                  <c:v>3133980.1251321165</c:v>
                </c:pt>
                <c:pt idx="17">
                  <c:v>545285.39733333292</c:v>
                </c:pt>
                <c:pt idx="18">
                  <c:v>285914.46349206334</c:v>
                </c:pt>
                <c:pt idx="19">
                  <c:v>109723.61549206352</c:v>
                </c:pt>
                <c:pt idx="20">
                  <c:v>194357.94353948417</c:v>
                </c:pt>
                <c:pt idx="21">
                  <c:v>299630.31483489368</c:v>
                </c:pt>
                <c:pt idx="22">
                  <c:v>292648.40143270197</c:v>
                </c:pt>
                <c:pt idx="23">
                  <c:v>341042.2760629073</c:v>
                </c:pt>
                <c:pt idx="24">
                  <c:v>267202.29930364498</c:v>
                </c:pt>
                <c:pt idx="25">
                  <c:v>408875.14572156832</c:v>
                </c:pt>
                <c:pt idx="26">
                  <c:v>321749.84130671667</c:v>
                </c:pt>
                <c:pt idx="27">
                  <c:v>528980.19420780463</c:v>
                </c:pt>
                <c:pt idx="28">
                  <c:v>367238.4922618788</c:v>
                </c:pt>
                <c:pt idx="29">
                  <c:v>3962648.38498906</c:v>
                </c:pt>
              </c:numCache>
            </c:numRef>
          </c:val>
        </c:ser>
        <c:ser>
          <c:idx val="2"/>
          <c:order val="2"/>
          <c:tx>
            <c:strRef>
              <c:f>ISLAS!$B$8</c:f>
              <c:strCache>
                <c:ptCount val="1"/>
                <c:pt idx="0">
                  <c:v>SAN CRISTÓBAL SOLAR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cat>
            <c:strRef>
              <c:f>ISLAS!$O$5:$CB$5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ISLAS!$C$8:$CB$8</c:f>
              <c:numCache>
                <c:formatCode>#,##0</c:formatCode>
                <c:ptCount val="30"/>
                <c:pt idx="0">
                  <c:v>16744</c:v>
                </c:pt>
                <c:pt idx="1">
                  <c:v>16981</c:v>
                </c:pt>
                <c:pt idx="2">
                  <c:v>17250</c:v>
                </c:pt>
                <c:pt idx="3">
                  <c:v>16251</c:v>
                </c:pt>
                <c:pt idx="4">
                  <c:v>1476</c:v>
                </c:pt>
                <c:pt idx="5">
                  <c:v>1301</c:v>
                </c:pt>
                <c:pt idx="6">
                  <c:v>1268</c:v>
                </c:pt>
                <c:pt idx="7">
                  <c:v>1400</c:v>
                </c:pt>
                <c:pt idx="8">
                  <c:v>1559.2178399412455</c:v>
                </c:pt>
                <c:pt idx="9">
                  <c:v>1375.3303985829355</c:v>
                </c:pt>
                <c:pt idx="10">
                  <c:v>1412.7838474631603</c:v>
                </c:pt>
                <c:pt idx="11">
                  <c:v>1529.9199840389031</c:v>
                </c:pt>
                <c:pt idx="12">
                  <c:v>1755.3212688817887</c:v>
                </c:pt>
                <c:pt idx="13">
                  <c:v>1861.1601592754712</c:v>
                </c:pt>
                <c:pt idx="14">
                  <c:v>1756.0873211773587</c:v>
                </c:pt>
                <c:pt idx="15">
                  <c:v>1685.2985990762256</c:v>
                </c:pt>
                <c:pt idx="16">
                  <c:v>18380.119418437087</c:v>
                </c:pt>
                <c:pt idx="17">
                  <c:v>1759.9014004005687</c:v>
                </c:pt>
                <c:pt idx="18">
                  <c:v>1681.2221346409719</c:v>
                </c:pt>
                <c:pt idx="19">
                  <c:v>1782.6107143245279</c:v>
                </c:pt>
                <c:pt idx="20">
                  <c:v>1652.5648051681133</c:v>
                </c:pt>
                <c:pt idx="21">
                  <c:v>1559.2178399412455</c:v>
                </c:pt>
                <c:pt idx="22">
                  <c:v>1375.3303985829355</c:v>
                </c:pt>
                <c:pt idx="23">
                  <c:v>1412.7838474631603</c:v>
                </c:pt>
                <c:pt idx="24">
                  <c:v>1529.9199840389031</c:v>
                </c:pt>
                <c:pt idx="25">
                  <c:v>1755.3212688817887</c:v>
                </c:pt>
                <c:pt idx="26">
                  <c:v>1861.1601592754712</c:v>
                </c:pt>
                <c:pt idx="27">
                  <c:v>1756.0873211773587</c:v>
                </c:pt>
                <c:pt idx="28">
                  <c:v>1685.2985990762256</c:v>
                </c:pt>
                <c:pt idx="29">
                  <c:v>19811.418472971269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988080"/>
        <c:axId val="925983728"/>
      </c:areaChart>
      <c:catAx>
        <c:axId val="92598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3728"/>
        <c:crosses val="autoZero"/>
        <c:auto val="1"/>
        <c:lblAlgn val="ctr"/>
        <c:lblOffset val="100"/>
        <c:noMultiLvlLbl val="0"/>
      </c:catAx>
      <c:valAx>
        <c:axId val="92598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8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400" b="0" i="0" baseline="0">
                <a:effectLst/>
              </a:rPr>
              <a:t>ENERGIA GENERADA ISLA SANTA CRUZ (kWH)</a:t>
            </a:r>
            <a:endParaRPr lang="es-MX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ISLAS!$B$12</c:f>
              <c:strCache>
                <c:ptCount val="1"/>
                <c:pt idx="0">
                  <c:v>SANTA CRUZ TERMICO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cat>
            <c:strRef>
              <c:f>ISLAS!$O$5:$CX$5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ISLAS!$C$12:$CX$12</c:f>
              <c:numCache>
                <c:formatCode>#,##0</c:formatCode>
                <c:ptCount val="30"/>
                <c:pt idx="0">
                  <c:v>24160676</c:v>
                </c:pt>
                <c:pt idx="1">
                  <c:v>25173472</c:v>
                </c:pt>
                <c:pt idx="2">
                  <c:v>27732054</c:v>
                </c:pt>
                <c:pt idx="3">
                  <c:v>27892543</c:v>
                </c:pt>
                <c:pt idx="4">
                  <c:v>2595038</c:v>
                </c:pt>
                <c:pt idx="5">
                  <c:v>2785495</c:v>
                </c:pt>
                <c:pt idx="6">
                  <c:v>3129040</c:v>
                </c:pt>
                <c:pt idx="7">
                  <c:v>2696865</c:v>
                </c:pt>
                <c:pt idx="8">
                  <c:v>2569969.1915574088</c:v>
                </c:pt>
                <c:pt idx="9">
                  <c:v>2439123.4884911054</c:v>
                </c:pt>
                <c:pt idx="10">
                  <c:v>2224556.3876497978</c:v>
                </c:pt>
                <c:pt idx="11">
                  <c:v>2007896.2361120495</c:v>
                </c:pt>
                <c:pt idx="12">
                  <c:v>1728458.5247011976</c:v>
                </c:pt>
                <c:pt idx="13">
                  <c:v>1998301.9489069579</c:v>
                </c:pt>
                <c:pt idx="14">
                  <c:v>1970333.6741937317</c:v>
                </c:pt>
                <c:pt idx="15">
                  <c:v>2369568.7429911806</c:v>
                </c:pt>
                <c:pt idx="16">
                  <c:v>28514646.194603428</c:v>
                </c:pt>
                <c:pt idx="17">
                  <c:v>2523358.4646895924</c:v>
                </c:pt>
                <c:pt idx="18">
                  <c:v>2780697.1803137166</c:v>
                </c:pt>
                <c:pt idx="19">
                  <c:v>3191025.2372858245</c:v>
                </c:pt>
                <c:pt idx="20">
                  <c:v>3073840.691857005</c:v>
                </c:pt>
                <c:pt idx="21">
                  <c:v>2776469.6534397206</c:v>
                </c:pt>
                <c:pt idx="22">
                  <c:v>2638881.5459344708</c:v>
                </c:pt>
                <c:pt idx="23">
                  <c:v>2409621.9499127255</c:v>
                </c:pt>
                <c:pt idx="24">
                  <c:v>2181217.1819328829</c:v>
                </c:pt>
                <c:pt idx="25">
                  <c:v>1896745.5165228713</c:v>
                </c:pt>
                <c:pt idx="26">
                  <c:v>2173892.2888210346</c:v>
                </c:pt>
                <c:pt idx="27">
                  <c:v>2169208.9379250668</c:v>
                </c:pt>
                <c:pt idx="28">
                  <c:v>2598705.069369935</c:v>
                </c:pt>
                <c:pt idx="29">
                  <c:v>30413663.718004849</c:v>
                </c:pt>
              </c:numCache>
            </c:numRef>
          </c:val>
        </c:ser>
        <c:ser>
          <c:idx val="1"/>
          <c:order val="1"/>
          <c:tx>
            <c:strRef>
              <c:f>ISLAS!$B$13</c:f>
              <c:strCache>
                <c:ptCount val="1"/>
                <c:pt idx="0">
                  <c:v>SANTA CRUZ SOLAR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  <a:effectLst/>
          </c:spPr>
          <c:cat>
            <c:strRef>
              <c:f>ISLAS!$O$5:$CX$5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ISLAS!$C$13:$CX$13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1207933.5799999998</c:v>
                </c:pt>
                <c:pt idx="3">
                  <c:v>2010492.3</c:v>
                </c:pt>
                <c:pt idx="4" formatCode="_(* #,##0_);_(* \(#,##0\);_(* &quot;-&quot;??_);_(@_)">
                  <c:v>161978</c:v>
                </c:pt>
                <c:pt idx="5" formatCode="_(* #,##0_);_(* \(#,##0\);_(* &quot;-&quot;??_);_(@_)">
                  <c:v>181992</c:v>
                </c:pt>
                <c:pt idx="6" formatCode="_(* #,##0_);_(* \(#,##0\);_(* &quot;-&quot;??_);_(@_)">
                  <c:v>199846</c:v>
                </c:pt>
                <c:pt idx="7" formatCode="_(* #,##0_);_(* \(#,##0\);_(* &quot;-&quot;??_);_(@_)">
                  <c:v>187283</c:v>
                </c:pt>
                <c:pt idx="8" formatCode="_(* #,##0_);_(* \(#,##0\);_(* &quot;-&quot;??_);_(@_)">
                  <c:v>205751.10359477342</c:v>
                </c:pt>
                <c:pt idx="9" formatCode="_(* #,##0_);_(* \(#,##0\);_(* &quot;-&quot;??_);_(@_)">
                  <c:v>181197.8842820689</c:v>
                </c:pt>
                <c:pt idx="10" formatCode="_(* #,##0_);_(* \(#,##0\);_(* &quot;-&quot;??_);_(@_)">
                  <c:v>186144.40770133995</c:v>
                </c:pt>
                <c:pt idx="11" formatCode="_(* #,##0_);_(* \(#,##0\);_(* &quot;-&quot;??_);_(@_)">
                  <c:v>188938.71321029382</c:v>
                </c:pt>
                <c:pt idx="12" formatCode="_(* #,##0_);_(* \(#,##0\);_(* &quot;-&quot;??_);_(@_)">
                  <c:v>231628.49922844314</c:v>
                </c:pt>
                <c:pt idx="13" formatCode="_(* #,##0_);_(* \(#,##0\);_(* &quot;-&quot;??_);_(@_)">
                  <c:v>245211.13229466561</c:v>
                </c:pt>
                <c:pt idx="14" formatCode="_(* #,##0_);_(* \(#,##0\);_(* &quot;-&quot;??_);_(@_)">
                  <c:v>226110.40531330401</c:v>
                </c:pt>
                <c:pt idx="15" formatCode="_(* #,##0_);_(* \(#,##0\);_(* &quot;-&quot;??_);_(@_)">
                  <c:v>208052.21855440686</c:v>
                </c:pt>
                <c:pt idx="16">
                  <c:v>2404133.364179296</c:v>
                </c:pt>
                <c:pt idx="17" formatCode="_(* #,##0_);_(* \(#,##0\);_(* &quot;-&quot;??_);_(@_)">
                  <c:v>231000.03171305559</c:v>
                </c:pt>
                <c:pt idx="18" formatCode="_(* #,##0_);_(* \(#,##0\);_(* &quot;-&quot;??_);_(@_)">
                  <c:v>219982.93765150386</c:v>
                </c:pt>
                <c:pt idx="19" formatCode="_(* #,##0_);_(* \(#,##0\);_(* &quot;-&quot;??_);_(@_)">
                  <c:v>235229.55699760283</c:v>
                </c:pt>
                <c:pt idx="20" formatCode="_(* #,##0_);_(* \(#,##0\);_(* &quot;-&quot;??_);_(@_)">
                  <c:v>202688.40619577983</c:v>
                </c:pt>
                <c:pt idx="21" formatCode="_(* #,##0_);_(* \(#,##0\);_(* &quot;-&quot;??_);_(@_)">
                  <c:v>205751.10359477342</c:v>
                </c:pt>
                <c:pt idx="22" formatCode="_(* #,##0_);_(* \(#,##0\);_(* &quot;-&quot;??_);_(@_)">
                  <c:v>181197.8842820689</c:v>
                </c:pt>
                <c:pt idx="23" formatCode="_(* #,##0_);_(* \(#,##0\);_(* &quot;-&quot;??_);_(@_)">
                  <c:v>186144.40770133995</c:v>
                </c:pt>
                <c:pt idx="24" formatCode="_(* #,##0_);_(* \(#,##0\);_(* &quot;-&quot;??_);_(@_)">
                  <c:v>188938.71321029382</c:v>
                </c:pt>
                <c:pt idx="25" formatCode="_(* #,##0_);_(* \(#,##0\);_(* &quot;-&quot;??_);_(@_)">
                  <c:v>231628.49922844314</c:v>
                </c:pt>
                <c:pt idx="26" formatCode="_(* #,##0_);_(* \(#,##0\);_(* &quot;-&quot;??_);_(@_)">
                  <c:v>245211.13229466561</c:v>
                </c:pt>
                <c:pt idx="27" formatCode="_(* #,##0_);_(* \(#,##0\);_(* &quot;-&quot;??_);_(@_)">
                  <c:v>226110.40531330401</c:v>
                </c:pt>
                <c:pt idx="28" formatCode="_(* #,##0_);_(* \(#,##0\);_(* &quot;-&quot;??_);_(@_)">
                  <c:v>208052.21855440686</c:v>
                </c:pt>
                <c:pt idx="29">
                  <c:v>2561935.2967372378</c:v>
                </c:pt>
              </c:numCache>
            </c:numRef>
          </c:val>
        </c:ser>
        <c:ser>
          <c:idx val="2"/>
          <c:order val="2"/>
          <c:tx>
            <c:strRef>
              <c:f>ISLAS!$B$14</c:f>
              <c:strCache>
                <c:ptCount val="1"/>
                <c:pt idx="0">
                  <c:v>SANTA CRUZ EÓLICA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1">
                  <a:lumMod val="60000"/>
                  <a:lumOff val="40000"/>
                </a:schemeClr>
              </a:solidFill>
            </a:ln>
            <a:effectLst/>
          </c:spPr>
          <c:cat>
            <c:strRef>
              <c:f>ISLAS!$O$5:$CX$5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ISLAS!$C$14:$CX$14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38267</c:v>
                </c:pt>
                <c:pt idx="3">
                  <c:v>2947163.4954824215</c:v>
                </c:pt>
                <c:pt idx="4" formatCode="_(* #,##0_);_(* \(#,##0\);_(* &quot;-&quot;??_);_(@_)">
                  <c:v>365939.9</c:v>
                </c:pt>
                <c:pt idx="5" formatCode="_(* #,##0_);_(* \(#,##0\);_(* &quot;-&quot;??_);_(@_)">
                  <c:v>198584.3505859375</c:v>
                </c:pt>
                <c:pt idx="6" formatCode="_(* #,##0_);_(* \(#,##0\);_(* &quot;-&quot;??_);_(@_)">
                  <c:v>67996.58203125</c:v>
                </c:pt>
                <c:pt idx="7" formatCode="_(* #,##0_);_(* \(#,##0\);_(* &quot;-&quot;??_);_(@_)">
                  <c:v>172122.0703125</c:v>
                </c:pt>
                <c:pt idx="8" formatCode="_(* #,##0_);_(* \(#,##0\);_(* &quot;-&quot;??_);_(@_)">
                  <c:v>368880.78793940996</c:v>
                </c:pt>
                <c:pt idx="9" formatCode="_(* #,##0_);_(* \(#,##0\);_(* &quot;-&quot;??_);_(@_)">
                  <c:v>347489.53856051894</c:v>
                </c:pt>
                <c:pt idx="10" formatCode="_(* #,##0_);_(* \(#,##0\);_(* &quot;-&quot;??_);_(@_)">
                  <c:v>383226.9991248388</c:v>
                </c:pt>
                <c:pt idx="11" formatCode="_(* #,##0_);_(* \(#,##0\);_(* &quot;-&quot;??_);_(@_)">
                  <c:v>403776.94322937803</c:v>
                </c:pt>
                <c:pt idx="12" formatCode="_(* #,##0_);_(* \(#,##0\);_(* &quot;-&quot;??_);_(@_)">
                  <c:v>476800.42428999447</c:v>
                </c:pt>
                <c:pt idx="13" formatCode="_(* #,##0_);_(* \(#,##0\);_(* &quot;-&quot;??_);_(@_)">
                  <c:v>391914.31864932709</c:v>
                </c:pt>
                <c:pt idx="14" formatCode="_(* #,##0_);_(* \(#,##0\);_(* &quot;-&quot;??_);_(@_)">
                  <c:v>566357.18564438203</c:v>
                </c:pt>
                <c:pt idx="15" formatCode="_(* #,##0_);_(* \(#,##0\);_(* &quot;-&quot;??_);_(@_)">
                  <c:v>422459.0204710266</c:v>
                </c:pt>
                <c:pt idx="16">
                  <c:v>4165548.1208385634</c:v>
                </c:pt>
                <c:pt idx="17" formatCode="_(* #,##0_);_(* \(#,##0\);_(* &quot;-&quot;??_);_(@_)">
                  <c:v>592299.83412043564</c:v>
                </c:pt>
                <c:pt idx="18" formatCode="_(* #,##0_);_(* \(#,##0\);_(* &quot;-&quot;??_);_(@_)">
                  <c:v>329312.66924670921</c:v>
                </c:pt>
                <c:pt idx="19" formatCode="_(* #,##0_);_(* \(#,##0\);_(* &quot;-&quot;??_);_(@_)">
                  <c:v>152117.70895956436</c:v>
                </c:pt>
                <c:pt idx="20" formatCode="_(* #,##0_);_(* \(#,##0\);_(* &quot;-&quot;??_);_(@_)">
                  <c:v>230581.89677836248</c:v>
                </c:pt>
                <c:pt idx="21" formatCode="_(* #,##0_);_(* \(#,##0\);_(* &quot;-&quot;??_);_(@_)">
                  <c:v>368880.78793940996</c:v>
                </c:pt>
                <c:pt idx="22" formatCode="_(* #,##0_);_(* \(#,##0\);_(* &quot;-&quot;??_);_(@_)">
                  <c:v>347489.53856051894</c:v>
                </c:pt>
                <c:pt idx="23" formatCode="_(* #,##0_);_(* \(#,##0\);_(* &quot;-&quot;??_);_(@_)">
                  <c:v>383226.9991248388</c:v>
                </c:pt>
                <c:pt idx="24" formatCode="_(* #,##0_);_(* \(#,##0\);_(* &quot;-&quot;??_);_(@_)">
                  <c:v>403776.94322937803</c:v>
                </c:pt>
                <c:pt idx="25" formatCode="_(* #,##0_);_(* \(#,##0\);_(* &quot;-&quot;??_);_(@_)">
                  <c:v>476800.42428999447</c:v>
                </c:pt>
                <c:pt idx="26" formatCode="_(* #,##0_);_(* \(#,##0\);_(* &quot;-&quot;??_);_(@_)">
                  <c:v>391914.31864932709</c:v>
                </c:pt>
                <c:pt idx="27" formatCode="_(* #,##0_);_(* \(#,##0\);_(* &quot;-&quot;??_);_(@_)">
                  <c:v>566357.18564438203</c:v>
                </c:pt>
                <c:pt idx="28" formatCode="_(* #,##0_);_(* \(#,##0\);_(* &quot;-&quot;??_);_(@_)">
                  <c:v>422459.0204710266</c:v>
                </c:pt>
                <c:pt idx="29">
                  <c:v>4665217.3270139471</c:v>
                </c:pt>
              </c:numCache>
            </c:numRef>
          </c:val>
        </c:ser>
        <c:ser>
          <c:idx val="3"/>
          <c:order val="3"/>
          <c:tx>
            <c:strRef>
              <c:f>ISLAS!$B$15</c:f>
              <c:strCache>
                <c:ptCount val="1"/>
                <c:pt idx="0">
                  <c:v>SANTA CRUZ Sistemas Aislados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  <a:effectLst/>
          </c:spPr>
          <c:cat>
            <c:strRef>
              <c:f>ISLAS!$O$5:$CX$5</c:f>
              <c:strCache>
                <c:ptCount val="3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  <c:pt idx="17">
                  <c:v>ENERO</c:v>
                </c:pt>
                <c:pt idx="18">
                  <c:v>FEBRERO</c:v>
                </c:pt>
                <c:pt idx="19">
                  <c:v>MARZO</c:v>
                </c:pt>
                <c:pt idx="20">
                  <c:v>ABRIL</c:v>
                </c:pt>
                <c:pt idx="21">
                  <c:v>MAYO</c:v>
                </c:pt>
                <c:pt idx="22">
                  <c:v>JUNIO</c:v>
                </c:pt>
                <c:pt idx="23">
                  <c:v>JULIO</c:v>
                </c:pt>
                <c:pt idx="24">
                  <c:v>AGOSTO</c:v>
                </c:pt>
                <c:pt idx="25">
                  <c:v>SEPTIEMBRE</c:v>
                </c:pt>
                <c:pt idx="26">
                  <c:v>OCTUBRE</c:v>
                </c:pt>
                <c:pt idx="27">
                  <c:v>NOVIEMBRE</c:v>
                </c:pt>
                <c:pt idx="28">
                  <c:v>DICIEMBRE</c:v>
                </c:pt>
                <c:pt idx="29">
                  <c:v>2017</c:v>
                </c:pt>
              </c:strCache>
            </c:strRef>
          </c:cat>
          <c:val>
            <c:numRef>
              <c:f>ISLAS!$C$15:$CX$15</c:f>
              <c:numCache>
                <c:formatCode>#,##0</c:formatCode>
                <c:ptCount val="30"/>
                <c:pt idx="3">
                  <c:v>24592</c:v>
                </c:pt>
                <c:pt idx="4" formatCode="_(* #,##0_);_(* \(#,##0\);_(* &quot;-&quot;??_);_(@_)">
                  <c:v>1508</c:v>
                </c:pt>
                <c:pt idx="5" formatCode="_(* #,##0_);_(* \(#,##0\);_(* &quot;-&quot;??_);_(@_)">
                  <c:v>1508</c:v>
                </c:pt>
                <c:pt idx="6" formatCode="_(* #,##0_);_(* \(#,##0\);_(* &quot;-&quot;??_);_(@_)">
                  <c:v>1508</c:v>
                </c:pt>
                <c:pt idx="7" formatCode="_(* #,##0_);_(* \(#,##0\);_(* &quot;-&quot;??_);_(@_)">
                  <c:v>1508</c:v>
                </c:pt>
                <c:pt idx="8" formatCode="_(* #,##0_);_(* \(#,##0\);_(* &quot;-&quot;??_);_(@_)">
                  <c:v>2320</c:v>
                </c:pt>
                <c:pt idx="9" formatCode="_(* #,##0_);_(* \(#,##0\);_(* &quot;-&quot;??_);_(@_)">
                  <c:v>2320</c:v>
                </c:pt>
                <c:pt idx="10" formatCode="_(* #,##0_);_(* \(#,##0\);_(* &quot;-&quot;??_);_(@_)">
                  <c:v>2320</c:v>
                </c:pt>
                <c:pt idx="11" formatCode="_(* #,##0_);_(* \(#,##0\);_(* &quot;-&quot;??_);_(@_)">
                  <c:v>2320</c:v>
                </c:pt>
                <c:pt idx="12" formatCode="_(* #,##0_);_(* \(#,##0\);_(* &quot;-&quot;??_);_(@_)">
                  <c:v>2320</c:v>
                </c:pt>
                <c:pt idx="13" formatCode="_(* #,##0_);_(* \(#,##0\);_(* &quot;-&quot;??_);_(@_)">
                  <c:v>2320</c:v>
                </c:pt>
                <c:pt idx="14" formatCode="_(* #,##0_);_(* \(#,##0\);_(* &quot;-&quot;??_);_(@_)">
                  <c:v>2320</c:v>
                </c:pt>
                <c:pt idx="15" formatCode="_(* #,##0_);_(* \(#,##0\);_(* &quot;-&quot;??_);_(@_)">
                  <c:v>2320</c:v>
                </c:pt>
                <c:pt idx="16">
                  <c:v>24592</c:v>
                </c:pt>
                <c:pt idx="17" formatCode="_(* #,##0_);_(* \(#,##0\);_(* &quot;-&quot;??_);_(@_)">
                  <c:v>2320</c:v>
                </c:pt>
                <c:pt idx="18" formatCode="_(* #,##0_);_(* \(#,##0\);_(* &quot;-&quot;??_);_(@_)">
                  <c:v>2320</c:v>
                </c:pt>
                <c:pt idx="19" formatCode="_(* #,##0_);_(* \(#,##0\);_(* &quot;-&quot;??_);_(@_)">
                  <c:v>2320</c:v>
                </c:pt>
                <c:pt idx="20" formatCode="_(* #,##0_);_(* \(#,##0\);_(* &quot;-&quot;??_);_(@_)">
                  <c:v>2320</c:v>
                </c:pt>
                <c:pt idx="21" formatCode="_(* #,##0_);_(* \(#,##0\);_(* &quot;-&quot;??_);_(@_)">
                  <c:v>2320</c:v>
                </c:pt>
                <c:pt idx="22" formatCode="_(* #,##0_);_(* \(#,##0\);_(* &quot;-&quot;??_);_(@_)">
                  <c:v>2320</c:v>
                </c:pt>
                <c:pt idx="23" formatCode="_(* #,##0_);_(* \(#,##0\);_(* &quot;-&quot;??_);_(@_)">
                  <c:v>2320</c:v>
                </c:pt>
                <c:pt idx="24" formatCode="_(* #,##0_);_(* \(#,##0\);_(* &quot;-&quot;??_);_(@_)">
                  <c:v>2320</c:v>
                </c:pt>
                <c:pt idx="25" formatCode="_(* #,##0_);_(* \(#,##0\);_(* &quot;-&quot;??_);_(@_)">
                  <c:v>2320</c:v>
                </c:pt>
                <c:pt idx="26" formatCode="_(* #,##0_);_(* \(#,##0\);_(* &quot;-&quot;??_);_(@_)">
                  <c:v>2320</c:v>
                </c:pt>
                <c:pt idx="27" formatCode="_(* #,##0_);_(* \(#,##0\);_(* &quot;-&quot;??_);_(@_)">
                  <c:v>2320</c:v>
                </c:pt>
                <c:pt idx="28" formatCode="_(* #,##0_);_(* \(#,##0\);_(* &quot;-&quot;??_);_(@_)">
                  <c:v>2320</c:v>
                </c:pt>
                <c:pt idx="29">
                  <c:v>27840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990800"/>
        <c:axId val="925981552"/>
      </c:areaChart>
      <c:catAx>
        <c:axId val="92599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1552"/>
        <c:crosses val="autoZero"/>
        <c:auto val="1"/>
        <c:lblAlgn val="ctr"/>
        <c:lblOffset val="100"/>
        <c:noMultiLvlLbl val="0"/>
      </c:catAx>
      <c:valAx>
        <c:axId val="92598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90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ISLAS!$O$29:$CX$29</c:f>
              <c:numCache>
                <c:formatCode>General</c:formatCode>
                <c:ptCount val="30"/>
                <c:pt idx="0">
                  <c:v>39141784</c:v>
                </c:pt>
                <c:pt idx="1">
                  <c:v>40503570.310000002</c:v>
                </c:pt>
                <c:pt idx="2">
                  <c:v>47455890.814499997</c:v>
                </c:pt>
                <c:pt idx="3">
                  <c:v>53896127.855482422</c:v>
                </c:pt>
                <c:pt idx="16">
                  <c:v>56483146.551958345</c:v>
                </c:pt>
                <c:pt idx="29">
                  <c:v>60773362.198344551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25991888"/>
        <c:axId val="925984816"/>
      </c:lineChart>
      <c:catAx>
        <c:axId val="9259918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4816"/>
        <c:crosses val="autoZero"/>
        <c:auto val="1"/>
        <c:lblAlgn val="ctr"/>
        <c:lblOffset val="100"/>
        <c:noMultiLvlLbl val="0"/>
      </c:catAx>
      <c:valAx>
        <c:axId val="92598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91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5"/>
      <c:rotY val="152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546081530894862"/>
          <c:y val="0.10806614878644863"/>
          <c:w val="0.73068088684996035"/>
          <c:h val="0.78200292570007812"/>
        </c:manualLayout>
      </c:layout>
      <c:pie3DChart>
        <c:varyColors val="1"/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0"/>
        </c:dLbls>
      </c:pie3DChart>
      <c:spPr>
        <a:solidFill>
          <a:sysClr val="window" lastClr="FFFFFF"/>
        </a:solidFill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/>
              <a:t>GENERACIÓN (kWh)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PROVINCIAL!$B$6</c:f>
              <c:strCache>
                <c:ptCount val="1"/>
                <c:pt idx="0">
                  <c:v>Energía generada con Diesel (kWh)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bg2"/>
              </a:solidFill>
            </a:ln>
            <a:effectLst/>
          </c:spPr>
          <c:invertIfNegative val="0"/>
          <c:cat>
            <c:strRef>
              <c:f>PROVINCIAL!$C$5:$CB$5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PROVINCIAL!$C$6:$CB$6</c:f>
              <c:numCache>
                <c:formatCode>#,##0</c:formatCode>
                <c:ptCount val="6"/>
                <c:pt idx="0">
                  <c:v>36638945.799999997</c:v>
                </c:pt>
                <c:pt idx="1">
                  <c:v>36857557.200000003</c:v>
                </c:pt>
                <c:pt idx="2">
                  <c:v>42276237.25</c:v>
                </c:pt>
                <c:pt idx="3">
                  <c:v>45400149.550000004</c:v>
                </c:pt>
                <c:pt idx="4">
                  <c:v>46622630.405863442</c:v>
                </c:pt>
                <c:pt idx="5">
                  <c:v>49416001.595932342</c:v>
                </c:pt>
              </c:numCache>
            </c:numRef>
          </c:val>
        </c:ser>
        <c:ser>
          <c:idx val="1"/>
          <c:order val="1"/>
          <c:tx>
            <c:strRef>
              <c:f>PROVINCIAL!$B$7</c:f>
              <c:strCache>
                <c:ptCount val="1"/>
                <c:pt idx="0">
                  <c:v>Energía generada con Recurso Eólico (kWh)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PROVINCIAL!$C$5:$CB$5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PROVINCIAL!$C$7:$CB$7</c:f>
              <c:numCache>
                <c:formatCode>#,##0</c:formatCode>
                <c:ptCount val="6"/>
                <c:pt idx="0">
                  <c:v>2398373</c:v>
                </c:pt>
                <c:pt idx="1">
                  <c:v>3451451.06</c:v>
                </c:pt>
                <c:pt idx="2">
                  <c:v>3902659.9375</c:v>
                </c:pt>
                <c:pt idx="3">
                  <c:v>6343528.4954824215</c:v>
                </c:pt>
                <c:pt idx="4">
                  <c:v>7299528.2459706794</c:v>
                </c:pt>
                <c:pt idx="5">
                  <c:v>8627865.7120030075</c:v>
                </c:pt>
              </c:numCache>
            </c:numRef>
          </c:val>
        </c:ser>
        <c:ser>
          <c:idx val="2"/>
          <c:order val="2"/>
          <c:tx>
            <c:strRef>
              <c:f>PROVINCIAL!$B$8</c:f>
              <c:strCache>
                <c:ptCount val="1"/>
                <c:pt idx="0">
                  <c:v>Energía generada con Recurso Fotovoltaico (kWh)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rgbClr val="FFFF00"/>
              </a:solidFill>
            </a:ln>
            <a:effectLst/>
          </c:spPr>
          <c:invertIfNegative val="0"/>
          <c:cat>
            <c:strRef>
              <c:f>PROVINCIAL!$C$5:$CB$5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PROVINCIAL!$C$8:$CB$8</c:f>
              <c:numCache>
                <c:formatCode>#,##0</c:formatCode>
                <c:ptCount val="6"/>
                <c:pt idx="0">
                  <c:v>16744</c:v>
                </c:pt>
                <c:pt idx="1">
                  <c:v>16981</c:v>
                </c:pt>
                <c:pt idx="2">
                  <c:v>1228295.3769999999</c:v>
                </c:pt>
                <c:pt idx="3">
                  <c:v>2093111.26</c:v>
                </c:pt>
                <c:pt idx="4">
                  <c:v>2502564.8785270872</c:v>
                </c:pt>
                <c:pt idx="5">
                  <c:v>2672372.7631517923</c:v>
                </c:pt>
              </c:numCache>
            </c:numRef>
          </c:val>
        </c:ser>
        <c:ser>
          <c:idx val="3"/>
          <c:order val="3"/>
          <c:tx>
            <c:strRef>
              <c:f>PROVINCIAL!$B$9</c:f>
              <c:strCache>
                <c:ptCount val="1"/>
                <c:pt idx="0">
                  <c:v>Energía generada  con Aceite Piñón (kWh)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PROVINCIAL!$C$5:$CB$5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PROVINCIAL!$C$9:$CB$9</c:f>
              <c:numCache>
                <c:formatCode>#,##0</c:formatCode>
                <c:ptCount val="6"/>
                <c:pt idx="0">
                  <c:v>87721.2</c:v>
                </c:pt>
                <c:pt idx="1">
                  <c:v>177581.05</c:v>
                </c:pt>
                <c:pt idx="2">
                  <c:v>48698.25</c:v>
                </c:pt>
                <c:pt idx="3">
                  <c:v>59338.55</c:v>
                </c:pt>
                <c:pt idx="4">
                  <c:v>58423.021597144776</c:v>
                </c:pt>
                <c:pt idx="5">
                  <c:v>57122.127257416287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5984272"/>
        <c:axId val="925985904"/>
      </c:barChart>
      <c:catAx>
        <c:axId val="92598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5904"/>
        <c:crosses val="autoZero"/>
        <c:auto val="1"/>
        <c:lblAlgn val="ctr"/>
        <c:lblOffset val="100"/>
        <c:noMultiLvlLbl val="0"/>
      </c:catAx>
      <c:valAx>
        <c:axId val="9259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4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/>
              <a:t>GENERACIÓN (kWh)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PROVINCIAL!$B$14</c:f>
              <c:strCache>
                <c:ptCount val="1"/>
                <c:pt idx="0">
                  <c:v>CONVENCIONAL (kWh)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PROVINCIAL!$O$5:$CB$5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PROVINCIAL!$C$14:$CB$14</c:f>
              <c:numCache>
                <c:formatCode>General</c:formatCode>
                <c:ptCount val="6"/>
                <c:pt idx="0">
                  <c:v>36638945.799999997</c:v>
                </c:pt>
                <c:pt idx="1">
                  <c:v>36857557.200000003</c:v>
                </c:pt>
                <c:pt idx="2">
                  <c:v>42276237.25</c:v>
                </c:pt>
                <c:pt idx="3">
                  <c:v>45400149.550000004</c:v>
                </c:pt>
                <c:pt idx="4">
                  <c:v>46622630.405863442</c:v>
                </c:pt>
                <c:pt idx="5">
                  <c:v>49416001.595932342</c:v>
                </c:pt>
              </c:numCache>
            </c:numRef>
          </c:val>
        </c:ser>
        <c:ser>
          <c:idx val="1"/>
          <c:order val="1"/>
          <c:tx>
            <c:strRef>
              <c:f>PROVINCIAL!$B$15</c:f>
              <c:strCache>
                <c:ptCount val="1"/>
                <c:pt idx="0">
                  <c:v>NO CONVENCIONAL (kWh)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  <a:effectLst/>
          </c:spPr>
          <c:invertIfNegative val="0"/>
          <c:cat>
            <c:strRef>
              <c:f>PROVINCIAL!$O$5:$CB$5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PROVINCIAL!$C$15:$CB$15</c:f>
              <c:numCache>
                <c:formatCode>General</c:formatCode>
                <c:ptCount val="6"/>
                <c:pt idx="0">
                  <c:v>2502838.2000000002</c:v>
                </c:pt>
                <c:pt idx="1">
                  <c:v>3646013.11</c:v>
                </c:pt>
                <c:pt idx="2">
                  <c:v>5179653.5645000003</c:v>
                </c:pt>
                <c:pt idx="3">
                  <c:v>8495978.3054824229</c:v>
                </c:pt>
                <c:pt idx="4">
                  <c:v>9860516.1460949127</c:v>
                </c:pt>
                <c:pt idx="5">
                  <c:v>11357360.602412216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5978832"/>
        <c:axId val="925979376"/>
      </c:barChart>
      <c:catAx>
        <c:axId val="92597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79376"/>
        <c:crosses val="autoZero"/>
        <c:auto val="1"/>
        <c:lblAlgn val="ctr"/>
        <c:lblOffset val="100"/>
        <c:noMultiLvlLbl val="0"/>
      </c:catAx>
      <c:valAx>
        <c:axId val="92597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78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PROVINCIAL!$B$17</c:f>
              <c:strCache>
                <c:ptCount val="1"/>
                <c:pt idx="0">
                  <c:v>AHORRO DE DIESEL (Galones)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strRef>
              <c:f>PROVINCIAL!$O$5:$CB$5</c:f>
              <c:strCache>
                <c:ptCount val="6"/>
                <c:pt idx="0">
                  <c:v>TOTAL 2012</c:v>
                </c:pt>
                <c:pt idx="1">
                  <c:v>TOTAL 2013</c:v>
                </c:pt>
                <c:pt idx="2">
                  <c:v>TOTAL 2014</c:v>
                </c:pt>
                <c:pt idx="3">
                  <c:v>TOTAL 2015</c:v>
                </c:pt>
                <c:pt idx="4">
                  <c:v>TOTAL 2016</c:v>
                </c:pt>
                <c:pt idx="5">
                  <c:v>TOTAL 2017</c:v>
                </c:pt>
              </c:strCache>
            </c:strRef>
          </c:cat>
          <c:val>
            <c:numRef>
              <c:f>PROVINCIAL!$C$17:$CB$17</c:f>
              <c:numCache>
                <c:formatCode>General</c:formatCode>
                <c:ptCount val="6"/>
                <c:pt idx="0">
                  <c:v>238336.89640728498</c:v>
                </c:pt>
                <c:pt idx="1">
                  <c:v>301828.8041622215</c:v>
                </c:pt>
                <c:pt idx="2">
                  <c:v>398299.39271285885</c:v>
                </c:pt>
                <c:pt idx="3">
                  <c:v>636955.86685428489</c:v>
                </c:pt>
                <c:pt idx="4">
                  <c:v>717530.48834403139</c:v>
                </c:pt>
                <c:pt idx="5">
                  <c:v>829302.76495473098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982096"/>
        <c:axId val="925982640"/>
      </c:lineChart>
      <c:catAx>
        <c:axId val="9259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2640"/>
        <c:crosses val="autoZero"/>
        <c:auto val="1"/>
        <c:lblAlgn val="ctr"/>
        <c:lblOffset val="100"/>
        <c:noMultiLvlLbl val="0"/>
      </c:catAx>
      <c:valAx>
        <c:axId val="92598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5982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POTENCIA!$A$3</c:f>
              <c:strCache>
                <c:ptCount val="1"/>
                <c:pt idx="0">
                  <c:v>SB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POTENCIA!$C$2:$M$2</c:f>
              <c:numCache>
                <c:formatCode>General</c:formatCod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numCache>
            </c:numRef>
          </c:cat>
          <c:val>
            <c:numRef>
              <c:f>POTENCIA!$C$3:$M$3</c:f>
              <c:numCache>
                <c:formatCode>General</c:formatCode>
                <c:ptCount val="11"/>
                <c:pt idx="0">
                  <c:v>2884.344079430814</c:v>
                </c:pt>
                <c:pt idx="1">
                  <c:v>3057.0856061063459</c:v>
                </c:pt>
                <c:pt idx="2">
                  <c:v>3242.6302365822603</c:v>
                </c:pt>
                <c:pt idx="3">
                  <c:v>3455.2444933298043</c:v>
                </c:pt>
                <c:pt idx="4">
                  <c:v>3655.2445019292022</c:v>
                </c:pt>
                <c:pt idx="5">
                  <c:v>3872.5980197150907</c:v>
                </c:pt>
                <c:pt idx="6">
                  <c:v>4100.618944197483</c:v>
                </c:pt>
                <c:pt idx="7">
                  <c:v>4341.083201507241</c:v>
                </c:pt>
                <c:pt idx="8">
                  <c:v>4607.9614073292232</c:v>
                </c:pt>
                <c:pt idx="9">
                  <c:v>4878.7689669028532</c:v>
                </c:pt>
                <c:pt idx="10">
                  <c:v>5164.3981508878096</c:v>
                </c:pt>
              </c:numCache>
            </c:numRef>
          </c:val>
        </c:ser>
        <c:ser>
          <c:idx val="1"/>
          <c:order val="1"/>
          <c:tx>
            <c:strRef>
              <c:f>POTENCIA!$A$4</c:f>
              <c:strCache>
                <c:ptCount val="1"/>
                <c:pt idx="0">
                  <c:v>SX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POTENCIA!$C$2:$M$2</c:f>
              <c:numCache>
                <c:formatCode>General</c:formatCod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numCache>
            </c:numRef>
          </c:cat>
          <c:val>
            <c:numRef>
              <c:f>POTENCIA!$C$4:$M$4</c:f>
              <c:numCache>
                <c:formatCode>General</c:formatCode>
                <c:ptCount val="11"/>
                <c:pt idx="0">
                  <c:v>5922.1387099252297</c:v>
                </c:pt>
                <c:pt idx="1">
                  <c:v>6326.4652199422917</c:v>
                </c:pt>
                <c:pt idx="2">
                  <c:v>7456.7129587245563</c:v>
                </c:pt>
                <c:pt idx="3">
                  <c:v>7893.6670836384283</c:v>
                </c:pt>
                <c:pt idx="4">
                  <c:v>8379.2510827719652</c:v>
                </c:pt>
                <c:pt idx="5">
                  <c:v>8889.6473950035233</c:v>
                </c:pt>
                <c:pt idx="6">
                  <c:v>9432.0109861800101</c:v>
                </c:pt>
                <c:pt idx="7">
                  <c:v>10003.161971077674</c:v>
                </c:pt>
                <c:pt idx="8">
                  <c:v>10605.766513354953</c:v>
                </c:pt>
                <c:pt idx="9">
                  <c:v>11241.879410772201</c:v>
                </c:pt>
                <c:pt idx="10">
                  <c:v>11913.668496030039</c:v>
                </c:pt>
              </c:numCache>
            </c:numRef>
          </c:val>
        </c:ser>
        <c:ser>
          <c:idx val="2"/>
          <c:order val="2"/>
          <c:tx>
            <c:strRef>
              <c:f>POTENCIA!$A$5</c:f>
              <c:strCache>
                <c:ptCount val="1"/>
                <c:pt idx="0">
                  <c:v>ISA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POTENCIA!$C$2:$M$2</c:f>
              <c:numCache>
                <c:formatCode>General</c:formatCod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numCache>
            </c:numRef>
          </c:cat>
          <c:val>
            <c:numRef>
              <c:f>POTENCIA!$C$5:$M$5</c:f>
              <c:numCache>
                <c:formatCode>General</c:formatCode>
                <c:ptCount val="11"/>
                <c:pt idx="0">
                  <c:v>987.86173734663907</c:v>
                </c:pt>
                <c:pt idx="1">
                  <c:v>1106.7536960417829</c:v>
                </c:pt>
                <c:pt idx="2">
                  <c:v>1238.0984042737196</c:v>
                </c:pt>
                <c:pt idx="3">
                  <c:v>1392.9832351842929</c:v>
                </c:pt>
                <c:pt idx="4">
                  <c:v>1563.4906767453542</c:v>
                </c:pt>
                <c:pt idx="5">
                  <c:v>1749.2029798254644</c:v>
                </c:pt>
                <c:pt idx="6">
                  <c:v>1956.3483955843651</c:v>
                </c:pt>
                <c:pt idx="7">
                  <c:v>2183.3893864534948</c:v>
                </c:pt>
                <c:pt idx="8">
                  <c:v>2433.823868985814</c:v>
                </c:pt>
                <c:pt idx="9">
                  <c:v>2710.3655511204197</c:v>
                </c:pt>
                <c:pt idx="10">
                  <c:v>3016.0189117852483</c:v>
                </c:pt>
              </c:numCache>
            </c:numRef>
          </c:val>
        </c:ser>
        <c:ser>
          <c:idx val="3"/>
          <c:order val="3"/>
          <c:tx>
            <c:strRef>
              <c:f>POTENCIA!$A$6</c:f>
              <c:strCache>
                <c:ptCount val="1"/>
                <c:pt idx="0">
                  <c:v>FLO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POTENCIA!$C$2:$M$2</c:f>
              <c:numCache>
                <c:formatCode>General</c:formatCod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numCache>
            </c:numRef>
          </c:cat>
          <c:val>
            <c:numRef>
              <c:f>POTENCIA!$C$6:$M$6</c:f>
              <c:numCache>
                <c:formatCode>General</c:formatCode>
                <c:ptCount val="11"/>
                <c:pt idx="0">
                  <c:v>72.042754284495459</c:v>
                </c:pt>
                <c:pt idx="1">
                  <c:v>74.053982861254752</c:v>
                </c:pt>
                <c:pt idx="2">
                  <c:v>76.114559405307915</c:v>
                </c:pt>
                <c:pt idx="3">
                  <c:v>78.22669682873547</c:v>
                </c:pt>
                <c:pt idx="4">
                  <c:v>80.392689781647618</c:v>
                </c:pt>
                <c:pt idx="5">
                  <c:v>82.614918271878452</c:v>
                </c:pt>
                <c:pt idx="6">
                  <c:v>85.775661756796808</c:v>
                </c:pt>
                <c:pt idx="7">
                  <c:v>88.178035693232999</c:v>
                </c:pt>
                <c:pt idx="8">
                  <c:v>90.645152895335343</c:v>
                </c:pt>
                <c:pt idx="9">
                  <c:v>93.179758066045991</c:v>
                </c:pt>
                <c:pt idx="10">
                  <c:v>95.784701869314674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690688"/>
        <c:axId val="796695584"/>
      </c:areaChart>
      <c:catAx>
        <c:axId val="79669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6695584"/>
        <c:crosses val="autoZero"/>
        <c:auto val="1"/>
        <c:lblAlgn val="ctr"/>
        <c:lblOffset val="100"/>
        <c:noMultiLvlLbl val="0"/>
      </c:catAx>
      <c:valAx>
        <c:axId val="79669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6690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aseline="0"/>
              <a:t>Potencia eólica despachada 2014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Hoja2!$C$9</c:f>
              <c:strCache>
                <c:ptCount val="1"/>
                <c:pt idx="0">
                  <c:v>Demanda Máxima (kW)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Hoja2!$D$8:$O$8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Hoja2!$D$9:$O$9</c:f>
              <c:numCache>
                <c:formatCode>General</c:formatCode>
                <c:ptCount val="12"/>
                <c:pt idx="0">
                  <c:v>2347</c:v>
                </c:pt>
                <c:pt idx="1">
                  <c:v>2527</c:v>
                </c:pt>
                <c:pt idx="2">
                  <c:v>2575</c:v>
                </c:pt>
                <c:pt idx="3">
                  <c:v>2495</c:v>
                </c:pt>
                <c:pt idx="4">
                  <c:v>2371</c:v>
                </c:pt>
                <c:pt idx="5">
                  <c:v>2224</c:v>
                </c:pt>
                <c:pt idx="6">
                  <c:v>2135</c:v>
                </c:pt>
                <c:pt idx="7">
                  <c:v>2117</c:v>
                </c:pt>
                <c:pt idx="8">
                  <c:v>1988</c:v>
                </c:pt>
                <c:pt idx="9">
                  <c:v>2140</c:v>
                </c:pt>
                <c:pt idx="10">
                  <c:v>2474</c:v>
                </c:pt>
                <c:pt idx="11">
                  <c:v>2513</c:v>
                </c:pt>
              </c:numCache>
            </c:numRef>
          </c:val>
        </c:ser>
        <c:ser>
          <c:idx val="1"/>
          <c:order val="1"/>
          <c:tx>
            <c:strRef>
              <c:f>Hoja2!$C$10</c:f>
              <c:strCache>
                <c:ptCount val="1"/>
                <c:pt idx="0">
                  <c:v>Potencia eólica (kW)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Hoja2!$D$8:$O$8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Hoja2!$D$10:$O$10</c:f>
              <c:numCache>
                <c:formatCode>0.0</c:formatCode>
                <c:ptCount val="12"/>
                <c:pt idx="0">
                  <c:v>569.62229567307691</c:v>
                </c:pt>
                <c:pt idx="1">
                  <c:v>441.85834001068378</c:v>
                </c:pt>
                <c:pt idx="2">
                  <c:v>138.03846153846155</c:v>
                </c:pt>
                <c:pt idx="3">
                  <c:v>334.52564102564105</c:v>
                </c:pt>
                <c:pt idx="4">
                  <c:v>816.96794871794873</c:v>
                </c:pt>
                <c:pt idx="5">
                  <c:v>875.80555555555554</c:v>
                </c:pt>
                <c:pt idx="6">
                  <c:v>1040.1410256410256</c:v>
                </c:pt>
                <c:pt idx="7">
                  <c:v>667.15598290598291</c:v>
                </c:pt>
                <c:pt idx="8">
                  <c:v>1056.2200854700855</c:v>
                </c:pt>
                <c:pt idx="9">
                  <c:v>908.91239316239319</c:v>
                </c:pt>
                <c:pt idx="10">
                  <c:v>708.84188034188037</c:v>
                </c:pt>
                <c:pt idx="11">
                  <c:v>699.16025641025647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078560"/>
        <c:axId val="795073120"/>
      </c:barChart>
      <c:lineChart>
        <c:grouping val="standard"/>
        <c:varyColors val="0"/>
        <c:ser>
          <c:idx val="2"/>
          <c:order val="2"/>
          <c:tx>
            <c:strRef>
              <c:f>Hoja2!$C$11</c:f>
              <c:strCache>
                <c:ptCount val="1"/>
                <c:pt idx="0">
                  <c:v>participación eólica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Hoja2!$D$8:$O$8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Hoja2!$D$11:$O$11</c:f>
              <c:numCache>
                <c:formatCode>0%</c:formatCode>
                <c:ptCount val="12"/>
                <c:pt idx="0">
                  <c:v>0.24270229896594669</c:v>
                </c:pt>
                <c:pt idx="1">
                  <c:v>0.17485490305131926</c:v>
                </c:pt>
                <c:pt idx="2">
                  <c:v>5.3607169529499628E-2</c:v>
                </c:pt>
                <c:pt idx="3">
                  <c:v>0.13407841323672989</c:v>
                </c:pt>
                <c:pt idx="4">
                  <c:v>0.3445668278017498</c:v>
                </c:pt>
                <c:pt idx="5">
                  <c:v>0.39379746203037569</c:v>
                </c:pt>
                <c:pt idx="6">
                  <c:v>0.48718549210352491</c:v>
                </c:pt>
                <c:pt idx="7">
                  <c:v>0.31514217425884877</c:v>
                </c:pt>
                <c:pt idx="8">
                  <c:v>0.53129782971332262</c:v>
                </c:pt>
                <c:pt idx="9">
                  <c:v>0.42472541736560432</c:v>
                </c:pt>
                <c:pt idx="10">
                  <c:v>0.28651652398620869</c:v>
                </c:pt>
                <c:pt idx="11">
                  <c:v>0.27821737222851434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5079104"/>
        <c:axId val="795075296"/>
      </c:lineChart>
      <c:catAx>
        <c:axId val="79507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3120"/>
        <c:crosses val="autoZero"/>
        <c:auto val="1"/>
        <c:lblAlgn val="ctr"/>
        <c:lblOffset val="100"/>
        <c:noMultiLvlLbl val="0"/>
      </c:catAx>
      <c:valAx>
        <c:axId val="79507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8560"/>
        <c:crosses val="autoZero"/>
        <c:crossBetween val="between"/>
      </c:valAx>
      <c:valAx>
        <c:axId val="795075296"/>
        <c:scaling>
          <c:orientation val="minMax"/>
          <c:max val="1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9104"/>
        <c:crosses val="max"/>
        <c:crossBetween val="between"/>
      </c:valAx>
      <c:catAx>
        <c:axId val="7950791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950752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Diferencia porcentual</a:t>
            </a:r>
            <a:r>
              <a:rPr lang="es-ES" baseline="0"/>
              <a:t> demanda y combustible 2014-2017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Hoja2!$F$44</c:f>
              <c:strCache>
                <c:ptCount val="1"/>
                <c:pt idx="0">
                  <c:v>Incremento de la demanda 2014-2017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Hoja2!$G$43:$K$43</c:f>
              <c:strCache>
                <c:ptCount val="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</c:strCache>
            </c:strRef>
          </c:cat>
          <c:val>
            <c:numRef>
              <c:f>Hoja2!$G$44:$K$44</c:f>
              <c:numCache>
                <c:formatCode>0%</c:formatCode>
                <c:ptCount val="5"/>
                <c:pt idx="0">
                  <c:v>0.18431587081428671</c:v>
                </c:pt>
                <c:pt idx="1">
                  <c:v>0.15713515639322026</c:v>
                </c:pt>
                <c:pt idx="2">
                  <c:v>0.13346644635105825</c:v>
                </c:pt>
                <c:pt idx="3">
                  <c:v>0.28491251974439108</c:v>
                </c:pt>
                <c:pt idx="4">
                  <c:v>0.14319719395596908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Hoja2!$F$45</c:f>
              <c:strCache>
                <c:ptCount val="1"/>
                <c:pt idx="0">
                  <c:v>Incremento del consumo de Diesel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Hoja2!$G$43:$K$43</c:f>
              <c:strCache>
                <c:ptCount val="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</c:strCache>
            </c:strRef>
          </c:cat>
          <c:val>
            <c:numRef>
              <c:f>Hoja2!$G$45:$K$45</c:f>
              <c:numCache>
                <c:formatCode>0%</c:formatCode>
                <c:ptCount val="5"/>
                <c:pt idx="0">
                  <c:v>0.55223362820694766</c:v>
                </c:pt>
                <c:pt idx="1">
                  <c:v>0.20224137293338759</c:v>
                </c:pt>
                <c:pt idx="2">
                  <c:v>7.4831656660717186E-2</c:v>
                </c:pt>
                <c:pt idx="3">
                  <c:v>0.49200956408051488</c:v>
                </c:pt>
                <c:pt idx="4">
                  <c:v>0.35356104908747682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2771904"/>
        <c:axId val="932768640"/>
      </c:lineChart>
      <c:catAx>
        <c:axId val="93277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32768640"/>
        <c:crosses val="autoZero"/>
        <c:auto val="1"/>
        <c:lblAlgn val="ctr"/>
        <c:lblOffset val="100"/>
        <c:noMultiLvlLbl val="0"/>
      </c:catAx>
      <c:valAx>
        <c:axId val="93276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32771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Participación eólica 2014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Hoja2!$C$5</c:f>
              <c:strCache>
                <c:ptCount val="1"/>
                <c:pt idx="0">
                  <c:v>Energía Térmica - Diesel (kWh)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Hoja2!$D$4:$O$4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Hoja2!$D$5:$O$5</c:f>
              <c:numCache>
                <c:formatCode>General</c:formatCode>
                <c:ptCount val="12"/>
                <c:pt idx="0">
                  <c:v>889519</c:v>
                </c:pt>
                <c:pt idx="1">
                  <c:v>967287</c:v>
                </c:pt>
                <c:pt idx="2">
                  <c:v>1262791</c:v>
                </c:pt>
                <c:pt idx="3">
                  <c:v>987586.5</c:v>
                </c:pt>
                <c:pt idx="4">
                  <c:v>878566</c:v>
                </c:pt>
                <c:pt idx="5">
                  <c:v>736228</c:v>
                </c:pt>
                <c:pt idx="6">
                  <c:v>641683</c:v>
                </c:pt>
                <c:pt idx="7">
                  <c:v>706460</c:v>
                </c:pt>
                <c:pt idx="8">
                  <c:v>488772</c:v>
                </c:pt>
                <c:pt idx="9">
                  <c:v>632074</c:v>
                </c:pt>
                <c:pt idx="10">
                  <c:v>790888</c:v>
                </c:pt>
                <c:pt idx="11">
                  <c:v>942479</c:v>
                </c:pt>
              </c:numCache>
            </c:numRef>
          </c:val>
        </c:ser>
        <c:ser>
          <c:idx val="1"/>
          <c:order val="1"/>
          <c:tx>
            <c:strRef>
              <c:f>Hoja2!$C$6</c:f>
              <c:strCache>
                <c:ptCount val="1"/>
                <c:pt idx="0">
                  <c:v>Energía Eólica (kWh)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Hoja2!$D$4:$O$4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Hoja2!$D$6:$O$6</c:f>
              <c:numCache>
                <c:formatCode>General</c:formatCode>
                <c:ptCount val="12"/>
                <c:pt idx="0">
                  <c:v>266583.234375</c:v>
                </c:pt>
                <c:pt idx="1">
                  <c:v>206789.703125</c:v>
                </c:pt>
                <c:pt idx="2">
                  <c:v>64602</c:v>
                </c:pt>
                <c:pt idx="3">
                  <c:v>156558</c:v>
                </c:pt>
                <c:pt idx="4">
                  <c:v>382341</c:v>
                </c:pt>
                <c:pt idx="5">
                  <c:v>409877</c:v>
                </c:pt>
                <c:pt idx="6">
                  <c:v>486786</c:v>
                </c:pt>
                <c:pt idx="7">
                  <c:v>312229</c:v>
                </c:pt>
                <c:pt idx="8">
                  <c:v>494311</c:v>
                </c:pt>
                <c:pt idx="9">
                  <c:v>425371</c:v>
                </c:pt>
                <c:pt idx="10">
                  <c:v>331738</c:v>
                </c:pt>
                <c:pt idx="11">
                  <c:v>327207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1012306784"/>
        <c:axId val="1012318208"/>
      </c:barChart>
      <c:lineChart>
        <c:grouping val="standard"/>
        <c:varyColors val="0"/>
        <c:ser>
          <c:idx val="2"/>
          <c:order val="2"/>
          <c:tx>
            <c:strRef>
              <c:f>Hoja2!$C$7</c:f>
              <c:strCache>
                <c:ptCount val="1"/>
                <c:pt idx="0">
                  <c:v>Demanda (kWh)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Hoja2!$D$4:$O$4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Hoja2!$D$7:$O$7</c:f>
              <c:numCache>
                <c:formatCode>General</c:formatCode>
                <c:ptCount val="12"/>
                <c:pt idx="0">
                  <c:v>1157636.234375</c:v>
                </c:pt>
                <c:pt idx="1">
                  <c:v>1175540.703125</c:v>
                </c:pt>
                <c:pt idx="2">
                  <c:v>1328808</c:v>
                </c:pt>
                <c:pt idx="3">
                  <c:v>1145578.5</c:v>
                </c:pt>
                <c:pt idx="4">
                  <c:v>1262204</c:v>
                </c:pt>
                <c:pt idx="5">
                  <c:v>1147406</c:v>
                </c:pt>
                <c:pt idx="6">
                  <c:v>1129822</c:v>
                </c:pt>
                <c:pt idx="7">
                  <c:v>1020210</c:v>
                </c:pt>
                <c:pt idx="8">
                  <c:v>984622</c:v>
                </c:pt>
                <c:pt idx="9">
                  <c:v>1058975</c:v>
                </c:pt>
                <c:pt idx="10">
                  <c:v>1124044</c:v>
                </c:pt>
                <c:pt idx="11">
                  <c:v>1271130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2306784"/>
        <c:axId val="1012318208"/>
      </c:lineChart>
      <c:catAx>
        <c:axId val="101230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12318208"/>
        <c:crosses val="autoZero"/>
        <c:auto val="1"/>
        <c:lblAlgn val="ctr"/>
        <c:lblOffset val="100"/>
        <c:noMultiLvlLbl val="0"/>
      </c:catAx>
      <c:valAx>
        <c:axId val="101231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12306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Energía generada Isabela (kWh)</a:t>
            </a:r>
          </a:p>
          <a:p>
            <a:pPr>
              <a:defRPr/>
            </a:pPr>
            <a:r>
              <a:rPr lang="es-EC"/>
              <a:t>2014</a:t>
            </a:r>
          </a:p>
        </c:rich>
      </c:tx>
      <c:overlay val="0"/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9998102187027348E-2"/>
          <c:y val="0.26178036389108977"/>
          <c:w val="0.82938078632081191"/>
          <c:h val="0.64403660788117534"/>
        </c:manualLayout>
      </c:layout>
      <c:pie3DChart>
        <c:varyColors val="1"/>
        <c:ser>
          <c:idx val="0"/>
          <c:order val="0"/>
          <c:dLbls>
            <c:dLbl>
              <c:idx val="1"/>
              <c:layout>
                <c:manualLayout>
                  <c:x val="-2.5617454957891167E-2"/>
                  <c:y val="-5.0940387769729219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23187462519229274"/>
                  <c:y val="2.6652681569613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6045563694459488E-2"/>
                  <c:y val="4.9381549200842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867390250959583"/>
                      <c:h val="0.18542520767143633"/>
                    </c:manualLayout>
                  </c15:layout>
                </c:ext>
              </c:extLst>
            </c:dLbl>
            <c:dLbl>
              <c:idx val="7"/>
              <c:layout>
                <c:manualLayout>
                  <c:x val="0.16734838213438322"/>
                  <c:y val="-1.62019176900210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ISLAS!$B$19</c:f>
              <c:strCache>
                <c:ptCount val="1"/>
                <c:pt idx="0">
                  <c:v>ISABELA TÉRMICO</c:v>
                </c:pt>
              </c:strCache>
            </c:strRef>
          </c:cat>
          <c:val>
            <c:numRef>
              <c:f>ISLAS!$AO$19</c:f>
              <c:numCache>
                <c:formatCode>#,##0</c:formatCode>
                <c:ptCount val="1"/>
                <c:pt idx="0">
                  <c:v>4411835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Calibri"/>
              </a:rPr>
              <a:t>Energía generada Floreana (kWh)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C" sz="1800" b="1" i="0" u="none" strike="noStrike" baseline="0">
                <a:solidFill>
                  <a:srgbClr val="000000"/>
                </a:solidFill>
                <a:latin typeface="Calibri"/>
              </a:rPr>
              <a:t>2014</a:t>
            </a:r>
          </a:p>
        </c:rich>
      </c:tx>
      <c:layout>
        <c:manualLayout>
          <c:xMode val="edge"/>
          <c:yMode val="edge"/>
          <c:x val="0.31982437691075527"/>
          <c:y val="1.4385013760624876E-2"/>
        </c:manualLayout>
      </c:layout>
      <c:overlay val="0"/>
    </c:title>
    <c:autoTitleDeleted val="0"/>
    <c:view3D>
      <c:rotX val="3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516843638893564"/>
          <c:y val="0.33322203201590384"/>
          <c:w val="0.82938078632081191"/>
          <c:h val="0.64403660788117534"/>
        </c:manualLayout>
      </c:layout>
      <c:pie3DChart>
        <c:varyColors val="1"/>
        <c:ser>
          <c:idx val="0"/>
          <c:order val="0"/>
          <c:dLbls>
            <c:dLbl>
              <c:idx val="4"/>
              <c:layout>
                <c:manualLayout>
                  <c:x val="-4.6045563694459488E-2"/>
                  <c:y val="4.9381549200842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867390250959583"/>
                      <c:h val="0.18542520767143633"/>
                    </c:manualLayout>
                  </c15:layout>
                </c:ext>
              </c:extLst>
            </c:dLbl>
            <c:dLbl>
              <c:idx val="7"/>
              <c:layout>
                <c:manualLayout>
                  <c:x val="0.16734838213438322"/>
                  <c:y val="-1.62019176900210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ISLAS!$B$23:$B$25</c:f>
              <c:strCache>
                <c:ptCount val="3"/>
                <c:pt idx="0">
                  <c:v>FLOREANA DIESEL</c:v>
                </c:pt>
                <c:pt idx="1">
                  <c:v>FLOREANA PIÑÓN</c:v>
                </c:pt>
                <c:pt idx="2">
                  <c:v>FLOREANA SOLAR</c:v>
                </c:pt>
              </c:strCache>
            </c:strRef>
          </c:cat>
          <c:val>
            <c:numRef>
              <c:f>ISLAS!$AO$23:$AO$25</c:f>
              <c:numCache>
                <c:formatCode>#,##0</c:formatCode>
                <c:ptCount val="3"/>
                <c:pt idx="0">
                  <c:v>208014.75</c:v>
                </c:pt>
                <c:pt idx="1">
                  <c:v>48698.25</c:v>
                </c:pt>
                <c:pt idx="2">
                  <c:v>3111.797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/>
              <a:t>ENERGIA</a:t>
            </a:r>
            <a:r>
              <a:rPr lang="es-EC" baseline="0"/>
              <a:t> GENERADA ISLA </a:t>
            </a:r>
            <a:r>
              <a:rPr lang="es-EC"/>
              <a:t>SAN</a:t>
            </a:r>
            <a:r>
              <a:rPr lang="es-EC" baseline="0"/>
              <a:t> CRISTOBAL (kWH)</a:t>
            </a:r>
            <a:endParaRPr lang="es-EC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ISLAS!$B$6</c:f>
              <c:strCache>
                <c:ptCount val="1"/>
                <c:pt idx="0">
                  <c:v>SAN CRISTÓBAL TERMICO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ISLAS!$C$5:$BO$5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ISLAS!$C$6:$BO$6</c:f>
              <c:numCache>
                <c:formatCode>#,##0</c:formatCode>
                <c:ptCount val="17"/>
                <c:pt idx="0">
                  <c:v>8668079</c:v>
                </c:pt>
                <c:pt idx="1">
                  <c:v>7829615</c:v>
                </c:pt>
                <c:pt idx="2">
                  <c:v>9924333.5</c:v>
                </c:pt>
                <c:pt idx="3">
                  <c:v>12454861.1</c:v>
                </c:pt>
                <c:pt idx="4">
                  <c:v>1261007</c:v>
                </c:pt>
                <c:pt idx="5">
                  <c:v>1155560</c:v>
                </c:pt>
                <c:pt idx="6">
                  <c:v>1476498</c:v>
                </c:pt>
                <c:pt idx="7">
                  <c:v>1313439</c:v>
                </c:pt>
                <c:pt idx="8">
                  <c:v>1161102.3491922077</c:v>
                </c:pt>
                <c:pt idx="9">
                  <c:v>1071943.5945218913</c:v>
                </c:pt>
                <c:pt idx="10">
                  <c:v>962674.43932563486</c:v>
                </c:pt>
                <c:pt idx="11">
                  <c:v>901100.82515031472</c:v>
                </c:pt>
                <c:pt idx="12">
                  <c:v>714962.52552929346</c:v>
                </c:pt>
                <c:pt idx="13">
                  <c:v>893169.12877317856</c:v>
                </c:pt>
                <c:pt idx="14">
                  <c:v>759463.95166501717</c:v>
                </c:pt>
                <c:pt idx="15">
                  <c:v>1053808.7013872147</c:v>
                </c:pt>
                <c:pt idx="16">
                  <c:v>12724729.515544754</c:v>
                </c:pt>
              </c:numCache>
            </c:numRef>
          </c:val>
        </c:ser>
        <c:ser>
          <c:idx val="1"/>
          <c:order val="1"/>
          <c:tx>
            <c:strRef>
              <c:f>ISLAS!$B$7</c:f>
              <c:strCache>
                <c:ptCount val="1"/>
                <c:pt idx="0">
                  <c:v>SAN CRISTÓBAL EÓLICA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ISLAS!$C$5:$BO$5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ISLAS!$C$7:$BO$7</c:f>
              <c:numCache>
                <c:formatCode>#,##0</c:formatCode>
                <c:ptCount val="17"/>
                <c:pt idx="0">
                  <c:v>2398373</c:v>
                </c:pt>
                <c:pt idx="1">
                  <c:v>3451451.06</c:v>
                </c:pt>
                <c:pt idx="2">
                  <c:v>3864392.9375</c:v>
                </c:pt>
                <c:pt idx="3">
                  <c:v>3396365</c:v>
                </c:pt>
                <c:pt idx="4">
                  <c:v>143915</c:v>
                </c:pt>
                <c:pt idx="5">
                  <c:v>28444</c:v>
                </c:pt>
                <c:pt idx="6">
                  <c:v>29534.16</c:v>
                </c:pt>
                <c:pt idx="7">
                  <c:v>104720</c:v>
                </c:pt>
                <c:pt idx="8">
                  <c:v>299630.31483489368</c:v>
                </c:pt>
                <c:pt idx="9">
                  <c:v>292648.40143270197</c:v>
                </c:pt>
                <c:pt idx="10">
                  <c:v>341042.2760629073</c:v>
                </c:pt>
                <c:pt idx="11">
                  <c:v>267202.29930364498</c:v>
                </c:pt>
                <c:pt idx="12">
                  <c:v>408875.14572156832</c:v>
                </c:pt>
                <c:pt idx="13">
                  <c:v>321749.84130671667</c:v>
                </c:pt>
                <c:pt idx="14">
                  <c:v>528980.19420780463</c:v>
                </c:pt>
                <c:pt idx="15">
                  <c:v>367238.4922618788</c:v>
                </c:pt>
                <c:pt idx="16">
                  <c:v>3133980.1251321165</c:v>
                </c:pt>
              </c:numCache>
            </c:numRef>
          </c:val>
        </c:ser>
        <c:ser>
          <c:idx val="2"/>
          <c:order val="2"/>
          <c:tx>
            <c:strRef>
              <c:f>ISLAS!$B$8</c:f>
              <c:strCache>
                <c:ptCount val="1"/>
                <c:pt idx="0">
                  <c:v>SAN CRISTÓBAL SOLAR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ISLAS!$C$5:$BO$5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ISLAS!$C$8:$BO$8</c:f>
              <c:numCache>
                <c:formatCode>#,##0</c:formatCode>
                <c:ptCount val="17"/>
                <c:pt idx="0">
                  <c:v>16744</c:v>
                </c:pt>
                <c:pt idx="1">
                  <c:v>16981</c:v>
                </c:pt>
                <c:pt idx="2">
                  <c:v>17250</c:v>
                </c:pt>
                <c:pt idx="3">
                  <c:v>16251</c:v>
                </c:pt>
                <c:pt idx="4">
                  <c:v>1476</c:v>
                </c:pt>
                <c:pt idx="5">
                  <c:v>1301</c:v>
                </c:pt>
                <c:pt idx="6">
                  <c:v>1268</c:v>
                </c:pt>
                <c:pt idx="7">
                  <c:v>1400</c:v>
                </c:pt>
                <c:pt idx="8">
                  <c:v>1559.2178399412455</c:v>
                </c:pt>
                <c:pt idx="9">
                  <c:v>1375.3303985829355</c:v>
                </c:pt>
                <c:pt idx="10">
                  <c:v>1412.7838474631603</c:v>
                </c:pt>
                <c:pt idx="11">
                  <c:v>1529.9199840389031</c:v>
                </c:pt>
                <c:pt idx="12">
                  <c:v>1755.3212688817887</c:v>
                </c:pt>
                <c:pt idx="13">
                  <c:v>1861.1601592754712</c:v>
                </c:pt>
                <c:pt idx="14">
                  <c:v>1756.0873211773587</c:v>
                </c:pt>
                <c:pt idx="15">
                  <c:v>1685.2985990762256</c:v>
                </c:pt>
                <c:pt idx="16">
                  <c:v>18380.119418437087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5076928"/>
        <c:axId val="795072576"/>
      </c:barChart>
      <c:catAx>
        <c:axId val="79507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2576"/>
        <c:crosses val="autoZero"/>
        <c:auto val="1"/>
        <c:lblAlgn val="ctr"/>
        <c:lblOffset val="100"/>
        <c:noMultiLvlLbl val="0"/>
      </c:catAx>
      <c:valAx>
        <c:axId val="79507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C" sz="1200" b="0" i="0" baseline="0">
                <a:effectLst/>
              </a:rPr>
              <a:t>ENERGIA GENERADA ISLA SANTA CRUZ (kWH)</a:t>
            </a:r>
            <a:endParaRPr lang="es-EC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ISLAS!$B$12</c:f>
              <c:strCache>
                <c:ptCount val="1"/>
                <c:pt idx="0">
                  <c:v>SANTA CRUZ TERMICO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ISLAS!$C$12:$BO$12</c:f>
              <c:numCache>
                <c:formatCode>#,##0</c:formatCode>
                <c:ptCount val="17"/>
                <c:pt idx="0">
                  <c:v>24160676</c:v>
                </c:pt>
                <c:pt idx="1">
                  <c:v>25173472</c:v>
                </c:pt>
                <c:pt idx="2">
                  <c:v>27732054</c:v>
                </c:pt>
                <c:pt idx="3">
                  <c:v>27892543</c:v>
                </c:pt>
                <c:pt idx="4">
                  <c:v>2595038</c:v>
                </c:pt>
                <c:pt idx="5">
                  <c:v>2785495</c:v>
                </c:pt>
                <c:pt idx="6">
                  <c:v>3129040</c:v>
                </c:pt>
                <c:pt idx="7">
                  <c:v>2696865</c:v>
                </c:pt>
                <c:pt idx="8">
                  <c:v>2569969.1915574088</c:v>
                </c:pt>
                <c:pt idx="9">
                  <c:v>2439123.4884911054</c:v>
                </c:pt>
                <c:pt idx="10">
                  <c:v>2224556.3876497978</c:v>
                </c:pt>
                <c:pt idx="11">
                  <c:v>2007896.2361120495</c:v>
                </c:pt>
                <c:pt idx="12">
                  <c:v>1728458.5247011976</c:v>
                </c:pt>
                <c:pt idx="13">
                  <c:v>1998301.9489069579</c:v>
                </c:pt>
                <c:pt idx="14">
                  <c:v>1970333.6741937317</c:v>
                </c:pt>
                <c:pt idx="15">
                  <c:v>2369568.7429911806</c:v>
                </c:pt>
                <c:pt idx="16">
                  <c:v>28514646.194603428</c:v>
                </c:pt>
              </c:numCache>
            </c:numRef>
          </c:val>
        </c:ser>
        <c:ser>
          <c:idx val="1"/>
          <c:order val="1"/>
          <c:tx>
            <c:strRef>
              <c:f>ISLAS!$B$13</c:f>
              <c:strCache>
                <c:ptCount val="1"/>
                <c:pt idx="0">
                  <c:v>SANTA CRUZ SOLAR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ISLAS!$C$13:$BO$13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1207933.5799999998</c:v>
                </c:pt>
                <c:pt idx="3">
                  <c:v>2010492.3</c:v>
                </c:pt>
                <c:pt idx="4" formatCode="_(* #,##0_);_(* \(#,##0\);_(* &quot;-&quot;??_);_(@_)">
                  <c:v>161978</c:v>
                </c:pt>
                <c:pt idx="5" formatCode="_(* #,##0_);_(* \(#,##0\);_(* &quot;-&quot;??_);_(@_)">
                  <c:v>181992</c:v>
                </c:pt>
                <c:pt idx="6" formatCode="_(* #,##0_);_(* \(#,##0\);_(* &quot;-&quot;??_);_(@_)">
                  <c:v>199846</c:v>
                </c:pt>
                <c:pt idx="7" formatCode="_(* #,##0_);_(* \(#,##0\);_(* &quot;-&quot;??_);_(@_)">
                  <c:v>187283</c:v>
                </c:pt>
                <c:pt idx="8" formatCode="_(* #,##0_);_(* \(#,##0\);_(* &quot;-&quot;??_);_(@_)">
                  <c:v>205751.10359477342</c:v>
                </c:pt>
                <c:pt idx="9" formatCode="_(* #,##0_);_(* \(#,##0\);_(* &quot;-&quot;??_);_(@_)">
                  <c:v>181197.8842820689</c:v>
                </c:pt>
                <c:pt idx="10" formatCode="_(* #,##0_);_(* \(#,##0\);_(* &quot;-&quot;??_);_(@_)">
                  <c:v>186144.40770133995</c:v>
                </c:pt>
                <c:pt idx="11" formatCode="_(* #,##0_);_(* \(#,##0\);_(* &quot;-&quot;??_);_(@_)">
                  <c:v>188938.71321029382</c:v>
                </c:pt>
                <c:pt idx="12" formatCode="_(* #,##0_);_(* \(#,##0\);_(* &quot;-&quot;??_);_(@_)">
                  <c:v>231628.49922844314</c:v>
                </c:pt>
                <c:pt idx="13" formatCode="_(* #,##0_);_(* \(#,##0\);_(* &quot;-&quot;??_);_(@_)">
                  <c:v>245211.13229466561</c:v>
                </c:pt>
                <c:pt idx="14" formatCode="_(* #,##0_);_(* \(#,##0\);_(* &quot;-&quot;??_);_(@_)">
                  <c:v>226110.40531330401</c:v>
                </c:pt>
                <c:pt idx="15" formatCode="_(* #,##0_);_(* \(#,##0\);_(* &quot;-&quot;??_);_(@_)">
                  <c:v>208052.21855440686</c:v>
                </c:pt>
                <c:pt idx="16">
                  <c:v>2404133.364179296</c:v>
                </c:pt>
              </c:numCache>
            </c:numRef>
          </c:val>
        </c:ser>
        <c:ser>
          <c:idx val="2"/>
          <c:order val="2"/>
          <c:tx>
            <c:strRef>
              <c:f>ISLAS!$B$14</c:f>
              <c:strCache>
                <c:ptCount val="1"/>
                <c:pt idx="0">
                  <c:v>SANTA CRUZ EÓLICA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ISLAS!$C$14:$BO$14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38267</c:v>
                </c:pt>
                <c:pt idx="3">
                  <c:v>2947163.4954824215</c:v>
                </c:pt>
                <c:pt idx="4" formatCode="_(* #,##0_);_(* \(#,##0\);_(* &quot;-&quot;??_);_(@_)">
                  <c:v>365939.9</c:v>
                </c:pt>
                <c:pt idx="5" formatCode="_(* #,##0_);_(* \(#,##0\);_(* &quot;-&quot;??_);_(@_)">
                  <c:v>198584.3505859375</c:v>
                </c:pt>
                <c:pt idx="6" formatCode="_(* #,##0_);_(* \(#,##0\);_(* &quot;-&quot;??_);_(@_)">
                  <c:v>67996.58203125</c:v>
                </c:pt>
                <c:pt idx="7" formatCode="_(* #,##0_);_(* \(#,##0\);_(* &quot;-&quot;??_);_(@_)">
                  <c:v>172122.0703125</c:v>
                </c:pt>
                <c:pt idx="8" formatCode="_(* #,##0_);_(* \(#,##0\);_(* &quot;-&quot;??_);_(@_)">
                  <c:v>368880.78793940996</c:v>
                </c:pt>
                <c:pt idx="9" formatCode="_(* #,##0_);_(* \(#,##0\);_(* &quot;-&quot;??_);_(@_)">
                  <c:v>347489.53856051894</c:v>
                </c:pt>
                <c:pt idx="10" formatCode="_(* #,##0_);_(* \(#,##0\);_(* &quot;-&quot;??_);_(@_)">
                  <c:v>383226.9991248388</c:v>
                </c:pt>
                <c:pt idx="11" formatCode="_(* #,##0_);_(* \(#,##0\);_(* &quot;-&quot;??_);_(@_)">
                  <c:v>403776.94322937803</c:v>
                </c:pt>
                <c:pt idx="12" formatCode="_(* #,##0_);_(* \(#,##0\);_(* &quot;-&quot;??_);_(@_)">
                  <c:v>476800.42428999447</c:v>
                </c:pt>
                <c:pt idx="13" formatCode="_(* #,##0_);_(* \(#,##0\);_(* &quot;-&quot;??_);_(@_)">
                  <c:v>391914.31864932709</c:v>
                </c:pt>
                <c:pt idx="14" formatCode="_(* #,##0_);_(* \(#,##0\);_(* &quot;-&quot;??_);_(@_)">
                  <c:v>566357.18564438203</c:v>
                </c:pt>
                <c:pt idx="15" formatCode="_(* #,##0_);_(* \(#,##0\);_(* &quot;-&quot;??_);_(@_)">
                  <c:v>422459.0204710266</c:v>
                </c:pt>
                <c:pt idx="16">
                  <c:v>4165548.1208385634</c:v>
                </c:pt>
              </c:numCache>
            </c:numRef>
          </c:val>
        </c:ser>
        <c:ser>
          <c:idx val="3"/>
          <c:order val="3"/>
          <c:tx>
            <c:strRef>
              <c:f>ISLAS!$B$15</c:f>
              <c:strCache>
                <c:ptCount val="1"/>
                <c:pt idx="0">
                  <c:v>SANTA CRUZ Sistemas Aislados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ISLAS!$C$15:$BO$15</c:f>
              <c:numCache>
                <c:formatCode>#,##0</c:formatCode>
                <c:ptCount val="17"/>
                <c:pt idx="3">
                  <c:v>24592</c:v>
                </c:pt>
                <c:pt idx="4" formatCode="_(* #,##0_);_(* \(#,##0\);_(* &quot;-&quot;??_);_(@_)">
                  <c:v>1508</c:v>
                </c:pt>
                <c:pt idx="5" formatCode="_(* #,##0_);_(* \(#,##0\);_(* &quot;-&quot;??_);_(@_)">
                  <c:v>1508</c:v>
                </c:pt>
                <c:pt idx="6" formatCode="_(* #,##0_);_(* \(#,##0\);_(* &quot;-&quot;??_);_(@_)">
                  <c:v>1508</c:v>
                </c:pt>
                <c:pt idx="7" formatCode="_(* #,##0_);_(* \(#,##0\);_(* &quot;-&quot;??_);_(@_)">
                  <c:v>1508</c:v>
                </c:pt>
                <c:pt idx="8" formatCode="_(* #,##0_);_(* \(#,##0\);_(* &quot;-&quot;??_);_(@_)">
                  <c:v>2320</c:v>
                </c:pt>
                <c:pt idx="9" formatCode="_(* #,##0_);_(* \(#,##0\);_(* &quot;-&quot;??_);_(@_)">
                  <c:v>2320</c:v>
                </c:pt>
                <c:pt idx="10" formatCode="_(* #,##0_);_(* \(#,##0\);_(* &quot;-&quot;??_);_(@_)">
                  <c:v>2320</c:v>
                </c:pt>
                <c:pt idx="11" formatCode="_(* #,##0_);_(* \(#,##0\);_(* &quot;-&quot;??_);_(@_)">
                  <c:v>2320</c:v>
                </c:pt>
                <c:pt idx="12" formatCode="_(* #,##0_);_(* \(#,##0\);_(* &quot;-&quot;??_);_(@_)">
                  <c:v>2320</c:v>
                </c:pt>
                <c:pt idx="13" formatCode="_(* #,##0_);_(* \(#,##0\);_(* &quot;-&quot;??_);_(@_)">
                  <c:v>2320</c:v>
                </c:pt>
                <c:pt idx="14" formatCode="_(* #,##0_);_(* \(#,##0\);_(* &quot;-&quot;??_);_(@_)">
                  <c:v>2320</c:v>
                </c:pt>
                <c:pt idx="15" formatCode="_(* #,##0_);_(* \(#,##0\);_(* &quot;-&quot;??_);_(@_)">
                  <c:v>2320</c:v>
                </c:pt>
                <c:pt idx="16">
                  <c:v>24592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5085088"/>
        <c:axId val="795080736"/>
      </c:barChart>
      <c:catAx>
        <c:axId val="79508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80736"/>
        <c:crosses val="autoZero"/>
        <c:auto val="1"/>
        <c:lblAlgn val="ctr"/>
        <c:lblOffset val="100"/>
        <c:noMultiLvlLbl val="0"/>
      </c:catAx>
      <c:valAx>
        <c:axId val="79508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8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200" b="0" i="0" baseline="0">
                <a:effectLst/>
              </a:rPr>
              <a:t>ENERGIA GENERADA ISLA ISABELA (kWH)</a:t>
            </a:r>
            <a:endParaRPr lang="es-EC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ISLAS!$B$19</c:f>
              <c:strCache>
                <c:ptCount val="1"/>
                <c:pt idx="0">
                  <c:v>ISABELA TÉRMICO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ISLAS!$C$19:$BO$19</c:f>
              <c:numCache>
                <c:formatCode>#,##0</c:formatCode>
                <c:ptCount val="17"/>
                <c:pt idx="0">
                  <c:v>3533703</c:v>
                </c:pt>
                <c:pt idx="1">
                  <c:v>3683912</c:v>
                </c:pt>
                <c:pt idx="2">
                  <c:v>4411835</c:v>
                </c:pt>
                <c:pt idx="3">
                  <c:v>4885279</c:v>
                </c:pt>
                <c:pt idx="4">
                  <c:v>482060</c:v>
                </c:pt>
                <c:pt idx="5">
                  <c:v>487550</c:v>
                </c:pt>
                <c:pt idx="6">
                  <c:v>547605</c:v>
                </c:pt>
                <c:pt idx="7">
                  <c:v>475248</c:v>
                </c:pt>
                <c:pt idx="8">
                  <c:v>466321.9755658292</c:v>
                </c:pt>
                <c:pt idx="9">
                  <c:v>428543.16541620786</c:v>
                </c:pt>
                <c:pt idx="10">
                  <c:v>412049.19385450799</c:v>
                </c:pt>
                <c:pt idx="11">
                  <c:v>370912.31667855516</c:v>
                </c:pt>
                <c:pt idx="12">
                  <c:v>346970.76888345566</c:v>
                </c:pt>
                <c:pt idx="13">
                  <c:v>373849.19158175518</c:v>
                </c:pt>
                <c:pt idx="14">
                  <c:v>397428.13948700187</c:v>
                </c:pt>
                <c:pt idx="15">
                  <c:v>431641.87945650629</c:v>
                </c:pt>
                <c:pt idx="16">
                  <c:v>5220179.6309238197</c:v>
                </c:pt>
              </c:numCache>
            </c:numRef>
          </c:val>
        </c:ser>
        <c:ser>
          <c:idx val="1"/>
          <c:order val="1"/>
          <c:tx>
            <c:strRef>
              <c:f>ISLAS!$B$20</c:f>
              <c:strCache>
                <c:ptCount val="1"/>
                <c:pt idx="0">
                  <c:v>ISABELA Sistemas Aislados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ISLAS!$O$5:$BO$5</c:f>
              <c:strCache>
                <c:ptCount val="1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  <c:pt idx="12">
                  <c:v>SEPTIEMBRE</c:v>
                </c:pt>
                <c:pt idx="13">
                  <c:v>OCTUBRE</c:v>
                </c:pt>
                <c:pt idx="14">
                  <c:v>NOVIEMBRE</c:v>
                </c:pt>
                <c:pt idx="15">
                  <c:v>DICIEMBRE</c:v>
                </c:pt>
                <c:pt idx="16">
                  <c:v>2016</c:v>
                </c:pt>
              </c:strCache>
            </c:strRef>
          </c:cat>
          <c:val>
            <c:numRef>
              <c:f>ISLAS!$C$20:$BO$20</c:f>
              <c:numCache>
                <c:formatCode>#,##0</c:formatCode>
                <c:ptCount val="17"/>
                <c:pt idx="3">
                  <c:v>20416</c:v>
                </c:pt>
                <c:pt idx="4">
                  <c:v>1276</c:v>
                </c:pt>
                <c:pt idx="5">
                  <c:v>1276</c:v>
                </c:pt>
                <c:pt idx="6">
                  <c:v>1276</c:v>
                </c:pt>
                <c:pt idx="7">
                  <c:v>1276</c:v>
                </c:pt>
                <c:pt idx="8">
                  <c:v>1740</c:v>
                </c:pt>
                <c:pt idx="9">
                  <c:v>1740</c:v>
                </c:pt>
                <c:pt idx="10">
                  <c:v>1740</c:v>
                </c:pt>
                <c:pt idx="11">
                  <c:v>1740</c:v>
                </c:pt>
                <c:pt idx="12">
                  <c:v>1740</c:v>
                </c:pt>
                <c:pt idx="13">
                  <c:v>1740</c:v>
                </c:pt>
                <c:pt idx="14">
                  <c:v>1740</c:v>
                </c:pt>
                <c:pt idx="15">
                  <c:v>1740</c:v>
                </c:pt>
                <c:pt idx="16">
                  <c:v>19024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5074752"/>
        <c:axId val="795081824"/>
      </c:barChart>
      <c:catAx>
        <c:axId val="79507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81824"/>
        <c:crosses val="autoZero"/>
        <c:auto val="1"/>
        <c:lblAlgn val="ctr"/>
        <c:lblOffset val="100"/>
        <c:noMultiLvlLbl val="0"/>
      </c:catAx>
      <c:valAx>
        <c:axId val="79508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9507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10" Type="http://schemas.openxmlformats.org/officeDocument/2006/relationships/chart" Target="../charts/chart14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14</xdr:row>
      <xdr:rowOff>71437</xdr:rowOff>
    </xdr:from>
    <xdr:to>
      <xdr:col>10</xdr:col>
      <xdr:colOff>552450</xdr:colOff>
      <xdr:row>28</xdr:row>
      <xdr:rowOff>147637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628650</xdr:colOff>
      <xdr:row>13</xdr:row>
      <xdr:rowOff>100012</xdr:rowOff>
    </xdr:from>
    <xdr:to>
      <xdr:col>12</xdr:col>
      <xdr:colOff>628650</xdr:colOff>
      <xdr:row>27</xdr:row>
      <xdr:rowOff>176212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2038350</xdr:colOff>
      <xdr:row>29</xdr:row>
      <xdr:rowOff>138112</xdr:rowOff>
    </xdr:from>
    <xdr:to>
      <xdr:col>10</xdr:col>
      <xdr:colOff>809625</xdr:colOff>
      <xdr:row>44</xdr:row>
      <xdr:rowOff>23812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233362</xdr:colOff>
      <xdr:row>7</xdr:row>
      <xdr:rowOff>109537</xdr:rowOff>
    </xdr:from>
    <xdr:to>
      <xdr:col>17</xdr:col>
      <xdr:colOff>233362</xdr:colOff>
      <xdr:row>21</xdr:row>
      <xdr:rowOff>185737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450273</xdr:colOff>
      <xdr:row>140</xdr:row>
      <xdr:rowOff>176892</xdr:rowOff>
    </xdr:from>
    <xdr:to>
      <xdr:col>33</xdr:col>
      <xdr:colOff>796636</xdr:colOff>
      <xdr:row>160</xdr:row>
      <xdr:rowOff>124225</xdr:rowOff>
    </xdr:to>
    <xdr:graphicFrame macro="">
      <xdr:nvGraphicFramePr>
        <xdr:cNvPr id="7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519545</xdr:colOff>
      <xdr:row>141</xdr:row>
      <xdr:rowOff>71747</xdr:rowOff>
    </xdr:from>
    <xdr:to>
      <xdr:col>40</xdr:col>
      <xdr:colOff>381000</xdr:colOff>
      <xdr:row>161</xdr:row>
      <xdr:rowOff>17318</xdr:rowOff>
    </xdr:to>
    <xdr:graphicFrame macro="">
      <xdr:nvGraphicFramePr>
        <xdr:cNvPr id="8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94</xdr:col>
      <xdr:colOff>505872</xdr:colOff>
      <xdr:row>39</xdr:row>
      <xdr:rowOff>147285</xdr:rowOff>
    </xdr:from>
    <xdr:to>
      <xdr:col>100</xdr:col>
      <xdr:colOff>573908</xdr:colOff>
      <xdr:row>53</xdr:row>
      <xdr:rowOff>139441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94</xdr:col>
      <xdr:colOff>439438</xdr:colOff>
      <xdr:row>53</xdr:row>
      <xdr:rowOff>151600</xdr:rowOff>
    </xdr:from>
    <xdr:to>
      <xdr:col>100</xdr:col>
      <xdr:colOff>466652</xdr:colOff>
      <xdr:row>67</xdr:row>
      <xdr:rowOff>155761</xdr:rowOff>
    </xdr:to>
    <xdr:graphicFrame macro="">
      <xdr:nvGraphicFramePr>
        <xdr:cNvPr id="13" name="Grá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103</xdr:col>
      <xdr:colOff>447441</xdr:colOff>
      <xdr:row>53</xdr:row>
      <xdr:rowOff>178814</xdr:rowOff>
    </xdr:from>
    <xdr:to>
      <xdr:col>109</xdr:col>
      <xdr:colOff>488262</xdr:colOff>
      <xdr:row>67</xdr:row>
      <xdr:rowOff>170970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103</xdr:col>
      <xdr:colOff>421829</xdr:colOff>
      <xdr:row>68</xdr:row>
      <xdr:rowOff>162005</xdr:rowOff>
    </xdr:from>
    <xdr:to>
      <xdr:col>109</xdr:col>
      <xdr:colOff>462650</xdr:colOff>
      <xdr:row>83</xdr:row>
      <xdr:rowOff>57309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103</xdr:col>
      <xdr:colOff>585108</xdr:colOff>
      <xdr:row>84</xdr:row>
      <xdr:rowOff>70757</xdr:rowOff>
    </xdr:from>
    <xdr:to>
      <xdr:col>109</xdr:col>
      <xdr:colOff>517072</xdr:colOff>
      <xdr:row>98</xdr:row>
      <xdr:rowOff>146956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103</xdr:col>
      <xdr:colOff>353795</xdr:colOff>
      <xdr:row>8</xdr:row>
      <xdr:rowOff>27214</xdr:rowOff>
    </xdr:from>
    <xdr:to>
      <xdr:col>109</xdr:col>
      <xdr:colOff>244929</xdr:colOff>
      <xdr:row>23</xdr:row>
      <xdr:rowOff>108857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103</xdr:col>
      <xdr:colOff>244937</xdr:colOff>
      <xdr:row>24</xdr:row>
      <xdr:rowOff>138794</xdr:rowOff>
    </xdr:from>
    <xdr:to>
      <xdr:col>109</xdr:col>
      <xdr:colOff>231330</xdr:colOff>
      <xdr:row>37</xdr:row>
      <xdr:rowOff>174173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102</xdr:col>
      <xdr:colOff>647576</xdr:colOff>
      <xdr:row>41</xdr:row>
      <xdr:rowOff>76322</xdr:rowOff>
    </xdr:from>
    <xdr:to>
      <xdr:col>108</xdr:col>
      <xdr:colOff>624071</xdr:colOff>
      <xdr:row>55</xdr:row>
      <xdr:rowOff>63457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950259</xdr:colOff>
      <xdr:row>45</xdr:row>
      <xdr:rowOff>8965</xdr:rowOff>
    </xdr:from>
    <xdr:to>
      <xdr:col>38</xdr:col>
      <xdr:colOff>453438</xdr:colOff>
      <xdr:row>67</xdr:row>
      <xdr:rowOff>79323</xdr:rowOff>
    </xdr:to>
    <xdr:graphicFrame macro="">
      <xdr:nvGraphicFramePr>
        <xdr:cNvPr id="4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80</xdr:col>
      <xdr:colOff>204108</xdr:colOff>
      <xdr:row>1</xdr:row>
      <xdr:rowOff>295274</xdr:rowOff>
    </xdr:from>
    <xdr:to>
      <xdr:col>86</xdr:col>
      <xdr:colOff>204108</xdr:colOff>
      <xdr:row>19</xdr:row>
      <xdr:rowOff>155121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80</xdr:col>
      <xdr:colOff>231322</xdr:colOff>
      <xdr:row>21</xdr:row>
      <xdr:rowOff>36738</xdr:rowOff>
    </xdr:from>
    <xdr:to>
      <xdr:col>86</xdr:col>
      <xdr:colOff>231322</xdr:colOff>
      <xdr:row>35</xdr:row>
      <xdr:rowOff>112938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1728107</xdr:colOff>
      <xdr:row>18</xdr:row>
      <xdr:rowOff>159203</xdr:rowOff>
    </xdr:from>
    <xdr:to>
      <xdr:col>53</xdr:col>
      <xdr:colOff>122464</xdr:colOff>
      <xdr:row>33</xdr:row>
      <xdr:rowOff>44903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24</xdr:row>
      <xdr:rowOff>123825</xdr:rowOff>
    </xdr:from>
    <xdr:to>
      <xdr:col>7</xdr:col>
      <xdr:colOff>333375</xdr:colOff>
      <xdr:row>39</xdr:row>
      <xdr:rowOff>9525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0_JEFATURA%20DE%20PLANIFICACION\4_REPORTES\1_SISDAT%202013\3_TRANSACCIONES\SISDAT%20Transacciones_09_201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3.-%20DIRECCION%20TECNICA\DIRECCION%20TECNICA%202010-2012\A&#209;O%202012\6.-%20Informes%20estad&#237;sticos\1.-%20SISDAT%202012\3.-%20TRANSACCIONES\SISDAT%20Transacciones%202012_06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0_JEFATURA%20DE%20PLANIFICACION\4_REPORTES\SISDAT%202013\3.-%20TRANSACCIONES\SISDAT_Transacciones_06-2013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Administrador\Escritorio\A&#209;O%202012%2026-05-2012\6.-%20Informes%20estad&#237;sticos\1.-%20SISDAT%202012\3.-%20TRANSACCIONES\SISDAT%20Transacciones%202012_03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3.%20DIRECCION%20TECNICA/4-%20A&#209;O%202014/01_DIRECCI&#211;N%20T&#201;CNICA%20MAR&#205;A%20JOS&#201;/09_REPORTES/02_BALANCE%20DE%20GENERACI&#211;N/4_REPORTES%2020-6-14/1_SISDAT%202013/3_TRANSACCIONES/Transacciones06-14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/Dropbox/MEER%20GENERACION%202015/BALANCE_201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rector%20Tecnico/Desktop/BALANCE_DE_ENERGIA_ELECGALAPAGOS_2016_Abril-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Energía Producida"/>
      <sheetName val="Balance de Producción"/>
      <sheetName val="Energía Vendida"/>
      <sheetName val="Fact Clientes Regulados"/>
      <sheetName val="Formulas"/>
      <sheetName val="Fact Clientes No Regulados"/>
      <sheetName val="Abonado Baja Tensión"/>
      <sheetName val="Abonado Demanda Sin Reg Horario"/>
      <sheetName val="Abonado Demanda Con Reg Horario"/>
      <sheetName val="Mesajes de Error"/>
      <sheetName val="Industrial Demanda Con Registro"/>
      <sheetName val="Energía Comprada"/>
      <sheetName val="Balance Energía"/>
      <sheetName val="Pérdidas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1">
          <cell r="BC11" t="str">
            <v>CEN - 22 (Baltra Eolico)</v>
          </cell>
        </row>
        <row r="12">
          <cell r="BC12" t="str">
            <v>CEN - 25 (Baltra Solar)</v>
          </cell>
        </row>
        <row r="13">
          <cell r="BC13" t="str">
            <v>CEN - 41 (Floreana)</v>
          </cell>
        </row>
        <row r="14">
          <cell r="BC14" t="str">
            <v>CEN - 43 (Floreana Eolico)</v>
          </cell>
        </row>
        <row r="15">
          <cell r="BC15" t="str">
            <v>CEN - 42 (Floreana Perla Solar)</v>
          </cell>
        </row>
        <row r="16">
          <cell r="BC16" t="str">
            <v>CEN - 44 (Floreana Solar aislados)</v>
          </cell>
        </row>
        <row r="17">
          <cell r="BC17" t="str">
            <v>CEN - 31 (Isabela)</v>
          </cell>
        </row>
        <row r="18">
          <cell r="BC18" t="str">
            <v>CEN - 32 (Isabela Solar aislados)</v>
          </cell>
        </row>
        <row r="19">
          <cell r="BC19" t="str">
            <v>CEN - 11 (San Cristóbal)</v>
          </cell>
        </row>
        <row r="20">
          <cell r="BC20" t="str">
            <v>CEN - 12 (San Cristobal Solar aislados)</v>
          </cell>
        </row>
        <row r="21">
          <cell r="BC21" t="str">
            <v>CEN - 13 (San Cristobal Solar Eolicsa)</v>
          </cell>
        </row>
        <row r="22">
          <cell r="BC22" t="str">
            <v>CEN - 21 (Santa Cruz)</v>
          </cell>
        </row>
        <row r="23">
          <cell r="BC23" t="str">
            <v>CEN - 23 (Santa Cruz Solar aislados)</v>
          </cell>
        </row>
        <row r="24">
          <cell r="BC24" t="str">
            <v>CEN - 24 (Santa Cruz Solar Puerto Ayora)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Energía Producida"/>
      <sheetName val="Balance de Producción"/>
      <sheetName val="Energía Vendida"/>
      <sheetName val="Fact Clientes Regulados"/>
      <sheetName val="Formulas"/>
      <sheetName val="Fact Clientes No Regulados"/>
      <sheetName val="Abonado Baja Tensión"/>
      <sheetName val="Abonado Demanda Sin Reg Horario"/>
      <sheetName val="Abonado Demanda Con Reg Horario"/>
      <sheetName val="Mesajes de Error"/>
      <sheetName val="Industrial Demanda Con Registro"/>
      <sheetName val="Energía Comprada"/>
      <sheetName val="Balance Energía"/>
      <sheetName val="Pérdidas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1">
          <cell r="BC11" t="str">
            <v>CEN - 41 (Floreana)</v>
          </cell>
        </row>
        <row r="12">
          <cell r="BC12" t="str">
            <v>CEN - 10 (Floreana Eolico)</v>
          </cell>
        </row>
        <row r="13">
          <cell r="BC13" t="str">
            <v>CEN - 04 (Floreana Solar)</v>
          </cell>
        </row>
        <row r="14">
          <cell r="BC14" t="str">
            <v>CEN - 08 (Floreana Solar aislados)</v>
          </cell>
        </row>
        <row r="15">
          <cell r="BC15" t="str">
            <v>CEN - 03 (Isabela)</v>
          </cell>
        </row>
        <row r="16">
          <cell r="BC16" t="str">
            <v>CEN - 07 (Isabela Solar aislados)</v>
          </cell>
        </row>
        <row r="17">
          <cell r="BC17" t="str">
            <v>CEN - 01 (San Cristóbal)</v>
          </cell>
        </row>
        <row r="18">
          <cell r="BC18" t="str">
            <v>CEN - 05 (San Cristobal Solar aislados)</v>
          </cell>
        </row>
        <row r="19">
          <cell r="BC19" t="str">
            <v>CEN - 11 (San Cristobal Solar Eolicsa)</v>
          </cell>
        </row>
        <row r="20">
          <cell r="BC20" t="str">
            <v>CEN - 02 (Santa Cruz)</v>
          </cell>
        </row>
        <row r="21">
          <cell r="BC21" t="str">
            <v>CEN - 09 (Santa Cruz Eolico)</v>
          </cell>
        </row>
        <row r="22">
          <cell r="BC22" t="str">
            <v>CEN - 06 (Santa Cruz Solar aislados)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Energía Producida"/>
      <sheetName val="Balance de Producción"/>
      <sheetName val="Energía Vendida"/>
      <sheetName val="Fact Clientes Regulados"/>
      <sheetName val="Formulas"/>
      <sheetName val="Fact Clientes No Regulados"/>
      <sheetName val="Abonado Baja Tensión"/>
      <sheetName val="Abonado Demanda Sin Reg Horario"/>
      <sheetName val="Abonado Demanda Con Reg Horario"/>
      <sheetName val="Mesajes de Error"/>
      <sheetName val="Industrial Demanda Con Registro"/>
      <sheetName val="Energía Comprada"/>
      <sheetName val="Balance Energía"/>
      <sheetName val="Pérdidas"/>
      <sheetName val="Catálogos"/>
    </sheetNames>
    <sheetDataSet>
      <sheetData sheetId="0">
        <row r="9">
          <cell r="D9" t="str">
            <v>AGENTE: E.E. GALÁPAGOS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1">
          <cell r="R11" t="str">
            <v>MOCAC-01 (M. Ocasional)</v>
          </cell>
          <cell r="CY11" t="str">
            <v>M. Ocasional</v>
          </cell>
        </row>
        <row r="12">
          <cell r="R12" t="str">
            <v>MOCAC-03 (M. Ocasional V.E.)</v>
          </cell>
          <cell r="CY12" t="str">
            <v>Contratos</v>
          </cell>
        </row>
        <row r="13">
          <cell r="R13" t="str">
            <v>EMP005 (ATG - Aec)</v>
          </cell>
          <cell r="CY13" t="str">
            <v>Otros</v>
          </cell>
        </row>
        <row r="14">
          <cell r="R14" t="str">
            <v>EMP007 (ATG - Agip)</v>
          </cell>
        </row>
        <row r="15">
          <cell r="R15" t="str">
            <v>EMP008 (ATG - Agua Y Gas De Sillunchi)</v>
          </cell>
        </row>
        <row r="16">
          <cell r="R16" t="str">
            <v>EMP013 (ATG - Andes Petro)</v>
          </cell>
        </row>
        <row r="17">
          <cell r="R17" t="str">
            <v>EMP868 (ATG - Autogenemergencia)</v>
          </cell>
        </row>
        <row r="18">
          <cell r="R18" t="str">
            <v>EMP919 (ATG - CELEC-Manduriacu)</v>
          </cell>
        </row>
        <row r="19">
          <cell r="R19" t="str">
            <v>EMP873 (ATG - Consejo Provincial De Tungurahua)</v>
          </cell>
        </row>
        <row r="20">
          <cell r="R20" t="str">
            <v>EMP034 (ATG - Consorcio Bloque 7 Y Bloque 21)</v>
          </cell>
        </row>
        <row r="21">
          <cell r="R21" t="str">
            <v>EMP226 (ATG - Consorcio Bloque 7-21)</v>
          </cell>
        </row>
        <row r="22">
          <cell r="R22" t="str">
            <v>EMP037 (ATG - Current)</v>
          </cell>
        </row>
        <row r="23">
          <cell r="R23" t="str">
            <v>EMP043 (ATG - Ecoelectric)</v>
          </cell>
        </row>
        <row r="24">
          <cell r="R24" t="str">
            <v>EMP044 (ATG - Ecoluz)</v>
          </cell>
        </row>
        <row r="25">
          <cell r="R25" t="str">
            <v>EMP046 (ATG - Ecuadortlc S.A.)</v>
          </cell>
        </row>
        <row r="26">
          <cell r="R26" t="str">
            <v>EMP050 (ATG - Ecudos)</v>
          </cell>
        </row>
        <row r="27">
          <cell r="R27" t="str">
            <v>EMP056 (ATG - Electroandina)</v>
          </cell>
        </row>
        <row r="28">
          <cell r="R28" t="str">
            <v>EMP058 (ATG - Electrocordova)</v>
          </cell>
        </row>
        <row r="29">
          <cell r="R29" t="str">
            <v>EMP062 (ATG - Electroviento)</v>
          </cell>
        </row>
        <row r="30">
          <cell r="R30" t="str">
            <v>EMP067 (ATG - Enermax)</v>
          </cell>
        </row>
        <row r="31">
          <cell r="R31" t="str">
            <v>EMP897 (ATG - Enermax-AmbatoFairis)</v>
          </cell>
        </row>
        <row r="32">
          <cell r="R32" t="str">
            <v>EMP079 (ATG - Famiproduct)</v>
          </cell>
        </row>
        <row r="33">
          <cell r="R33" t="str">
            <v>EMP091 (ATG - Hcjb)</v>
          </cell>
        </row>
        <row r="34">
          <cell r="R34" t="str">
            <v>EMP093 (ATG - Hidroabanico)</v>
          </cell>
        </row>
        <row r="35">
          <cell r="R35" t="str">
            <v>EMP095 (ATG - Hidroimbabura)</v>
          </cell>
        </row>
        <row r="36">
          <cell r="R36" t="str">
            <v>EMP866 (ATG - Hidroservice)</v>
          </cell>
        </row>
        <row r="37">
          <cell r="R37" t="str">
            <v>EMP101 (ATG - Hidrotambo)</v>
          </cell>
        </row>
        <row r="38">
          <cell r="R38" t="str">
            <v>EMP802 (ATG - I.M. Mejía)</v>
          </cell>
        </row>
        <row r="39">
          <cell r="R39" t="str">
            <v>EMP127 (ATG - La Internacional)</v>
          </cell>
        </row>
        <row r="40">
          <cell r="R40" t="str">
            <v>EMP128 (ATG - Lafarge)</v>
          </cell>
        </row>
        <row r="41">
          <cell r="R41" t="str">
            <v>EMP131 (ATG - Lucega)</v>
          </cell>
        </row>
        <row r="42">
          <cell r="R42" t="str">
            <v>EMP135 (ATG - Manageneración)</v>
          </cell>
        </row>
        <row r="43">
          <cell r="R43" t="str">
            <v>EMP870 (ATG - Meer)</v>
          </cell>
        </row>
        <row r="44">
          <cell r="R44" t="str">
            <v>EMP138 (ATG - Moderna Alimentos)</v>
          </cell>
        </row>
        <row r="45">
          <cell r="R45" t="str">
            <v>EMP902 (ATG - Municipio A. Ante)</v>
          </cell>
        </row>
        <row r="46">
          <cell r="R46" t="str">
            <v>EMP903 (ATG - Municipio Cotacachi)</v>
          </cell>
        </row>
        <row r="47">
          <cell r="R47" t="str">
            <v>EMP145 (ATG - Ocp)</v>
          </cell>
        </row>
        <row r="48">
          <cell r="R48" t="str">
            <v>EMP914 (ATG - PACIFPETROL S.A.)</v>
          </cell>
        </row>
        <row r="49">
          <cell r="R49" t="str">
            <v>EMP149 (ATG - Pemaf)</v>
          </cell>
        </row>
        <row r="50">
          <cell r="R50" t="str">
            <v>EMP150 (ATG - Perlabí)</v>
          </cell>
        </row>
        <row r="51">
          <cell r="R51" t="str">
            <v>EMP803 (ATG - Petroamazonas)</v>
          </cell>
        </row>
        <row r="52">
          <cell r="R52" t="str">
            <v>EMP913 (ATG - PETROBELL INC)</v>
          </cell>
        </row>
        <row r="53">
          <cell r="R53" t="str">
            <v>EMP865 (ATG - Petrobras)</v>
          </cell>
        </row>
        <row r="54">
          <cell r="R54" t="str">
            <v>EMP152 (ATG - Petroecuador)</v>
          </cell>
        </row>
        <row r="55">
          <cell r="R55" t="str">
            <v>EMP154 (ATG - Petroproducción)</v>
          </cell>
        </row>
        <row r="56">
          <cell r="R56" t="str">
            <v>EMP165 (ATG - Produastro)</v>
          </cell>
        </row>
        <row r="57">
          <cell r="R57" t="str">
            <v>EMP175 (ATG - Repsol)</v>
          </cell>
        </row>
        <row r="58">
          <cell r="R58" t="str">
            <v>EMP181 (ATG - San Carlos)</v>
          </cell>
        </row>
        <row r="59">
          <cell r="R59" t="str">
            <v>EMP220 (ATG - San Jose De Minas)</v>
          </cell>
        </row>
        <row r="60">
          <cell r="R60" t="str">
            <v>EMP185 (ATG - Sipec)</v>
          </cell>
        </row>
        <row r="61">
          <cell r="R61" t="str">
            <v>EMP875 (ATG - Uravía)</v>
          </cell>
        </row>
        <row r="62">
          <cell r="R62" t="str">
            <v>EMP020 (DIS - CNEL-Bolívar)</v>
          </cell>
        </row>
        <row r="63">
          <cell r="R63" t="str">
            <v>EMP054 (DIS - CNEL-El Oro)</v>
          </cell>
        </row>
        <row r="64">
          <cell r="R64" t="str">
            <v>EMP072 (DIS - CNEL-Esmeraldas)</v>
          </cell>
        </row>
        <row r="65">
          <cell r="R65" t="str">
            <v>EMP087 (DIS - CNEL-Guayas Los Ríos)</v>
          </cell>
        </row>
        <row r="66">
          <cell r="R66" t="str">
            <v>EMP130 (DIS - CNEL-Los Ríos)</v>
          </cell>
        </row>
        <row r="67">
          <cell r="R67" t="str">
            <v>EMP134 (DIS - CNEL-Manabí)</v>
          </cell>
        </row>
        <row r="68">
          <cell r="R68" t="str">
            <v>EMP382 (DIS - CNEL-Matriz)</v>
          </cell>
        </row>
        <row r="69">
          <cell r="R69" t="str">
            <v>EMP136 (DIS - CNEL-Milagro)</v>
          </cell>
        </row>
        <row r="70">
          <cell r="R70" t="str">
            <v>EMP189 (DIS - CNEL-Sta. Elena)</v>
          </cell>
        </row>
        <row r="71">
          <cell r="R71" t="str">
            <v>EMP191 (DIS - CNEL-Sto. Domingo)</v>
          </cell>
        </row>
        <row r="72">
          <cell r="R72" t="str">
            <v>EMP192 (DIS - CNEL-Sucumbíos)</v>
          </cell>
        </row>
        <row r="73">
          <cell r="R73" t="str">
            <v>EMP011 (DIS - E.E. Ambato)</v>
          </cell>
        </row>
        <row r="74">
          <cell r="R74" t="str">
            <v>EMP017 (DIS - E.E. Azogues)</v>
          </cell>
        </row>
        <row r="75">
          <cell r="R75" t="str">
            <v>EMP030 (DIS - E.E. Centro Sur)</v>
          </cell>
        </row>
        <row r="76">
          <cell r="R76" t="str">
            <v>EMP035 (DIS - E.E. Cotopaxi)</v>
          </cell>
        </row>
        <row r="77">
          <cell r="R77" t="str">
            <v>EMP081 (DIS - E.E. Galápagos)</v>
          </cell>
        </row>
        <row r="78">
          <cell r="R78" t="str">
            <v>EMP142 (DIS - E.E. Norte)</v>
          </cell>
        </row>
        <row r="79">
          <cell r="R79" t="str">
            <v>EMP174 (DIS - E.E. Quito)</v>
          </cell>
        </row>
        <row r="80">
          <cell r="R80" t="str">
            <v>EMP178 (DIS - E.E. Riobamba)</v>
          </cell>
        </row>
        <row r="81">
          <cell r="R81" t="str">
            <v>EMP193 (DIS - E.E. Sur)</v>
          </cell>
        </row>
        <row r="82">
          <cell r="R82" t="str">
            <v>EMP026 (DIS - Eléctrica de Guayaquil)</v>
          </cell>
        </row>
        <row r="83">
          <cell r="R83" t="str">
            <v>EMP899 (DIS - Otros Sistemas)</v>
          </cell>
        </row>
        <row r="84">
          <cell r="R84" t="str">
            <v>EMP208 (GEN - Arcutex)</v>
          </cell>
        </row>
        <row r="85">
          <cell r="R85" t="str">
            <v>EMP060 (GEN - CELEC-Electroguayas)</v>
          </cell>
        </row>
        <row r="86">
          <cell r="R86" t="str">
            <v>EMP223 (GEN - CELEC-Gen Sur)</v>
          </cell>
        </row>
        <row r="87">
          <cell r="R87" t="str">
            <v>EMP094 (GEN - CELEC-Hidroagoyán)</v>
          </cell>
        </row>
        <row r="88">
          <cell r="R88" t="str">
            <v>EMP098 (GEN - CELEC-Hidropaute)</v>
          </cell>
        </row>
        <row r="89">
          <cell r="R89" t="str">
            <v>EMP198 (GEN - CELEC-Termoesmeraldas)</v>
          </cell>
        </row>
        <row r="90">
          <cell r="R90" t="str">
            <v>EMP132 (GEN - CELEC-Termogas Machala)</v>
          </cell>
        </row>
        <row r="91">
          <cell r="R91" t="str">
            <v>EMP200 (GEN - CELEC-Termopichincha)</v>
          </cell>
        </row>
        <row r="92">
          <cell r="R92" t="str">
            <v>EMP915 (GEN - Coca Codo)</v>
          </cell>
        </row>
        <row r="93">
          <cell r="R93" t="str">
            <v>EMP905 (GEN - Colombia)</v>
          </cell>
        </row>
        <row r="94">
          <cell r="R94" t="str">
            <v>EMP872 (GEN - Ecuapower)</v>
          </cell>
        </row>
        <row r="95">
          <cell r="R95" t="str">
            <v>EMP055 (GEN - Elecaustro)</v>
          </cell>
        </row>
        <row r="96">
          <cell r="R96" t="str">
            <v>EMP059 (GEN - Electroecuador)</v>
          </cell>
        </row>
        <row r="97">
          <cell r="R97" t="str">
            <v>EMP061 (GEN - Electroquil)</v>
          </cell>
        </row>
        <row r="98">
          <cell r="R98" t="str">
            <v>EMP063 (GEN - EMAAP-Q)</v>
          </cell>
        </row>
        <row r="99">
          <cell r="R99" t="str">
            <v>EMP209 (GEN - Empresa Hidroeléctrica Regional Del Sur)</v>
          </cell>
        </row>
        <row r="100">
          <cell r="R100" t="str">
            <v>EMP900 (GEN - Energycorp)</v>
          </cell>
        </row>
        <row r="101">
          <cell r="R101" t="str">
            <v>EMP069 (GEN - Eolicsa)</v>
          </cell>
        </row>
        <row r="102">
          <cell r="R102" t="str">
            <v>EMP071 (GEN - Erdesu S.A.)</v>
          </cell>
        </row>
        <row r="103">
          <cell r="R103" t="str">
            <v>EMP228 (GEN - Ex-Inecel)</v>
          </cell>
        </row>
        <row r="104">
          <cell r="R104" t="str">
            <v>EMP082 (GEN - Generoca)</v>
          </cell>
        </row>
        <row r="105">
          <cell r="R105" t="str">
            <v>EMP092 (GEN - Hidalgo E Hidalgo)</v>
          </cell>
        </row>
        <row r="106">
          <cell r="R106" t="str">
            <v>EMP916 (GEN - Hidrelgen)</v>
          </cell>
        </row>
        <row r="107">
          <cell r="R107" t="str">
            <v>EMP917 (GEN - HidroAzogues)</v>
          </cell>
        </row>
        <row r="108">
          <cell r="R108" t="str">
            <v>EMP210 (GEN - Hidrochinchipe)</v>
          </cell>
        </row>
        <row r="109">
          <cell r="R109" t="str">
            <v>EMP211 (GEN - Hidrolitoral)</v>
          </cell>
        </row>
        <row r="110">
          <cell r="R110" t="str">
            <v>EMP096 (GEN - Hidronación)</v>
          </cell>
        </row>
        <row r="111">
          <cell r="R111" t="str">
            <v>EMP097 (GEN - Hidropastaza)</v>
          </cell>
        </row>
        <row r="112">
          <cell r="R112" t="str">
            <v>EMP212 (GEN - Hidropucará)</v>
          </cell>
        </row>
        <row r="113">
          <cell r="R113" t="str">
            <v>EMP100 (GEN - Hidrosibimbe)</v>
          </cell>
        </row>
        <row r="114">
          <cell r="R114" t="str">
            <v>EMP213 (GEN - Hidrosierra)</v>
          </cell>
        </row>
        <row r="115">
          <cell r="R115" t="str">
            <v>EMP214 (GEN - Hidrosur)</v>
          </cell>
        </row>
        <row r="116">
          <cell r="R116" t="str">
            <v>EMP918 (GEN - Hidrotech)</v>
          </cell>
        </row>
        <row r="117">
          <cell r="R117" t="str">
            <v>EMP215 (GEN - Hidrotoapi)</v>
          </cell>
        </row>
        <row r="118">
          <cell r="R118" t="str">
            <v>EMP102 (GEN - Hidrovictoria)</v>
          </cell>
        </row>
        <row r="119">
          <cell r="R119" t="str">
            <v>EMP103 (GEN - Hidrozamora)</v>
          </cell>
        </row>
        <row r="120">
          <cell r="R120" t="str">
            <v>EMP216 (GEN - Holding Dine)</v>
          </cell>
        </row>
        <row r="121">
          <cell r="R121" t="str">
            <v>EMP227 (GEN - Intervisa Trade)</v>
          </cell>
        </row>
        <row r="122">
          <cell r="R122" t="str">
            <v>EMP218 (GEN - Oxy)</v>
          </cell>
        </row>
        <row r="123">
          <cell r="R123" t="str">
            <v>EMP904 (GEN - Perú)</v>
          </cell>
        </row>
        <row r="124">
          <cell r="R124" t="str">
            <v>EMP173 (GEN - Qualitec)</v>
          </cell>
        </row>
        <row r="125">
          <cell r="R125" t="str">
            <v>EMP219 (GEN - Rocafuerte)</v>
          </cell>
        </row>
        <row r="126">
          <cell r="R126" t="str">
            <v>EMP199 (GEN - Termoguayas)</v>
          </cell>
        </row>
        <row r="127">
          <cell r="R127" t="str">
            <v>EMP201 (GEN - Termoriente)</v>
          </cell>
        </row>
        <row r="128">
          <cell r="R128" t="str">
            <v>EMP221 (GEN - Tradeflin)</v>
          </cell>
        </row>
        <row r="129">
          <cell r="R129" t="str">
            <v>EMP222 (GEN - Triolo Srl)</v>
          </cell>
        </row>
        <row r="130">
          <cell r="R130" t="str">
            <v>EMP206 (GEN - Ulysseas)</v>
          </cell>
        </row>
        <row r="131">
          <cell r="R131" t="str">
            <v>EMP027 (GEN - Unidad Electrica De Gquil)</v>
          </cell>
        </row>
        <row r="132">
          <cell r="R132" t="str">
            <v>EMP920 (GEN - Valsolar)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Energía Producida"/>
      <sheetName val="Balance de Producción"/>
      <sheetName val="Energía Vendida"/>
      <sheetName val="Fact Clientes Regulados"/>
      <sheetName val="Formulas"/>
      <sheetName val="Fact Clientes No Regulados"/>
      <sheetName val="Abonado Baja Tensión"/>
      <sheetName val="Abonado Demanda Sin Reg Horario"/>
      <sheetName val="Abonado Demanda Con Reg Horario"/>
      <sheetName val="Mesajes de Error"/>
      <sheetName val="Industrial Demanda Con Registro"/>
      <sheetName val="Energía Comprada"/>
      <sheetName val="Balance Energía"/>
      <sheetName val="Pérdidas"/>
      <sheetName val="Catálog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1">
          <cell r="G11" t="str">
            <v>UNI401 (Floreana / 4.1)</v>
          </cell>
        </row>
        <row r="12">
          <cell r="G12" t="str">
            <v>UNI402 (Floreana / 4.2)</v>
          </cell>
        </row>
        <row r="13">
          <cell r="G13" t="str">
            <v>UNI405 (Floreana Solar aislados / 1.1)</v>
          </cell>
        </row>
        <row r="14">
          <cell r="G14" t="str">
            <v>UNI406 (Floreana Solar aislados / 1.2)</v>
          </cell>
        </row>
        <row r="15">
          <cell r="G15" t="str">
            <v>UNI407 (Floreana Solar aislados / 1.3)</v>
          </cell>
        </row>
        <row r="16">
          <cell r="G16" t="str">
            <v>UNI301 (Isabela / 3.1)</v>
          </cell>
        </row>
        <row r="17">
          <cell r="G17" t="str">
            <v>UNI302 (Isabela / 3.2)</v>
          </cell>
        </row>
        <row r="18">
          <cell r="G18" t="str">
            <v>UNI303 (Isabela / 3.3)</v>
          </cell>
        </row>
        <row r="19">
          <cell r="G19" t="str">
            <v>UNI304 (Isabela / 3.4)</v>
          </cell>
        </row>
        <row r="20">
          <cell r="G20" t="str">
            <v>UNI309 (Isabela Solar aislados / 3.9)</v>
          </cell>
        </row>
        <row r="21">
          <cell r="G21" t="str">
            <v>UNI101 (San Cristóbal / 1.1)</v>
          </cell>
        </row>
        <row r="22">
          <cell r="G22" t="str">
            <v>UNI102 (San Cristóbal / 1.2)</v>
          </cell>
        </row>
        <row r="23">
          <cell r="G23" t="str">
            <v>UNI104 (San Cristóbal / 1.4)</v>
          </cell>
        </row>
        <row r="24">
          <cell r="G24" t="str">
            <v>UNI105 (San Cristóbal / 1.5)</v>
          </cell>
        </row>
        <row r="25">
          <cell r="G25" t="str">
            <v>UNI109 (San Cristóbal / 1.9)</v>
          </cell>
        </row>
        <row r="26">
          <cell r="G26" t="str">
            <v>UNI11-01 (San Cristobal Solar Eolicsa / Sala de control)</v>
          </cell>
        </row>
        <row r="27">
          <cell r="G27" t="str">
            <v>UNI11-02 (San Cristobal Solar Eolicsa / UE- Pedro Pablo Andrade)</v>
          </cell>
        </row>
        <row r="28">
          <cell r="G28" t="str">
            <v>UNI201 (Santa Cruz / 2.1)</v>
          </cell>
        </row>
        <row r="29">
          <cell r="G29" t="str">
            <v>UNI202 (Santa Cruz / 2.2)</v>
          </cell>
        </row>
        <row r="30">
          <cell r="G30" t="str">
            <v>UNI203 (Santa Cruz / 2.3)</v>
          </cell>
        </row>
        <row r="31">
          <cell r="G31" t="str">
            <v>UNI204 (Santa Cruz / 2.4)</v>
          </cell>
        </row>
        <row r="32">
          <cell r="G32" t="str">
            <v>UNI205 (Santa Cruz / 2.5)</v>
          </cell>
        </row>
        <row r="33">
          <cell r="G33" t="str">
            <v>UNI206 (Santa Cruz / 2.6)</v>
          </cell>
        </row>
        <row r="34">
          <cell r="G34" t="str">
            <v>UNI207 (Santa Cruz / 2.7)</v>
          </cell>
        </row>
        <row r="35">
          <cell r="G35" t="str">
            <v>UNI210 (Santa Cruz Solar aislados / 2.10)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ción"/>
      <sheetName val="Energía Producida"/>
      <sheetName val="Balance de Producción"/>
      <sheetName val="Energía Vendida"/>
      <sheetName val="Catálogos"/>
      <sheetName val="Mesajes de Error"/>
      <sheetName val="Fact Clientes Regulados"/>
      <sheetName val="Formulas"/>
      <sheetName val="Fact Clientes No Regulados"/>
      <sheetName val="Abonado Baja Tensión"/>
      <sheetName val="Abonado Demanda Sin Reg Horario"/>
      <sheetName val="Abonado Demanda Con Reg Horario"/>
      <sheetName val="Industrial Demanda Con Registro"/>
      <sheetName val="Energía Comprada"/>
      <sheetName val="Balance Energía"/>
      <sheetName val="Pérdidas"/>
    </sheetNames>
    <sheetDataSet>
      <sheetData sheetId="0"/>
      <sheetData sheetId="1">
        <row r="15">
          <cell r="I15">
            <v>185.934</v>
          </cell>
          <cell r="BP15" t="str">
            <v>JunCEN - 11</v>
          </cell>
        </row>
        <row r="16">
          <cell r="I16">
            <v>0.91600000000000004</v>
          </cell>
          <cell r="BP16" t="str">
            <v>JunCEN - 11</v>
          </cell>
        </row>
        <row r="17">
          <cell r="I17">
            <v>99.876999999999995</v>
          </cell>
          <cell r="BP17" t="str">
            <v>JunCEN - 11</v>
          </cell>
        </row>
        <row r="18">
          <cell r="I18">
            <v>44.152000000000001</v>
          </cell>
          <cell r="BP18" t="str">
            <v>JunCEN - 11</v>
          </cell>
        </row>
        <row r="19">
          <cell r="I19">
            <v>0</v>
          </cell>
          <cell r="BP19" t="str">
            <v>JunCEN - 11</v>
          </cell>
        </row>
        <row r="20">
          <cell r="I20">
            <v>391.64600000000002</v>
          </cell>
          <cell r="BP20" t="str">
            <v>JunCEN - 11</v>
          </cell>
        </row>
        <row r="21">
          <cell r="I21">
            <v>13.702999999999999</v>
          </cell>
          <cell r="BP21" t="str">
            <v>JunCEN - 11</v>
          </cell>
        </row>
        <row r="22">
          <cell r="I22">
            <v>0.71599999999999997</v>
          </cell>
          <cell r="BP22" t="str">
            <v>JunCEN - 13</v>
          </cell>
        </row>
        <row r="23">
          <cell r="I23">
            <v>0.58499999999999996</v>
          </cell>
          <cell r="BP23" t="str">
            <v>JunCEN - 13</v>
          </cell>
        </row>
        <row r="24">
          <cell r="I24">
            <v>92.16</v>
          </cell>
          <cell r="BP24" t="str">
            <v>JunCEN - 21</v>
          </cell>
        </row>
        <row r="25">
          <cell r="I25">
            <v>168</v>
          </cell>
          <cell r="BP25" t="str">
            <v>JunCEN - 21</v>
          </cell>
        </row>
        <row r="26">
          <cell r="I26">
            <v>57.6</v>
          </cell>
          <cell r="BP26" t="str">
            <v>JunCEN - 21</v>
          </cell>
        </row>
        <row r="27">
          <cell r="I27">
            <v>284.8</v>
          </cell>
          <cell r="BP27" t="str">
            <v>JunCEN - 21</v>
          </cell>
        </row>
        <row r="28">
          <cell r="I28">
            <v>156.47999999999999</v>
          </cell>
          <cell r="BP28" t="str">
            <v>JunCEN - 21</v>
          </cell>
        </row>
        <row r="29">
          <cell r="I29">
            <v>160.41900000000001</v>
          </cell>
          <cell r="BP29" t="str">
            <v>JunCEN - 21</v>
          </cell>
        </row>
        <row r="30">
          <cell r="I30">
            <v>659.44799999999998</v>
          </cell>
          <cell r="J30">
            <v>51.356999999999999</v>
          </cell>
          <cell r="BP30" t="str">
            <v>JunCEN - 21</v>
          </cell>
        </row>
        <row r="31">
          <cell r="I31">
            <v>646.64099999999996</v>
          </cell>
          <cell r="J31">
            <v>51.356999999999999</v>
          </cell>
          <cell r="BP31" t="str">
            <v>JunCEN - 21</v>
          </cell>
        </row>
        <row r="32">
          <cell r="I32">
            <v>141.80000000000001</v>
          </cell>
          <cell r="J32">
            <v>16.452500000000001</v>
          </cell>
          <cell r="BP32" t="str">
            <v>JunCEN - 24</v>
          </cell>
        </row>
        <row r="33">
          <cell r="I33">
            <v>3.0659999999999998</v>
          </cell>
          <cell r="BP33" t="str">
            <v>JunCEN - 24</v>
          </cell>
        </row>
        <row r="34">
          <cell r="I34">
            <v>108.57899999999999</v>
          </cell>
          <cell r="BP34" t="str">
            <v>JunCEN - 31</v>
          </cell>
        </row>
        <row r="35">
          <cell r="I35">
            <v>104.59699999999999</v>
          </cell>
          <cell r="BP35" t="str">
            <v>JunCEN - 31</v>
          </cell>
        </row>
        <row r="36">
          <cell r="I36">
            <v>0</v>
          </cell>
          <cell r="BP36" t="str">
            <v>JunCEN - 31</v>
          </cell>
        </row>
        <row r="37">
          <cell r="I37">
            <v>138.92699999999999</v>
          </cell>
          <cell r="BP37" t="str">
            <v>JunCEN - 31</v>
          </cell>
        </row>
        <row r="38">
          <cell r="I38">
            <v>17.645</v>
          </cell>
          <cell r="BP38" t="str">
            <v>JunCEN - 41</v>
          </cell>
        </row>
        <row r="39">
          <cell r="I39">
            <v>5.5709999999999997</v>
          </cell>
          <cell r="BP39" t="str">
            <v>JunCEN - 41</v>
          </cell>
        </row>
        <row r="40">
          <cell r="I40">
            <v>5.7299999999999997E-2</v>
          </cell>
          <cell r="BP40" t="str">
            <v>JunCEN - 42</v>
          </cell>
        </row>
        <row r="41">
          <cell r="BP41" t="str">
            <v/>
          </cell>
        </row>
        <row r="42">
          <cell r="BP42" t="str">
            <v/>
          </cell>
        </row>
        <row r="43">
          <cell r="BP43" t="str">
            <v/>
          </cell>
        </row>
        <row r="44">
          <cell r="BP44" t="str">
            <v/>
          </cell>
        </row>
        <row r="45">
          <cell r="BP45" t="str">
            <v/>
          </cell>
        </row>
        <row r="46">
          <cell r="BP46" t="str">
            <v/>
          </cell>
        </row>
        <row r="47">
          <cell r="BP47" t="str">
            <v/>
          </cell>
        </row>
        <row r="48">
          <cell r="BP48" t="str">
            <v/>
          </cell>
        </row>
        <row r="49">
          <cell r="BP49" t="str">
            <v/>
          </cell>
        </row>
        <row r="50">
          <cell r="BP50" t="str">
            <v/>
          </cell>
        </row>
        <row r="51">
          <cell r="BP51" t="str">
            <v/>
          </cell>
        </row>
        <row r="52">
          <cell r="BP52" t="str">
            <v/>
          </cell>
        </row>
        <row r="53">
          <cell r="BP53" t="str">
            <v/>
          </cell>
        </row>
        <row r="54">
          <cell r="BP54" t="str">
            <v/>
          </cell>
        </row>
        <row r="55">
          <cell r="BP55" t="str">
            <v/>
          </cell>
        </row>
        <row r="56">
          <cell r="BP56" t="str">
            <v/>
          </cell>
        </row>
        <row r="57">
          <cell r="BP57" t="str">
            <v/>
          </cell>
        </row>
        <row r="58">
          <cell r="BP58" t="str">
            <v/>
          </cell>
        </row>
        <row r="59">
          <cell r="BP59" t="str">
            <v/>
          </cell>
        </row>
        <row r="60">
          <cell r="BP60" t="str">
            <v/>
          </cell>
        </row>
        <row r="61">
          <cell r="BP61" t="str">
            <v/>
          </cell>
        </row>
        <row r="62">
          <cell r="BP62" t="str">
            <v/>
          </cell>
        </row>
        <row r="63">
          <cell r="BP63" t="str">
            <v/>
          </cell>
        </row>
        <row r="64">
          <cell r="BP64" t="str">
            <v/>
          </cell>
        </row>
        <row r="65">
          <cell r="BP65" t="str">
            <v/>
          </cell>
        </row>
        <row r="66">
          <cell r="BP66" t="str">
            <v/>
          </cell>
        </row>
        <row r="67">
          <cell r="BP67" t="str">
            <v/>
          </cell>
        </row>
        <row r="68">
          <cell r="BP68" t="str">
            <v/>
          </cell>
        </row>
        <row r="69">
          <cell r="BP69" t="str">
            <v/>
          </cell>
        </row>
        <row r="70">
          <cell r="BP70" t="str">
            <v/>
          </cell>
        </row>
        <row r="71">
          <cell r="BP71" t="str">
            <v/>
          </cell>
        </row>
        <row r="72">
          <cell r="BP72" t="str">
            <v/>
          </cell>
        </row>
        <row r="73">
          <cell r="BP73" t="str">
            <v/>
          </cell>
        </row>
        <row r="74">
          <cell r="BP74" t="str">
            <v/>
          </cell>
        </row>
        <row r="75">
          <cell r="BP75" t="str">
            <v/>
          </cell>
        </row>
        <row r="76">
          <cell r="BP76" t="str">
            <v/>
          </cell>
        </row>
        <row r="77">
          <cell r="BP77" t="str">
            <v/>
          </cell>
        </row>
        <row r="78">
          <cell r="BP78" t="str">
            <v/>
          </cell>
        </row>
        <row r="79">
          <cell r="BP79" t="str">
            <v/>
          </cell>
        </row>
        <row r="80">
          <cell r="BP80" t="str">
            <v/>
          </cell>
        </row>
        <row r="81">
          <cell r="BP81" t="str">
            <v/>
          </cell>
        </row>
        <row r="82">
          <cell r="BP82" t="str">
            <v/>
          </cell>
        </row>
        <row r="83">
          <cell r="BP83" t="str">
            <v/>
          </cell>
        </row>
        <row r="84">
          <cell r="BP84" t="str">
            <v/>
          </cell>
        </row>
        <row r="85">
          <cell r="BP85" t="str">
            <v/>
          </cell>
        </row>
        <row r="86">
          <cell r="BP86" t="str">
            <v/>
          </cell>
        </row>
        <row r="87">
          <cell r="BP87" t="str">
            <v/>
          </cell>
        </row>
        <row r="88">
          <cell r="BP88" t="str">
            <v/>
          </cell>
        </row>
        <row r="89">
          <cell r="BP89" t="str">
            <v/>
          </cell>
        </row>
        <row r="90">
          <cell r="BP90" t="str">
            <v/>
          </cell>
        </row>
        <row r="91">
          <cell r="BP91" t="str">
            <v/>
          </cell>
        </row>
        <row r="92">
          <cell r="BP92" t="str">
            <v/>
          </cell>
        </row>
        <row r="93">
          <cell r="BP93" t="str">
            <v/>
          </cell>
        </row>
        <row r="94">
          <cell r="BP94" t="str">
            <v/>
          </cell>
        </row>
        <row r="95">
          <cell r="BP95" t="str">
            <v/>
          </cell>
        </row>
        <row r="96">
          <cell r="BP96" t="str">
            <v/>
          </cell>
        </row>
        <row r="97">
          <cell r="BP97" t="str">
            <v/>
          </cell>
        </row>
        <row r="98">
          <cell r="BP98" t="str">
            <v/>
          </cell>
        </row>
        <row r="99">
          <cell r="BP99" t="str">
            <v/>
          </cell>
        </row>
        <row r="100">
          <cell r="BP100" t="str">
            <v/>
          </cell>
        </row>
        <row r="101">
          <cell r="BP101" t="str">
            <v/>
          </cell>
        </row>
        <row r="102">
          <cell r="BP102" t="str">
            <v/>
          </cell>
        </row>
        <row r="103">
          <cell r="BP103" t="str">
            <v/>
          </cell>
        </row>
        <row r="104">
          <cell r="BP104" t="str">
            <v/>
          </cell>
        </row>
        <row r="105">
          <cell r="BP105" t="str">
            <v/>
          </cell>
        </row>
        <row r="106">
          <cell r="BP106" t="str">
            <v/>
          </cell>
        </row>
        <row r="107">
          <cell r="BP107" t="str">
            <v/>
          </cell>
        </row>
        <row r="108">
          <cell r="BP108" t="str">
            <v/>
          </cell>
        </row>
        <row r="109">
          <cell r="BP109" t="str">
            <v/>
          </cell>
        </row>
        <row r="110">
          <cell r="BP110" t="str">
            <v/>
          </cell>
        </row>
        <row r="111">
          <cell r="BP111" t="str">
            <v/>
          </cell>
        </row>
        <row r="112">
          <cell r="BP112" t="str">
            <v/>
          </cell>
        </row>
        <row r="113">
          <cell r="BP113" t="str">
            <v/>
          </cell>
        </row>
        <row r="114">
          <cell r="BP114" t="str">
            <v/>
          </cell>
        </row>
        <row r="115">
          <cell r="BP115" t="str">
            <v/>
          </cell>
        </row>
        <row r="116">
          <cell r="BP116" t="str">
            <v/>
          </cell>
        </row>
        <row r="117">
          <cell r="BP117" t="str">
            <v/>
          </cell>
        </row>
        <row r="118">
          <cell r="BP118" t="str">
            <v/>
          </cell>
        </row>
        <row r="119">
          <cell r="BP119" t="str">
            <v/>
          </cell>
        </row>
        <row r="120">
          <cell r="BP120" t="str">
            <v/>
          </cell>
        </row>
        <row r="121">
          <cell r="BP121" t="str">
            <v/>
          </cell>
        </row>
        <row r="122">
          <cell r="BP122" t="str">
            <v/>
          </cell>
        </row>
        <row r="123">
          <cell r="BP123" t="str">
            <v/>
          </cell>
        </row>
        <row r="124">
          <cell r="BP124" t="str">
            <v/>
          </cell>
        </row>
        <row r="125">
          <cell r="BP125" t="str">
            <v/>
          </cell>
        </row>
        <row r="126">
          <cell r="BP126" t="str">
            <v/>
          </cell>
        </row>
        <row r="127">
          <cell r="BP127" t="str">
            <v/>
          </cell>
        </row>
        <row r="128">
          <cell r="BP128" t="str">
            <v/>
          </cell>
        </row>
        <row r="129">
          <cell r="BP129" t="str">
            <v/>
          </cell>
        </row>
        <row r="130">
          <cell r="BP130" t="str">
            <v/>
          </cell>
        </row>
        <row r="131">
          <cell r="BP131" t="str">
            <v/>
          </cell>
        </row>
        <row r="132">
          <cell r="BP132" t="str">
            <v/>
          </cell>
        </row>
        <row r="133">
          <cell r="BP133" t="str">
            <v/>
          </cell>
        </row>
        <row r="134">
          <cell r="BP134" t="str">
            <v/>
          </cell>
        </row>
        <row r="135">
          <cell r="BP135" t="str">
            <v/>
          </cell>
        </row>
        <row r="136">
          <cell r="BP136" t="str">
            <v/>
          </cell>
        </row>
        <row r="137">
          <cell r="BP137" t="str">
            <v/>
          </cell>
        </row>
        <row r="138">
          <cell r="BP138" t="str">
            <v/>
          </cell>
        </row>
        <row r="139">
          <cell r="BP139" t="str">
            <v/>
          </cell>
        </row>
        <row r="140">
          <cell r="BP140" t="str">
            <v/>
          </cell>
        </row>
        <row r="141">
          <cell r="BP141" t="str">
            <v/>
          </cell>
        </row>
        <row r="142">
          <cell r="BP142" t="str">
            <v/>
          </cell>
        </row>
        <row r="143">
          <cell r="BP143" t="str">
            <v/>
          </cell>
        </row>
        <row r="144">
          <cell r="BP144" t="str">
            <v/>
          </cell>
        </row>
        <row r="145">
          <cell r="BP145" t="str">
            <v/>
          </cell>
        </row>
        <row r="146">
          <cell r="BP146" t="str">
            <v/>
          </cell>
        </row>
        <row r="147">
          <cell r="BP147" t="str">
            <v/>
          </cell>
        </row>
        <row r="148">
          <cell r="BP148" t="str">
            <v/>
          </cell>
        </row>
        <row r="149">
          <cell r="BP149" t="str">
            <v/>
          </cell>
        </row>
        <row r="150">
          <cell r="BP150" t="str">
            <v/>
          </cell>
        </row>
        <row r="151">
          <cell r="BP151" t="str">
            <v/>
          </cell>
        </row>
        <row r="152">
          <cell r="BP152" t="str">
            <v/>
          </cell>
        </row>
        <row r="153">
          <cell r="BP153" t="str">
            <v/>
          </cell>
        </row>
        <row r="154">
          <cell r="BP154" t="str">
            <v/>
          </cell>
        </row>
        <row r="155">
          <cell r="BP155" t="str">
            <v/>
          </cell>
        </row>
        <row r="156">
          <cell r="BP156" t="str">
            <v/>
          </cell>
        </row>
        <row r="157">
          <cell r="BP157" t="str">
            <v/>
          </cell>
        </row>
        <row r="158">
          <cell r="BP158" t="str">
            <v/>
          </cell>
        </row>
        <row r="159">
          <cell r="BP159" t="str">
            <v/>
          </cell>
        </row>
        <row r="160">
          <cell r="BP160" t="str">
            <v/>
          </cell>
        </row>
        <row r="161">
          <cell r="BP161" t="str">
            <v/>
          </cell>
        </row>
        <row r="162">
          <cell r="BP162" t="str">
            <v/>
          </cell>
        </row>
        <row r="163">
          <cell r="BP163" t="str">
            <v/>
          </cell>
        </row>
        <row r="164">
          <cell r="BP164" t="str">
            <v/>
          </cell>
        </row>
        <row r="165">
          <cell r="BP165" t="str">
            <v/>
          </cell>
        </row>
        <row r="166">
          <cell r="BP166" t="str">
            <v/>
          </cell>
        </row>
        <row r="167">
          <cell r="BP167" t="str">
            <v/>
          </cell>
        </row>
        <row r="168">
          <cell r="BP168" t="str">
            <v/>
          </cell>
        </row>
        <row r="169">
          <cell r="BP169" t="str">
            <v/>
          </cell>
        </row>
        <row r="170">
          <cell r="BP170" t="str">
            <v/>
          </cell>
        </row>
        <row r="171">
          <cell r="BP171" t="str">
            <v/>
          </cell>
        </row>
        <row r="172">
          <cell r="BP172" t="str">
            <v/>
          </cell>
        </row>
        <row r="173">
          <cell r="BP173" t="str">
            <v/>
          </cell>
        </row>
        <row r="174">
          <cell r="BP174" t="str">
            <v/>
          </cell>
        </row>
        <row r="175">
          <cell r="BP175" t="str">
            <v/>
          </cell>
        </row>
        <row r="176">
          <cell r="BP176" t="str">
            <v/>
          </cell>
        </row>
        <row r="177">
          <cell r="BP177" t="str">
            <v/>
          </cell>
        </row>
        <row r="178">
          <cell r="BP178" t="str">
            <v/>
          </cell>
        </row>
        <row r="179">
          <cell r="BP179" t="str">
            <v/>
          </cell>
        </row>
        <row r="180">
          <cell r="BP180" t="str">
            <v/>
          </cell>
        </row>
        <row r="181">
          <cell r="BP181" t="str">
            <v/>
          </cell>
        </row>
        <row r="182">
          <cell r="BP182" t="str">
            <v/>
          </cell>
        </row>
        <row r="183">
          <cell r="BP183" t="str">
            <v/>
          </cell>
        </row>
        <row r="184">
          <cell r="BP184" t="str">
            <v/>
          </cell>
        </row>
        <row r="185">
          <cell r="BP185" t="str">
            <v/>
          </cell>
        </row>
        <row r="186">
          <cell r="BP186" t="str">
            <v/>
          </cell>
        </row>
        <row r="187">
          <cell r="BP187" t="str">
            <v/>
          </cell>
        </row>
        <row r="188">
          <cell r="BP188" t="str">
            <v/>
          </cell>
        </row>
        <row r="189">
          <cell r="BP189" t="str">
            <v/>
          </cell>
        </row>
        <row r="190">
          <cell r="BP190" t="str">
            <v/>
          </cell>
        </row>
        <row r="191">
          <cell r="BP191" t="str">
            <v/>
          </cell>
        </row>
        <row r="192">
          <cell r="BP192" t="str">
            <v/>
          </cell>
        </row>
        <row r="193">
          <cell r="BP193" t="str">
            <v/>
          </cell>
        </row>
        <row r="194">
          <cell r="BP194" t="str">
            <v/>
          </cell>
        </row>
        <row r="195">
          <cell r="BP195" t="str">
            <v/>
          </cell>
        </row>
        <row r="196">
          <cell r="BP196" t="str">
            <v/>
          </cell>
        </row>
        <row r="197">
          <cell r="BP197" t="str">
            <v/>
          </cell>
        </row>
        <row r="198">
          <cell r="BP198" t="str">
            <v/>
          </cell>
        </row>
        <row r="199">
          <cell r="BP199" t="str">
            <v/>
          </cell>
        </row>
        <row r="200">
          <cell r="BP200" t="str">
            <v/>
          </cell>
        </row>
        <row r="201">
          <cell r="BP201" t="str">
            <v/>
          </cell>
        </row>
        <row r="202">
          <cell r="BP202" t="str">
            <v/>
          </cell>
        </row>
        <row r="203">
          <cell r="BP203" t="str">
            <v/>
          </cell>
        </row>
        <row r="204">
          <cell r="BP204" t="str">
            <v/>
          </cell>
        </row>
        <row r="205">
          <cell r="BP205" t="str">
            <v/>
          </cell>
        </row>
        <row r="206">
          <cell r="BP206" t="str">
            <v/>
          </cell>
        </row>
        <row r="207">
          <cell r="BP207" t="str">
            <v/>
          </cell>
        </row>
        <row r="208">
          <cell r="BP208" t="str">
            <v/>
          </cell>
        </row>
        <row r="209">
          <cell r="BP209" t="str">
            <v/>
          </cell>
        </row>
        <row r="210">
          <cell r="BP210" t="str">
            <v/>
          </cell>
        </row>
        <row r="211">
          <cell r="BP211" t="str">
            <v/>
          </cell>
        </row>
        <row r="212">
          <cell r="BP212" t="str">
            <v/>
          </cell>
        </row>
        <row r="213">
          <cell r="BP213" t="str">
            <v/>
          </cell>
        </row>
        <row r="214">
          <cell r="BP214" t="str">
            <v/>
          </cell>
        </row>
        <row r="215">
          <cell r="BP215" t="str">
            <v/>
          </cell>
        </row>
        <row r="216">
          <cell r="BP216" t="str">
            <v/>
          </cell>
        </row>
        <row r="217">
          <cell r="BP217" t="str">
            <v/>
          </cell>
        </row>
        <row r="218">
          <cell r="BP218" t="str">
            <v/>
          </cell>
        </row>
        <row r="219">
          <cell r="BP219" t="str">
            <v/>
          </cell>
        </row>
        <row r="220">
          <cell r="BP220" t="str">
            <v/>
          </cell>
        </row>
        <row r="221">
          <cell r="BP221" t="str">
            <v/>
          </cell>
        </row>
        <row r="222">
          <cell r="BP222" t="str">
            <v/>
          </cell>
        </row>
        <row r="223">
          <cell r="BP223" t="str">
            <v/>
          </cell>
        </row>
        <row r="224">
          <cell r="BP224" t="str">
            <v/>
          </cell>
        </row>
        <row r="225">
          <cell r="BP225" t="str">
            <v/>
          </cell>
        </row>
        <row r="226">
          <cell r="BP226" t="str">
            <v/>
          </cell>
        </row>
        <row r="227">
          <cell r="BP227" t="str">
            <v/>
          </cell>
        </row>
        <row r="228">
          <cell r="BP228" t="str">
            <v/>
          </cell>
        </row>
        <row r="229">
          <cell r="BP229" t="str">
            <v/>
          </cell>
        </row>
        <row r="230">
          <cell r="BP230" t="str">
            <v/>
          </cell>
        </row>
        <row r="231">
          <cell r="BP231" t="str">
            <v/>
          </cell>
        </row>
        <row r="232">
          <cell r="BP232" t="str">
            <v/>
          </cell>
        </row>
        <row r="233">
          <cell r="BP233" t="str">
            <v/>
          </cell>
        </row>
        <row r="234">
          <cell r="BP234" t="str">
            <v/>
          </cell>
        </row>
        <row r="235">
          <cell r="BP235" t="str">
            <v/>
          </cell>
        </row>
        <row r="236">
          <cell r="BP236" t="str">
            <v/>
          </cell>
        </row>
        <row r="237">
          <cell r="BP237" t="str">
            <v/>
          </cell>
        </row>
        <row r="238">
          <cell r="BP238" t="str">
            <v/>
          </cell>
        </row>
        <row r="239">
          <cell r="BP239" t="str">
            <v/>
          </cell>
        </row>
        <row r="240">
          <cell r="BP240" t="str">
            <v/>
          </cell>
        </row>
        <row r="241">
          <cell r="BP241" t="str">
            <v/>
          </cell>
        </row>
        <row r="242">
          <cell r="BP242" t="str">
            <v/>
          </cell>
        </row>
        <row r="243">
          <cell r="BP243" t="str">
            <v/>
          </cell>
        </row>
        <row r="244">
          <cell r="BP244" t="str">
            <v/>
          </cell>
        </row>
        <row r="245">
          <cell r="BP245" t="str">
            <v/>
          </cell>
        </row>
        <row r="246">
          <cell r="BP246" t="str">
            <v/>
          </cell>
        </row>
        <row r="247">
          <cell r="BP247" t="str">
            <v/>
          </cell>
        </row>
        <row r="248">
          <cell r="BP248" t="str">
            <v/>
          </cell>
        </row>
        <row r="249">
          <cell r="BP249" t="str">
            <v/>
          </cell>
        </row>
        <row r="250">
          <cell r="BP250" t="str">
            <v/>
          </cell>
        </row>
        <row r="251">
          <cell r="BP251" t="str">
            <v/>
          </cell>
        </row>
        <row r="252">
          <cell r="BP252" t="str">
            <v/>
          </cell>
        </row>
        <row r="253">
          <cell r="BP253" t="str">
            <v/>
          </cell>
        </row>
        <row r="254">
          <cell r="BP254" t="str">
            <v/>
          </cell>
        </row>
        <row r="255">
          <cell r="BP255" t="str">
            <v/>
          </cell>
        </row>
        <row r="256">
          <cell r="BP256" t="str">
            <v/>
          </cell>
        </row>
        <row r="257">
          <cell r="BP257" t="str">
            <v/>
          </cell>
        </row>
        <row r="258">
          <cell r="BP258" t="str">
            <v/>
          </cell>
        </row>
        <row r="259">
          <cell r="BP259" t="str">
            <v/>
          </cell>
        </row>
        <row r="260">
          <cell r="BP260" t="str">
            <v/>
          </cell>
        </row>
        <row r="261">
          <cell r="BP261" t="str">
            <v/>
          </cell>
        </row>
        <row r="262">
          <cell r="BP262" t="str">
            <v/>
          </cell>
        </row>
        <row r="263">
          <cell r="BP263" t="str">
            <v/>
          </cell>
        </row>
        <row r="264">
          <cell r="BP264" t="str">
            <v/>
          </cell>
        </row>
        <row r="265">
          <cell r="BP265" t="str">
            <v/>
          </cell>
        </row>
        <row r="266">
          <cell r="BP266" t="str">
            <v/>
          </cell>
        </row>
        <row r="267">
          <cell r="BP267" t="str">
            <v/>
          </cell>
        </row>
        <row r="268">
          <cell r="BP268" t="str">
            <v/>
          </cell>
        </row>
        <row r="269">
          <cell r="BP269" t="str">
            <v/>
          </cell>
        </row>
        <row r="270">
          <cell r="BP270" t="str">
            <v/>
          </cell>
        </row>
        <row r="271">
          <cell r="BP271" t="str">
            <v/>
          </cell>
        </row>
        <row r="272">
          <cell r="BP272" t="str">
            <v/>
          </cell>
        </row>
        <row r="273">
          <cell r="BP273" t="str">
            <v/>
          </cell>
        </row>
        <row r="274">
          <cell r="BP274" t="str">
            <v/>
          </cell>
        </row>
        <row r="275">
          <cell r="BP275" t="str">
            <v/>
          </cell>
        </row>
        <row r="276">
          <cell r="BP276" t="str">
            <v/>
          </cell>
        </row>
        <row r="277">
          <cell r="BP277" t="str">
            <v/>
          </cell>
        </row>
        <row r="278">
          <cell r="BP278" t="str">
            <v/>
          </cell>
        </row>
        <row r="279">
          <cell r="BP279" t="str">
            <v/>
          </cell>
        </row>
        <row r="280">
          <cell r="BP280" t="str">
            <v/>
          </cell>
        </row>
        <row r="281">
          <cell r="BP281" t="str">
            <v/>
          </cell>
        </row>
        <row r="282">
          <cell r="BP282" t="str">
            <v/>
          </cell>
        </row>
        <row r="283">
          <cell r="BP283" t="str">
            <v/>
          </cell>
        </row>
        <row r="284">
          <cell r="BP284" t="str">
            <v/>
          </cell>
        </row>
        <row r="285">
          <cell r="BP285" t="str">
            <v/>
          </cell>
        </row>
        <row r="286">
          <cell r="BP286" t="str">
            <v/>
          </cell>
        </row>
        <row r="287">
          <cell r="BP287" t="str">
            <v/>
          </cell>
        </row>
        <row r="288">
          <cell r="BP288" t="str">
            <v/>
          </cell>
        </row>
        <row r="289">
          <cell r="BP289" t="str">
            <v/>
          </cell>
        </row>
        <row r="290">
          <cell r="BP290" t="str">
            <v/>
          </cell>
        </row>
        <row r="291">
          <cell r="BP291" t="str">
            <v/>
          </cell>
        </row>
        <row r="292">
          <cell r="BP292" t="str">
            <v/>
          </cell>
        </row>
        <row r="293">
          <cell r="BP293" t="str">
            <v/>
          </cell>
        </row>
        <row r="294">
          <cell r="BP294" t="str">
            <v/>
          </cell>
        </row>
        <row r="295">
          <cell r="BP295" t="str">
            <v/>
          </cell>
        </row>
        <row r="296">
          <cell r="BP296" t="str">
            <v/>
          </cell>
        </row>
        <row r="297">
          <cell r="BP297" t="str">
            <v/>
          </cell>
        </row>
        <row r="298">
          <cell r="BP298" t="str">
            <v/>
          </cell>
        </row>
        <row r="299">
          <cell r="BP299" t="str">
            <v/>
          </cell>
        </row>
        <row r="300">
          <cell r="BP300" t="str">
            <v/>
          </cell>
        </row>
        <row r="301">
          <cell r="BP301" t="str">
            <v/>
          </cell>
        </row>
        <row r="302">
          <cell r="BP302" t="str">
            <v/>
          </cell>
        </row>
        <row r="303">
          <cell r="BP303" t="str">
            <v/>
          </cell>
        </row>
        <row r="304">
          <cell r="BP304" t="str">
            <v/>
          </cell>
        </row>
        <row r="305">
          <cell r="BP305" t="str">
            <v/>
          </cell>
        </row>
        <row r="306">
          <cell r="BP306" t="str">
            <v/>
          </cell>
        </row>
        <row r="307">
          <cell r="BP307" t="str">
            <v/>
          </cell>
        </row>
        <row r="308">
          <cell r="BP308" t="str">
            <v/>
          </cell>
        </row>
        <row r="309">
          <cell r="BP309" t="str">
            <v/>
          </cell>
        </row>
        <row r="310">
          <cell r="BP310" t="str">
            <v/>
          </cell>
        </row>
        <row r="311">
          <cell r="BP311" t="str">
            <v/>
          </cell>
        </row>
        <row r="312">
          <cell r="BP312" t="str">
            <v/>
          </cell>
        </row>
        <row r="313">
          <cell r="BP313" t="str">
            <v/>
          </cell>
        </row>
        <row r="314">
          <cell r="BP314" t="str">
            <v/>
          </cell>
        </row>
        <row r="315">
          <cell r="BP315" t="str">
            <v/>
          </cell>
        </row>
        <row r="316">
          <cell r="BP316" t="str">
            <v/>
          </cell>
        </row>
        <row r="317">
          <cell r="BP317" t="str">
            <v/>
          </cell>
        </row>
        <row r="318">
          <cell r="BP318" t="str">
            <v/>
          </cell>
        </row>
        <row r="319">
          <cell r="BP319" t="str">
            <v/>
          </cell>
        </row>
        <row r="320">
          <cell r="BP320" t="str">
            <v/>
          </cell>
        </row>
        <row r="321">
          <cell r="BP321" t="str">
            <v/>
          </cell>
        </row>
        <row r="322">
          <cell r="BP322" t="str">
            <v/>
          </cell>
        </row>
        <row r="323">
          <cell r="BP323" t="str">
            <v/>
          </cell>
        </row>
        <row r="324">
          <cell r="BP324" t="str">
            <v/>
          </cell>
        </row>
        <row r="325">
          <cell r="BP325" t="str">
            <v/>
          </cell>
        </row>
        <row r="326">
          <cell r="BP326" t="str">
            <v/>
          </cell>
        </row>
        <row r="327">
          <cell r="BP327" t="str">
            <v/>
          </cell>
        </row>
        <row r="328">
          <cell r="BP328" t="str">
            <v/>
          </cell>
        </row>
        <row r="329">
          <cell r="BP329" t="str">
            <v/>
          </cell>
        </row>
        <row r="330">
          <cell r="BP330" t="str">
            <v/>
          </cell>
        </row>
        <row r="331">
          <cell r="BP331" t="str">
            <v/>
          </cell>
        </row>
        <row r="332">
          <cell r="BP332" t="str">
            <v/>
          </cell>
        </row>
        <row r="333">
          <cell r="BP333" t="str">
            <v/>
          </cell>
        </row>
        <row r="334">
          <cell r="BP334" t="str">
            <v/>
          </cell>
        </row>
        <row r="335">
          <cell r="BP335" t="str">
            <v/>
          </cell>
        </row>
        <row r="336">
          <cell r="BP336" t="str">
            <v/>
          </cell>
        </row>
        <row r="337">
          <cell r="BP337" t="str">
            <v/>
          </cell>
        </row>
        <row r="338">
          <cell r="BP338" t="str">
            <v/>
          </cell>
        </row>
        <row r="339">
          <cell r="BP339" t="str">
            <v/>
          </cell>
        </row>
        <row r="340">
          <cell r="BP340" t="str">
            <v/>
          </cell>
        </row>
        <row r="341">
          <cell r="BP341" t="str">
            <v/>
          </cell>
        </row>
        <row r="342">
          <cell r="BP342" t="str">
            <v/>
          </cell>
        </row>
        <row r="343">
          <cell r="BP343" t="str">
            <v/>
          </cell>
        </row>
        <row r="344">
          <cell r="BP344" t="str">
            <v/>
          </cell>
        </row>
        <row r="345">
          <cell r="BP345" t="str">
            <v/>
          </cell>
        </row>
        <row r="346">
          <cell r="BP346" t="str">
            <v/>
          </cell>
        </row>
        <row r="347">
          <cell r="BP347" t="str">
            <v/>
          </cell>
        </row>
        <row r="348">
          <cell r="BP348" t="str">
            <v/>
          </cell>
        </row>
        <row r="349">
          <cell r="BP349" t="str">
            <v/>
          </cell>
        </row>
        <row r="350">
          <cell r="BP350" t="str">
            <v/>
          </cell>
        </row>
        <row r="351">
          <cell r="BP351" t="str">
            <v/>
          </cell>
        </row>
        <row r="352">
          <cell r="BP352" t="str">
            <v/>
          </cell>
        </row>
        <row r="353">
          <cell r="BP353" t="str">
            <v/>
          </cell>
        </row>
        <row r="354">
          <cell r="BP354" t="str">
            <v/>
          </cell>
        </row>
        <row r="355">
          <cell r="BP355" t="str">
            <v/>
          </cell>
        </row>
        <row r="356">
          <cell r="BP356" t="str">
            <v/>
          </cell>
        </row>
        <row r="357">
          <cell r="BP357" t="str">
            <v/>
          </cell>
        </row>
        <row r="358">
          <cell r="BP358" t="str">
            <v/>
          </cell>
        </row>
        <row r="359">
          <cell r="BP359" t="str">
            <v/>
          </cell>
        </row>
        <row r="360">
          <cell r="BP360" t="str">
            <v/>
          </cell>
        </row>
        <row r="361">
          <cell r="BP361" t="str">
            <v/>
          </cell>
        </row>
        <row r="362">
          <cell r="BP362" t="str">
            <v/>
          </cell>
        </row>
        <row r="363">
          <cell r="BP363" t="str">
            <v/>
          </cell>
        </row>
        <row r="364">
          <cell r="BP364" t="str">
            <v/>
          </cell>
        </row>
        <row r="365">
          <cell r="BP365" t="str">
            <v/>
          </cell>
        </row>
        <row r="366">
          <cell r="BP366" t="str">
            <v/>
          </cell>
        </row>
        <row r="367">
          <cell r="BP367" t="str">
            <v/>
          </cell>
        </row>
        <row r="368">
          <cell r="BP368" t="str">
            <v/>
          </cell>
        </row>
        <row r="369">
          <cell r="BP369" t="str">
            <v/>
          </cell>
        </row>
        <row r="370">
          <cell r="BP370" t="str">
            <v/>
          </cell>
        </row>
        <row r="371">
          <cell r="BP371" t="str">
            <v/>
          </cell>
        </row>
        <row r="372">
          <cell r="BP372" t="str">
            <v/>
          </cell>
        </row>
        <row r="373">
          <cell r="BP373" t="str">
            <v/>
          </cell>
        </row>
        <row r="374">
          <cell r="BP374" t="str">
            <v/>
          </cell>
        </row>
        <row r="375">
          <cell r="BP375" t="str">
            <v/>
          </cell>
        </row>
        <row r="376">
          <cell r="BP376" t="str">
            <v/>
          </cell>
        </row>
        <row r="377">
          <cell r="BP377" t="str">
            <v/>
          </cell>
        </row>
        <row r="378">
          <cell r="BP378" t="str">
            <v/>
          </cell>
        </row>
        <row r="379">
          <cell r="BP379" t="str">
            <v/>
          </cell>
        </row>
        <row r="380">
          <cell r="BP380" t="str">
            <v/>
          </cell>
        </row>
        <row r="381">
          <cell r="BP381" t="str">
            <v/>
          </cell>
        </row>
        <row r="382">
          <cell r="BP382" t="str">
            <v/>
          </cell>
        </row>
        <row r="383">
          <cell r="BP383" t="str">
            <v/>
          </cell>
        </row>
        <row r="384">
          <cell r="BP384" t="str">
            <v/>
          </cell>
        </row>
        <row r="385">
          <cell r="BP385" t="str">
            <v/>
          </cell>
        </row>
        <row r="386">
          <cell r="BP386" t="str">
            <v/>
          </cell>
        </row>
        <row r="387">
          <cell r="BP387" t="str">
            <v/>
          </cell>
        </row>
        <row r="388">
          <cell r="BP388" t="str">
            <v/>
          </cell>
        </row>
        <row r="389">
          <cell r="BP389" t="str">
            <v/>
          </cell>
        </row>
        <row r="390">
          <cell r="BP390" t="str">
            <v/>
          </cell>
        </row>
        <row r="391">
          <cell r="BP391" t="str">
            <v/>
          </cell>
        </row>
        <row r="392">
          <cell r="BP392" t="str">
            <v/>
          </cell>
        </row>
        <row r="393">
          <cell r="BP393" t="str">
            <v/>
          </cell>
        </row>
        <row r="394">
          <cell r="BP394" t="str">
            <v/>
          </cell>
        </row>
        <row r="395">
          <cell r="BP395" t="str">
            <v/>
          </cell>
        </row>
        <row r="396">
          <cell r="BP396" t="str">
            <v/>
          </cell>
        </row>
        <row r="397">
          <cell r="BP397" t="str">
            <v/>
          </cell>
        </row>
        <row r="398">
          <cell r="BP398" t="str">
            <v/>
          </cell>
        </row>
        <row r="399">
          <cell r="BP399" t="str">
            <v/>
          </cell>
        </row>
        <row r="400">
          <cell r="BP400" t="str">
            <v/>
          </cell>
        </row>
        <row r="401">
          <cell r="BP401" t="str">
            <v/>
          </cell>
        </row>
        <row r="402">
          <cell r="BP402" t="str">
            <v/>
          </cell>
        </row>
        <row r="403">
          <cell r="BP403" t="str">
            <v/>
          </cell>
        </row>
        <row r="404">
          <cell r="BP404" t="str">
            <v/>
          </cell>
        </row>
        <row r="405">
          <cell r="BP405" t="str">
            <v/>
          </cell>
        </row>
        <row r="406">
          <cell r="BP406" t="str">
            <v/>
          </cell>
        </row>
        <row r="407">
          <cell r="BP407" t="str">
            <v/>
          </cell>
        </row>
        <row r="408">
          <cell r="BP408" t="str">
            <v/>
          </cell>
        </row>
        <row r="409">
          <cell r="BP409" t="str">
            <v/>
          </cell>
        </row>
        <row r="410">
          <cell r="BP410" t="str">
            <v/>
          </cell>
        </row>
        <row r="411">
          <cell r="BP411" t="str">
            <v/>
          </cell>
        </row>
        <row r="412">
          <cell r="BP412" t="str">
            <v/>
          </cell>
        </row>
        <row r="413">
          <cell r="BP413" t="str">
            <v/>
          </cell>
        </row>
        <row r="414">
          <cell r="BP414" t="str">
            <v/>
          </cell>
        </row>
        <row r="415">
          <cell r="BP415" t="str">
            <v/>
          </cell>
        </row>
        <row r="416">
          <cell r="BP416" t="str">
            <v/>
          </cell>
        </row>
        <row r="417">
          <cell r="BP417" t="str">
            <v/>
          </cell>
        </row>
        <row r="418">
          <cell r="BP418" t="str">
            <v/>
          </cell>
        </row>
        <row r="419">
          <cell r="BP419" t="str">
            <v/>
          </cell>
        </row>
        <row r="420">
          <cell r="BP420" t="str">
            <v/>
          </cell>
        </row>
        <row r="421">
          <cell r="BP421" t="str">
            <v/>
          </cell>
        </row>
        <row r="422">
          <cell r="BP422" t="str">
            <v/>
          </cell>
        </row>
        <row r="423">
          <cell r="BP423" t="str">
            <v/>
          </cell>
        </row>
        <row r="424">
          <cell r="BP424" t="str">
            <v/>
          </cell>
        </row>
        <row r="425">
          <cell r="BP425" t="str">
            <v/>
          </cell>
        </row>
        <row r="426">
          <cell r="BP426" t="str">
            <v/>
          </cell>
        </row>
        <row r="427">
          <cell r="BP427" t="str">
            <v/>
          </cell>
        </row>
        <row r="428">
          <cell r="BP428" t="str">
            <v/>
          </cell>
        </row>
        <row r="429">
          <cell r="BP429" t="str">
            <v/>
          </cell>
        </row>
        <row r="430">
          <cell r="BP430" t="str">
            <v/>
          </cell>
        </row>
        <row r="431">
          <cell r="BP431" t="str">
            <v/>
          </cell>
        </row>
        <row r="432">
          <cell r="BP432" t="str">
            <v/>
          </cell>
        </row>
        <row r="433">
          <cell r="BP433" t="str">
            <v/>
          </cell>
        </row>
        <row r="434">
          <cell r="BP434" t="str">
            <v/>
          </cell>
        </row>
        <row r="435">
          <cell r="BP435" t="str">
            <v/>
          </cell>
        </row>
        <row r="436">
          <cell r="BP436" t="str">
            <v/>
          </cell>
        </row>
        <row r="437">
          <cell r="BP437" t="str">
            <v/>
          </cell>
        </row>
        <row r="438">
          <cell r="BP438" t="str">
            <v/>
          </cell>
        </row>
        <row r="439">
          <cell r="BP439" t="str">
            <v/>
          </cell>
        </row>
        <row r="440">
          <cell r="BP440" t="str">
            <v/>
          </cell>
        </row>
        <row r="441">
          <cell r="BP441" t="str">
            <v/>
          </cell>
        </row>
        <row r="442">
          <cell r="BP442" t="str">
            <v/>
          </cell>
        </row>
        <row r="443">
          <cell r="BP443" t="str">
            <v/>
          </cell>
        </row>
        <row r="444">
          <cell r="BP444" t="str">
            <v/>
          </cell>
        </row>
        <row r="445">
          <cell r="BP445" t="str">
            <v/>
          </cell>
        </row>
        <row r="446">
          <cell r="BP446" t="str">
            <v/>
          </cell>
        </row>
        <row r="447">
          <cell r="BP447" t="str">
            <v/>
          </cell>
        </row>
        <row r="448">
          <cell r="BP448" t="str">
            <v/>
          </cell>
        </row>
        <row r="449">
          <cell r="BP449" t="str">
            <v/>
          </cell>
        </row>
        <row r="450">
          <cell r="BP450" t="str">
            <v/>
          </cell>
        </row>
        <row r="451">
          <cell r="BP451" t="str">
            <v/>
          </cell>
        </row>
        <row r="452">
          <cell r="BP452" t="str">
            <v/>
          </cell>
        </row>
        <row r="453">
          <cell r="BP453" t="str">
            <v/>
          </cell>
        </row>
        <row r="454">
          <cell r="BP454" t="str">
            <v/>
          </cell>
        </row>
        <row r="455">
          <cell r="BP455" t="str">
            <v/>
          </cell>
        </row>
        <row r="456">
          <cell r="BP456" t="str">
            <v/>
          </cell>
        </row>
        <row r="457">
          <cell r="BP457" t="str">
            <v/>
          </cell>
        </row>
        <row r="458">
          <cell r="BP458" t="str">
            <v/>
          </cell>
        </row>
        <row r="459">
          <cell r="BP459" t="str">
            <v/>
          </cell>
        </row>
        <row r="460">
          <cell r="BP460" t="str">
            <v/>
          </cell>
        </row>
        <row r="461">
          <cell r="BP461" t="str">
            <v/>
          </cell>
        </row>
        <row r="462">
          <cell r="BP462" t="str">
            <v/>
          </cell>
        </row>
        <row r="463">
          <cell r="BP463" t="str">
            <v/>
          </cell>
        </row>
        <row r="464">
          <cell r="BP464" t="str">
            <v/>
          </cell>
        </row>
        <row r="465">
          <cell r="BP465" t="str">
            <v/>
          </cell>
        </row>
        <row r="466">
          <cell r="BP466" t="str">
            <v/>
          </cell>
        </row>
        <row r="467">
          <cell r="BP467" t="str">
            <v/>
          </cell>
        </row>
        <row r="468">
          <cell r="BP468" t="str">
            <v/>
          </cell>
        </row>
        <row r="469">
          <cell r="BP469" t="str">
            <v/>
          </cell>
        </row>
        <row r="470">
          <cell r="BP470" t="str">
            <v/>
          </cell>
        </row>
        <row r="471">
          <cell r="BP471" t="str">
            <v/>
          </cell>
        </row>
        <row r="472">
          <cell r="BP472" t="str">
            <v/>
          </cell>
        </row>
        <row r="473">
          <cell r="BP473" t="str">
            <v/>
          </cell>
        </row>
        <row r="474">
          <cell r="BP474" t="str">
            <v/>
          </cell>
        </row>
        <row r="475">
          <cell r="BP475" t="str">
            <v/>
          </cell>
        </row>
        <row r="476">
          <cell r="BP476" t="str">
            <v/>
          </cell>
        </row>
        <row r="477">
          <cell r="BP477" t="str">
            <v/>
          </cell>
        </row>
        <row r="478">
          <cell r="BP478" t="str">
            <v/>
          </cell>
        </row>
        <row r="479">
          <cell r="BP479" t="str">
            <v/>
          </cell>
        </row>
        <row r="480">
          <cell r="BP480" t="str">
            <v/>
          </cell>
        </row>
        <row r="481">
          <cell r="BP481" t="str">
            <v/>
          </cell>
        </row>
        <row r="482">
          <cell r="BP482" t="str">
            <v/>
          </cell>
        </row>
        <row r="483">
          <cell r="BP483" t="str">
            <v/>
          </cell>
        </row>
        <row r="484">
          <cell r="BP484" t="str">
            <v/>
          </cell>
        </row>
        <row r="485">
          <cell r="BP485" t="str">
            <v/>
          </cell>
        </row>
        <row r="486">
          <cell r="BP486" t="str">
            <v/>
          </cell>
        </row>
        <row r="487">
          <cell r="BP487" t="str">
            <v/>
          </cell>
        </row>
        <row r="488">
          <cell r="BP488" t="str">
            <v/>
          </cell>
        </row>
        <row r="489">
          <cell r="BP489" t="str">
            <v/>
          </cell>
        </row>
        <row r="490">
          <cell r="BP490" t="str">
            <v/>
          </cell>
        </row>
        <row r="491">
          <cell r="BP491" t="str">
            <v/>
          </cell>
        </row>
        <row r="492">
          <cell r="BP492" t="str">
            <v/>
          </cell>
        </row>
        <row r="493">
          <cell r="BP493" t="str">
            <v/>
          </cell>
        </row>
        <row r="494">
          <cell r="BP494" t="str">
            <v/>
          </cell>
        </row>
        <row r="495">
          <cell r="BP495" t="str">
            <v/>
          </cell>
        </row>
        <row r="496">
          <cell r="BP496" t="str">
            <v/>
          </cell>
        </row>
        <row r="497">
          <cell r="BP497" t="str">
            <v/>
          </cell>
        </row>
        <row r="498">
          <cell r="BP498" t="str">
            <v/>
          </cell>
        </row>
        <row r="499">
          <cell r="BP499" t="str">
            <v/>
          </cell>
        </row>
        <row r="500">
          <cell r="BP500" t="str">
            <v/>
          </cell>
        </row>
        <row r="501">
          <cell r="BP501" t="str">
            <v/>
          </cell>
        </row>
        <row r="502">
          <cell r="BP502" t="str">
            <v/>
          </cell>
        </row>
        <row r="503">
          <cell r="BP503" t="str">
            <v/>
          </cell>
        </row>
        <row r="504">
          <cell r="BP504" t="str">
            <v/>
          </cell>
        </row>
        <row r="505">
          <cell r="BP505" t="str">
            <v/>
          </cell>
        </row>
        <row r="506">
          <cell r="BP506" t="str">
            <v/>
          </cell>
        </row>
        <row r="507">
          <cell r="BP507" t="str">
            <v/>
          </cell>
        </row>
        <row r="508">
          <cell r="BP508" t="str">
            <v/>
          </cell>
        </row>
        <row r="509">
          <cell r="BP509" t="str">
            <v/>
          </cell>
        </row>
        <row r="510">
          <cell r="BP510" t="str">
            <v/>
          </cell>
        </row>
        <row r="511">
          <cell r="BP511" t="str">
            <v/>
          </cell>
        </row>
        <row r="512">
          <cell r="BP512" t="str">
            <v/>
          </cell>
        </row>
        <row r="513">
          <cell r="BP513" t="str">
            <v/>
          </cell>
        </row>
        <row r="514">
          <cell r="BP514" t="str">
            <v/>
          </cell>
        </row>
        <row r="515">
          <cell r="BP515" t="str">
            <v/>
          </cell>
        </row>
        <row r="516">
          <cell r="BP516" t="str">
            <v/>
          </cell>
        </row>
        <row r="517">
          <cell r="BP517" t="str">
            <v/>
          </cell>
        </row>
        <row r="518">
          <cell r="BP518" t="str">
            <v/>
          </cell>
        </row>
        <row r="519">
          <cell r="BP519" t="str">
            <v/>
          </cell>
        </row>
        <row r="520">
          <cell r="BP520" t="str">
            <v/>
          </cell>
        </row>
        <row r="521">
          <cell r="BP521" t="str">
            <v/>
          </cell>
        </row>
        <row r="522">
          <cell r="BP522" t="str">
            <v/>
          </cell>
        </row>
        <row r="523">
          <cell r="BP523" t="str">
            <v/>
          </cell>
        </row>
        <row r="524">
          <cell r="BP524" t="str">
            <v/>
          </cell>
        </row>
        <row r="525">
          <cell r="BP525" t="str">
            <v/>
          </cell>
        </row>
        <row r="526">
          <cell r="BP526" t="str">
            <v/>
          </cell>
        </row>
        <row r="527">
          <cell r="BP527" t="str">
            <v/>
          </cell>
        </row>
        <row r="528">
          <cell r="BP528" t="str">
            <v/>
          </cell>
        </row>
        <row r="529">
          <cell r="BP529" t="str">
            <v/>
          </cell>
        </row>
        <row r="530">
          <cell r="BP530" t="str">
            <v/>
          </cell>
        </row>
        <row r="531">
          <cell r="BP531" t="str">
            <v/>
          </cell>
        </row>
        <row r="532">
          <cell r="BP532" t="str">
            <v/>
          </cell>
        </row>
        <row r="533">
          <cell r="BP533" t="str">
            <v/>
          </cell>
        </row>
        <row r="534">
          <cell r="BP534" t="str">
            <v/>
          </cell>
        </row>
        <row r="535">
          <cell r="BP535" t="str">
            <v/>
          </cell>
        </row>
        <row r="536">
          <cell r="BP536" t="str">
            <v/>
          </cell>
        </row>
        <row r="537">
          <cell r="BP537" t="str">
            <v/>
          </cell>
        </row>
        <row r="538">
          <cell r="BP538" t="str">
            <v/>
          </cell>
        </row>
        <row r="539">
          <cell r="BP539" t="str">
            <v/>
          </cell>
        </row>
        <row r="540">
          <cell r="BP540" t="str">
            <v/>
          </cell>
        </row>
        <row r="541">
          <cell r="BP541" t="str">
            <v/>
          </cell>
        </row>
        <row r="542">
          <cell r="BP542" t="str">
            <v/>
          </cell>
        </row>
        <row r="543">
          <cell r="BP543" t="str">
            <v/>
          </cell>
        </row>
        <row r="544">
          <cell r="BP544" t="str">
            <v/>
          </cell>
        </row>
        <row r="545">
          <cell r="BP545" t="str">
            <v/>
          </cell>
        </row>
        <row r="546">
          <cell r="BP546" t="str">
            <v/>
          </cell>
        </row>
        <row r="547">
          <cell r="BP547" t="str">
            <v/>
          </cell>
        </row>
        <row r="548">
          <cell r="BP548" t="str">
            <v/>
          </cell>
        </row>
        <row r="549">
          <cell r="BP549" t="str">
            <v/>
          </cell>
        </row>
        <row r="550">
          <cell r="BP550" t="str">
            <v/>
          </cell>
        </row>
        <row r="551">
          <cell r="BP551" t="str">
            <v/>
          </cell>
        </row>
        <row r="552">
          <cell r="BP552" t="str">
            <v/>
          </cell>
        </row>
        <row r="553">
          <cell r="BP553" t="str">
            <v/>
          </cell>
        </row>
        <row r="554">
          <cell r="BP554" t="str">
            <v/>
          </cell>
        </row>
        <row r="555">
          <cell r="BP555" t="str">
            <v/>
          </cell>
        </row>
        <row r="556">
          <cell r="BP556" t="str">
            <v/>
          </cell>
        </row>
        <row r="557">
          <cell r="BP557" t="str">
            <v/>
          </cell>
        </row>
        <row r="558">
          <cell r="BP558" t="str">
            <v/>
          </cell>
        </row>
        <row r="559">
          <cell r="BP559" t="str">
            <v/>
          </cell>
        </row>
        <row r="560">
          <cell r="BP560" t="str">
            <v/>
          </cell>
        </row>
        <row r="561">
          <cell r="BP561" t="str">
            <v/>
          </cell>
        </row>
        <row r="562">
          <cell r="BP562" t="str">
            <v/>
          </cell>
        </row>
        <row r="563">
          <cell r="BP563" t="str">
            <v/>
          </cell>
        </row>
        <row r="564">
          <cell r="BP564" t="str">
            <v/>
          </cell>
        </row>
        <row r="565">
          <cell r="BP565" t="str">
            <v/>
          </cell>
        </row>
        <row r="566">
          <cell r="BP566" t="str">
            <v/>
          </cell>
        </row>
        <row r="567">
          <cell r="BP567" t="str">
            <v/>
          </cell>
        </row>
        <row r="568">
          <cell r="BP568" t="str">
            <v/>
          </cell>
        </row>
        <row r="569">
          <cell r="BP569" t="str">
            <v/>
          </cell>
        </row>
        <row r="570">
          <cell r="BP570" t="str">
            <v/>
          </cell>
        </row>
        <row r="571">
          <cell r="BP571" t="str">
            <v/>
          </cell>
        </row>
        <row r="572">
          <cell r="BP572" t="str">
            <v/>
          </cell>
        </row>
        <row r="573">
          <cell r="BP573" t="str">
            <v/>
          </cell>
        </row>
        <row r="574">
          <cell r="BP574" t="str">
            <v/>
          </cell>
        </row>
        <row r="575">
          <cell r="BP575" t="str">
            <v/>
          </cell>
        </row>
        <row r="576">
          <cell r="BP576" t="str">
            <v/>
          </cell>
        </row>
        <row r="577">
          <cell r="BP577" t="str">
            <v/>
          </cell>
        </row>
        <row r="578">
          <cell r="BP578" t="str">
            <v/>
          </cell>
        </row>
        <row r="579">
          <cell r="BP579" t="str">
            <v/>
          </cell>
        </row>
        <row r="580">
          <cell r="BP580" t="str">
            <v/>
          </cell>
        </row>
        <row r="581">
          <cell r="BP581" t="str">
            <v/>
          </cell>
        </row>
        <row r="582">
          <cell r="BP582" t="str">
            <v/>
          </cell>
        </row>
        <row r="583">
          <cell r="BP583" t="str">
            <v/>
          </cell>
        </row>
        <row r="584">
          <cell r="BP584" t="str">
            <v/>
          </cell>
        </row>
        <row r="585">
          <cell r="BP585" t="str">
            <v/>
          </cell>
        </row>
        <row r="586">
          <cell r="BP586" t="str">
            <v/>
          </cell>
        </row>
        <row r="587">
          <cell r="BP587" t="str">
            <v/>
          </cell>
        </row>
        <row r="588">
          <cell r="BP588" t="str">
            <v/>
          </cell>
        </row>
        <row r="589">
          <cell r="BP589" t="str">
            <v/>
          </cell>
        </row>
        <row r="590">
          <cell r="BP590" t="str">
            <v/>
          </cell>
        </row>
        <row r="591">
          <cell r="BP591" t="str">
            <v/>
          </cell>
        </row>
        <row r="592">
          <cell r="BP592" t="str">
            <v/>
          </cell>
        </row>
        <row r="593">
          <cell r="BP593" t="str">
            <v/>
          </cell>
        </row>
        <row r="594">
          <cell r="BP594" t="str">
            <v/>
          </cell>
        </row>
        <row r="595">
          <cell r="BP595" t="str">
            <v/>
          </cell>
        </row>
        <row r="596">
          <cell r="BP596" t="str">
            <v/>
          </cell>
        </row>
        <row r="597">
          <cell r="BP597" t="str">
            <v/>
          </cell>
        </row>
        <row r="598">
          <cell r="BP598" t="str">
            <v/>
          </cell>
        </row>
        <row r="599">
          <cell r="BP599" t="str">
            <v/>
          </cell>
        </row>
        <row r="600">
          <cell r="BP600" t="str">
            <v/>
          </cell>
        </row>
        <row r="601">
          <cell r="BP601" t="str">
            <v/>
          </cell>
        </row>
        <row r="602">
          <cell r="BP602" t="str">
            <v/>
          </cell>
        </row>
        <row r="603">
          <cell r="BP603" t="str">
            <v/>
          </cell>
        </row>
        <row r="604">
          <cell r="BP604" t="str">
            <v/>
          </cell>
        </row>
        <row r="605">
          <cell r="BP605" t="str">
            <v/>
          </cell>
        </row>
        <row r="606">
          <cell r="BP606" t="str">
            <v/>
          </cell>
        </row>
        <row r="607">
          <cell r="BP607" t="str">
            <v/>
          </cell>
        </row>
        <row r="608">
          <cell r="BP608" t="str">
            <v/>
          </cell>
        </row>
        <row r="609">
          <cell r="BP609" t="str">
            <v/>
          </cell>
        </row>
        <row r="610">
          <cell r="BP610" t="str">
            <v/>
          </cell>
        </row>
        <row r="611">
          <cell r="BP611" t="str">
            <v/>
          </cell>
        </row>
        <row r="612">
          <cell r="BP612" t="str">
            <v/>
          </cell>
        </row>
        <row r="613">
          <cell r="BP613" t="str">
            <v/>
          </cell>
        </row>
        <row r="614">
          <cell r="BP614" t="str">
            <v/>
          </cell>
        </row>
        <row r="615">
          <cell r="BP615" t="str">
            <v/>
          </cell>
        </row>
        <row r="616">
          <cell r="BP616" t="str">
            <v/>
          </cell>
        </row>
        <row r="617">
          <cell r="BP617" t="str">
            <v/>
          </cell>
        </row>
        <row r="618">
          <cell r="BP618" t="str">
            <v/>
          </cell>
        </row>
        <row r="619">
          <cell r="BP619" t="str">
            <v/>
          </cell>
        </row>
        <row r="620">
          <cell r="BP620" t="str">
            <v/>
          </cell>
        </row>
        <row r="621">
          <cell r="BP621" t="str">
            <v/>
          </cell>
        </row>
        <row r="622">
          <cell r="BP622" t="str">
            <v/>
          </cell>
        </row>
        <row r="623">
          <cell r="BP623" t="str">
            <v/>
          </cell>
        </row>
        <row r="624">
          <cell r="BP624" t="str">
            <v/>
          </cell>
        </row>
        <row r="625">
          <cell r="BP625" t="str">
            <v/>
          </cell>
        </row>
        <row r="626">
          <cell r="BP626" t="str">
            <v/>
          </cell>
        </row>
        <row r="627">
          <cell r="BP627" t="str">
            <v/>
          </cell>
        </row>
        <row r="628">
          <cell r="BP628" t="str">
            <v/>
          </cell>
        </row>
        <row r="629">
          <cell r="BP629" t="str">
            <v/>
          </cell>
        </row>
        <row r="630">
          <cell r="BP630" t="str">
            <v/>
          </cell>
        </row>
        <row r="631">
          <cell r="BP631" t="str">
            <v/>
          </cell>
        </row>
        <row r="632">
          <cell r="BP632" t="str">
            <v/>
          </cell>
        </row>
        <row r="633">
          <cell r="BP633" t="str">
            <v/>
          </cell>
        </row>
        <row r="634">
          <cell r="BP634" t="str">
            <v/>
          </cell>
        </row>
        <row r="635">
          <cell r="BP635" t="str">
            <v/>
          </cell>
        </row>
        <row r="636">
          <cell r="BP636" t="str">
            <v/>
          </cell>
        </row>
        <row r="637">
          <cell r="BP637" t="str">
            <v/>
          </cell>
        </row>
        <row r="638">
          <cell r="BP638" t="str">
            <v/>
          </cell>
        </row>
        <row r="639">
          <cell r="BP639" t="str">
            <v/>
          </cell>
        </row>
        <row r="640">
          <cell r="BP640" t="str">
            <v/>
          </cell>
        </row>
        <row r="641">
          <cell r="BP641" t="str">
            <v/>
          </cell>
        </row>
        <row r="642">
          <cell r="BP642" t="str">
            <v/>
          </cell>
        </row>
        <row r="643">
          <cell r="BP643" t="str">
            <v/>
          </cell>
        </row>
        <row r="644">
          <cell r="BP644" t="str">
            <v/>
          </cell>
        </row>
        <row r="645">
          <cell r="BP645" t="str">
            <v/>
          </cell>
        </row>
        <row r="646">
          <cell r="BP646" t="str">
            <v/>
          </cell>
        </row>
        <row r="647">
          <cell r="BP647" t="str">
            <v/>
          </cell>
        </row>
        <row r="648">
          <cell r="BP648" t="str">
            <v/>
          </cell>
        </row>
        <row r="649">
          <cell r="BP649" t="str">
            <v/>
          </cell>
        </row>
        <row r="650">
          <cell r="BP650" t="str">
            <v/>
          </cell>
        </row>
        <row r="651">
          <cell r="BP651" t="str">
            <v/>
          </cell>
        </row>
        <row r="652">
          <cell r="BP652" t="str">
            <v/>
          </cell>
        </row>
        <row r="653">
          <cell r="BP653" t="str">
            <v/>
          </cell>
        </row>
        <row r="654">
          <cell r="BP654" t="str">
            <v/>
          </cell>
        </row>
        <row r="655">
          <cell r="BP655" t="str">
            <v/>
          </cell>
        </row>
        <row r="656">
          <cell r="BP656" t="str">
            <v/>
          </cell>
        </row>
        <row r="657">
          <cell r="BP657" t="str">
            <v/>
          </cell>
        </row>
        <row r="658">
          <cell r="BP658" t="str">
            <v/>
          </cell>
        </row>
        <row r="659">
          <cell r="BP659" t="str">
            <v/>
          </cell>
        </row>
        <row r="660">
          <cell r="BP660" t="str">
            <v/>
          </cell>
        </row>
        <row r="661">
          <cell r="BP661" t="str">
            <v/>
          </cell>
        </row>
        <row r="662">
          <cell r="BP662" t="str">
            <v/>
          </cell>
        </row>
        <row r="663">
          <cell r="BP663" t="str">
            <v/>
          </cell>
        </row>
        <row r="664">
          <cell r="BP664" t="str">
            <v/>
          </cell>
        </row>
        <row r="665">
          <cell r="BP665" t="str">
            <v/>
          </cell>
        </row>
        <row r="666">
          <cell r="BP666" t="str">
            <v/>
          </cell>
        </row>
        <row r="667">
          <cell r="BP667" t="str">
            <v/>
          </cell>
        </row>
        <row r="668">
          <cell r="BP668" t="str">
            <v/>
          </cell>
        </row>
        <row r="669">
          <cell r="BP669" t="str">
            <v/>
          </cell>
        </row>
        <row r="670">
          <cell r="BP670" t="str">
            <v/>
          </cell>
        </row>
        <row r="671">
          <cell r="BP671" t="str">
            <v/>
          </cell>
        </row>
        <row r="672">
          <cell r="BP672" t="str">
            <v/>
          </cell>
        </row>
        <row r="673">
          <cell r="BP673" t="str">
            <v/>
          </cell>
        </row>
        <row r="674">
          <cell r="BP674" t="str">
            <v/>
          </cell>
        </row>
        <row r="675">
          <cell r="BP675" t="str">
            <v/>
          </cell>
        </row>
        <row r="676">
          <cell r="BP676" t="str">
            <v/>
          </cell>
        </row>
        <row r="677">
          <cell r="BP677" t="str">
            <v/>
          </cell>
        </row>
        <row r="678">
          <cell r="BP678" t="str">
            <v/>
          </cell>
        </row>
        <row r="679">
          <cell r="BP679" t="str">
            <v/>
          </cell>
        </row>
        <row r="680">
          <cell r="BP680" t="str">
            <v/>
          </cell>
        </row>
        <row r="681">
          <cell r="BP681" t="str">
            <v/>
          </cell>
        </row>
        <row r="682">
          <cell r="BP682" t="str">
            <v/>
          </cell>
        </row>
        <row r="683">
          <cell r="BP683" t="str">
            <v/>
          </cell>
        </row>
        <row r="684">
          <cell r="BP684" t="str">
            <v/>
          </cell>
        </row>
        <row r="685">
          <cell r="BP685" t="str">
            <v/>
          </cell>
        </row>
        <row r="686">
          <cell r="BP686" t="str">
            <v/>
          </cell>
        </row>
        <row r="687">
          <cell r="BP687" t="str">
            <v/>
          </cell>
        </row>
        <row r="688">
          <cell r="BP688" t="str">
            <v/>
          </cell>
        </row>
        <row r="689">
          <cell r="BP689" t="str">
            <v/>
          </cell>
        </row>
        <row r="690">
          <cell r="BP690" t="str">
            <v/>
          </cell>
        </row>
        <row r="691">
          <cell r="BP691" t="str">
            <v/>
          </cell>
        </row>
        <row r="692">
          <cell r="BP692" t="str">
            <v/>
          </cell>
        </row>
        <row r="693">
          <cell r="BP693" t="str">
            <v/>
          </cell>
        </row>
        <row r="694">
          <cell r="BP694" t="str">
            <v/>
          </cell>
        </row>
        <row r="695">
          <cell r="BP695" t="str">
            <v/>
          </cell>
        </row>
        <row r="696">
          <cell r="BP696" t="str">
            <v/>
          </cell>
        </row>
        <row r="697">
          <cell r="BP697" t="str">
            <v/>
          </cell>
        </row>
        <row r="698">
          <cell r="BP698" t="str">
            <v/>
          </cell>
        </row>
        <row r="699">
          <cell r="BP699" t="str">
            <v/>
          </cell>
        </row>
        <row r="700">
          <cell r="BP700" t="str">
            <v/>
          </cell>
        </row>
        <row r="701">
          <cell r="BP701" t="str">
            <v/>
          </cell>
        </row>
        <row r="702">
          <cell r="BP702" t="str">
            <v/>
          </cell>
        </row>
        <row r="703">
          <cell r="BP703" t="str">
            <v/>
          </cell>
        </row>
        <row r="704">
          <cell r="BP704" t="str">
            <v/>
          </cell>
        </row>
        <row r="705">
          <cell r="BP705" t="str">
            <v/>
          </cell>
        </row>
        <row r="706">
          <cell r="BP706" t="str">
            <v/>
          </cell>
        </row>
        <row r="707">
          <cell r="BP707" t="str">
            <v/>
          </cell>
        </row>
        <row r="708">
          <cell r="BP708" t="str">
            <v/>
          </cell>
        </row>
        <row r="709">
          <cell r="BP709" t="str">
            <v/>
          </cell>
        </row>
        <row r="710">
          <cell r="BP710" t="str">
            <v/>
          </cell>
        </row>
        <row r="711">
          <cell r="BP711" t="str">
            <v/>
          </cell>
        </row>
        <row r="712">
          <cell r="BP712" t="str">
            <v/>
          </cell>
        </row>
        <row r="713">
          <cell r="BP713" t="str">
            <v/>
          </cell>
        </row>
        <row r="714">
          <cell r="BP714" t="str">
            <v/>
          </cell>
        </row>
        <row r="715">
          <cell r="BP715" t="str">
            <v/>
          </cell>
        </row>
        <row r="716">
          <cell r="BP716" t="str">
            <v/>
          </cell>
        </row>
        <row r="717">
          <cell r="BP717" t="str">
            <v/>
          </cell>
        </row>
        <row r="718">
          <cell r="BP718" t="str">
            <v/>
          </cell>
        </row>
        <row r="719">
          <cell r="BP719" t="str">
            <v/>
          </cell>
        </row>
        <row r="720">
          <cell r="BP720" t="str">
            <v/>
          </cell>
        </row>
        <row r="721">
          <cell r="BP721" t="str">
            <v/>
          </cell>
        </row>
        <row r="722">
          <cell r="BP722" t="str">
            <v/>
          </cell>
        </row>
        <row r="723">
          <cell r="BP723" t="str">
            <v/>
          </cell>
        </row>
        <row r="724">
          <cell r="BP724" t="str">
            <v/>
          </cell>
        </row>
        <row r="725">
          <cell r="BP725" t="str">
            <v/>
          </cell>
        </row>
        <row r="726">
          <cell r="BP726" t="str">
            <v/>
          </cell>
        </row>
        <row r="727">
          <cell r="BP727" t="str">
            <v/>
          </cell>
        </row>
        <row r="728">
          <cell r="BP728" t="str">
            <v/>
          </cell>
        </row>
        <row r="729">
          <cell r="BP729" t="str">
            <v/>
          </cell>
        </row>
        <row r="730">
          <cell r="BP730" t="str">
            <v/>
          </cell>
        </row>
        <row r="731">
          <cell r="BP731" t="str">
            <v/>
          </cell>
        </row>
        <row r="732">
          <cell r="BP732" t="str">
            <v/>
          </cell>
        </row>
        <row r="733">
          <cell r="BP733" t="str">
            <v/>
          </cell>
        </row>
        <row r="734">
          <cell r="BP734" t="str">
            <v/>
          </cell>
        </row>
        <row r="735">
          <cell r="BP735" t="str">
            <v/>
          </cell>
        </row>
        <row r="736">
          <cell r="BP736" t="str">
            <v/>
          </cell>
        </row>
        <row r="737">
          <cell r="BP737" t="str">
            <v/>
          </cell>
        </row>
        <row r="738">
          <cell r="BP738" t="str">
            <v/>
          </cell>
        </row>
        <row r="739">
          <cell r="BP739" t="str">
            <v/>
          </cell>
        </row>
        <row r="740">
          <cell r="BP740" t="str">
            <v/>
          </cell>
        </row>
        <row r="741">
          <cell r="BP741" t="str">
            <v/>
          </cell>
        </row>
        <row r="742">
          <cell r="BP742" t="str">
            <v/>
          </cell>
        </row>
        <row r="743">
          <cell r="BP743" t="str">
            <v/>
          </cell>
        </row>
        <row r="744">
          <cell r="BP744" t="str">
            <v/>
          </cell>
        </row>
        <row r="745">
          <cell r="BP745" t="str">
            <v/>
          </cell>
        </row>
        <row r="746">
          <cell r="BP746" t="str">
            <v/>
          </cell>
        </row>
        <row r="747">
          <cell r="BP747" t="str">
            <v/>
          </cell>
        </row>
        <row r="748">
          <cell r="BP748" t="str">
            <v/>
          </cell>
        </row>
        <row r="749">
          <cell r="BP749" t="str">
            <v/>
          </cell>
        </row>
        <row r="750">
          <cell r="BP750" t="str">
            <v/>
          </cell>
        </row>
        <row r="751">
          <cell r="BP751" t="str">
            <v/>
          </cell>
        </row>
        <row r="752">
          <cell r="BP752" t="str">
            <v/>
          </cell>
        </row>
        <row r="753">
          <cell r="BP753" t="str">
            <v/>
          </cell>
        </row>
        <row r="754">
          <cell r="BP754" t="str">
            <v/>
          </cell>
        </row>
        <row r="755">
          <cell r="BP755" t="str">
            <v/>
          </cell>
        </row>
        <row r="756">
          <cell r="BP756" t="str">
            <v/>
          </cell>
        </row>
        <row r="757">
          <cell r="BP757" t="str">
            <v/>
          </cell>
        </row>
        <row r="758">
          <cell r="BP758" t="str">
            <v/>
          </cell>
        </row>
        <row r="759">
          <cell r="BP759" t="str">
            <v/>
          </cell>
        </row>
        <row r="760">
          <cell r="BP760" t="str">
            <v/>
          </cell>
        </row>
        <row r="761">
          <cell r="BP761" t="str">
            <v/>
          </cell>
        </row>
        <row r="762">
          <cell r="BP762" t="str">
            <v/>
          </cell>
        </row>
        <row r="763">
          <cell r="BP763" t="str">
            <v/>
          </cell>
        </row>
        <row r="764">
          <cell r="BP764" t="str">
            <v/>
          </cell>
        </row>
        <row r="765">
          <cell r="BP765" t="str">
            <v/>
          </cell>
        </row>
        <row r="766">
          <cell r="BP766" t="str">
            <v/>
          </cell>
        </row>
        <row r="767">
          <cell r="BP767" t="str">
            <v/>
          </cell>
        </row>
        <row r="768">
          <cell r="BP768" t="str">
            <v/>
          </cell>
        </row>
        <row r="769">
          <cell r="BP769" t="str">
            <v/>
          </cell>
        </row>
        <row r="770">
          <cell r="BP770" t="str">
            <v/>
          </cell>
        </row>
        <row r="771">
          <cell r="BP771" t="str">
            <v/>
          </cell>
        </row>
        <row r="772">
          <cell r="BP772" t="str">
            <v/>
          </cell>
        </row>
        <row r="773">
          <cell r="BP773" t="str">
            <v/>
          </cell>
        </row>
        <row r="774">
          <cell r="BP774" t="str">
            <v/>
          </cell>
        </row>
        <row r="775">
          <cell r="BP775" t="str">
            <v/>
          </cell>
        </row>
        <row r="776">
          <cell r="BP776" t="str">
            <v/>
          </cell>
        </row>
        <row r="777">
          <cell r="BP777" t="str">
            <v/>
          </cell>
        </row>
        <row r="778">
          <cell r="BP778" t="str">
            <v/>
          </cell>
        </row>
        <row r="779">
          <cell r="BP779" t="str">
            <v/>
          </cell>
        </row>
        <row r="780">
          <cell r="BP780" t="str">
            <v/>
          </cell>
        </row>
        <row r="781">
          <cell r="BP781" t="str">
            <v/>
          </cell>
        </row>
        <row r="782">
          <cell r="BP782" t="str">
            <v/>
          </cell>
        </row>
        <row r="783">
          <cell r="BP783" t="str">
            <v/>
          </cell>
        </row>
        <row r="784">
          <cell r="BP784" t="str">
            <v/>
          </cell>
        </row>
        <row r="785">
          <cell r="BP785" t="str">
            <v/>
          </cell>
        </row>
        <row r="786">
          <cell r="BP786" t="str">
            <v/>
          </cell>
        </row>
        <row r="787">
          <cell r="BP787" t="str">
            <v/>
          </cell>
        </row>
        <row r="788">
          <cell r="BP788" t="str">
            <v/>
          </cell>
        </row>
        <row r="789">
          <cell r="BP789" t="str">
            <v/>
          </cell>
        </row>
        <row r="790">
          <cell r="BP790" t="str">
            <v/>
          </cell>
        </row>
        <row r="791">
          <cell r="BP791" t="str">
            <v/>
          </cell>
        </row>
        <row r="792">
          <cell r="BP792" t="str">
            <v/>
          </cell>
        </row>
        <row r="793">
          <cell r="BP793" t="str">
            <v/>
          </cell>
        </row>
        <row r="794">
          <cell r="BP794" t="str">
            <v/>
          </cell>
        </row>
        <row r="795">
          <cell r="BP795" t="str">
            <v/>
          </cell>
        </row>
        <row r="796">
          <cell r="BP796" t="str">
            <v/>
          </cell>
        </row>
        <row r="797">
          <cell r="BP797" t="str">
            <v/>
          </cell>
        </row>
        <row r="798">
          <cell r="BP798" t="str">
            <v/>
          </cell>
        </row>
        <row r="799">
          <cell r="BP799" t="str">
            <v/>
          </cell>
        </row>
        <row r="800">
          <cell r="BP800" t="str">
            <v/>
          </cell>
        </row>
        <row r="801">
          <cell r="BP801" t="str">
            <v/>
          </cell>
        </row>
        <row r="802">
          <cell r="BP802" t="str">
            <v/>
          </cell>
        </row>
        <row r="803">
          <cell r="BP803" t="str">
            <v/>
          </cell>
        </row>
        <row r="804">
          <cell r="BP804" t="str">
            <v/>
          </cell>
        </row>
        <row r="805">
          <cell r="BP805" t="str">
            <v/>
          </cell>
        </row>
        <row r="806">
          <cell r="BP806" t="str">
            <v/>
          </cell>
        </row>
        <row r="807">
          <cell r="BP807" t="str">
            <v/>
          </cell>
        </row>
        <row r="808">
          <cell r="BP808" t="str">
            <v/>
          </cell>
        </row>
        <row r="809">
          <cell r="BP809" t="str">
            <v/>
          </cell>
        </row>
        <row r="810">
          <cell r="BP810" t="str">
            <v/>
          </cell>
        </row>
        <row r="811">
          <cell r="BP811" t="str">
            <v/>
          </cell>
        </row>
        <row r="812">
          <cell r="BP812" t="str">
            <v/>
          </cell>
        </row>
        <row r="813">
          <cell r="BP813" t="str">
            <v/>
          </cell>
        </row>
        <row r="814">
          <cell r="BP814" t="str">
            <v/>
          </cell>
        </row>
        <row r="815">
          <cell r="BP815" t="str">
            <v/>
          </cell>
        </row>
        <row r="816">
          <cell r="BP816" t="str">
            <v/>
          </cell>
        </row>
        <row r="817">
          <cell r="BP817" t="str">
            <v/>
          </cell>
        </row>
        <row r="818">
          <cell r="BP818" t="str">
            <v/>
          </cell>
        </row>
        <row r="819">
          <cell r="BP819" t="str">
            <v/>
          </cell>
        </row>
        <row r="820">
          <cell r="BP820" t="str">
            <v/>
          </cell>
        </row>
        <row r="821">
          <cell r="BP821" t="str">
            <v/>
          </cell>
        </row>
        <row r="822">
          <cell r="BP822" t="str">
            <v/>
          </cell>
        </row>
        <row r="823">
          <cell r="BP823" t="str">
            <v/>
          </cell>
        </row>
        <row r="824">
          <cell r="BP824" t="str">
            <v/>
          </cell>
        </row>
        <row r="825">
          <cell r="BP825" t="str">
            <v/>
          </cell>
        </row>
        <row r="826">
          <cell r="BP826" t="str">
            <v/>
          </cell>
        </row>
        <row r="827">
          <cell r="BP827" t="str">
            <v/>
          </cell>
        </row>
        <row r="828">
          <cell r="BP828" t="str">
            <v/>
          </cell>
        </row>
        <row r="829">
          <cell r="BP829" t="str">
            <v/>
          </cell>
        </row>
        <row r="830">
          <cell r="BP830" t="str">
            <v/>
          </cell>
        </row>
        <row r="831">
          <cell r="BP831" t="str">
            <v/>
          </cell>
        </row>
        <row r="832">
          <cell r="BP832" t="str">
            <v/>
          </cell>
        </row>
        <row r="833">
          <cell r="BP833" t="str">
            <v/>
          </cell>
        </row>
        <row r="834">
          <cell r="BP834" t="str">
            <v/>
          </cell>
        </row>
        <row r="835">
          <cell r="BP835" t="str">
            <v/>
          </cell>
        </row>
        <row r="836">
          <cell r="BP836" t="str">
            <v/>
          </cell>
        </row>
        <row r="837">
          <cell r="BP837" t="str">
            <v/>
          </cell>
        </row>
        <row r="838">
          <cell r="BP838" t="str">
            <v/>
          </cell>
        </row>
        <row r="839">
          <cell r="BP839" t="str">
            <v/>
          </cell>
        </row>
        <row r="840">
          <cell r="BP840" t="str">
            <v/>
          </cell>
        </row>
        <row r="841">
          <cell r="BP841" t="str">
            <v/>
          </cell>
        </row>
        <row r="842">
          <cell r="BP842" t="str">
            <v/>
          </cell>
        </row>
        <row r="843">
          <cell r="BP843" t="str">
            <v/>
          </cell>
        </row>
        <row r="844">
          <cell r="BP844" t="str">
            <v/>
          </cell>
        </row>
        <row r="845">
          <cell r="BP845" t="str">
            <v/>
          </cell>
        </row>
        <row r="846">
          <cell r="BP846" t="str">
            <v/>
          </cell>
        </row>
        <row r="847">
          <cell r="BP847" t="str">
            <v/>
          </cell>
        </row>
        <row r="848">
          <cell r="BP848" t="str">
            <v/>
          </cell>
        </row>
        <row r="849">
          <cell r="BP849" t="str">
            <v/>
          </cell>
        </row>
        <row r="850">
          <cell r="BP850" t="str">
            <v/>
          </cell>
        </row>
        <row r="851">
          <cell r="BP851" t="str">
            <v/>
          </cell>
        </row>
        <row r="852">
          <cell r="BP852" t="str">
            <v/>
          </cell>
        </row>
        <row r="853">
          <cell r="BP853" t="str">
            <v/>
          </cell>
        </row>
        <row r="854">
          <cell r="BP854" t="str">
            <v/>
          </cell>
        </row>
        <row r="855">
          <cell r="BP855" t="str">
            <v/>
          </cell>
        </row>
        <row r="856">
          <cell r="BP856" t="str">
            <v/>
          </cell>
        </row>
        <row r="857">
          <cell r="BP857" t="str">
            <v/>
          </cell>
        </row>
        <row r="858">
          <cell r="BP858" t="str">
            <v/>
          </cell>
        </row>
        <row r="859">
          <cell r="BP859" t="str">
            <v/>
          </cell>
        </row>
        <row r="860">
          <cell r="BP860" t="str">
            <v/>
          </cell>
        </row>
        <row r="861">
          <cell r="BP861" t="str">
            <v/>
          </cell>
        </row>
        <row r="862">
          <cell r="BP862" t="str">
            <v/>
          </cell>
        </row>
        <row r="863">
          <cell r="BP863" t="str">
            <v/>
          </cell>
        </row>
        <row r="864">
          <cell r="BP864" t="str">
            <v/>
          </cell>
        </row>
        <row r="865">
          <cell r="BP865" t="str">
            <v/>
          </cell>
        </row>
        <row r="866">
          <cell r="BP866" t="str">
            <v/>
          </cell>
        </row>
        <row r="867">
          <cell r="BP867" t="str">
            <v/>
          </cell>
        </row>
        <row r="868">
          <cell r="BP868" t="str">
            <v/>
          </cell>
        </row>
        <row r="869">
          <cell r="BP869" t="str">
            <v/>
          </cell>
        </row>
        <row r="870">
          <cell r="BP870" t="str">
            <v/>
          </cell>
        </row>
        <row r="871">
          <cell r="BP871" t="str">
            <v/>
          </cell>
        </row>
        <row r="872">
          <cell r="BP872" t="str">
            <v/>
          </cell>
        </row>
        <row r="873">
          <cell r="BP873" t="str">
            <v/>
          </cell>
        </row>
        <row r="874">
          <cell r="BP874" t="str">
            <v/>
          </cell>
        </row>
        <row r="875">
          <cell r="BP875" t="str">
            <v/>
          </cell>
        </row>
        <row r="876">
          <cell r="BP876" t="str">
            <v/>
          </cell>
        </row>
        <row r="877">
          <cell r="BP877" t="str">
            <v/>
          </cell>
        </row>
        <row r="878">
          <cell r="BP878" t="str">
            <v/>
          </cell>
        </row>
        <row r="879">
          <cell r="BP879" t="str">
            <v/>
          </cell>
        </row>
        <row r="880">
          <cell r="BP880" t="str">
            <v/>
          </cell>
        </row>
        <row r="881">
          <cell r="BP881" t="str">
            <v/>
          </cell>
        </row>
        <row r="882">
          <cell r="BP882" t="str">
            <v/>
          </cell>
        </row>
        <row r="883">
          <cell r="BP883" t="str">
            <v/>
          </cell>
        </row>
        <row r="884">
          <cell r="BP884" t="str">
            <v/>
          </cell>
        </row>
        <row r="885">
          <cell r="BP885" t="str">
            <v/>
          </cell>
        </row>
        <row r="886">
          <cell r="BP886" t="str">
            <v/>
          </cell>
        </row>
        <row r="887">
          <cell r="BP887" t="str">
            <v/>
          </cell>
        </row>
        <row r="888">
          <cell r="BP888" t="str">
            <v/>
          </cell>
        </row>
        <row r="889">
          <cell r="BP889" t="str">
            <v/>
          </cell>
        </row>
        <row r="890">
          <cell r="BP890" t="str">
            <v/>
          </cell>
        </row>
        <row r="891">
          <cell r="BP891" t="str">
            <v/>
          </cell>
        </row>
        <row r="892">
          <cell r="BP892" t="str">
            <v/>
          </cell>
        </row>
        <row r="893">
          <cell r="BP893" t="str">
            <v/>
          </cell>
        </row>
        <row r="894">
          <cell r="BP894" t="str">
            <v/>
          </cell>
        </row>
        <row r="895">
          <cell r="BP895" t="str">
            <v/>
          </cell>
        </row>
        <row r="896">
          <cell r="BP896" t="str">
            <v/>
          </cell>
        </row>
        <row r="897">
          <cell r="BP897" t="str">
            <v/>
          </cell>
        </row>
        <row r="898">
          <cell r="BP898" t="str">
            <v/>
          </cell>
        </row>
        <row r="899">
          <cell r="BP899" t="str">
            <v/>
          </cell>
        </row>
        <row r="900">
          <cell r="BP900" t="str">
            <v/>
          </cell>
        </row>
        <row r="901">
          <cell r="BP901" t="str">
            <v/>
          </cell>
        </row>
        <row r="902">
          <cell r="BP902" t="str">
            <v/>
          </cell>
        </row>
        <row r="903">
          <cell r="BP903" t="str">
            <v/>
          </cell>
        </row>
        <row r="904">
          <cell r="BP904" t="str">
            <v/>
          </cell>
        </row>
        <row r="905">
          <cell r="BP905" t="str">
            <v/>
          </cell>
        </row>
        <row r="906">
          <cell r="BP906" t="str">
            <v/>
          </cell>
        </row>
        <row r="907">
          <cell r="BP907" t="str">
            <v/>
          </cell>
        </row>
        <row r="908">
          <cell r="BP908" t="str">
            <v/>
          </cell>
        </row>
        <row r="909">
          <cell r="BP909" t="str">
            <v/>
          </cell>
        </row>
        <row r="910">
          <cell r="BP910" t="str">
            <v/>
          </cell>
        </row>
        <row r="911">
          <cell r="BP911" t="str">
            <v/>
          </cell>
        </row>
        <row r="912">
          <cell r="BP912" t="str">
            <v/>
          </cell>
        </row>
        <row r="913">
          <cell r="BP913" t="str">
            <v/>
          </cell>
        </row>
        <row r="914">
          <cell r="BP914" t="str">
            <v/>
          </cell>
        </row>
        <row r="915">
          <cell r="BP915" t="str">
            <v/>
          </cell>
        </row>
        <row r="916">
          <cell r="BP916" t="str">
            <v/>
          </cell>
        </row>
        <row r="917">
          <cell r="BP917" t="str">
            <v/>
          </cell>
        </row>
        <row r="918">
          <cell r="BP918" t="str">
            <v/>
          </cell>
        </row>
        <row r="919">
          <cell r="BP919" t="str">
            <v/>
          </cell>
        </row>
        <row r="920">
          <cell r="BP920" t="str">
            <v/>
          </cell>
        </row>
        <row r="921">
          <cell r="BP921" t="str">
            <v/>
          </cell>
        </row>
        <row r="922">
          <cell r="BP922" t="str">
            <v/>
          </cell>
        </row>
        <row r="923">
          <cell r="BP923" t="str">
            <v/>
          </cell>
        </row>
        <row r="924">
          <cell r="BP924" t="str">
            <v/>
          </cell>
        </row>
        <row r="925">
          <cell r="BP925" t="str">
            <v/>
          </cell>
        </row>
        <row r="926">
          <cell r="BP926" t="str">
            <v/>
          </cell>
        </row>
        <row r="927">
          <cell r="BP927" t="str">
            <v/>
          </cell>
        </row>
        <row r="928">
          <cell r="BP928" t="str">
            <v/>
          </cell>
        </row>
        <row r="929">
          <cell r="BP929" t="str">
            <v/>
          </cell>
        </row>
        <row r="930">
          <cell r="BP930" t="str">
            <v/>
          </cell>
        </row>
        <row r="931">
          <cell r="BP931" t="str">
            <v/>
          </cell>
        </row>
        <row r="932">
          <cell r="BP932" t="str">
            <v/>
          </cell>
        </row>
        <row r="933">
          <cell r="BP933" t="str">
            <v/>
          </cell>
        </row>
        <row r="934">
          <cell r="BP934" t="str">
            <v/>
          </cell>
        </row>
        <row r="935">
          <cell r="BP935" t="str">
            <v/>
          </cell>
        </row>
        <row r="936">
          <cell r="BP936" t="str">
            <v/>
          </cell>
        </row>
        <row r="937">
          <cell r="BP937" t="str">
            <v/>
          </cell>
        </row>
        <row r="938">
          <cell r="BP938" t="str">
            <v/>
          </cell>
        </row>
        <row r="939">
          <cell r="BP939" t="str">
            <v/>
          </cell>
        </row>
        <row r="940">
          <cell r="BP940" t="str">
            <v/>
          </cell>
        </row>
        <row r="941">
          <cell r="BP941" t="str">
            <v/>
          </cell>
        </row>
        <row r="942">
          <cell r="BP942" t="str">
            <v/>
          </cell>
        </row>
        <row r="943">
          <cell r="BP943" t="str">
            <v/>
          </cell>
        </row>
        <row r="944">
          <cell r="BP944" t="str">
            <v/>
          </cell>
        </row>
        <row r="945">
          <cell r="BP945" t="str">
            <v/>
          </cell>
        </row>
        <row r="946">
          <cell r="BP946" t="str">
            <v/>
          </cell>
        </row>
        <row r="947">
          <cell r="BP947" t="str">
            <v/>
          </cell>
        </row>
        <row r="948">
          <cell r="BP948" t="str">
            <v/>
          </cell>
        </row>
        <row r="949">
          <cell r="BP949" t="str">
            <v/>
          </cell>
        </row>
        <row r="950">
          <cell r="BP950" t="str">
            <v/>
          </cell>
        </row>
        <row r="951">
          <cell r="BP951" t="str">
            <v/>
          </cell>
        </row>
        <row r="952">
          <cell r="BP952" t="str">
            <v/>
          </cell>
        </row>
        <row r="953">
          <cell r="BP953" t="str">
            <v/>
          </cell>
        </row>
        <row r="954">
          <cell r="BP954" t="str">
            <v/>
          </cell>
        </row>
        <row r="955">
          <cell r="BP955" t="str">
            <v/>
          </cell>
        </row>
        <row r="956">
          <cell r="BP956" t="str">
            <v/>
          </cell>
        </row>
        <row r="957">
          <cell r="BP957" t="str">
            <v/>
          </cell>
        </row>
        <row r="958">
          <cell r="BP958" t="str">
            <v/>
          </cell>
        </row>
        <row r="959">
          <cell r="BP959" t="str">
            <v/>
          </cell>
        </row>
        <row r="960">
          <cell r="BP960" t="str">
            <v/>
          </cell>
        </row>
        <row r="961">
          <cell r="BP961" t="str">
            <v/>
          </cell>
        </row>
        <row r="962">
          <cell r="BP962" t="str">
            <v/>
          </cell>
        </row>
        <row r="963">
          <cell r="BP963" t="str">
            <v/>
          </cell>
        </row>
        <row r="964">
          <cell r="BP964" t="str">
            <v/>
          </cell>
        </row>
        <row r="965">
          <cell r="BP965" t="str">
            <v/>
          </cell>
        </row>
        <row r="966">
          <cell r="BP966" t="str">
            <v/>
          </cell>
        </row>
        <row r="967">
          <cell r="BP967" t="str">
            <v/>
          </cell>
        </row>
        <row r="968">
          <cell r="BP968" t="str">
            <v/>
          </cell>
        </row>
        <row r="969">
          <cell r="BP969" t="str">
            <v/>
          </cell>
        </row>
        <row r="970">
          <cell r="BP970" t="str">
            <v/>
          </cell>
        </row>
        <row r="971">
          <cell r="BP971" t="str">
            <v/>
          </cell>
        </row>
        <row r="972">
          <cell r="BP972" t="str">
            <v/>
          </cell>
        </row>
        <row r="973">
          <cell r="BP973" t="str">
            <v/>
          </cell>
        </row>
        <row r="974">
          <cell r="BP974" t="str">
            <v/>
          </cell>
        </row>
        <row r="975">
          <cell r="BP975" t="str">
            <v/>
          </cell>
        </row>
        <row r="976">
          <cell r="BP976" t="str">
            <v/>
          </cell>
        </row>
        <row r="977">
          <cell r="BP977" t="str">
            <v/>
          </cell>
        </row>
        <row r="978">
          <cell r="BP978" t="str">
            <v/>
          </cell>
        </row>
        <row r="979">
          <cell r="BP979" t="str">
            <v/>
          </cell>
        </row>
        <row r="980">
          <cell r="BP980" t="str">
            <v/>
          </cell>
        </row>
        <row r="981">
          <cell r="BP981" t="str">
            <v/>
          </cell>
        </row>
        <row r="982">
          <cell r="BP982" t="str">
            <v/>
          </cell>
        </row>
        <row r="983">
          <cell r="BP983" t="str">
            <v/>
          </cell>
        </row>
        <row r="984">
          <cell r="BP984" t="str">
            <v/>
          </cell>
        </row>
        <row r="985">
          <cell r="BP985" t="str">
            <v/>
          </cell>
        </row>
        <row r="986">
          <cell r="BP986" t="str">
            <v/>
          </cell>
        </row>
        <row r="987">
          <cell r="BP987" t="str">
            <v/>
          </cell>
        </row>
        <row r="988">
          <cell r="BP988" t="str">
            <v/>
          </cell>
        </row>
        <row r="989">
          <cell r="BP989" t="str">
            <v/>
          </cell>
        </row>
        <row r="990">
          <cell r="BP990" t="str">
            <v/>
          </cell>
        </row>
        <row r="991">
          <cell r="BP991" t="str">
            <v/>
          </cell>
        </row>
        <row r="992">
          <cell r="BP992" t="str">
            <v/>
          </cell>
        </row>
        <row r="993">
          <cell r="BP993" t="str">
            <v/>
          </cell>
        </row>
        <row r="994">
          <cell r="BP994" t="str">
            <v/>
          </cell>
        </row>
        <row r="995">
          <cell r="BP995" t="str">
            <v/>
          </cell>
        </row>
        <row r="996">
          <cell r="BP996" t="str">
            <v/>
          </cell>
        </row>
        <row r="997">
          <cell r="BP997" t="str">
            <v/>
          </cell>
        </row>
        <row r="998">
          <cell r="BP998" t="str">
            <v/>
          </cell>
        </row>
        <row r="999">
          <cell r="BP999" t="str">
            <v/>
          </cell>
        </row>
        <row r="1000">
          <cell r="BP1000" t="str">
            <v/>
          </cell>
        </row>
        <row r="1001">
          <cell r="BP1001" t="str">
            <v/>
          </cell>
        </row>
        <row r="1002">
          <cell r="BP1002" t="str">
            <v/>
          </cell>
        </row>
        <row r="1003">
          <cell r="BP1003" t="str">
            <v/>
          </cell>
        </row>
        <row r="1004">
          <cell r="BP1004" t="str">
            <v/>
          </cell>
        </row>
        <row r="1005">
          <cell r="BP1005" t="str">
            <v/>
          </cell>
        </row>
        <row r="1006">
          <cell r="BP1006" t="str">
            <v/>
          </cell>
        </row>
        <row r="1007">
          <cell r="BP1007" t="str">
            <v/>
          </cell>
        </row>
        <row r="1008">
          <cell r="BP1008" t="str">
            <v/>
          </cell>
        </row>
        <row r="1009">
          <cell r="BP1009" t="str">
            <v/>
          </cell>
        </row>
        <row r="1010">
          <cell r="BP1010" t="str">
            <v/>
          </cell>
        </row>
        <row r="1011">
          <cell r="BP1011" t="str">
            <v/>
          </cell>
        </row>
        <row r="1012">
          <cell r="BP1012" t="str">
            <v/>
          </cell>
        </row>
        <row r="1013">
          <cell r="BP1013" t="str">
            <v/>
          </cell>
        </row>
        <row r="1014">
          <cell r="BP1014" t="str">
            <v/>
          </cell>
        </row>
        <row r="1015">
          <cell r="BP1015" t="str">
            <v/>
          </cell>
        </row>
        <row r="1016">
          <cell r="BP1016" t="str">
            <v/>
          </cell>
        </row>
        <row r="1017">
          <cell r="BP1017" t="str">
            <v/>
          </cell>
        </row>
        <row r="1018">
          <cell r="BP1018" t="str">
            <v/>
          </cell>
        </row>
        <row r="1019">
          <cell r="BP1019" t="str">
            <v/>
          </cell>
        </row>
        <row r="1020">
          <cell r="BP1020" t="str">
            <v/>
          </cell>
        </row>
        <row r="1021">
          <cell r="BP1021" t="str">
            <v/>
          </cell>
        </row>
        <row r="1022">
          <cell r="BP1022" t="str">
            <v/>
          </cell>
        </row>
        <row r="1023">
          <cell r="BP1023" t="str">
            <v/>
          </cell>
        </row>
        <row r="1024">
          <cell r="BP1024" t="str">
            <v/>
          </cell>
        </row>
        <row r="1025">
          <cell r="BP1025" t="str">
            <v/>
          </cell>
        </row>
        <row r="1026">
          <cell r="BP1026" t="str">
            <v/>
          </cell>
        </row>
        <row r="1027">
          <cell r="BP1027" t="str">
            <v/>
          </cell>
        </row>
        <row r="1028">
          <cell r="BP1028" t="str">
            <v/>
          </cell>
        </row>
        <row r="1029">
          <cell r="BP1029" t="str">
            <v/>
          </cell>
        </row>
        <row r="1030">
          <cell r="BP1030" t="str">
            <v/>
          </cell>
        </row>
        <row r="1031">
          <cell r="BP1031" t="str">
            <v/>
          </cell>
        </row>
        <row r="1032">
          <cell r="BP1032" t="str">
            <v/>
          </cell>
        </row>
        <row r="1033">
          <cell r="BP1033" t="str">
            <v/>
          </cell>
        </row>
        <row r="1034">
          <cell r="BP1034" t="str">
            <v/>
          </cell>
        </row>
        <row r="1035">
          <cell r="BP1035" t="str">
            <v/>
          </cell>
        </row>
        <row r="1036">
          <cell r="BP1036" t="str">
            <v/>
          </cell>
        </row>
        <row r="1037">
          <cell r="BP1037" t="str">
            <v/>
          </cell>
        </row>
        <row r="1038">
          <cell r="BP1038" t="str">
            <v/>
          </cell>
        </row>
        <row r="1039">
          <cell r="BP1039" t="str">
            <v/>
          </cell>
        </row>
        <row r="1040">
          <cell r="BP1040" t="str">
            <v/>
          </cell>
        </row>
        <row r="1041">
          <cell r="BP1041" t="str">
            <v/>
          </cell>
        </row>
        <row r="1042">
          <cell r="BP1042" t="str">
            <v/>
          </cell>
        </row>
        <row r="1043">
          <cell r="BP1043" t="str">
            <v/>
          </cell>
        </row>
        <row r="1044">
          <cell r="BP1044" t="str">
            <v/>
          </cell>
        </row>
        <row r="1045">
          <cell r="BP1045" t="str">
            <v/>
          </cell>
        </row>
        <row r="1046">
          <cell r="BP1046" t="str">
            <v/>
          </cell>
        </row>
        <row r="1047">
          <cell r="BP1047" t="str">
            <v/>
          </cell>
        </row>
        <row r="1048">
          <cell r="BP1048" t="str">
            <v/>
          </cell>
        </row>
        <row r="1049">
          <cell r="BP1049" t="str">
            <v/>
          </cell>
        </row>
        <row r="1050">
          <cell r="BP1050" t="str">
            <v/>
          </cell>
        </row>
        <row r="1051">
          <cell r="BP1051" t="str">
            <v/>
          </cell>
        </row>
        <row r="1052">
          <cell r="BP1052" t="str">
            <v/>
          </cell>
        </row>
        <row r="1053">
          <cell r="BP1053" t="str">
            <v/>
          </cell>
        </row>
        <row r="1054">
          <cell r="BP1054" t="str">
            <v/>
          </cell>
        </row>
        <row r="1055">
          <cell r="BP1055" t="str">
            <v/>
          </cell>
        </row>
        <row r="1056">
          <cell r="BP1056" t="str">
            <v/>
          </cell>
        </row>
        <row r="1057">
          <cell r="BP1057" t="str">
            <v/>
          </cell>
        </row>
        <row r="1058">
          <cell r="BP1058" t="str">
            <v/>
          </cell>
        </row>
        <row r="1059">
          <cell r="BP1059" t="str">
            <v/>
          </cell>
        </row>
        <row r="1060">
          <cell r="BP1060" t="str">
            <v/>
          </cell>
        </row>
        <row r="1061">
          <cell r="BP1061" t="str">
            <v/>
          </cell>
        </row>
        <row r="1062">
          <cell r="BP1062" t="str">
            <v/>
          </cell>
        </row>
        <row r="1063">
          <cell r="BP1063" t="str">
            <v/>
          </cell>
        </row>
        <row r="1064">
          <cell r="BP1064" t="str">
            <v/>
          </cell>
        </row>
        <row r="1065">
          <cell r="BP1065" t="str">
            <v/>
          </cell>
        </row>
        <row r="1066">
          <cell r="BP1066" t="str">
            <v/>
          </cell>
        </row>
        <row r="1067">
          <cell r="BP1067" t="str">
            <v/>
          </cell>
        </row>
        <row r="1068">
          <cell r="BP1068" t="str">
            <v/>
          </cell>
        </row>
        <row r="1069">
          <cell r="BP1069" t="str">
            <v/>
          </cell>
        </row>
        <row r="1070">
          <cell r="BP1070" t="str">
            <v/>
          </cell>
        </row>
        <row r="1071">
          <cell r="BP1071" t="str">
            <v/>
          </cell>
        </row>
        <row r="1072">
          <cell r="BP1072" t="str">
            <v/>
          </cell>
        </row>
        <row r="1073">
          <cell r="BP1073" t="str">
            <v/>
          </cell>
        </row>
        <row r="1074">
          <cell r="BP1074" t="str">
            <v/>
          </cell>
        </row>
        <row r="1075">
          <cell r="BP1075" t="str">
            <v/>
          </cell>
        </row>
        <row r="1076">
          <cell r="BP1076" t="str">
            <v/>
          </cell>
        </row>
        <row r="1077">
          <cell r="BP1077" t="str">
            <v/>
          </cell>
        </row>
        <row r="1078">
          <cell r="BP1078" t="str">
            <v/>
          </cell>
        </row>
        <row r="1079">
          <cell r="BP1079" t="str">
            <v/>
          </cell>
        </row>
        <row r="1080">
          <cell r="BP1080" t="str">
            <v/>
          </cell>
        </row>
        <row r="1081">
          <cell r="BP1081" t="str">
            <v/>
          </cell>
        </row>
        <row r="1082">
          <cell r="BP1082" t="str">
            <v/>
          </cell>
        </row>
        <row r="1083">
          <cell r="BP1083" t="str">
            <v/>
          </cell>
        </row>
        <row r="1084">
          <cell r="BP1084" t="str">
            <v/>
          </cell>
        </row>
        <row r="1085">
          <cell r="BP1085" t="str">
            <v/>
          </cell>
        </row>
        <row r="1086">
          <cell r="BP1086" t="str">
            <v/>
          </cell>
        </row>
        <row r="1087">
          <cell r="BP1087" t="str">
            <v/>
          </cell>
        </row>
        <row r="1088">
          <cell r="BP1088" t="str">
            <v/>
          </cell>
        </row>
        <row r="1089">
          <cell r="BP1089" t="str">
            <v/>
          </cell>
        </row>
        <row r="1090">
          <cell r="BP1090" t="str">
            <v/>
          </cell>
        </row>
        <row r="1091">
          <cell r="BP1091" t="str">
            <v/>
          </cell>
        </row>
        <row r="1092">
          <cell r="BP1092" t="str">
            <v/>
          </cell>
        </row>
        <row r="1093">
          <cell r="BP1093" t="str">
            <v/>
          </cell>
        </row>
        <row r="1094">
          <cell r="BP1094" t="str">
            <v/>
          </cell>
        </row>
        <row r="1095">
          <cell r="BP1095" t="str">
            <v/>
          </cell>
        </row>
        <row r="1096">
          <cell r="BP1096" t="str">
            <v/>
          </cell>
        </row>
        <row r="1097">
          <cell r="BP1097" t="str">
            <v/>
          </cell>
        </row>
        <row r="1098">
          <cell r="BP1098" t="str">
            <v/>
          </cell>
        </row>
        <row r="1099">
          <cell r="BP1099" t="str">
            <v/>
          </cell>
        </row>
        <row r="1100">
          <cell r="BP1100" t="str">
            <v/>
          </cell>
        </row>
        <row r="1101">
          <cell r="BP1101" t="str">
            <v/>
          </cell>
        </row>
        <row r="1102">
          <cell r="BP1102" t="str">
            <v/>
          </cell>
        </row>
        <row r="1103">
          <cell r="BP1103" t="str">
            <v/>
          </cell>
        </row>
        <row r="1104">
          <cell r="BP1104" t="str">
            <v/>
          </cell>
        </row>
        <row r="1105">
          <cell r="BP1105" t="str">
            <v/>
          </cell>
        </row>
        <row r="1106">
          <cell r="BP1106" t="str">
            <v/>
          </cell>
        </row>
        <row r="1107">
          <cell r="BP1107" t="str">
            <v/>
          </cell>
        </row>
        <row r="1108">
          <cell r="BP1108" t="str">
            <v/>
          </cell>
        </row>
        <row r="1109">
          <cell r="BP1109" t="str">
            <v/>
          </cell>
        </row>
        <row r="1110">
          <cell r="BP1110" t="str">
            <v/>
          </cell>
        </row>
        <row r="1111">
          <cell r="BP1111" t="str">
            <v/>
          </cell>
        </row>
        <row r="1112">
          <cell r="BP1112" t="str">
            <v/>
          </cell>
        </row>
        <row r="1113">
          <cell r="BP1113" t="str">
            <v/>
          </cell>
        </row>
        <row r="1114">
          <cell r="BP1114" t="str">
            <v/>
          </cell>
        </row>
        <row r="1115">
          <cell r="BP1115" t="str">
            <v/>
          </cell>
        </row>
        <row r="1116">
          <cell r="BP1116" t="str">
            <v/>
          </cell>
        </row>
        <row r="1117">
          <cell r="BP1117" t="str">
            <v/>
          </cell>
        </row>
        <row r="1118">
          <cell r="BP1118" t="str">
            <v/>
          </cell>
        </row>
        <row r="1119">
          <cell r="BP1119" t="str">
            <v/>
          </cell>
        </row>
        <row r="1120">
          <cell r="BP1120" t="str">
            <v/>
          </cell>
        </row>
        <row r="1121">
          <cell r="BP1121" t="str">
            <v/>
          </cell>
        </row>
        <row r="1122">
          <cell r="BP1122" t="str">
            <v/>
          </cell>
        </row>
        <row r="1123">
          <cell r="BP1123" t="str">
            <v/>
          </cell>
        </row>
        <row r="1124">
          <cell r="BP1124" t="str">
            <v/>
          </cell>
        </row>
        <row r="1125">
          <cell r="BP1125" t="str">
            <v/>
          </cell>
        </row>
        <row r="1126">
          <cell r="BP1126" t="str">
            <v/>
          </cell>
        </row>
        <row r="1127">
          <cell r="BP1127" t="str">
            <v/>
          </cell>
        </row>
        <row r="1128">
          <cell r="BP1128" t="str">
            <v/>
          </cell>
        </row>
        <row r="1129">
          <cell r="BP1129" t="str">
            <v/>
          </cell>
        </row>
        <row r="1130">
          <cell r="BP1130" t="str">
            <v/>
          </cell>
        </row>
        <row r="1131">
          <cell r="BP1131" t="str">
            <v/>
          </cell>
        </row>
        <row r="1132">
          <cell r="BP1132" t="str">
            <v/>
          </cell>
        </row>
        <row r="1133">
          <cell r="BP1133" t="str">
            <v/>
          </cell>
        </row>
        <row r="1134">
          <cell r="BP1134" t="str">
            <v/>
          </cell>
        </row>
        <row r="1135">
          <cell r="BP1135" t="str">
            <v/>
          </cell>
        </row>
        <row r="1136">
          <cell r="BP1136" t="str">
            <v/>
          </cell>
        </row>
        <row r="1137">
          <cell r="BP1137" t="str">
            <v/>
          </cell>
        </row>
        <row r="1138">
          <cell r="BP1138" t="str">
            <v/>
          </cell>
        </row>
        <row r="1139">
          <cell r="BP1139" t="str">
            <v/>
          </cell>
        </row>
        <row r="1140">
          <cell r="BP1140" t="str">
            <v/>
          </cell>
        </row>
        <row r="1141">
          <cell r="BP1141" t="str">
            <v/>
          </cell>
        </row>
        <row r="1142">
          <cell r="BP1142" t="str">
            <v/>
          </cell>
        </row>
        <row r="1143">
          <cell r="BP1143" t="str">
            <v/>
          </cell>
        </row>
        <row r="1144">
          <cell r="BP1144" t="str">
            <v/>
          </cell>
        </row>
        <row r="1145">
          <cell r="BP1145" t="str">
            <v/>
          </cell>
        </row>
        <row r="1146">
          <cell r="BP1146" t="str">
            <v/>
          </cell>
        </row>
        <row r="1147">
          <cell r="BP1147" t="str">
            <v/>
          </cell>
        </row>
        <row r="1148">
          <cell r="BP1148" t="str">
            <v/>
          </cell>
        </row>
        <row r="1149">
          <cell r="BP1149" t="str">
            <v/>
          </cell>
        </row>
        <row r="1150">
          <cell r="BP1150" t="str">
            <v/>
          </cell>
        </row>
        <row r="1151">
          <cell r="BP1151" t="str">
            <v/>
          </cell>
        </row>
        <row r="1152">
          <cell r="BP1152" t="str">
            <v/>
          </cell>
        </row>
        <row r="1153">
          <cell r="BP1153" t="str">
            <v/>
          </cell>
        </row>
        <row r="1154">
          <cell r="BP1154" t="str">
            <v/>
          </cell>
        </row>
        <row r="1155">
          <cell r="BP1155" t="str">
            <v/>
          </cell>
        </row>
        <row r="1156">
          <cell r="BP1156" t="str">
            <v/>
          </cell>
        </row>
        <row r="1157">
          <cell r="BP1157" t="str">
            <v/>
          </cell>
        </row>
        <row r="1158">
          <cell r="BP1158" t="str">
            <v/>
          </cell>
        </row>
        <row r="1159">
          <cell r="BP1159" t="str">
            <v/>
          </cell>
        </row>
        <row r="1160">
          <cell r="BP1160" t="str">
            <v/>
          </cell>
        </row>
        <row r="1161">
          <cell r="BP1161" t="str">
            <v/>
          </cell>
        </row>
        <row r="1162">
          <cell r="BP1162" t="str">
            <v/>
          </cell>
        </row>
        <row r="1163">
          <cell r="BP1163" t="str">
            <v/>
          </cell>
        </row>
        <row r="1164">
          <cell r="BP1164" t="str">
            <v/>
          </cell>
        </row>
        <row r="1165">
          <cell r="BP1165" t="str">
            <v/>
          </cell>
        </row>
        <row r="1166">
          <cell r="BP1166" t="str">
            <v/>
          </cell>
        </row>
        <row r="1167">
          <cell r="BP1167" t="str">
            <v/>
          </cell>
        </row>
        <row r="1168">
          <cell r="BP1168" t="str">
            <v/>
          </cell>
        </row>
        <row r="1169">
          <cell r="BP1169" t="str">
            <v/>
          </cell>
        </row>
        <row r="1170">
          <cell r="BP1170" t="str">
            <v/>
          </cell>
        </row>
        <row r="1171">
          <cell r="BP1171" t="str">
            <v/>
          </cell>
        </row>
        <row r="1172">
          <cell r="BP1172" t="str">
            <v/>
          </cell>
        </row>
        <row r="1173">
          <cell r="BP1173" t="str">
            <v/>
          </cell>
        </row>
        <row r="1174">
          <cell r="BP1174" t="str">
            <v/>
          </cell>
        </row>
        <row r="1175">
          <cell r="BP1175" t="str">
            <v/>
          </cell>
        </row>
        <row r="1176">
          <cell r="BP1176" t="str">
            <v/>
          </cell>
        </row>
        <row r="1177">
          <cell r="BP1177" t="str">
            <v/>
          </cell>
        </row>
        <row r="1178">
          <cell r="BP1178" t="str">
            <v/>
          </cell>
        </row>
        <row r="1179">
          <cell r="BP1179" t="str">
            <v/>
          </cell>
        </row>
        <row r="1180">
          <cell r="BP1180" t="str">
            <v/>
          </cell>
        </row>
        <row r="1181">
          <cell r="BP1181" t="str">
            <v/>
          </cell>
        </row>
        <row r="1182">
          <cell r="BP1182" t="str">
            <v/>
          </cell>
        </row>
        <row r="1183">
          <cell r="BP1183" t="str">
            <v/>
          </cell>
        </row>
        <row r="1184">
          <cell r="BP1184" t="str">
            <v/>
          </cell>
        </row>
        <row r="1185">
          <cell r="BP1185" t="str">
            <v/>
          </cell>
        </row>
        <row r="1186">
          <cell r="BP1186" t="str">
            <v/>
          </cell>
        </row>
        <row r="1187">
          <cell r="BP1187" t="str">
            <v/>
          </cell>
        </row>
        <row r="1188">
          <cell r="BP1188" t="str">
            <v/>
          </cell>
        </row>
        <row r="1189">
          <cell r="BP1189" t="str">
            <v/>
          </cell>
        </row>
        <row r="1190">
          <cell r="BP1190" t="str">
            <v/>
          </cell>
        </row>
        <row r="1191">
          <cell r="BP1191" t="str">
            <v/>
          </cell>
        </row>
        <row r="1192">
          <cell r="BP1192" t="str">
            <v/>
          </cell>
        </row>
        <row r="1193">
          <cell r="BP1193" t="str">
            <v/>
          </cell>
        </row>
        <row r="1194">
          <cell r="BP1194" t="str">
            <v/>
          </cell>
        </row>
        <row r="1195">
          <cell r="BP1195" t="str">
            <v/>
          </cell>
        </row>
        <row r="1196">
          <cell r="BP1196" t="str">
            <v/>
          </cell>
        </row>
        <row r="1197">
          <cell r="BP1197" t="str">
            <v/>
          </cell>
        </row>
        <row r="1198">
          <cell r="BP1198" t="str">
            <v/>
          </cell>
        </row>
        <row r="1199">
          <cell r="BP1199" t="str">
            <v/>
          </cell>
        </row>
        <row r="1200">
          <cell r="BP1200" t="str">
            <v/>
          </cell>
        </row>
        <row r="1201">
          <cell r="BP1201" t="str">
            <v/>
          </cell>
        </row>
        <row r="1202">
          <cell r="BP1202" t="str">
            <v/>
          </cell>
        </row>
        <row r="1203">
          <cell r="BP1203" t="str">
            <v/>
          </cell>
        </row>
        <row r="1204">
          <cell r="BP1204" t="str">
            <v/>
          </cell>
        </row>
        <row r="1205">
          <cell r="BP1205" t="str">
            <v/>
          </cell>
        </row>
        <row r="1206">
          <cell r="BP1206" t="str">
            <v/>
          </cell>
        </row>
        <row r="1207">
          <cell r="BP1207" t="str">
            <v/>
          </cell>
        </row>
        <row r="1208">
          <cell r="BP1208" t="str">
            <v/>
          </cell>
        </row>
        <row r="1209">
          <cell r="BP1209" t="str">
            <v/>
          </cell>
        </row>
        <row r="1210">
          <cell r="BP1210" t="str">
            <v/>
          </cell>
        </row>
        <row r="1211">
          <cell r="BP1211" t="str">
            <v/>
          </cell>
        </row>
        <row r="1212">
          <cell r="BP1212" t="str">
            <v/>
          </cell>
        </row>
        <row r="1213">
          <cell r="BP1213" t="str">
            <v/>
          </cell>
        </row>
        <row r="1214">
          <cell r="BP1214" t="str">
            <v/>
          </cell>
        </row>
        <row r="1215">
          <cell r="BP1215" t="str">
            <v/>
          </cell>
        </row>
        <row r="1216">
          <cell r="BP1216" t="str">
            <v/>
          </cell>
        </row>
        <row r="1217">
          <cell r="BP1217" t="str">
            <v/>
          </cell>
        </row>
        <row r="1218">
          <cell r="BP1218" t="str">
            <v/>
          </cell>
        </row>
        <row r="1219">
          <cell r="BP1219" t="str">
            <v/>
          </cell>
        </row>
        <row r="1220">
          <cell r="BP1220" t="str">
            <v/>
          </cell>
        </row>
        <row r="1221">
          <cell r="BP1221" t="str">
            <v/>
          </cell>
        </row>
        <row r="1222">
          <cell r="BP1222" t="str">
            <v/>
          </cell>
        </row>
        <row r="1223">
          <cell r="BP1223" t="str">
            <v/>
          </cell>
        </row>
        <row r="1224">
          <cell r="BP1224" t="str">
            <v/>
          </cell>
        </row>
        <row r="1225">
          <cell r="BP1225" t="str">
            <v/>
          </cell>
        </row>
        <row r="1226">
          <cell r="BP1226" t="str">
            <v/>
          </cell>
        </row>
        <row r="1227">
          <cell r="BP1227" t="str">
            <v/>
          </cell>
        </row>
        <row r="1228">
          <cell r="BP1228" t="str">
            <v/>
          </cell>
        </row>
        <row r="1229">
          <cell r="BP1229" t="str">
            <v/>
          </cell>
        </row>
        <row r="1230">
          <cell r="BP1230" t="str">
            <v/>
          </cell>
        </row>
        <row r="1231">
          <cell r="BP1231" t="str">
            <v/>
          </cell>
        </row>
        <row r="1232">
          <cell r="BP1232" t="str">
            <v/>
          </cell>
        </row>
        <row r="1233">
          <cell r="BP1233" t="str">
            <v/>
          </cell>
        </row>
        <row r="1234">
          <cell r="BP1234" t="str">
            <v/>
          </cell>
        </row>
        <row r="1235">
          <cell r="BP1235" t="str">
            <v/>
          </cell>
        </row>
        <row r="1236">
          <cell r="BP1236" t="str">
            <v/>
          </cell>
        </row>
        <row r="1237">
          <cell r="BP1237" t="str">
            <v/>
          </cell>
        </row>
        <row r="1238">
          <cell r="BP1238" t="str">
            <v/>
          </cell>
        </row>
        <row r="1239">
          <cell r="BP1239" t="str">
            <v/>
          </cell>
        </row>
        <row r="1240">
          <cell r="BP1240" t="str">
            <v/>
          </cell>
        </row>
        <row r="1241">
          <cell r="BP1241" t="str">
            <v/>
          </cell>
        </row>
        <row r="1242">
          <cell r="BP1242" t="str">
            <v/>
          </cell>
        </row>
        <row r="1243">
          <cell r="BP1243" t="str">
            <v/>
          </cell>
        </row>
        <row r="1244">
          <cell r="BP1244" t="str">
            <v/>
          </cell>
        </row>
        <row r="1245">
          <cell r="BP1245" t="str">
            <v/>
          </cell>
        </row>
        <row r="1246">
          <cell r="BP1246" t="str">
            <v/>
          </cell>
        </row>
        <row r="1247">
          <cell r="BP1247" t="str">
            <v/>
          </cell>
        </row>
        <row r="1248">
          <cell r="BP1248" t="str">
            <v/>
          </cell>
        </row>
        <row r="1249">
          <cell r="BP1249" t="str">
            <v/>
          </cell>
        </row>
        <row r="1250">
          <cell r="BP1250" t="str">
            <v/>
          </cell>
        </row>
        <row r="1251">
          <cell r="BP1251" t="str">
            <v/>
          </cell>
        </row>
        <row r="1252">
          <cell r="BP1252" t="str">
            <v/>
          </cell>
        </row>
        <row r="1253">
          <cell r="BP1253" t="str">
            <v/>
          </cell>
        </row>
        <row r="1254">
          <cell r="BP1254" t="str">
            <v/>
          </cell>
        </row>
        <row r="1255">
          <cell r="BP1255" t="str">
            <v/>
          </cell>
        </row>
        <row r="1256">
          <cell r="BP1256" t="str">
            <v/>
          </cell>
        </row>
        <row r="1257">
          <cell r="BP1257" t="str">
            <v/>
          </cell>
        </row>
        <row r="1258">
          <cell r="BP1258" t="str">
            <v/>
          </cell>
        </row>
        <row r="1259">
          <cell r="BP1259" t="str">
            <v/>
          </cell>
        </row>
        <row r="1260">
          <cell r="BP1260" t="str">
            <v/>
          </cell>
        </row>
        <row r="1261">
          <cell r="BP1261" t="str">
            <v/>
          </cell>
        </row>
        <row r="1262">
          <cell r="BP1262" t="str">
            <v/>
          </cell>
        </row>
        <row r="1263">
          <cell r="BP1263" t="str">
            <v/>
          </cell>
        </row>
        <row r="1264">
          <cell r="BP1264" t="str">
            <v/>
          </cell>
        </row>
        <row r="1265">
          <cell r="BP1265" t="str">
            <v/>
          </cell>
        </row>
        <row r="1266">
          <cell r="BP1266" t="str">
            <v/>
          </cell>
        </row>
        <row r="1267">
          <cell r="BP1267" t="str">
            <v/>
          </cell>
        </row>
        <row r="1268">
          <cell r="BP1268" t="str">
            <v/>
          </cell>
        </row>
        <row r="1269">
          <cell r="BP1269" t="str">
            <v/>
          </cell>
        </row>
        <row r="1270">
          <cell r="BP1270" t="str">
            <v/>
          </cell>
        </row>
        <row r="1271">
          <cell r="BP1271" t="str">
            <v/>
          </cell>
        </row>
        <row r="1272">
          <cell r="BP1272" t="str">
            <v/>
          </cell>
        </row>
        <row r="1273">
          <cell r="BP1273" t="str">
            <v/>
          </cell>
        </row>
        <row r="1274">
          <cell r="BP1274" t="str">
            <v/>
          </cell>
        </row>
        <row r="1275">
          <cell r="BP1275" t="str">
            <v/>
          </cell>
        </row>
        <row r="1276">
          <cell r="BP1276" t="str">
            <v/>
          </cell>
        </row>
        <row r="1277">
          <cell r="BP1277" t="str">
            <v/>
          </cell>
        </row>
        <row r="1278">
          <cell r="BP1278" t="str">
            <v/>
          </cell>
        </row>
        <row r="1279">
          <cell r="BP1279" t="str">
            <v/>
          </cell>
        </row>
        <row r="1280">
          <cell r="BP1280" t="str">
            <v/>
          </cell>
        </row>
        <row r="1281">
          <cell r="BP1281" t="str">
            <v/>
          </cell>
        </row>
        <row r="1282">
          <cell r="BP1282" t="str">
            <v/>
          </cell>
        </row>
        <row r="1283">
          <cell r="BP1283" t="str">
            <v/>
          </cell>
        </row>
        <row r="1284">
          <cell r="BP1284" t="str">
            <v/>
          </cell>
        </row>
        <row r="1285">
          <cell r="BP1285" t="str">
            <v/>
          </cell>
        </row>
        <row r="1286">
          <cell r="BP1286" t="str">
            <v/>
          </cell>
        </row>
        <row r="1287">
          <cell r="BP1287" t="str">
            <v/>
          </cell>
        </row>
        <row r="1288">
          <cell r="BP1288" t="str">
            <v/>
          </cell>
        </row>
        <row r="1289">
          <cell r="BP1289" t="str">
            <v/>
          </cell>
        </row>
        <row r="1290">
          <cell r="BP1290" t="str">
            <v/>
          </cell>
        </row>
        <row r="1291">
          <cell r="BP1291" t="str">
            <v/>
          </cell>
        </row>
        <row r="1292">
          <cell r="BP1292" t="str">
            <v/>
          </cell>
        </row>
        <row r="1293">
          <cell r="BP1293" t="str">
            <v/>
          </cell>
        </row>
        <row r="1294">
          <cell r="BP1294" t="str">
            <v/>
          </cell>
        </row>
        <row r="1295">
          <cell r="BP1295" t="str">
            <v/>
          </cell>
        </row>
        <row r="1296">
          <cell r="BP1296" t="str">
            <v/>
          </cell>
        </row>
        <row r="1297">
          <cell r="BP1297" t="str">
            <v/>
          </cell>
        </row>
        <row r="1298">
          <cell r="BP1298" t="str">
            <v/>
          </cell>
        </row>
        <row r="1299">
          <cell r="BP1299" t="str">
            <v/>
          </cell>
        </row>
        <row r="1300">
          <cell r="BP1300" t="str">
            <v/>
          </cell>
        </row>
        <row r="1301">
          <cell r="BP1301" t="str">
            <v/>
          </cell>
        </row>
        <row r="1302">
          <cell r="BP1302" t="str">
            <v/>
          </cell>
        </row>
        <row r="1303">
          <cell r="BP1303" t="str">
            <v/>
          </cell>
        </row>
        <row r="1304">
          <cell r="BP1304" t="str">
            <v/>
          </cell>
        </row>
        <row r="1305">
          <cell r="BP1305" t="str">
            <v/>
          </cell>
        </row>
        <row r="1306">
          <cell r="BP1306" t="str">
            <v/>
          </cell>
        </row>
        <row r="1307">
          <cell r="BP1307" t="str">
            <v/>
          </cell>
        </row>
        <row r="1308">
          <cell r="BP1308" t="str">
            <v/>
          </cell>
        </row>
        <row r="1309">
          <cell r="BP1309" t="str">
            <v/>
          </cell>
        </row>
        <row r="1310">
          <cell r="BP1310" t="str">
            <v/>
          </cell>
        </row>
        <row r="1311">
          <cell r="BP1311" t="str">
            <v/>
          </cell>
        </row>
        <row r="1312">
          <cell r="BP1312" t="str">
            <v/>
          </cell>
        </row>
        <row r="1313">
          <cell r="BP1313" t="str">
            <v/>
          </cell>
        </row>
        <row r="1314">
          <cell r="BP1314" t="str">
            <v/>
          </cell>
        </row>
        <row r="1315">
          <cell r="BP1315" t="str">
            <v/>
          </cell>
        </row>
        <row r="1316">
          <cell r="BP1316" t="str">
            <v/>
          </cell>
        </row>
        <row r="1317">
          <cell r="BP1317" t="str">
            <v/>
          </cell>
        </row>
        <row r="1318">
          <cell r="BP1318" t="str">
            <v/>
          </cell>
        </row>
        <row r="1319">
          <cell r="BP1319" t="str">
            <v/>
          </cell>
        </row>
        <row r="1320">
          <cell r="BP1320" t="str">
            <v/>
          </cell>
        </row>
        <row r="1321">
          <cell r="BP1321" t="str">
            <v/>
          </cell>
        </row>
        <row r="1322">
          <cell r="BP1322" t="str">
            <v/>
          </cell>
        </row>
        <row r="1323">
          <cell r="BP1323" t="str">
            <v/>
          </cell>
        </row>
        <row r="1324">
          <cell r="BP1324" t="str">
            <v/>
          </cell>
        </row>
        <row r="1325">
          <cell r="BP1325" t="str">
            <v/>
          </cell>
        </row>
        <row r="1326">
          <cell r="BP1326" t="str">
            <v/>
          </cell>
        </row>
        <row r="1327">
          <cell r="BP1327" t="str">
            <v/>
          </cell>
        </row>
        <row r="1328">
          <cell r="BP1328" t="str">
            <v/>
          </cell>
        </row>
        <row r="1329">
          <cell r="BP1329" t="str">
            <v/>
          </cell>
        </row>
        <row r="1330">
          <cell r="BP1330" t="str">
            <v/>
          </cell>
        </row>
        <row r="1331">
          <cell r="BP1331" t="str">
            <v/>
          </cell>
        </row>
        <row r="1332">
          <cell r="BP1332" t="str">
            <v/>
          </cell>
        </row>
        <row r="1333">
          <cell r="BP1333" t="str">
            <v/>
          </cell>
        </row>
        <row r="1334">
          <cell r="BP1334" t="str">
            <v/>
          </cell>
        </row>
        <row r="1335">
          <cell r="BP1335" t="str">
            <v/>
          </cell>
        </row>
        <row r="1336">
          <cell r="BP1336" t="str">
            <v/>
          </cell>
        </row>
        <row r="1337">
          <cell r="BP1337" t="str">
            <v/>
          </cell>
        </row>
        <row r="1338">
          <cell r="BP1338" t="str">
            <v/>
          </cell>
        </row>
        <row r="1339">
          <cell r="BP1339" t="str">
            <v/>
          </cell>
        </row>
        <row r="1340">
          <cell r="BP1340" t="str">
            <v/>
          </cell>
        </row>
        <row r="1341">
          <cell r="BP1341" t="str">
            <v/>
          </cell>
        </row>
        <row r="1342">
          <cell r="BP1342" t="str">
            <v/>
          </cell>
        </row>
        <row r="1343">
          <cell r="BP1343" t="str">
            <v/>
          </cell>
        </row>
        <row r="1344">
          <cell r="BP1344" t="str">
            <v/>
          </cell>
        </row>
        <row r="1345">
          <cell r="BP1345" t="str">
            <v/>
          </cell>
        </row>
        <row r="1346">
          <cell r="BP1346" t="str">
            <v/>
          </cell>
        </row>
        <row r="1347">
          <cell r="BP1347" t="str">
            <v/>
          </cell>
        </row>
        <row r="1348">
          <cell r="BP1348" t="str">
            <v/>
          </cell>
        </row>
        <row r="1349">
          <cell r="BP1349" t="str">
            <v/>
          </cell>
        </row>
        <row r="1350">
          <cell r="BP1350" t="str">
            <v/>
          </cell>
        </row>
        <row r="1351">
          <cell r="BP1351" t="str">
            <v/>
          </cell>
        </row>
        <row r="1352">
          <cell r="BP1352" t="str">
            <v/>
          </cell>
        </row>
        <row r="1353">
          <cell r="BP1353" t="str">
            <v/>
          </cell>
        </row>
        <row r="1354">
          <cell r="BP1354" t="str">
            <v/>
          </cell>
        </row>
        <row r="1355">
          <cell r="BP1355" t="str">
            <v/>
          </cell>
        </row>
        <row r="1356">
          <cell r="BP1356" t="str">
            <v/>
          </cell>
        </row>
        <row r="1357">
          <cell r="BP1357" t="str">
            <v/>
          </cell>
        </row>
        <row r="1358">
          <cell r="BP1358" t="str">
            <v/>
          </cell>
        </row>
        <row r="1359">
          <cell r="BP1359" t="str">
            <v/>
          </cell>
        </row>
        <row r="1360">
          <cell r="BP1360" t="str">
            <v/>
          </cell>
        </row>
        <row r="1361">
          <cell r="BP1361" t="str">
            <v/>
          </cell>
        </row>
        <row r="1362">
          <cell r="BP1362" t="str">
            <v/>
          </cell>
        </row>
        <row r="1363">
          <cell r="BP1363" t="str">
            <v/>
          </cell>
        </row>
        <row r="1364">
          <cell r="BP1364" t="str">
            <v/>
          </cell>
        </row>
        <row r="1365">
          <cell r="BP1365" t="str">
            <v/>
          </cell>
        </row>
        <row r="1366">
          <cell r="BP1366" t="str">
            <v/>
          </cell>
        </row>
        <row r="1367">
          <cell r="BP1367" t="str">
            <v/>
          </cell>
        </row>
        <row r="1368">
          <cell r="BP1368" t="str">
            <v/>
          </cell>
        </row>
        <row r="1369">
          <cell r="BP1369" t="str">
            <v/>
          </cell>
        </row>
        <row r="1370">
          <cell r="BP1370" t="str">
            <v/>
          </cell>
        </row>
        <row r="1371">
          <cell r="BP1371" t="str">
            <v/>
          </cell>
        </row>
        <row r="1372">
          <cell r="BP1372" t="str">
            <v/>
          </cell>
        </row>
        <row r="1373">
          <cell r="BP1373" t="str">
            <v/>
          </cell>
        </row>
        <row r="1374">
          <cell r="BP1374" t="str">
            <v/>
          </cell>
        </row>
        <row r="1375">
          <cell r="BP1375" t="str">
            <v/>
          </cell>
        </row>
        <row r="1376">
          <cell r="BP1376" t="str">
            <v/>
          </cell>
        </row>
        <row r="1377">
          <cell r="BP1377" t="str">
            <v/>
          </cell>
        </row>
        <row r="1378">
          <cell r="BP1378" t="str">
            <v/>
          </cell>
        </row>
        <row r="1379">
          <cell r="BP1379" t="str">
            <v/>
          </cell>
        </row>
        <row r="1380">
          <cell r="BP1380" t="str">
            <v/>
          </cell>
        </row>
        <row r="1381">
          <cell r="BP1381" t="str">
            <v/>
          </cell>
        </row>
        <row r="1382">
          <cell r="BP1382" t="str">
            <v/>
          </cell>
        </row>
        <row r="1383">
          <cell r="BP1383" t="str">
            <v/>
          </cell>
        </row>
        <row r="1384">
          <cell r="BP1384" t="str">
            <v/>
          </cell>
        </row>
        <row r="1385">
          <cell r="BP1385" t="str">
            <v/>
          </cell>
        </row>
        <row r="1386">
          <cell r="BP1386" t="str">
            <v/>
          </cell>
        </row>
        <row r="1387">
          <cell r="BP1387" t="str">
            <v/>
          </cell>
        </row>
        <row r="1388">
          <cell r="BP1388" t="str">
            <v/>
          </cell>
        </row>
        <row r="1389">
          <cell r="BP1389" t="str">
            <v/>
          </cell>
        </row>
        <row r="1390">
          <cell r="BP1390" t="str">
            <v/>
          </cell>
        </row>
        <row r="1391">
          <cell r="BP1391" t="str">
            <v/>
          </cell>
        </row>
        <row r="1392">
          <cell r="BP1392" t="str">
            <v/>
          </cell>
        </row>
        <row r="1393">
          <cell r="BP1393" t="str">
            <v/>
          </cell>
        </row>
        <row r="1394">
          <cell r="BP1394" t="str">
            <v/>
          </cell>
        </row>
        <row r="1395">
          <cell r="BP1395" t="str">
            <v/>
          </cell>
        </row>
        <row r="1396">
          <cell r="BP1396" t="str">
            <v/>
          </cell>
        </row>
        <row r="1397">
          <cell r="BP1397" t="str">
            <v/>
          </cell>
        </row>
        <row r="1398">
          <cell r="BP1398" t="str">
            <v/>
          </cell>
        </row>
        <row r="1399">
          <cell r="BP1399" t="str">
            <v/>
          </cell>
        </row>
        <row r="1400">
          <cell r="BP1400" t="str">
            <v/>
          </cell>
        </row>
        <row r="1401">
          <cell r="BP1401" t="str">
            <v/>
          </cell>
        </row>
        <row r="1402">
          <cell r="BP1402" t="str">
            <v/>
          </cell>
        </row>
        <row r="1403">
          <cell r="BP1403" t="str">
            <v/>
          </cell>
        </row>
        <row r="1404">
          <cell r="BP1404" t="str">
            <v/>
          </cell>
        </row>
        <row r="1405">
          <cell r="BP1405" t="str">
            <v/>
          </cell>
        </row>
        <row r="1406">
          <cell r="BP1406" t="str">
            <v/>
          </cell>
        </row>
        <row r="1407">
          <cell r="BP1407" t="str">
            <v/>
          </cell>
        </row>
        <row r="1408">
          <cell r="BP1408" t="str">
            <v/>
          </cell>
        </row>
        <row r="1409">
          <cell r="BP1409" t="str">
            <v/>
          </cell>
        </row>
        <row r="1410">
          <cell r="BP1410" t="str">
            <v/>
          </cell>
        </row>
        <row r="1411">
          <cell r="BP1411" t="str">
            <v/>
          </cell>
        </row>
        <row r="1412">
          <cell r="BP1412" t="str">
            <v/>
          </cell>
        </row>
        <row r="1413">
          <cell r="BP1413" t="str">
            <v/>
          </cell>
        </row>
        <row r="1414">
          <cell r="BP1414" t="str">
            <v/>
          </cell>
        </row>
        <row r="1415">
          <cell r="BP1415" t="str">
            <v/>
          </cell>
        </row>
        <row r="1416">
          <cell r="BP1416" t="str">
            <v/>
          </cell>
        </row>
        <row r="1417">
          <cell r="BP1417" t="str">
            <v/>
          </cell>
        </row>
        <row r="1418">
          <cell r="BP1418" t="str">
            <v/>
          </cell>
        </row>
        <row r="1419">
          <cell r="BP1419" t="str">
            <v/>
          </cell>
        </row>
        <row r="1420">
          <cell r="BP1420" t="str">
            <v/>
          </cell>
        </row>
        <row r="1421">
          <cell r="BP1421" t="str">
            <v/>
          </cell>
        </row>
        <row r="1422">
          <cell r="BP1422" t="str">
            <v/>
          </cell>
        </row>
        <row r="1423">
          <cell r="BP1423" t="str">
            <v/>
          </cell>
        </row>
        <row r="1424">
          <cell r="BP1424" t="str">
            <v/>
          </cell>
        </row>
        <row r="1425">
          <cell r="BP1425" t="str">
            <v/>
          </cell>
        </row>
        <row r="1426">
          <cell r="BP1426" t="str">
            <v/>
          </cell>
        </row>
        <row r="1427">
          <cell r="BP1427" t="str">
            <v/>
          </cell>
        </row>
        <row r="1428">
          <cell r="BP1428" t="str">
            <v/>
          </cell>
        </row>
        <row r="1429">
          <cell r="BP1429" t="str">
            <v/>
          </cell>
        </row>
        <row r="1430">
          <cell r="BP1430" t="str">
            <v/>
          </cell>
        </row>
        <row r="1431">
          <cell r="BP1431" t="str">
            <v/>
          </cell>
        </row>
        <row r="1432">
          <cell r="BP1432" t="str">
            <v/>
          </cell>
        </row>
        <row r="1433">
          <cell r="BP1433" t="str">
            <v/>
          </cell>
        </row>
        <row r="1434">
          <cell r="BP1434" t="str">
            <v/>
          </cell>
        </row>
        <row r="1435">
          <cell r="BP1435" t="str">
            <v/>
          </cell>
        </row>
        <row r="1436">
          <cell r="BP1436" t="str">
            <v/>
          </cell>
        </row>
        <row r="1437">
          <cell r="BP1437" t="str">
            <v/>
          </cell>
        </row>
        <row r="1438">
          <cell r="BP1438" t="str">
            <v/>
          </cell>
        </row>
        <row r="1439">
          <cell r="BP1439" t="str">
            <v/>
          </cell>
        </row>
        <row r="1440">
          <cell r="BP1440" t="str">
            <v/>
          </cell>
        </row>
        <row r="1441">
          <cell r="BP1441" t="str">
            <v/>
          </cell>
        </row>
        <row r="1442">
          <cell r="BP1442" t="str">
            <v/>
          </cell>
        </row>
        <row r="1443">
          <cell r="BP1443" t="str">
            <v/>
          </cell>
        </row>
        <row r="1444">
          <cell r="BP1444" t="str">
            <v/>
          </cell>
        </row>
        <row r="1445">
          <cell r="BP1445" t="str">
            <v/>
          </cell>
        </row>
        <row r="1446">
          <cell r="BP1446" t="str">
            <v/>
          </cell>
        </row>
        <row r="1447">
          <cell r="BP1447" t="str">
            <v/>
          </cell>
        </row>
        <row r="1448">
          <cell r="BP1448" t="str">
            <v/>
          </cell>
        </row>
        <row r="1449">
          <cell r="BP1449" t="str">
            <v/>
          </cell>
        </row>
        <row r="1450">
          <cell r="BP1450" t="str">
            <v/>
          </cell>
        </row>
        <row r="1451">
          <cell r="BP1451" t="str">
            <v/>
          </cell>
        </row>
        <row r="1452">
          <cell r="BP1452" t="str">
            <v/>
          </cell>
        </row>
        <row r="1453">
          <cell r="BP1453" t="str">
            <v/>
          </cell>
        </row>
        <row r="1454">
          <cell r="BP1454" t="str">
            <v/>
          </cell>
        </row>
        <row r="1455">
          <cell r="BP1455" t="str">
            <v/>
          </cell>
        </row>
        <row r="1456">
          <cell r="BP1456" t="str">
            <v/>
          </cell>
        </row>
        <row r="1457">
          <cell r="BP1457" t="str">
            <v/>
          </cell>
        </row>
        <row r="1458">
          <cell r="BP1458" t="str">
            <v/>
          </cell>
        </row>
        <row r="1459">
          <cell r="BP1459" t="str">
            <v/>
          </cell>
        </row>
        <row r="1460">
          <cell r="BP1460" t="str">
            <v/>
          </cell>
        </row>
        <row r="1461">
          <cell r="BP1461" t="str">
            <v/>
          </cell>
        </row>
        <row r="1462">
          <cell r="BP1462" t="str">
            <v/>
          </cell>
        </row>
        <row r="1463">
          <cell r="BP1463" t="str">
            <v/>
          </cell>
        </row>
        <row r="1464">
          <cell r="BP1464" t="str">
            <v/>
          </cell>
        </row>
        <row r="1465">
          <cell r="BP1465" t="str">
            <v/>
          </cell>
        </row>
        <row r="1466">
          <cell r="BP1466" t="str">
            <v/>
          </cell>
        </row>
        <row r="1467">
          <cell r="BP1467" t="str">
            <v/>
          </cell>
        </row>
        <row r="1468">
          <cell r="BP1468" t="str">
            <v/>
          </cell>
        </row>
        <row r="1469">
          <cell r="BP1469" t="str">
            <v/>
          </cell>
        </row>
        <row r="1470">
          <cell r="BP1470" t="str">
            <v/>
          </cell>
        </row>
        <row r="1471">
          <cell r="BP1471" t="str">
            <v/>
          </cell>
        </row>
        <row r="1472">
          <cell r="BP1472" t="str">
            <v/>
          </cell>
        </row>
        <row r="1473">
          <cell r="BP1473" t="str">
            <v/>
          </cell>
        </row>
        <row r="1474">
          <cell r="BP1474" t="str">
            <v/>
          </cell>
        </row>
        <row r="1475">
          <cell r="BP1475" t="str">
            <v/>
          </cell>
        </row>
        <row r="1476">
          <cell r="BP1476" t="str">
            <v/>
          </cell>
        </row>
        <row r="1477">
          <cell r="BP1477" t="str">
            <v/>
          </cell>
        </row>
        <row r="1478">
          <cell r="BP1478" t="str">
            <v/>
          </cell>
        </row>
        <row r="1479">
          <cell r="BP1479" t="str">
            <v/>
          </cell>
        </row>
        <row r="1480">
          <cell r="BP1480" t="str">
            <v/>
          </cell>
        </row>
        <row r="1481">
          <cell r="BP1481" t="str">
            <v/>
          </cell>
        </row>
        <row r="1482">
          <cell r="BP1482" t="str">
            <v/>
          </cell>
        </row>
        <row r="1483">
          <cell r="BP1483" t="str">
            <v/>
          </cell>
        </row>
        <row r="1484">
          <cell r="BP1484" t="str">
            <v/>
          </cell>
        </row>
        <row r="1485">
          <cell r="BP1485" t="str">
            <v/>
          </cell>
        </row>
        <row r="1486">
          <cell r="BP1486" t="str">
            <v/>
          </cell>
        </row>
        <row r="1487">
          <cell r="BP1487" t="str">
            <v/>
          </cell>
        </row>
        <row r="1488">
          <cell r="BP1488" t="str">
            <v/>
          </cell>
        </row>
        <row r="1489">
          <cell r="BP1489" t="str">
            <v/>
          </cell>
        </row>
        <row r="1490">
          <cell r="BP1490" t="str">
            <v/>
          </cell>
        </row>
        <row r="1491">
          <cell r="BP1491" t="str">
            <v/>
          </cell>
        </row>
        <row r="1492">
          <cell r="BP1492" t="str">
            <v/>
          </cell>
        </row>
        <row r="1493">
          <cell r="BP1493" t="str">
            <v/>
          </cell>
        </row>
        <row r="1494">
          <cell r="BP1494" t="str">
            <v/>
          </cell>
        </row>
        <row r="1495">
          <cell r="BP1495" t="str">
            <v/>
          </cell>
        </row>
        <row r="1496">
          <cell r="BP1496" t="str">
            <v/>
          </cell>
        </row>
        <row r="1497">
          <cell r="BP1497" t="str">
            <v/>
          </cell>
        </row>
        <row r="1498">
          <cell r="BP1498" t="str">
            <v/>
          </cell>
        </row>
        <row r="1499">
          <cell r="BP1499" t="str">
            <v/>
          </cell>
        </row>
        <row r="1500">
          <cell r="BP1500" t="str">
            <v/>
          </cell>
        </row>
        <row r="1501">
          <cell r="BP1501" t="str">
            <v/>
          </cell>
        </row>
        <row r="1502">
          <cell r="BP1502" t="str">
            <v/>
          </cell>
        </row>
        <row r="1503">
          <cell r="BP1503" t="str">
            <v/>
          </cell>
        </row>
        <row r="1504">
          <cell r="BP1504" t="str">
            <v/>
          </cell>
        </row>
        <row r="1505">
          <cell r="BP1505" t="str">
            <v/>
          </cell>
        </row>
        <row r="1506">
          <cell r="BP1506" t="str">
            <v/>
          </cell>
        </row>
        <row r="1507">
          <cell r="BP1507" t="str">
            <v/>
          </cell>
        </row>
        <row r="1508">
          <cell r="BP1508" t="str">
            <v/>
          </cell>
        </row>
        <row r="1509">
          <cell r="BP1509" t="str">
            <v/>
          </cell>
        </row>
        <row r="1510">
          <cell r="BP1510" t="str">
            <v/>
          </cell>
        </row>
        <row r="1511">
          <cell r="BP1511" t="str">
            <v/>
          </cell>
        </row>
        <row r="1512">
          <cell r="BP1512" t="str">
            <v/>
          </cell>
        </row>
        <row r="1513">
          <cell r="BP1513" t="str">
            <v/>
          </cell>
        </row>
        <row r="1514">
          <cell r="BP1514" t="str">
            <v/>
          </cell>
        </row>
        <row r="1515">
          <cell r="BP1515" t="str">
            <v/>
          </cell>
        </row>
        <row r="1516">
          <cell r="BP1516" t="str">
            <v/>
          </cell>
        </row>
        <row r="1517">
          <cell r="BP1517" t="str">
            <v/>
          </cell>
        </row>
        <row r="1518">
          <cell r="BP1518" t="str">
            <v/>
          </cell>
        </row>
        <row r="1519">
          <cell r="BP1519" t="str">
            <v/>
          </cell>
        </row>
        <row r="1520">
          <cell r="BP1520" t="str">
            <v/>
          </cell>
        </row>
        <row r="1521">
          <cell r="BP1521" t="str">
            <v/>
          </cell>
        </row>
        <row r="1522">
          <cell r="BP1522" t="str">
            <v/>
          </cell>
        </row>
        <row r="1523">
          <cell r="BP1523" t="str">
            <v/>
          </cell>
        </row>
        <row r="1524">
          <cell r="BP1524" t="str">
            <v/>
          </cell>
        </row>
        <row r="1525">
          <cell r="BP1525" t="str">
            <v/>
          </cell>
        </row>
        <row r="1526">
          <cell r="BP1526" t="str">
            <v/>
          </cell>
        </row>
        <row r="1527">
          <cell r="BP1527" t="str">
            <v/>
          </cell>
        </row>
        <row r="1528">
          <cell r="BP1528" t="str">
            <v/>
          </cell>
        </row>
        <row r="1529">
          <cell r="BP1529" t="str">
            <v/>
          </cell>
        </row>
        <row r="1530">
          <cell r="BP1530" t="str">
            <v/>
          </cell>
        </row>
        <row r="1531">
          <cell r="BP1531" t="str">
            <v/>
          </cell>
        </row>
        <row r="1532">
          <cell r="BP1532" t="str">
            <v/>
          </cell>
        </row>
        <row r="1533">
          <cell r="BP1533" t="str">
            <v/>
          </cell>
        </row>
        <row r="1534">
          <cell r="BP1534" t="str">
            <v/>
          </cell>
        </row>
        <row r="1535">
          <cell r="BP1535" t="str">
            <v/>
          </cell>
        </row>
        <row r="1536">
          <cell r="BP1536" t="str">
            <v/>
          </cell>
        </row>
        <row r="1537">
          <cell r="BP1537" t="str">
            <v/>
          </cell>
        </row>
        <row r="1538">
          <cell r="BP1538" t="str">
            <v/>
          </cell>
        </row>
        <row r="1539">
          <cell r="BP1539" t="str">
            <v/>
          </cell>
        </row>
        <row r="1540">
          <cell r="BP1540" t="str">
            <v/>
          </cell>
        </row>
        <row r="1541">
          <cell r="BP1541" t="str">
            <v/>
          </cell>
        </row>
        <row r="1542">
          <cell r="BP1542" t="str">
            <v/>
          </cell>
        </row>
        <row r="1543">
          <cell r="BP1543" t="str">
            <v/>
          </cell>
        </row>
        <row r="1544">
          <cell r="BP1544" t="str">
            <v/>
          </cell>
        </row>
        <row r="1545">
          <cell r="BP1545" t="str">
            <v/>
          </cell>
        </row>
        <row r="1546">
          <cell r="BP1546" t="str">
            <v/>
          </cell>
        </row>
        <row r="1547">
          <cell r="BP1547" t="str">
            <v/>
          </cell>
        </row>
        <row r="1548">
          <cell r="BP1548" t="str">
            <v/>
          </cell>
        </row>
        <row r="1549">
          <cell r="BP1549" t="str">
            <v/>
          </cell>
        </row>
        <row r="1550">
          <cell r="BP1550" t="str">
            <v/>
          </cell>
        </row>
        <row r="1551">
          <cell r="BP1551" t="str">
            <v/>
          </cell>
        </row>
        <row r="1552">
          <cell r="BP1552" t="str">
            <v/>
          </cell>
        </row>
        <row r="1553">
          <cell r="BP1553" t="str">
            <v/>
          </cell>
        </row>
        <row r="1554">
          <cell r="BP1554" t="str">
            <v/>
          </cell>
        </row>
        <row r="1555">
          <cell r="BP1555" t="str">
            <v/>
          </cell>
        </row>
        <row r="1556">
          <cell r="BP1556" t="str">
            <v/>
          </cell>
        </row>
        <row r="1557">
          <cell r="BP1557" t="str">
            <v/>
          </cell>
        </row>
        <row r="1558">
          <cell r="BP1558" t="str">
            <v/>
          </cell>
        </row>
        <row r="1559">
          <cell r="BP1559" t="str">
            <v/>
          </cell>
        </row>
        <row r="1560">
          <cell r="BP1560" t="str">
            <v/>
          </cell>
        </row>
        <row r="1561">
          <cell r="BP1561" t="str">
            <v/>
          </cell>
        </row>
        <row r="1562">
          <cell r="BP1562" t="str">
            <v/>
          </cell>
        </row>
        <row r="1563">
          <cell r="BP1563" t="str">
            <v/>
          </cell>
        </row>
        <row r="1564">
          <cell r="BP1564" t="str">
            <v/>
          </cell>
        </row>
        <row r="1565">
          <cell r="BP1565" t="str">
            <v/>
          </cell>
        </row>
        <row r="1566">
          <cell r="BP1566" t="str">
            <v/>
          </cell>
        </row>
        <row r="1567">
          <cell r="BP1567" t="str">
            <v/>
          </cell>
        </row>
        <row r="1568">
          <cell r="BP1568" t="str">
            <v/>
          </cell>
        </row>
        <row r="1569">
          <cell r="BP1569" t="str">
            <v/>
          </cell>
        </row>
        <row r="1570">
          <cell r="BP1570" t="str">
            <v/>
          </cell>
        </row>
        <row r="1571">
          <cell r="BP1571" t="str">
            <v/>
          </cell>
        </row>
        <row r="1572">
          <cell r="BP1572" t="str">
            <v/>
          </cell>
        </row>
        <row r="1573">
          <cell r="BP1573" t="str">
            <v/>
          </cell>
        </row>
        <row r="1574">
          <cell r="BP1574" t="str">
            <v/>
          </cell>
        </row>
        <row r="1575">
          <cell r="BP1575" t="str">
            <v/>
          </cell>
        </row>
        <row r="1576">
          <cell r="BP1576" t="str">
            <v/>
          </cell>
        </row>
        <row r="1577">
          <cell r="BP1577" t="str">
            <v/>
          </cell>
        </row>
        <row r="1578">
          <cell r="BP1578" t="str">
            <v/>
          </cell>
        </row>
        <row r="1579">
          <cell r="BP1579" t="str">
            <v/>
          </cell>
        </row>
        <row r="1580">
          <cell r="BP1580" t="str">
            <v/>
          </cell>
        </row>
        <row r="1581">
          <cell r="BP1581" t="str">
            <v/>
          </cell>
        </row>
        <row r="1582">
          <cell r="BP1582" t="str">
            <v/>
          </cell>
        </row>
        <row r="1583">
          <cell r="BP1583" t="str">
            <v/>
          </cell>
        </row>
        <row r="1584">
          <cell r="BP1584" t="str">
            <v/>
          </cell>
        </row>
        <row r="1585">
          <cell r="BP1585" t="str">
            <v/>
          </cell>
        </row>
        <row r="1586">
          <cell r="BP1586" t="str">
            <v/>
          </cell>
        </row>
        <row r="1587">
          <cell r="BP1587" t="str">
            <v/>
          </cell>
        </row>
        <row r="1588">
          <cell r="BP1588" t="str">
            <v/>
          </cell>
        </row>
        <row r="1589">
          <cell r="BP1589" t="str">
            <v/>
          </cell>
        </row>
        <row r="1590">
          <cell r="BP1590" t="str">
            <v/>
          </cell>
        </row>
        <row r="1591">
          <cell r="BP1591" t="str">
            <v/>
          </cell>
        </row>
        <row r="1592">
          <cell r="BP1592" t="str">
            <v/>
          </cell>
        </row>
        <row r="1593">
          <cell r="BP1593" t="str">
            <v/>
          </cell>
        </row>
        <row r="1594">
          <cell r="BP1594" t="str">
            <v/>
          </cell>
        </row>
        <row r="1595">
          <cell r="BP1595" t="str">
            <v/>
          </cell>
        </row>
        <row r="1596">
          <cell r="BP1596" t="str">
            <v/>
          </cell>
        </row>
        <row r="1597">
          <cell r="BP1597" t="str">
            <v/>
          </cell>
        </row>
        <row r="1598">
          <cell r="BP1598" t="str">
            <v/>
          </cell>
        </row>
        <row r="1599">
          <cell r="BP1599" t="str">
            <v/>
          </cell>
        </row>
        <row r="1600">
          <cell r="BP1600" t="str">
            <v/>
          </cell>
        </row>
        <row r="1601">
          <cell r="BP1601" t="str">
            <v/>
          </cell>
        </row>
        <row r="1602">
          <cell r="BP1602" t="str">
            <v/>
          </cell>
        </row>
        <row r="1603">
          <cell r="BP1603" t="str">
            <v/>
          </cell>
        </row>
        <row r="1604">
          <cell r="BP1604" t="str">
            <v/>
          </cell>
        </row>
        <row r="1605">
          <cell r="BP1605" t="str">
            <v/>
          </cell>
        </row>
        <row r="1606">
          <cell r="BP1606" t="str">
            <v/>
          </cell>
        </row>
        <row r="1607">
          <cell r="BP1607" t="str">
            <v/>
          </cell>
        </row>
        <row r="1608">
          <cell r="BP1608" t="str">
            <v/>
          </cell>
        </row>
        <row r="1609">
          <cell r="BP1609" t="str">
            <v/>
          </cell>
        </row>
        <row r="1610">
          <cell r="BP1610" t="str">
            <v/>
          </cell>
        </row>
        <row r="1611">
          <cell r="BP1611" t="str">
            <v/>
          </cell>
        </row>
        <row r="1612">
          <cell r="BP1612" t="str">
            <v/>
          </cell>
        </row>
        <row r="1613">
          <cell r="BP1613" t="str">
            <v/>
          </cell>
        </row>
        <row r="1614">
          <cell r="BP1614" t="str">
            <v/>
          </cell>
        </row>
        <row r="1615">
          <cell r="BP1615" t="str">
            <v/>
          </cell>
        </row>
        <row r="1616">
          <cell r="BP1616" t="str">
            <v/>
          </cell>
        </row>
        <row r="1617">
          <cell r="BP1617" t="str">
            <v/>
          </cell>
        </row>
        <row r="1618">
          <cell r="BP1618" t="str">
            <v/>
          </cell>
        </row>
        <row r="1619">
          <cell r="BP1619" t="str">
            <v/>
          </cell>
        </row>
        <row r="1620">
          <cell r="BP1620" t="str">
            <v/>
          </cell>
        </row>
        <row r="1621">
          <cell r="BP1621" t="str">
            <v/>
          </cell>
        </row>
        <row r="1622">
          <cell r="BP1622" t="str">
            <v/>
          </cell>
        </row>
        <row r="1623">
          <cell r="BP1623" t="str">
            <v/>
          </cell>
        </row>
        <row r="1624">
          <cell r="BP1624" t="str">
            <v/>
          </cell>
        </row>
        <row r="1625">
          <cell r="BP1625" t="str">
            <v/>
          </cell>
        </row>
        <row r="1626">
          <cell r="BP1626" t="str">
            <v/>
          </cell>
        </row>
        <row r="1627">
          <cell r="BP1627" t="str">
            <v/>
          </cell>
        </row>
        <row r="1628">
          <cell r="BP1628" t="str">
            <v/>
          </cell>
        </row>
        <row r="1629">
          <cell r="BP1629" t="str">
            <v/>
          </cell>
        </row>
        <row r="1630">
          <cell r="BP1630" t="str">
            <v/>
          </cell>
        </row>
        <row r="1631">
          <cell r="BP1631" t="str">
            <v/>
          </cell>
        </row>
        <row r="1632">
          <cell r="BP1632" t="str">
            <v/>
          </cell>
        </row>
        <row r="1633">
          <cell r="BP1633" t="str">
            <v/>
          </cell>
        </row>
        <row r="1634">
          <cell r="BP1634" t="str">
            <v/>
          </cell>
        </row>
        <row r="1635">
          <cell r="BP1635" t="str">
            <v/>
          </cell>
        </row>
        <row r="1636">
          <cell r="BP1636" t="str">
            <v/>
          </cell>
        </row>
        <row r="1637">
          <cell r="BP1637" t="str">
            <v/>
          </cell>
        </row>
        <row r="1638">
          <cell r="BP1638" t="str">
            <v/>
          </cell>
        </row>
        <row r="1639">
          <cell r="BP1639" t="str">
            <v/>
          </cell>
        </row>
        <row r="1640">
          <cell r="BP1640" t="str">
            <v/>
          </cell>
        </row>
        <row r="1641">
          <cell r="BP1641" t="str">
            <v/>
          </cell>
        </row>
        <row r="1642">
          <cell r="BP1642" t="str">
            <v/>
          </cell>
        </row>
        <row r="1643">
          <cell r="BP1643" t="str">
            <v/>
          </cell>
        </row>
        <row r="1644">
          <cell r="BP1644" t="str">
            <v/>
          </cell>
        </row>
        <row r="1645">
          <cell r="BP1645" t="str">
            <v/>
          </cell>
        </row>
        <row r="1646">
          <cell r="BP1646" t="str">
            <v/>
          </cell>
        </row>
        <row r="1647">
          <cell r="BP1647" t="str">
            <v/>
          </cell>
        </row>
        <row r="1648">
          <cell r="BP1648" t="str">
            <v/>
          </cell>
        </row>
        <row r="1649">
          <cell r="BP1649" t="str">
            <v/>
          </cell>
        </row>
        <row r="1650">
          <cell r="BP1650" t="str">
            <v/>
          </cell>
        </row>
        <row r="1651">
          <cell r="BP1651" t="str">
            <v/>
          </cell>
        </row>
        <row r="1652">
          <cell r="BP1652" t="str">
            <v/>
          </cell>
        </row>
        <row r="1653">
          <cell r="BP1653" t="str">
            <v/>
          </cell>
        </row>
        <row r="1654">
          <cell r="BP1654" t="str">
            <v/>
          </cell>
        </row>
        <row r="1655">
          <cell r="BP1655" t="str">
            <v/>
          </cell>
        </row>
        <row r="1656">
          <cell r="BP1656" t="str">
            <v/>
          </cell>
        </row>
        <row r="1657">
          <cell r="BP1657" t="str">
            <v/>
          </cell>
        </row>
        <row r="1658">
          <cell r="BP1658" t="str">
            <v/>
          </cell>
        </row>
        <row r="1659">
          <cell r="BP1659" t="str">
            <v/>
          </cell>
        </row>
        <row r="1660">
          <cell r="BP1660" t="str">
            <v/>
          </cell>
        </row>
        <row r="1661">
          <cell r="BP1661" t="str">
            <v/>
          </cell>
        </row>
        <row r="1662">
          <cell r="BP1662" t="str">
            <v/>
          </cell>
        </row>
        <row r="1663">
          <cell r="BP1663" t="str">
            <v/>
          </cell>
        </row>
        <row r="1664">
          <cell r="BP1664" t="str">
            <v/>
          </cell>
        </row>
        <row r="1665">
          <cell r="BP1665" t="str">
            <v/>
          </cell>
        </row>
        <row r="1666">
          <cell r="BP1666" t="str">
            <v/>
          </cell>
        </row>
        <row r="1667">
          <cell r="BP1667" t="str">
            <v/>
          </cell>
        </row>
        <row r="1668">
          <cell r="BP1668" t="str">
            <v/>
          </cell>
        </row>
        <row r="1669">
          <cell r="BP1669" t="str">
            <v/>
          </cell>
        </row>
        <row r="1670">
          <cell r="BP1670" t="str">
            <v/>
          </cell>
        </row>
        <row r="1671">
          <cell r="BP1671" t="str">
            <v/>
          </cell>
        </row>
        <row r="1672">
          <cell r="BP1672" t="str">
            <v/>
          </cell>
        </row>
        <row r="1673">
          <cell r="BP1673" t="str">
            <v/>
          </cell>
        </row>
        <row r="1674">
          <cell r="BP1674" t="str">
            <v/>
          </cell>
        </row>
        <row r="1675">
          <cell r="BP1675" t="str">
            <v/>
          </cell>
        </row>
        <row r="1676">
          <cell r="BP1676" t="str">
            <v/>
          </cell>
        </row>
        <row r="1677">
          <cell r="BP1677" t="str">
            <v/>
          </cell>
        </row>
        <row r="1678">
          <cell r="BP1678" t="str">
            <v/>
          </cell>
        </row>
        <row r="1679">
          <cell r="BP1679" t="str">
            <v/>
          </cell>
        </row>
        <row r="1680">
          <cell r="BP1680" t="str">
            <v/>
          </cell>
        </row>
        <row r="1681">
          <cell r="BP1681" t="str">
            <v/>
          </cell>
        </row>
        <row r="1682">
          <cell r="BP1682" t="str">
            <v/>
          </cell>
        </row>
        <row r="1683">
          <cell r="BP1683" t="str">
            <v/>
          </cell>
        </row>
        <row r="1684">
          <cell r="BP1684" t="str">
            <v/>
          </cell>
        </row>
        <row r="1685">
          <cell r="BP1685" t="str">
            <v/>
          </cell>
        </row>
        <row r="1686">
          <cell r="BP1686" t="str">
            <v/>
          </cell>
        </row>
        <row r="1687">
          <cell r="BP1687" t="str">
            <v/>
          </cell>
        </row>
        <row r="1688">
          <cell r="BP1688" t="str">
            <v/>
          </cell>
        </row>
        <row r="1689">
          <cell r="BP1689" t="str">
            <v/>
          </cell>
        </row>
        <row r="1690">
          <cell r="BP1690" t="str">
            <v/>
          </cell>
        </row>
        <row r="1691">
          <cell r="BP1691" t="str">
            <v/>
          </cell>
        </row>
        <row r="1692">
          <cell r="BP1692" t="str">
            <v/>
          </cell>
        </row>
        <row r="1693">
          <cell r="BP1693" t="str">
            <v/>
          </cell>
        </row>
        <row r="1694">
          <cell r="BP1694" t="str">
            <v/>
          </cell>
        </row>
        <row r="1695">
          <cell r="BP1695" t="str">
            <v/>
          </cell>
        </row>
        <row r="1696">
          <cell r="BP1696" t="str">
            <v/>
          </cell>
        </row>
        <row r="1697">
          <cell r="BP1697" t="str">
            <v/>
          </cell>
        </row>
        <row r="1698">
          <cell r="BP1698" t="str">
            <v/>
          </cell>
        </row>
        <row r="1699">
          <cell r="BP1699" t="str">
            <v/>
          </cell>
        </row>
        <row r="1700">
          <cell r="BP1700" t="str">
            <v/>
          </cell>
        </row>
        <row r="1701">
          <cell r="BP1701" t="str">
            <v/>
          </cell>
        </row>
        <row r="1702">
          <cell r="BP1702" t="str">
            <v/>
          </cell>
        </row>
        <row r="1703">
          <cell r="BP1703" t="str">
            <v/>
          </cell>
        </row>
        <row r="1704">
          <cell r="BP1704" t="str">
            <v/>
          </cell>
        </row>
        <row r="1705">
          <cell r="BP1705" t="str">
            <v/>
          </cell>
        </row>
        <row r="1706">
          <cell r="BP1706" t="str">
            <v/>
          </cell>
        </row>
        <row r="1707">
          <cell r="BP1707" t="str">
            <v/>
          </cell>
        </row>
        <row r="1708">
          <cell r="BP1708" t="str">
            <v/>
          </cell>
        </row>
        <row r="1709">
          <cell r="BP1709" t="str">
            <v/>
          </cell>
        </row>
        <row r="1710">
          <cell r="BP1710" t="str">
            <v/>
          </cell>
        </row>
        <row r="1711">
          <cell r="BP1711" t="str">
            <v/>
          </cell>
        </row>
        <row r="1712">
          <cell r="BP1712" t="str">
            <v/>
          </cell>
        </row>
        <row r="1713">
          <cell r="BP1713" t="str">
            <v/>
          </cell>
        </row>
        <row r="1714">
          <cell r="BP1714" t="str">
            <v/>
          </cell>
        </row>
        <row r="1715">
          <cell r="BP1715" t="str">
            <v/>
          </cell>
        </row>
        <row r="1716">
          <cell r="BP1716" t="str">
            <v/>
          </cell>
        </row>
        <row r="1717">
          <cell r="BP1717" t="str">
            <v/>
          </cell>
        </row>
        <row r="1718">
          <cell r="BP1718" t="str">
            <v/>
          </cell>
        </row>
        <row r="1719">
          <cell r="BP1719" t="str">
            <v/>
          </cell>
        </row>
        <row r="1720">
          <cell r="BP1720" t="str">
            <v/>
          </cell>
        </row>
        <row r="1721">
          <cell r="BP1721" t="str">
            <v/>
          </cell>
        </row>
        <row r="1722">
          <cell r="BP1722" t="str">
            <v/>
          </cell>
        </row>
        <row r="1723">
          <cell r="BP1723" t="str">
            <v/>
          </cell>
        </row>
        <row r="1724">
          <cell r="BP1724" t="str">
            <v/>
          </cell>
        </row>
        <row r="1725">
          <cell r="BP1725" t="str">
            <v/>
          </cell>
        </row>
        <row r="1726">
          <cell r="BP1726" t="str">
            <v/>
          </cell>
        </row>
        <row r="1727">
          <cell r="BP1727" t="str">
            <v/>
          </cell>
        </row>
        <row r="1728">
          <cell r="BP1728" t="str">
            <v/>
          </cell>
        </row>
        <row r="1729">
          <cell r="BP1729" t="str">
            <v/>
          </cell>
        </row>
        <row r="1730">
          <cell r="BP1730" t="str">
            <v/>
          </cell>
        </row>
        <row r="1731">
          <cell r="BP1731" t="str">
            <v/>
          </cell>
        </row>
        <row r="1732">
          <cell r="BP1732" t="str">
            <v/>
          </cell>
        </row>
        <row r="1733">
          <cell r="BP1733" t="str">
            <v/>
          </cell>
        </row>
        <row r="1734">
          <cell r="BP1734" t="str">
            <v/>
          </cell>
        </row>
        <row r="1735">
          <cell r="BP1735" t="str">
            <v/>
          </cell>
        </row>
        <row r="1736">
          <cell r="BP1736" t="str">
            <v/>
          </cell>
        </row>
        <row r="1737">
          <cell r="BP1737" t="str">
            <v/>
          </cell>
        </row>
        <row r="1738">
          <cell r="BP1738" t="str">
            <v/>
          </cell>
        </row>
        <row r="1739">
          <cell r="BP1739" t="str">
            <v/>
          </cell>
        </row>
        <row r="1740">
          <cell r="BP1740" t="str">
            <v/>
          </cell>
        </row>
        <row r="1741">
          <cell r="BP1741" t="str">
            <v/>
          </cell>
        </row>
        <row r="1742">
          <cell r="BP1742" t="str">
            <v/>
          </cell>
        </row>
        <row r="1743">
          <cell r="BP1743" t="str">
            <v/>
          </cell>
        </row>
        <row r="1744">
          <cell r="BP1744" t="str">
            <v/>
          </cell>
        </row>
        <row r="1745">
          <cell r="BP1745" t="str">
            <v/>
          </cell>
        </row>
        <row r="1746">
          <cell r="BP1746" t="str">
            <v/>
          </cell>
        </row>
        <row r="1747">
          <cell r="BP1747" t="str">
            <v/>
          </cell>
        </row>
        <row r="1748">
          <cell r="BP1748" t="str">
            <v/>
          </cell>
        </row>
        <row r="1749">
          <cell r="BP1749" t="str">
            <v/>
          </cell>
        </row>
        <row r="1750">
          <cell r="BP1750" t="str">
            <v/>
          </cell>
        </row>
        <row r="1751">
          <cell r="BP1751" t="str">
            <v/>
          </cell>
        </row>
        <row r="1752">
          <cell r="BP1752" t="str">
            <v/>
          </cell>
        </row>
        <row r="1753">
          <cell r="BP1753" t="str">
            <v/>
          </cell>
        </row>
        <row r="1754">
          <cell r="BP1754" t="str">
            <v/>
          </cell>
        </row>
        <row r="1755">
          <cell r="BP1755" t="str">
            <v/>
          </cell>
        </row>
        <row r="1756">
          <cell r="BP1756" t="str">
            <v/>
          </cell>
        </row>
        <row r="1757">
          <cell r="BP1757" t="str">
            <v/>
          </cell>
        </row>
        <row r="1758">
          <cell r="BP1758" t="str">
            <v/>
          </cell>
        </row>
        <row r="1759">
          <cell r="BP1759" t="str">
            <v/>
          </cell>
        </row>
        <row r="1760">
          <cell r="BP1760" t="str">
            <v/>
          </cell>
        </row>
        <row r="1761">
          <cell r="BP1761" t="str">
            <v/>
          </cell>
        </row>
        <row r="1762">
          <cell r="BP1762" t="str">
            <v/>
          </cell>
        </row>
        <row r="1763">
          <cell r="BP1763" t="str">
            <v/>
          </cell>
        </row>
        <row r="1764">
          <cell r="BP1764" t="str">
            <v/>
          </cell>
        </row>
        <row r="1765">
          <cell r="BP1765" t="str">
            <v/>
          </cell>
        </row>
        <row r="1766">
          <cell r="BP1766" t="str">
            <v/>
          </cell>
        </row>
        <row r="1767">
          <cell r="BP1767" t="str">
            <v/>
          </cell>
        </row>
        <row r="1768">
          <cell r="BP1768" t="str">
            <v/>
          </cell>
        </row>
        <row r="1769">
          <cell r="BP1769" t="str">
            <v/>
          </cell>
        </row>
        <row r="1770">
          <cell r="BP1770" t="str">
            <v/>
          </cell>
        </row>
        <row r="1771">
          <cell r="BP1771" t="str">
            <v/>
          </cell>
        </row>
        <row r="1772">
          <cell r="BP1772" t="str">
            <v/>
          </cell>
        </row>
        <row r="1773">
          <cell r="BP1773" t="str">
            <v/>
          </cell>
        </row>
        <row r="1774">
          <cell r="BP1774" t="str">
            <v/>
          </cell>
        </row>
        <row r="1775">
          <cell r="BP1775" t="str">
            <v/>
          </cell>
        </row>
        <row r="1776">
          <cell r="BP1776" t="str">
            <v/>
          </cell>
        </row>
        <row r="1777">
          <cell r="BP1777" t="str">
            <v/>
          </cell>
        </row>
        <row r="1778">
          <cell r="BP1778" t="str">
            <v/>
          </cell>
        </row>
        <row r="1779">
          <cell r="BP1779" t="str">
            <v/>
          </cell>
        </row>
        <row r="1780">
          <cell r="BP1780" t="str">
            <v/>
          </cell>
        </row>
        <row r="1781">
          <cell r="BP1781" t="str">
            <v/>
          </cell>
        </row>
        <row r="1782">
          <cell r="BP1782" t="str">
            <v/>
          </cell>
        </row>
        <row r="1783">
          <cell r="BP1783" t="str">
            <v/>
          </cell>
        </row>
        <row r="1784">
          <cell r="BP1784" t="str">
            <v/>
          </cell>
        </row>
        <row r="1785">
          <cell r="BP1785" t="str">
            <v/>
          </cell>
        </row>
        <row r="1786">
          <cell r="BP1786" t="str">
            <v/>
          </cell>
        </row>
        <row r="1787">
          <cell r="BP1787" t="str">
            <v/>
          </cell>
        </row>
        <row r="1788">
          <cell r="BP1788" t="str">
            <v/>
          </cell>
        </row>
        <row r="1789">
          <cell r="BP1789" t="str">
            <v/>
          </cell>
        </row>
        <row r="1790">
          <cell r="BP1790" t="str">
            <v/>
          </cell>
        </row>
        <row r="1791">
          <cell r="BP1791" t="str">
            <v/>
          </cell>
        </row>
        <row r="1792">
          <cell r="BP1792" t="str">
            <v/>
          </cell>
        </row>
        <row r="1793">
          <cell r="BP1793" t="str">
            <v/>
          </cell>
        </row>
        <row r="1794">
          <cell r="BP1794" t="str">
            <v/>
          </cell>
        </row>
        <row r="1795">
          <cell r="BP1795" t="str">
            <v/>
          </cell>
        </row>
        <row r="1796">
          <cell r="BP1796" t="str">
            <v/>
          </cell>
        </row>
        <row r="1797">
          <cell r="BP1797" t="str">
            <v/>
          </cell>
        </row>
        <row r="1798">
          <cell r="BP1798" t="str">
            <v/>
          </cell>
        </row>
        <row r="1799">
          <cell r="BP1799" t="str">
            <v/>
          </cell>
        </row>
        <row r="1800">
          <cell r="BP1800" t="str">
            <v/>
          </cell>
        </row>
        <row r="1801">
          <cell r="BP1801" t="str">
            <v/>
          </cell>
        </row>
        <row r="1802">
          <cell r="BP1802" t="str">
            <v/>
          </cell>
        </row>
        <row r="1803">
          <cell r="BP1803" t="str">
            <v/>
          </cell>
        </row>
        <row r="1804">
          <cell r="BP1804" t="str">
            <v/>
          </cell>
        </row>
        <row r="1805">
          <cell r="BP1805" t="str">
            <v/>
          </cell>
        </row>
        <row r="1806">
          <cell r="BP1806" t="str">
            <v/>
          </cell>
        </row>
        <row r="1807">
          <cell r="BP1807" t="str">
            <v/>
          </cell>
        </row>
        <row r="1808">
          <cell r="BP1808" t="str">
            <v/>
          </cell>
        </row>
        <row r="1809">
          <cell r="BP1809" t="str">
            <v/>
          </cell>
        </row>
        <row r="1810">
          <cell r="BP1810" t="str">
            <v/>
          </cell>
        </row>
        <row r="1811">
          <cell r="BP1811" t="str">
            <v/>
          </cell>
        </row>
        <row r="1812">
          <cell r="BP1812" t="str">
            <v/>
          </cell>
        </row>
        <row r="1813">
          <cell r="BP1813" t="str">
            <v/>
          </cell>
        </row>
        <row r="1814">
          <cell r="BP1814" t="str">
            <v/>
          </cell>
        </row>
        <row r="1815">
          <cell r="BP1815" t="str">
            <v/>
          </cell>
        </row>
        <row r="1816">
          <cell r="BP1816" t="str">
            <v/>
          </cell>
        </row>
        <row r="1817">
          <cell r="BP1817" t="str">
            <v/>
          </cell>
        </row>
        <row r="1818">
          <cell r="BP1818" t="str">
            <v/>
          </cell>
        </row>
        <row r="1819">
          <cell r="BP1819" t="str">
            <v/>
          </cell>
        </row>
        <row r="1820">
          <cell r="BP1820" t="str">
            <v/>
          </cell>
        </row>
        <row r="1821">
          <cell r="BP1821" t="str">
            <v/>
          </cell>
        </row>
        <row r="1822">
          <cell r="BP1822" t="str">
            <v/>
          </cell>
        </row>
        <row r="1823">
          <cell r="BP1823" t="str">
            <v/>
          </cell>
        </row>
        <row r="1824">
          <cell r="BP1824" t="str">
            <v/>
          </cell>
        </row>
        <row r="1825">
          <cell r="BP1825" t="str">
            <v/>
          </cell>
        </row>
        <row r="1826">
          <cell r="BP1826" t="str">
            <v/>
          </cell>
        </row>
        <row r="1827">
          <cell r="BP1827" t="str">
            <v/>
          </cell>
        </row>
        <row r="1828">
          <cell r="BP1828" t="str">
            <v/>
          </cell>
        </row>
        <row r="1829">
          <cell r="BP1829" t="str">
            <v/>
          </cell>
        </row>
        <row r="1830">
          <cell r="BP1830" t="str">
            <v/>
          </cell>
        </row>
        <row r="1831">
          <cell r="BP1831" t="str">
            <v/>
          </cell>
        </row>
        <row r="1832">
          <cell r="BP1832" t="str">
            <v/>
          </cell>
        </row>
        <row r="1833">
          <cell r="BP1833" t="str">
            <v/>
          </cell>
        </row>
        <row r="1834">
          <cell r="BP1834" t="str">
            <v/>
          </cell>
        </row>
        <row r="1835">
          <cell r="BP1835" t="str">
            <v/>
          </cell>
        </row>
        <row r="1836">
          <cell r="BP1836" t="str">
            <v/>
          </cell>
        </row>
        <row r="1837">
          <cell r="BP1837" t="str">
            <v/>
          </cell>
        </row>
        <row r="1838">
          <cell r="BP1838" t="str">
            <v/>
          </cell>
        </row>
        <row r="1839">
          <cell r="BP1839" t="str">
            <v/>
          </cell>
        </row>
        <row r="1840">
          <cell r="BP1840" t="str">
            <v/>
          </cell>
        </row>
        <row r="1841">
          <cell r="BP1841" t="str">
            <v/>
          </cell>
        </row>
        <row r="1842">
          <cell r="BP1842" t="str">
            <v/>
          </cell>
        </row>
        <row r="1843">
          <cell r="BP1843" t="str">
            <v/>
          </cell>
        </row>
        <row r="1844">
          <cell r="BP1844" t="str">
            <v/>
          </cell>
        </row>
        <row r="1845">
          <cell r="BP1845" t="str">
            <v/>
          </cell>
        </row>
        <row r="1846">
          <cell r="BP1846" t="str">
            <v/>
          </cell>
        </row>
        <row r="1847">
          <cell r="BP1847" t="str">
            <v/>
          </cell>
        </row>
        <row r="1848">
          <cell r="BP1848" t="str">
            <v/>
          </cell>
        </row>
        <row r="1849">
          <cell r="BP1849" t="str">
            <v/>
          </cell>
        </row>
        <row r="1850">
          <cell r="BP1850" t="str">
            <v/>
          </cell>
        </row>
        <row r="1851">
          <cell r="BP1851" t="str">
            <v/>
          </cell>
        </row>
        <row r="1852">
          <cell r="BP1852" t="str">
            <v/>
          </cell>
        </row>
        <row r="1853">
          <cell r="BP1853" t="str">
            <v/>
          </cell>
        </row>
        <row r="1854">
          <cell r="BP1854" t="str">
            <v/>
          </cell>
        </row>
        <row r="1855">
          <cell r="BP1855" t="str">
            <v/>
          </cell>
        </row>
        <row r="1856">
          <cell r="BP1856" t="str">
            <v/>
          </cell>
        </row>
        <row r="1857">
          <cell r="BP1857" t="str">
            <v/>
          </cell>
        </row>
        <row r="1858">
          <cell r="BP1858" t="str">
            <v/>
          </cell>
        </row>
        <row r="1859">
          <cell r="BP1859" t="str">
            <v/>
          </cell>
        </row>
        <row r="1860">
          <cell r="BP1860" t="str">
            <v/>
          </cell>
        </row>
        <row r="1861">
          <cell r="BP1861" t="str">
            <v/>
          </cell>
        </row>
        <row r="1862">
          <cell r="BP1862" t="str">
            <v/>
          </cell>
        </row>
        <row r="1863">
          <cell r="BP1863" t="str">
            <v/>
          </cell>
        </row>
        <row r="1864">
          <cell r="BP1864" t="str">
            <v/>
          </cell>
        </row>
        <row r="1865">
          <cell r="BP1865" t="str">
            <v/>
          </cell>
        </row>
        <row r="1866">
          <cell r="BP1866" t="str">
            <v/>
          </cell>
        </row>
        <row r="1867">
          <cell r="BP1867" t="str">
            <v/>
          </cell>
        </row>
        <row r="1868">
          <cell r="BP1868" t="str">
            <v/>
          </cell>
        </row>
        <row r="1869">
          <cell r="BP1869" t="str">
            <v/>
          </cell>
        </row>
        <row r="1870">
          <cell r="BP1870" t="str">
            <v/>
          </cell>
        </row>
        <row r="1871">
          <cell r="BP1871" t="str">
            <v/>
          </cell>
        </row>
        <row r="1872">
          <cell r="BP1872" t="str">
            <v/>
          </cell>
        </row>
        <row r="1873">
          <cell r="BP1873" t="str">
            <v/>
          </cell>
        </row>
        <row r="1874">
          <cell r="BP1874" t="str">
            <v/>
          </cell>
        </row>
        <row r="1875">
          <cell r="BP1875" t="str">
            <v/>
          </cell>
        </row>
        <row r="1876">
          <cell r="BP1876" t="str">
            <v/>
          </cell>
        </row>
        <row r="1877">
          <cell r="BP1877" t="str">
            <v/>
          </cell>
        </row>
        <row r="1878">
          <cell r="BP1878" t="str">
            <v/>
          </cell>
        </row>
        <row r="1879">
          <cell r="BP1879" t="str">
            <v/>
          </cell>
        </row>
        <row r="1880">
          <cell r="BP1880" t="str">
            <v/>
          </cell>
        </row>
        <row r="1881">
          <cell r="BP1881" t="str">
            <v/>
          </cell>
        </row>
        <row r="1882">
          <cell r="BP1882" t="str">
            <v/>
          </cell>
        </row>
        <row r="1883">
          <cell r="BP1883" t="str">
            <v/>
          </cell>
        </row>
        <row r="1884">
          <cell r="BP1884" t="str">
            <v/>
          </cell>
        </row>
        <row r="1885">
          <cell r="BP1885" t="str">
            <v/>
          </cell>
        </row>
        <row r="1886">
          <cell r="BP1886" t="str">
            <v/>
          </cell>
        </row>
        <row r="1887">
          <cell r="BP1887" t="str">
            <v/>
          </cell>
        </row>
        <row r="1888">
          <cell r="BP1888" t="str">
            <v/>
          </cell>
        </row>
        <row r="1889">
          <cell r="BP1889" t="str">
            <v/>
          </cell>
        </row>
        <row r="1890">
          <cell r="BP1890" t="str">
            <v/>
          </cell>
        </row>
        <row r="1891">
          <cell r="BP1891" t="str">
            <v/>
          </cell>
        </row>
        <row r="1892">
          <cell r="BP1892" t="str">
            <v/>
          </cell>
        </row>
        <row r="1893">
          <cell r="BP1893" t="str">
            <v/>
          </cell>
        </row>
        <row r="1894">
          <cell r="BP1894" t="str">
            <v/>
          </cell>
        </row>
        <row r="1895">
          <cell r="BP1895" t="str">
            <v/>
          </cell>
        </row>
        <row r="1896">
          <cell r="BP1896" t="str">
            <v/>
          </cell>
        </row>
        <row r="1897">
          <cell r="BP1897" t="str">
            <v/>
          </cell>
        </row>
        <row r="1898">
          <cell r="BP1898" t="str">
            <v/>
          </cell>
        </row>
        <row r="1899">
          <cell r="BP1899" t="str">
            <v/>
          </cell>
        </row>
        <row r="1900">
          <cell r="BP1900" t="str">
            <v/>
          </cell>
        </row>
        <row r="1901">
          <cell r="BP1901" t="str">
            <v/>
          </cell>
        </row>
        <row r="1902">
          <cell r="BP1902" t="str">
            <v/>
          </cell>
        </row>
        <row r="1903">
          <cell r="BP1903" t="str">
            <v/>
          </cell>
        </row>
        <row r="1904">
          <cell r="BP1904" t="str">
            <v/>
          </cell>
        </row>
        <row r="1905">
          <cell r="BP1905" t="str">
            <v/>
          </cell>
        </row>
        <row r="1906">
          <cell r="BP1906" t="str">
            <v/>
          </cell>
        </row>
        <row r="1907">
          <cell r="BP1907" t="str">
            <v/>
          </cell>
        </row>
        <row r="1908">
          <cell r="BP1908" t="str">
            <v/>
          </cell>
        </row>
        <row r="1909">
          <cell r="BP1909" t="str">
            <v/>
          </cell>
        </row>
        <row r="1910">
          <cell r="BP1910" t="str">
            <v/>
          </cell>
        </row>
        <row r="1911">
          <cell r="BP1911" t="str">
            <v/>
          </cell>
        </row>
        <row r="1912">
          <cell r="BP1912" t="str">
            <v/>
          </cell>
        </row>
        <row r="1913">
          <cell r="BP1913" t="str">
            <v/>
          </cell>
        </row>
        <row r="1914">
          <cell r="BP1914" t="str">
            <v/>
          </cell>
        </row>
        <row r="1915">
          <cell r="BP1915" t="str">
            <v/>
          </cell>
        </row>
        <row r="1916">
          <cell r="BP1916" t="str">
            <v/>
          </cell>
        </row>
        <row r="1917">
          <cell r="BP1917" t="str">
            <v/>
          </cell>
        </row>
        <row r="1918">
          <cell r="BP1918" t="str">
            <v/>
          </cell>
        </row>
        <row r="1919">
          <cell r="BP1919" t="str">
            <v/>
          </cell>
        </row>
        <row r="1920">
          <cell r="BP1920" t="str">
            <v/>
          </cell>
        </row>
        <row r="1921">
          <cell r="BP1921" t="str">
            <v/>
          </cell>
        </row>
        <row r="1922">
          <cell r="BP1922" t="str">
            <v/>
          </cell>
        </row>
        <row r="1923">
          <cell r="BP1923" t="str">
            <v/>
          </cell>
        </row>
        <row r="1924">
          <cell r="BP1924" t="str">
            <v/>
          </cell>
        </row>
        <row r="1925">
          <cell r="BP1925" t="str">
            <v/>
          </cell>
        </row>
        <row r="1926">
          <cell r="BP1926" t="str">
            <v/>
          </cell>
        </row>
        <row r="1927">
          <cell r="BP1927" t="str">
            <v/>
          </cell>
        </row>
        <row r="1928">
          <cell r="BP1928" t="str">
            <v/>
          </cell>
        </row>
        <row r="1929">
          <cell r="BP1929" t="str">
            <v/>
          </cell>
        </row>
        <row r="1930">
          <cell r="BP1930" t="str">
            <v/>
          </cell>
        </row>
        <row r="1931">
          <cell r="BP1931" t="str">
            <v/>
          </cell>
        </row>
        <row r="1932">
          <cell r="BP1932" t="str">
            <v/>
          </cell>
        </row>
        <row r="1933">
          <cell r="BP1933" t="str">
            <v/>
          </cell>
        </row>
        <row r="1934">
          <cell r="BP1934" t="str">
            <v/>
          </cell>
        </row>
        <row r="1935">
          <cell r="BP1935" t="str">
            <v/>
          </cell>
        </row>
        <row r="1936">
          <cell r="BP1936" t="str">
            <v/>
          </cell>
        </row>
        <row r="1937">
          <cell r="BP1937" t="str">
            <v/>
          </cell>
        </row>
        <row r="1938">
          <cell r="BP1938" t="str">
            <v/>
          </cell>
        </row>
        <row r="1939">
          <cell r="BP1939" t="str">
            <v/>
          </cell>
        </row>
        <row r="1940">
          <cell r="BP1940" t="str">
            <v/>
          </cell>
        </row>
        <row r="1941">
          <cell r="BP1941" t="str">
            <v/>
          </cell>
        </row>
        <row r="1942">
          <cell r="BP1942" t="str">
            <v/>
          </cell>
        </row>
        <row r="1943">
          <cell r="BP1943" t="str">
            <v/>
          </cell>
        </row>
        <row r="1944">
          <cell r="BP1944" t="str">
            <v/>
          </cell>
        </row>
        <row r="1945">
          <cell r="BP1945" t="str">
            <v/>
          </cell>
        </row>
        <row r="1946">
          <cell r="BP1946" t="str">
            <v/>
          </cell>
        </row>
        <row r="1947">
          <cell r="BP1947" t="str">
            <v/>
          </cell>
        </row>
        <row r="1948">
          <cell r="BP1948" t="str">
            <v/>
          </cell>
        </row>
        <row r="1949">
          <cell r="BP1949" t="str">
            <v/>
          </cell>
        </row>
        <row r="1950">
          <cell r="BP1950" t="str">
            <v/>
          </cell>
        </row>
        <row r="1951">
          <cell r="BP1951" t="str">
            <v/>
          </cell>
        </row>
        <row r="1952">
          <cell r="BP1952" t="str">
            <v/>
          </cell>
        </row>
        <row r="1953">
          <cell r="BP1953" t="str">
            <v/>
          </cell>
        </row>
        <row r="1954">
          <cell r="BP1954" t="str">
            <v/>
          </cell>
        </row>
        <row r="1955">
          <cell r="BP1955" t="str">
            <v/>
          </cell>
        </row>
        <row r="1956">
          <cell r="BP1956" t="str">
            <v/>
          </cell>
        </row>
        <row r="1957">
          <cell r="BP1957" t="str">
            <v/>
          </cell>
        </row>
        <row r="1958">
          <cell r="BP1958" t="str">
            <v/>
          </cell>
        </row>
        <row r="1959">
          <cell r="BP1959" t="str">
            <v/>
          </cell>
        </row>
        <row r="1960">
          <cell r="BP1960" t="str">
            <v/>
          </cell>
        </row>
        <row r="1961">
          <cell r="BP1961" t="str">
            <v/>
          </cell>
        </row>
        <row r="1962">
          <cell r="BP1962" t="str">
            <v/>
          </cell>
        </row>
        <row r="1963">
          <cell r="BP1963" t="str">
            <v/>
          </cell>
        </row>
        <row r="1964">
          <cell r="BP1964" t="str">
            <v/>
          </cell>
        </row>
        <row r="1965">
          <cell r="BP1965" t="str">
            <v/>
          </cell>
        </row>
        <row r="1966">
          <cell r="BP1966" t="str">
            <v/>
          </cell>
        </row>
        <row r="1967">
          <cell r="BP1967" t="str">
            <v/>
          </cell>
        </row>
        <row r="1968">
          <cell r="BP1968" t="str">
            <v/>
          </cell>
        </row>
        <row r="1969">
          <cell r="BP1969" t="str">
            <v/>
          </cell>
        </row>
        <row r="1970">
          <cell r="BP1970" t="str">
            <v/>
          </cell>
        </row>
        <row r="1971">
          <cell r="BP1971" t="str">
            <v/>
          </cell>
        </row>
        <row r="1972">
          <cell r="BP1972" t="str">
            <v/>
          </cell>
        </row>
        <row r="1973">
          <cell r="BP1973" t="str">
            <v/>
          </cell>
        </row>
        <row r="1974">
          <cell r="BP1974" t="str">
            <v/>
          </cell>
        </row>
        <row r="1975">
          <cell r="BP1975" t="str">
            <v/>
          </cell>
        </row>
        <row r="1976">
          <cell r="BP1976" t="str">
            <v/>
          </cell>
        </row>
        <row r="1977">
          <cell r="BP1977" t="str">
            <v/>
          </cell>
        </row>
        <row r="1978">
          <cell r="BP1978" t="str">
            <v/>
          </cell>
        </row>
        <row r="1979">
          <cell r="BP1979" t="str">
            <v/>
          </cell>
        </row>
        <row r="1980">
          <cell r="BP1980" t="str">
            <v/>
          </cell>
        </row>
        <row r="1981">
          <cell r="BP1981" t="str">
            <v/>
          </cell>
        </row>
        <row r="1982">
          <cell r="BP1982" t="str">
            <v/>
          </cell>
        </row>
        <row r="1983">
          <cell r="BP1983" t="str">
            <v/>
          </cell>
        </row>
        <row r="1984">
          <cell r="BP1984" t="str">
            <v/>
          </cell>
        </row>
        <row r="1985">
          <cell r="BP1985" t="str">
            <v/>
          </cell>
        </row>
        <row r="1986">
          <cell r="BP1986" t="str">
            <v/>
          </cell>
        </row>
        <row r="1987">
          <cell r="BP1987" t="str">
            <v/>
          </cell>
        </row>
        <row r="1988">
          <cell r="BP1988" t="str">
            <v/>
          </cell>
        </row>
        <row r="1989">
          <cell r="BP1989" t="str">
            <v/>
          </cell>
        </row>
        <row r="1990">
          <cell r="BP1990" t="str">
            <v/>
          </cell>
        </row>
        <row r="1991">
          <cell r="BP1991" t="str">
            <v/>
          </cell>
        </row>
        <row r="1992">
          <cell r="BP1992" t="str">
            <v/>
          </cell>
        </row>
        <row r="1993">
          <cell r="BP1993" t="str">
            <v/>
          </cell>
        </row>
        <row r="1994">
          <cell r="BP1994" t="str">
            <v/>
          </cell>
        </row>
        <row r="1995">
          <cell r="BP1995" t="str">
            <v/>
          </cell>
        </row>
        <row r="1996">
          <cell r="BP1996" t="str">
            <v/>
          </cell>
        </row>
        <row r="1997">
          <cell r="BP1997" t="str">
            <v/>
          </cell>
        </row>
        <row r="1998">
          <cell r="BP1998" t="str">
            <v/>
          </cell>
        </row>
        <row r="1999">
          <cell r="BP1999" t="str">
            <v/>
          </cell>
        </row>
        <row r="2000">
          <cell r="BP2000" t="str">
            <v/>
          </cell>
        </row>
        <row r="2001">
          <cell r="BP2001" t="str">
            <v/>
          </cell>
        </row>
        <row r="2002">
          <cell r="BP2002" t="str">
            <v/>
          </cell>
        </row>
        <row r="2003">
          <cell r="BP2003" t="str">
            <v/>
          </cell>
        </row>
        <row r="2004">
          <cell r="BP2004" t="str">
            <v/>
          </cell>
        </row>
        <row r="2005">
          <cell r="BP2005" t="str">
            <v/>
          </cell>
        </row>
        <row r="2006">
          <cell r="BP2006" t="str">
            <v/>
          </cell>
        </row>
        <row r="2007">
          <cell r="BP2007" t="str">
            <v/>
          </cell>
        </row>
        <row r="2008">
          <cell r="BP2008" t="str">
            <v/>
          </cell>
        </row>
        <row r="2009">
          <cell r="BP2009" t="str">
            <v/>
          </cell>
        </row>
        <row r="2010">
          <cell r="BP2010" t="str">
            <v/>
          </cell>
        </row>
        <row r="2011">
          <cell r="BP2011" t="str">
            <v/>
          </cell>
        </row>
        <row r="2012">
          <cell r="BP2012" t="str">
            <v/>
          </cell>
        </row>
        <row r="2013">
          <cell r="BP2013" t="str">
            <v/>
          </cell>
        </row>
        <row r="2014">
          <cell r="BP2014" t="str">
            <v/>
          </cell>
        </row>
        <row r="2015">
          <cell r="BP2015" t="str">
            <v/>
          </cell>
        </row>
        <row r="2016">
          <cell r="BP2016" t="str">
            <v/>
          </cell>
        </row>
        <row r="2017">
          <cell r="BP2017" t="str">
            <v/>
          </cell>
        </row>
        <row r="2018">
          <cell r="BP2018" t="str">
            <v/>
          </cell>
        </row>
        <row r="2019">
          <cell r="BP2019" t="str">
            <v/>
          </cell>
        </row>
        <row r="2020">
          <cell r="BP2020" t="str">
            <v/>
          </cell>
        </row>
        <row r="2021">
          <cell r="BP2021" t="str">
            <v/>
          </cell>
        </row>
        <row r="2022">
          <cell r="BP2022" t="str">
            <v/>
          </cell>
        </row>
        <row r="2023">
          <cell r="BP2023" t="str">
            <v/>
          </cell>
        </row>
        <row r="2024">
          <cell r="BP2024" t="str">
            <v/>
          </cell>
        </row>
        <row r="2025">
          <cell r="BP2025" t="str">
            <v/>
          </cell>
        </row>
        <row r="2026">
          <cell r="BP2026" t="str">
            <v/>
          </cell>
        </row>
        <row r="2027">
          <cell r="BP2027" t="str">
            <v/>
          </cell>
        </row>
        <row r="2028">
          <cell r="BP2028" t="str">
            <v/>
          </cell>
        </row>
        <row r="2029">
          <cell r="BP2029" t="str">
            <v/>
          </cell>
        </row>
        <row r="2030">
          <cell r="BP2030" t="str">
            <v/>
          </cell>
        </row>
        <row r="2031">
          <cell r="BP2031" t="str">
            <v/>
          </cell>
        </row>
        <row r="2032">
          <cell r="BP2032" t="str">
            <v/>
          </cell>
        </row>
        <row r="2033">
          <cell r="BP2033" t="str">
            <v/>
          </cell>
        </row>
        <row r="2034">
          <cell r="BP2034" t="str">
            <v/>
          </cell>
        </row>
        <row r="2035">
          <cell r="BP2035" t="str">
            <v/>
          </cell>
        </row>
        <row r="2036">
          <cell r="BP2036" t="str">
            <v/>
          </cell>
        </row>
        <row r="2037">
          <cell r="BP2037" t="str">
            <v/>
          </cell>
        </row>
        <row r="2038">
          <cell r="BP2038" t="str">
            <v/>
          </cell>
        </row>
        <row r="2039">
          <cell r="BP2039" t="str">
            <v/>
          </cell>
        </row>
        <row r="2040">
          <cell r="BP2040" t="str">
            <v/>
          </cell>
        </row>
        <row r="2041">
          <cell r="BP2041" t="str">
            <v/>
          </cell>
        </row>
        <row r="2042">
          <cell r="BP2042" t="str">
            <v/>
          </cell>
        </row>
        <row r="2043">
          <cell r="BP2043" t="str">
            <v/>
          </cell>
        </row>
        <row r="2044">
          <cell r="BP2044" t="str">
            <v/>
          </cell>
        </row>
        <row r="2045">
          <cell r="BP2045" t="str">
            <v/>
          </cell>
        </row>
        <row r="2046">
          <cell r="BP2046" t="str">
            <v/>
          </cell>
        </row>
        <row r="2047">
          <cell r="BP2047" t="str">
            <v/>
          </cell>
        </row>
        <row r="2048">
          <cell r="BP2048" t="str">
            <v/>
          </cell>
        </row>
        <row r="2049">
          <cell r="BP2049" t="str">
            <v/>
          </cell>
        </row>
        <row r="2050">
          <cell r="BP2050" t="str">
            <v/>
          </cell>
        </row>
        <row r="2051">
          <cell r="BP2051" t="str">
            <v/>
          </cell>
        </row>
        <row r="2052">
          <cell r="BP2052" t="str">
            <v/>
          </cell>
        </row>
        <row r="2053">
          <cell r="BP2053" t="str">
            <v/>
          </cell>
        </row>
        <row r="2054">
          <cell r="BP2054" t="str">
            <v/>
          </cell>
        </row>
        <row r="2055">
          <cell r="BP2055" t="str">
            <v/>
          </cell>
        </row>
        <row r="2056">
          <cell r="BP2056" t="str">
            <v/>
          </cell>
        </row>
        <row r="2057">
          <cell r="BP2057" t="str">
            <v/>
          </cell>
        </row>
        <row r="2058">
          <cell r="BP2058" t="str">
            <v/>
          </cell>
        </row>
        <row r="2059">
          <cell r="BP2059" t="str">
            <v/>
          </cell>
        </row>
        <row r="2060">
          <cell r="BP2060" t="str">
            <v/>
          </cell>
        </row>
        <row r="2061">
          <cell r="BP2061" t="str">
            <v/>
          </cell>
        </row>
        <row r="2062">
          <cell r="BP2062" t="str">
            <v/>
          </cell>
        </row>
        <row r="2063">
          <cell r="BP2063" t="str">
            <v/>
          </cell>
        </row>
        <row r="2064">
          <cell r="BP2064" t="str">
            <v/>
          </cell>
        </row>
        <row r="2065">
          <cell r="BP2065" t="str">
            <v/>
          </cell>
        </row>
        <row r="2066">
          <cell r="BP2066" t="str">
            <v/>
          </cell>
        </row>
        <row r="2067">
          <cell r="BP2067" t="str">
            <v/>
          </cell>
        </row>
        <row r="2068">
          <cell r="BP2068" t="str">
            <v/>
          </cell>
        </row>
        <row r="2069">
          <cell r="BP2069" t="str">
            <v/>
          </cell>
        </row>
        <row r="2070">
          <cell r="BP2070" t="str">
            <v/>
          </cell>
        </row>
        <row r="2071">
          <cell r="BP2071" t="str">
            <v/>
          </cell>
        </row>
        <row r="2072">
          <cell r="BP2072" t="str">
            <v/>
          </cell>
        </row>
        <row r="2073">
          <cell r="BP2073" t="str">
            <v/>
          </cell>
        </row>
        <row r="2074">
          <cell r="BP2074" t="str">
            <v/>
          </cell>
        </row>
        <row r="2075">
          <cell r="BP2075" t="str">
            <v/>
          </cell>
        </row>
        <row r="2076">
          <cell r="BP2076" t="str">
            <v/>
          </cell>
        </row>
        <row r="2077">
          <cell r="BP2077" t="str">
            <v/>
          </cell>
        </row>
        <row r="2078">
          <cell r="BP2078" t="str">
            <v/>
          </cell>
        </row>
        <row r="2079">
          <cell r="BP2079" t="str">
            <v/>
          </cell>
        </row>
        <row r="2080">
          <cell r="BP2080" t="str">
            <v/>
          </cell>
        </row>
        <row r="2081">
          <cell r="BP2081" t="str">
            <v/>
          </cell>
        </row>
        <row r="2082">
          <cell r="BP2082" t="str">
            <v/>
          </cell>
        </row>
        <row r="2083">
          <cell r="BP2083" t="str">
            <v/>
          </cell>
        </row>
        <row r="2084">
          <cell r="BP2084" t="str">
            <v/>
          </cell>
        </row>
        <row r="2085">
          <cell r="BP2085" t="str">
            <v/>
          </cell>
        </row>
        <row r="2086">
          <cell r="BP2086" t="str">
            <v/>
          </cell>
        </row>
        <row r="2087">
          <cell r="BP2087" t="str">
            <v/>
          </cell>
        </row>
        <row r="2088">
          <cell r="BP2088" t="str">
            <v/>
          </cell>
        </row>
        <row r="2089">
          <cell r="BP2089" t="str">
            <v/>
          </cell>
        </row>
        <row r="2090">
          <cell r="BP2090" t="str">
            <v/>
          </cell>
        </row>
        <row r="2091">
          <cell r="BP2091" t="str">
            <v/>
          </cell>
        </row>
        <row r="2092">
          <cell r="BP2092" t="str">
            <v/>
          </cell>
        </row>
        <row r="2093">
          <cell r="BP2093" t="str">
            <v/>
          </cell>
        </row>
        <row r="2094">
          <cell r="BP2094" t="str">
            <v/>
          </cell>
        </row>
        <row r="2095">
          <cell r="BP2095" t="str">
            <v/>
          </cell>
        </row>
        <row r="2096">
          <cell r="BP2096" t="str">
            <v/>
          </cell>
        </row>
        <row r="2097">
          <cell r="BP2097" t="str">
            <v/>
          </cell>
        </row>
        <row r="2098">
          <cell r="BP2098" t="str">
            <v/>
          </cell>
        </row>
        <row r="2099">
          <cell r="BP2099" t="str">
            <v/>
          </cell>
        </row>
        <row r="2100">
          <cell r="BP2100" t="str">
            <v/>
          </cell>
        </row>
        <row r="2101">
          <cell r="BP2101" t="str">
            <v/>
          </cell>
        </row>
        <row r="2102">
          <cell r="BP2102" t="str">
            <v/>
          </cell>
        </row>
        <row r="2103">
          <cell r="BP2103" t="str">
            <v/>
          </cell>
        </row>
        <row r="2104">
          <cell r="BP2104" t="str">
            <v/>
          </cell>
        </row>
        <row r="2105">
          <cell r="BP2105" t="str">
            <v/>
          </cell>
        </row>
        <row r="2106">
          <cell r="BP2106" t="str">
            <v/>
          </cell>
        </row>
        <row r="2107">
          <cell r="BP2107" t="str">
            <v/>
          </cell>
        </row>
        <row r="2108">
          <cell r="BP2108" t="str">
            <v/>
          </cell>
        </row>
        <row r="2109">
          <cell r="BP2109" t="str">
            <v/>
          </cell>
        </row>
        <row r="2110">
          <cell r="BP2110" t="str">
            <v/>
          </cell>
        </row>
        <row r="2111">
          <cell r="BP2111" t="str">
            <v/>
          </cell>
        </row>
        <row r="2112">
          <cell r="BP2112" t="str">
            <v/>
          </cell>
        </row>
        <row r="2113">
          <cell r="BP2113" t="str">
            <v/>
          </cell>
        </row>
        <row r="2114">
          <cell r="BP2114" t="str">
            <v/>
          </cell>
        </row>
        <row r="2115">
          <cell r="BP2115" t="str">
            <v/>
          </cell>
        </row>
        <row r="2116">
          <cell r="BP2116" t="str">
            <v/>
          </cell>
        </row>
        <row r="2117">
          <cell r="BP2117" t="str">
            <v/>
          </cell>
        </row>
        <row r="2118">
          <cell r="BP2118" t="str">
            <v/>
          </cell>
        </row>
        <row r="2119">
          <cell r="BP2119" t="str">
            <v/>
          </cell>
        </row>
        <row r="2120">
          <cell r="BP2120" t="str">
            <v/>
          </cell>
        </row>
        <row r="2121">
          <cell r="BP2121" t="str">
            <v/>
          </cell>
        </row>
        <row r="2122">
          <cell r="BP2122" t="str">
            <v/>
          </cell>
        </row>
        <row r="2123">
          <cell r="BP2123" t="str">
            <v/>
          </cell>
        </row>
        <row r="2124">
          <cell r="BP2124" t="str">
            <v/>
          </cell>
        </row>
        <row r="2125">
          <cell r="BP2125" t="str">
            <v/>
          </cell>
        </row>
        <row r="2126">
          <cell r="BP2126" t="str">
            <v/>
          </cell>
        </row>
        <row r="2127">
          <cell r="BP2127" t="str">
            <v/>
          </cell>
        </row>
        <row r="2128">
          <cell r="BP2128" t="str">
            <v/>
          </cell>
        </row>
        <row r="2129">
          <cell r="BP2129" t="str">
            <v/>
          </cell>
        </row>
        <row r="2130">
          <cell r="BP2130" t="str">
            <v/>
          </cell>
        </row>
        <row r="2131">
          <cell r="BP2131" t="str">
            <v/>
          </cell>
        </row>
        <row r="2132">
          <cell r="BP2132" t="str">
            <v/>
          </cell>
        </row>
        <row r="2133">
          <cell r="BP2133" t="str">
            <v/>
          </cell>
        </row>
        <row r="2134">
          <cell r="BP2134" t="str">
            <v/>
          </cell>
        </row>
        <row r="2135">
          <cell r="BP2135" t="str">
            <v/>
          </cell>
        </row>
        <row r="2136">
          <cell r="BP2136" t="str">
            <v/>
          </cell>
        </row>
        <row r="2137">
          <cell r="BP2137" t="str">
            <v/>
          </cell>
        </row>
        <row r="2138">
          <cell r="BP2138" t="str">
            <v/>
          </cell>
        </row>
        <row r="2139">
          <cell r="BP2139" t="str">
            <v/>
          </cell>
        </row>
        <row r="2140">
          <cell r="BP2140" t="str">
            <v/>
          </cell>
        </row>
        <row r="2141">
          <cell r="BP2141" t="str">
            <v/>
          </cell>
        </row>
        <row r="2142">
          <cell r="BP2142" t="str">
            <v/>
          </cell>
        </row>
        <row r="2143">
          <cell r="BP2143" t="str">
            <v/>
          </cell>
        </row>
        <row r="2144">
          <cell r="BP2144" t="str">
            <v/>
          </cell>
        </row>
        <row r="2145">
          <cell r="BP2145" t="str">
            <v/>
          </cell>
        </row>
        <row r="2146">
          <cell r="BP2146" t="str">
            <v/>
          </cell>
        </row>
        <row r="2147">
          <cell r="BP2147" t="str">
            <v/>
          </cell>
        </row>
        <row r="2148">
          <cell r="BP2148" t="str">
            <v/>
          </cell>
        </row>
        <row r="2149">
          <cell r="BP2149" t="str">
            <v/>
          </cell>
        </row>
        <row r="2150">
          <cell r="BP2150" t="str">
            <v/>
          </cell>
        </row>
        <row r="2151">
          <cell r="BP2151" t="str">
            <v/>
          </cell>
        </row>
        <row r="2152">
          <cell r="BP2152" t="str">
            <v/>
          </cell>
        </row>
        <row r="2153">
          <cell r="BP2153" t="str">
            <v/>
          </cell>
        </row>
        <row r="2154">
          <cell r="BP2154" t="str">
            <v/>
          </cell>
        </row>
        <row r="2155">
          <cell r="BP2155" t="str">
            <v/>
          </cell>
        </row>
        <row r="2156">
          <cell r="BP2156" t="str">
            <v/>
          </cell>
        </row>
        <row r="2157">
          <cell r="BP2157" t="str">
            <v/>
          </cell>
        </row>
        <row r="2158">
          <cell r="BP2158" t="str">
            <v/>
          </cell>
        </row>
        <row r="2159">
          <cell r="BP2159" t="str">
            <v/>
          </cell>
        </row>
        <row r="2160">
          <cell r="BP2160" t="str">
            <v/>
          </cell>
        </row>
        <row r="2161">
          <cell r="BP2161" t="str">
            <v/>
          </cell>
        </row>
        <row r="2162">
          <cell r="BP2162" t="str">
            <v/>
          </cell>
        </row>
        <row r="2163">
          <cell r="BP2163" t="str">
            <v/>
          </cell>
        </row>
        <row r="2164">
          <cell r="BP2164" t="str">
            <v/>
          </cell>
        </row>
        <row r="2165">
          <cell r="BP2165" t="str">
            <v/>
          </cell>
        </row>
        <row r="2166">
          <cell r="BP2166" t="str">
            <v/>
          </cell>
        </row>
        <row r="2167">
          <cell r="BP2167" t="str">
            <v/>
          </cell>
        </row>
        <row r="2168">
          <cell r="BP2168" t="str">
            <v/>
          </cell>
        </row>
        <row r="2169">
          <cell r="BP2169" t="str">
            <v/>
          </cell>
        </row>
        <row r="2170">
          <cell r="BP2170" t="str">
            <v/>
          </cell>
        </row>
        <row r="2171">
          <cell r="BP2171" t="str">
            <v/>
          </cell>
        </row>
        <row r="2172">
          <cell r="BP2172" t="str">
            <v/>
          </cell>
        </row>
        <row r="2173">
          <cell r="BP2173" t="str">
            <v/>
          </cell>
        </row>
        <row r="2174">
          <cell r="BP2174" t="str">
            <v/>
          </cell>
        </row>
        <row r="2175">
          <cell r="BP2175" t="str">
            <v/>
          </cell>
        </row>
        <row r="2176">
          <cell r="BP2176" t="str">
            <v/>
          </cell>
        </row>
        <row r="2177">
          <cell r="BP2177" t="str">
            <v/>
          </cell>
        </row>
        <row r="2178">
          <cell r="BP2178" t="str">
            <v/>
          </cell>
        </row>
        <row r="2179">
          <cell r="BP2179" t="str">
            <v/>
          </cell>
        </row>
        <row r="2180">
          <cell r="BP2180" t="str">
            <v/>
          </cell>
        </row>
        <row r="2181">
          <cell r="BP2181" t="str">
            <v/>
          </cell>
        </row>
        <row r="2182">
          <cell r="BP2182" t="str">
            <v/>
          </cell>
        </row>
        <row r="2183">
          <cell r="BP2183" t="str">
            <v/>
          </cell>
        </row>
        <row r="2184">
          <cell r="BP2184" t="str">
            <v/>
          </cell>
        </row>
        <row r="2185">
          <cell r="BP2185" t="str">
            <v/>
          </cell>
        </row>
        <row r="2186">
          <cell r="BP2186" t="str">
            <v/>
          </cell>
        </row>
        <row r="2187">
          <cell r="BP2187" t="str">
            <v/>
          </cell>
        </row>
        <row r="2188">
          <cell r="BP2188" t="str">
            <v/>
          </cell>
        </row>
        <row r="2189">
          <cell r="BP2189" t="str">
            <v/>
          </cell>
        </row>
        <row r="2190">
          <cell r="BP2190" t="str">
            <v/>
          </cell>
        </row>
        <row r="2191">
          <cell r="BP2191" t="str">
            <v/>
          </cell>
        </row>
        <row r="2192">
          <cell r="BP2192" t="str">
            <v/>
          </cell>
        </row>
        <row r="2193">
          <cell r="BP2193" t="str">
            <v/>
          </cell>
        </row>
        <row r="2194">
          <cell r="BP2194" t="str">
            <v/>
          </cell>
        </row>
        <row r="2195">
          <cell r="BP2195" t="str">
            <v/>
          </cell>
        </row>
        <row r="2196">
          <cell r="BP2196" t="str">
            <v/>
          </cell>
        </row>
        <row r="2197">
          <cell r="BP2197" t="str">
            <v/>
          </cell>
        </row>
        <row r="2198">
          <cell r="BP2198" t="str">
            <v/>
          </cell>
        </row>
        <row r="2199">
          <cell r="BP2199" t="str">
            <v/>
          </cell>
        </row>
        <row r="2200">
          <cell r="BP2200" t="str">
            <v/>
          </cell>
        </row>
        <row r="2201">
          <cell r="BP2201" t="str">
            <v/>
          </cell>
        </row>
        <row r="2202">
          <cell r="BP2202" t="str">
            <v/>
          </cell>
        </row>
        <row r="2203">
          <cell r="BP2203" t="str">
            <v/>
          </cell>
        </row>
        <row r="2204">
          <cell r="BP2204" t="str">
            <v/>
          </cell>
        </row>
        <row r="2205">
          <cell r="BP2205" t="str">
            <v/>
          </cell>
        </row>
        <row r="2206">
          <cell r="BP2206" t="str">
            <v/>
          </cell>
        </row>
        <row r="2207">
          <cell r="BP2207" t="str">
            <v/>
          </cell>
        </row>
        <row r="2208">
          <cell r="BP2208" t="str">
            <v/>
          </cell>
        </row>
        <row r="2209">
          <cell r="BP2209" t="str">
            <v/>
          </cell>
        </row>
        <row r="2210">
          <cell r="BP2210" t="str">
            <v/>
          </cell>
        </row>
        <row r="2211">
          <cell r="BP2211" t="str">
            <v/>
          </cell>
        </row>
        <row r="2212">
          <cell r="BP2212" t="str">
            <v/>
          </cell>
        </row>
        <row r="2213">
          <cell r="BP2213" t="str">
            <v/>
          </cell>
        </row>
        <row r="2214">
          <cell r="BP2214" t="str">
            <v/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N CRISTÓBAL"/>
      <sheetName val="SANTA CRUZ"/>
      <sheetName val="ISABELA"/>
      <sheetName val="FLOREANA"/>
      <sheetName val="POTENCIA MAXIMA SISTEMA"/>
      <sheetName val="SISDAT"/>
      <sheetName val="SISDAT EOLICSA"/>
      <sheetName val="DEFICIT GRUPOS"/>
      <sheetName val="DIFICIT EOLICSA"/>
      <sheetName val="COMERCIAL"/>
      <sheetName val="TÉCNICO"/>
      <sheetName val="HISTORICOS"/>
      <sheetName val="INDICADOR"/>
      <sheetName val="BALANCE"/>
      <sheetName val="INDICADORES+"/>
    </sheetNames>
    <sheetDataSet>
      <sheetData sheetId="0" refreshError="1">
        <row r="12">
          <cell r="D12">
            <v>889519</v>
          </cell>
          <cell r="E12">
            <v>967287</v>
          </cell>
          <cell r="F12">
            <v>1262791</v>
          </cell>
          <cell r="G12">
            <v>987586.5</v>
          </cell>
          <cell r="H12">
            <v>878566</v>
          </cell>
          <cell r="I12">
            <v>736228</v>
          </cell>
          <cell r="J12">
            <v>641683</v>
          </cell>
          <cell r="K12">
            <v>706460</v>
          </cell>
          <cell r="L12">
            <v>488772</v>
          </cell>
          <cell r="M12">
            <v>632074</v>
          </cell>
          <cell r="N12">
            <v>790888</v>
          </cell>
          <cell r="O12">
            <v>942479</v>
          </cell>
        </row>
        <row r="21">
          <cell r="D21">
            <v>63417</v>
          </cell>
          <cell r="E21">
            <v>81111</v>
          </cell>
          <cell r="F21">
            <v>98608</v>
          </cell>
          <cell r="G21">
            <v>72463.5</v>
          </cell>
          <cell r="H21">
            <v>68373</v>
          </cell>
          <cell r="I21">
            <v>56543</v>
          </cell>
          <cell r="J21">
            <v>51966</v>
          </cell>
          <cell r="K21">
            <v>56068</v>
          </cell>
          <cell r="L21">
            <v>39339</v>
          </cell>
          <cell r="M21">
            <v>50334</v>
          </cell>
          <cell r="N21">
            <v>62248</v>
          </cell>
          <cell r="O21">
            <v>73507</v>
          </cell>
        </row>
        <row r="39">
          <cell r="D39">
            <v>14.026507088004793</v>
          </cell>
          <cell r="E39">
            <v>11.925472500647261</v>
          </cell>
          <cell r="F39">
            <v>12.806171913029369</v>
          </cell>
          <cell r="G39">
            <v>13.628744126353267</v>
          </cell>
          <cell r="H39">
            <v>12.849604375996373</v>
          </cell>
          <cell r="I39">
            <v>13.020674530887996</v>
          </cell>
          <cell r="J39">
            <v>12.348131470576917</v>
          </cell>
          <cell r="K39">
            <v>12.600057073553542</v>
          </cell>
          <cell r="L39">
            <v>12.424616792495996</v>
          </cell>
          <cell r="M39">
            <v>12.557595263638893</v>
          </cell>
          <cell r="N39">
            <v>12.705436319239173</v>
          </cell>
          <cell r="O39">
            <v>12.821622430516822</v>
          </cell>
          <cell r="P39">
            <v>12.809552823745035</v>
          </cell>
        </row>
        <row r="40">
          <cell r="D40">
            <v>2347</v>
          </cell>
          <cell r="E40">
            <v>2527</v>
          </cell>
          <cell r="F40">
            <v>2575</v>
          </cell>
          <cell r="G40">
            <v>2495</v>
          </cell>
          <cell r="H40">
            <v>2371</v>
          </cell>
          <cell r="I40">
            <v>2224</v>
          </cell>
          <cell r="J40">
            <v>2135</v>
          </cell>
          <cell r="K40">
            <v>2117</v>
          </cell>
          <cell r="L40">
            <v>1988</v>
          </cell>
          <cell r="M40">
            <v>2140</v>
          </cell>
          <cell r="N40">
            <v>2474</v>
          </cell>
          <cell r="O40">
            <v>2513</v>
          </cell>
        </row>
        <row r="45">
          <cell r="D45">
            <v>266583.234375</v>
          </cell>
          <cell r="E45">
            <v>206789.703125</v>
          </cell>
          <cell r="F45">
            <v>64602</v>
          </cell>
          <cell r="G45">
            <v>156558</v>
          </cell>
          <cell r="H45">
            <v>382341</v>
          </cell>
          <cell r="I45">
            <v>409877</v>
          </cell>
          <cell r="J45">
            <v>486786</v>
          </cell>
          <cell r="K45">
            <v>312229</v>
          </cell>
          <cell r="L45">
            <v>494311</v>
          </cell>
          <cell r="M45">
            <v>425371</v>
          </cell>
          <cell r="N45">
            <v>331738</v>
          </cell>
          <cell r="O45">
            <v>327207</v>
          </cell>
        </row>
        <row r="46">
          <cell r="D46">
            <v>893</v>
          </cell>
          <cell r="E46">
            <v>821</v>
          </cell>
          <cell r="F46">
            <v>766</v>
          </cell>
          <cell r="G46">
            <v>721</v>
          </cell>
          <cell r="H46">
            <v>763</v>
          </cell>
          <cell r="I46">
            <v>716</v>
          </cell>
          <cell r="J46">
            <v>750</v>
          </cell>
          <cell r="K46">
            <v>867</v>
          </cell>
          <cell r="L46">
            <v>890</v>
          </cell>
          <cell r="M46">
            <v>894</v>
          </cell>
          <cell r="N46">
            <v>834</v>
          </cell>
          <cell r="O46">
            <v>841</v>
          </cell>
        </row>
        <row r="47">
          <cell r="D47">
            <v>641</v>
          </cell>
          <cell r="E47">
            <v>643</v>
          </cell>
          <cell r="F47">
            <v>649</v>
          </cell>
          <cell r="G47">
            <v>713</v>
          </cell>
          <cell r="H47">
            <v>534</v>
          </cell>
          <cell r="I47">
            <v>585</v>
          </cell>
          <cell r="J47">
            <v>603</v>
          </cell>
          <cell r="K47">
            <v>654</v>
          </cell>
          <cell r="L47">
            <v>649</v>
          </cell>
          <cell r="M47">
            <v>636</v>
          </cell>
          <cell r="N47">
            <v>584</v>
          </cell>
          <cell r="O47">
            <v>603</v>
          </cell>
        </row>
      </sheetData>
      <sheetData sheetId="1" refreshError="1">
        <row r="12">
          <cell r="D12">
            <v>2516701</v>
          </cell>
          <cell r="E12">
            <v>2530929</v>
          </cell>
          <cell r="F12">
            <v>2849603</v>
          </cell>
          <cell r="G12">
            <v>2727906</v>
          </cell>
          <cell r="H12">
            <v>2585665</v>
          </cell>
          <cell r="I12">
            <v>2225548</v>
          </cell>
          <cell r="J12">
            <v>2155410</v>
          </cell>
          <cell r="K12">
            <v>2026399</v>
          </cell>
          <cell r="L12">
            <v>1839590</v>
          </cell>
          <cell r="M12">
            <v>1963830</v>
          </cell>
          <cell r="N12">
            <v>2038010</v>
          </cell>
          <cell r="O12">
            <v>2272463</v>
          </cell>
        </row>
        <row r="22">
          <cell r="D22">
            <v>177190</v>
          </cell>
          <cell r="E22">
            <v>179944</v>
          </cell>
          <cell r="F22">
            <v>207830</v>
          </cell>
          <cell r="G22">
            <v>200081</v>
          </cell>
          <cell r="H22">
            <v>195614</v>
          </cell>
          <cell r="I22">
            <v>169057</v>
          </cell>
          <cell r="J22">
            <v>158238</v>
          </cell>
          <cell r="K22">
            <v>138471</v>
          </cell>
          <cell r="L22">
            <v>125141</v>
          </cell>
          <cell r="M22">
            <v>135377</v>
          </cell>
          <cell r="N22">
            <v>141856</v>
          </cell>
          <cell r="O22">
            <v>161209</v>
          </cell>
        </row>
        <row r="42">
          <cell r="D42">
            <v>14.203403126587279</v>
          </cell>
          <cell r="E42">
            <v>14.065092473213889</v>
          </cell>
          <cell r="F42">
            <v>13.711220709233508</v>
          </cell>
          <cell r="G42">
            <v>13.634008226668199</v>
          </cell>
          <cell r="H42">
            <v>13.218200128825135</v>
          </cell>
          <cell r="I42">
            <v>13.164482985028718</v>
          </cell>
          <cell r="J42">
            <v>13.621317256284836</v>
          </cell>
          <cell r="K42">
            <v>14.634103891789616</v>
          </cell>
          <cell r="L42">
            <v>14.7001382440607</v>
          </cell>
          <cell r="M42">
            <v>14.506378483789714</v>
          </cell>
          <cell r="N42">
            <v>14.36675219941349</v>
          </cell>
          <cell r="O42">
            <v>14.096377993784467</v>
          </cell>
          <cell r="P42">
            <v>13.993456309889964</v>
          </cell>
        </row>
        <row r="43">
          <cell r="D43">
            <v>4742</v>
          </cell>
          <cell r="E43">
            <v>5154</v>
          </cell>
          <cell r="F43">
            <v>5300</v>
          </cell>
          <cell r="G43">
            <v>5131</v>
          </cell>
          <cell r="H43">
            <v>4949</v>
          </cell>
          <cell r="I43">
            <v>4816</v>
          </cell>
          <cell r="J43">
            <v>4615</v>
          </cell>
          <cell r="K43">
            <v>4233</v>
          </cell>
          <cell r="L43">
            <v>3862</v>
          </cell>
          <cell r="M43">
            <v>4210</v>
          </cell>
          <cell r="N43">
            <v>4569</v>
          </cell>
          <cell r="O43">
            <v>4755</v>
          </cell>
        </row>
        <row r="51">
          <cell r="D51">
            <v>112646</v>
          </cell>
          <cell r="E51">
            <v>99567</v>
          </cell>
          <cell r="F51">
            <v>125572</v>
          </cell>
          <cell r="G51">
            <v>120746</v>
          </cell>
          <cell r="H51">
            <v>116268</v>
          </cell>
          <cell r="I51">
            <v>102714</v>
          </cell>
          <cell r="J51">
            <v>78865</v>
          </cell>
          <cell r="K51">
            <v>105590</v>
          </cell>
          <cell r="L51">
            <v>94934</v>
          </cell>
          <cell r="M51">
            <v>89744</v>
          </cell>
          <cell r="N51">
            <v>53452</v>
          </cell>
          <cell r="O51">
            <v>55854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54180</v>
          </cell>
          <cell r="I57">
            <v>144866</v>
          </cell>
          <cell r="J57">
            <v>143491.20000000001</v>
          </cell>
          <cell r="K57">
            <v>174447.7</v>
          </cell>
          <cell r="L57">
            <v>172962.9</v>
          </cell>
          <cell r="M57">
            <v>181621.1</v>
          </cell>
          <cell r="N57">
            <v>178027.97999999998</v>
          </cell>
          <cell r="O57">
            <v>158336.70000000001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16452.5</v>
          </cell>
          <cell r="J63">
            <v>1782.5</v>
          </cell>
          <cell r="K63">
            <v>250</v>
          </cell>
          <cell r="L63">
            <v>944</v>
          </cell>
          <cell r="M63">
            <v>225</v>
          </cell>
          <cell r="N63">
            <v>419</v>
          </cell>
          <cell r="O63">
            <v>485.09999999999854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38267</v>
          </cell>
        </row>
        <row r="68">
          <cell r="O68">
            <v>38267</v>
          </cell>
        </row>
      </sheetData>
      <sheetData sheetId="2" refreshError="1">
        <row r="9">
          <cell r="D9">
            <v>383229</v>
          </cell>
          <cell r="E9">
            <v>392555</v>
          </cell>
          <cell r="F9">
            <v>450197</v>
          </cell>
          <cell r="G9">
            <v>418605</v>
          </cell>
          <cell r="H9">
            <v>396396</v>
          </cell>
          <cell r="I9">
            <v>352103</v>
          </cell>
          <cell r="J9">
            <v>353364</v>
          </cell>
          <cell r="K9">
            <v>330040</v>
          </cell>
          <cell r="L9">
            <v>299682</v>
          </cell>
          <cell r="M9">
            <v>325447</v>
          </cell>
          <cell r="N9">
            <v>335442</v>
          </cell>
          <cell r="O9">
            <v>374775</v>
          </cell>
        </row>
        <row r="16">
          <cell r="D16">
            <v>28605</v>
          </cell>
          <cell r="E16">
            <v>29564</v>
          </cell>
          <cell r="F16">
            <v>36030</v>
          </cell>
          <cell r="G16">
            <v>32577</v>
          </cell>
          <cell r="H16">
            <v>31621</v>
          </cell>
          <cell r="I16">
            <v>27634</v>
          </cell>
          <cell r="J16">
            <v>29340</v>
          </cell>
          <cell r="K16">
            <v>27420</v>
          </cell>
          <cell r="L16">
            <v>24682</v>
          </cell>
          <cell r="M16">
            <v>27029</v>
          </cell>
          <cell r="N16">
            <v>28004</v>
          </cell>
          <cell r="O16">
            <v>31489</v>
          </cell>
        </row>
        <row r="30">
          <cell r="D30">
            <v>13.397273203985318</v>
          </cell>
          <cell r="E30">
            <v>13.278142335272628</v>
          </cell>
          <cell r="F30">
            <v>12.495059672495143</v>
          </cell>
          <cell r="G30">
            <v>12.849709918040336</v>
          </cell>
          <cell r="H30">
            <v>12.53584643116916</v>
          </cell>
          <cell r="I30">
            <v>12.74165882608381</v>
          </cell>
          <cell r="J30">
            <v>12.043762781186095</v>
          </cell>
          <cell r="K30">
            <v>12.036469730123997</v>
          </cell>
          <cell r="L30">
            <v>12.141722712908193</v>
          </cell>
          <cell r="M30">
            <v>12.040660031817678</v>
          </cell>
          <cell r="N30">
            <v>11.97836023425225</v>
          </cell>
          <cell r="O30">
            <v>11.901775223093779</v>
          </cell>
          <cell r="P30">
            <v>12.453370091702366</v>
          </cell>
        </row>
        <row r="31">
          <cell r="D31">
            <v>862</v>
          </cell>
          <cell r="E31">
            <v>977</v>
          </cell>
          <cell r="F31">
            <v>878</v>
          </cell>
          <cell r="G31">
            <v>825</v>
          </cell>
          <cell r="H31">
            <v>804</v>
          </cell>
          <cell r="I31">
            <v>693</v>
          </cell>
          <cell r="J31">
            <v>709</v>
          </cell>
          <cell r="K31">
            <v>698</v>
          </cell>
          <cell r="L31">
            <v>610</v>
          </cell>
          <cell r="M31">
            <v>650</v>
          </cell>
          <cell r="N31">
            <v>721</v>
          </cell>
          <cell r="O31">
            <v>790</v>
          </cell>
        </row>
      </sheetData>
      <sheetData sheetId="3" refreshError="1">
        <row r="5">
          <cell r="E5">
            <v>10436.25</v>
          </cell>
          <cell r="F5">
            <v>686.25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1992.25</v>
          </cell>
          <cell r="N5">
            <v>2806</v>
          </cell>
          <cell r="O5">
            <v>5155.75</v>
          </cell>
          <cell r="P5">
            <v>4607.5</v>
          </cell>
        </row>
        <row r="6">
          <cell r="E6">
            <v>10067.25</v>
          </cell>
          <cell r="F6">
            <v>661.5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1910.25</v>
          </cell>
          <cell r="N6">
            <v>2174.25</v>
          </cell>
          <cell r="O6">
            <v>3326.5</v>
          </cell>
          <cell r="P6">
            <v>4874.5</v>
          </cell>
        </row>
        <row r="7">
          <cell r="E7">
            <v>3478.75</v>
          </cell>
          <cell r="F7">
            <v>13253.75</v>
          </cell>
          <cell r="G7">
            <v>17762</v>
          </cell>
          <cell r="H7">
            <v>16722</v>
          </cell>
          <cell r="I7">
            <v>23503</v>
          </cell>
          <cell r="J7">
            <v>17645</v>
          </cell>
          <cell r="K7">
            <v>10105</v>
          </cell>
          <cell r="L7">
            <v>7871</v>
          </cell>
          <cell r="M7">
            <v>5976.75</v>
          </cell>
          <cell r="N7">
            <v>4594</v>
          </cell>
          <cell r="O7">
            <v>3940.25</v>
          </cell>
          <cell r="P7">
            <v>4607.5</v>
          </cell>
        </row>
        <row r="8">
          <cell r="E8">
            <v>3355.75</v>
          </cell>
          <cell r="F8">
            <v>9359.5</v>
          </cell>
          <cell r="G8">
            <v>7665</v>
          </cell>
          <cell r="H8">
            <v>9389</v>
          </cell>
          <cell r="I8">
            <v>2715</v>
          </cell>
          <cell r="J8">
            <v>0</v>
          </cell>
          <cell r="K8">
            <v>7367</v>
          </cell>
          <cell r="L8">
            <v>10548</v>
          </cell>
          <cell r="M8">
            <v>5730.75</v>
          </cell>
          <cell r="N8">
            <v>4153.75</v>
          </cell>
          <cell r="O8">
            <v>2777.5</v>
          </cell>
          <cell r="P8">
            <v>4874.5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824</v>
          </cell>
          <cell r="J9">
            <v>5571</v>
          </cell>
          <cell r="K9">
            <v>1578</v>
          </cell>
          <cell r="L9">
            <v>0</v>
          </cell>
          <cell r="M9">
            <v>0</v>
          </cell>
          <cell r="N9">
            <v>1519</v>
          </cell>
          <cell r="O9">
            <v>1128</v>
          </cell>
          <cell r="P9">
            <v>0</v>
          </cell>
        </row>
        <row r="12">
          <cell r="E12">
            <v>939</v>
          </cell>
          <cell r="F12">
            <v>62.75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219.25</v>
          </cell>
          <cell r="N12">
            <v>311.75</v>
          </cell>
          <cell r="O12">
            <v>569.5</v>
          </cell>
          <cell r="P12">
            <v>475.5</v>
          </cell>
        </row>
        <row r="13">
          <cell r="E13">
            <v>900</v>
          </cell>
          <cell r="F13">
            <v>60.25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209.25</v>
          </cell>
          <cell r="N13">
            <v>252</v>
          </cell>
          <cell r="O13">
            <v>351</v>
          </cell>
          <cell r="P13">
            <v>501.5</v>
          </cell>
        </row>
        <row r="14">
          <cell r="E14">
            <v>313</v>
          </cell>
          <cell r="F14">
            <v>1164.75</v>
          </cell>
          <cell r="G14">
            <v>1600</v>
          </cell>
          <cell r="H14">
            <v>1510</v>
          </cell>
          <cell r="I14">
            <v>2139</v>
          </cell>
          <cell r="J14">
            <v>1587</v>
          </cell>
          <cell r="K14">
            <v>1036</v>
          </cell>
          <cell r="L14">
            <v>817</v>
          </cell>
          <cell r="M14">
            <v>657.75</v>
          </cell>
          <cell r="N14">
            <v>506.25</v>
          </cell>
          <cell r="O14">
            <v>432.5</v>
          </cell>
          <cell r="P14">
            <v>475.5</v>
          </cell>
        </row>
        <row r="15">
          <cell r="E15">
            <v>300</v>
          </cell>
          <cell r="F15">
            <v>819.25</v>
          </cell>
          <cell r="G15">
            <v>678</v>
          </cell>
          <cell r="H15">
            <v>831.5</v>
          </cell>
          <cell r="I15">
            <v>253</v>
          </cell>
          <cell r="J15">
            <v>0</v>
          </cell>
          <cell r="K15">
            <v>739</v>
          </cell>
          <cell r="L15">
            <v>1067</v>
          </cell>
          <cell r="M15">
            <v>627.75</v>
          </cell>
          <cell r="N15">
            <v>478</v>
          </cell>
          <cell r="O15">
            <v>296</v>
          </cell>
          <cell r="P15">
            <v>501.5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87</v>
          </cell>
          <cell r="J16">
            <v>476</v>
          </cell>
          <cell r="K16">
            <v>118</v>
          </cell>
          <cell r="L16">
            <v>0</v>
          </cell>
          <cell r="M16">
            <v>0</v>
          </cell>
          <cell r="N16">
            <v>172</v>
          </cell>
          <cell r="O16">
            <v>115</v>
          </cell>
          <cell r="P16">
            <v>0</v>
          </cell>
        </row>
        <row r="31">
          <cell r="E31">
            <v>11.149265905383361</v>
          </cell>
          <cell r="F31">
            <v>10.957317073170731</v>
          </cell>
          <cell r="G31" t="str">
            <v/>
          </cell>
          <cell r="H31" t="str">
            <v/>
          </cell>
          <cell r="I31" t="str">
            <v/>
          </cell>
          <cell r="J31" t="str">
            <v/>
          </cell>
          <cell r="K31" t="str">
            <v/>
          </cell>
          <cell r="L31" t="str">
            <v/>
          </cell>
          <cell r="M31">
            <v>9.1073512252042015</v>
          </cell>
          <cell r="N31">
            <v>8.8341463414634145</v>
          </cell>
          <cell r="O31">
            <v>9.2148288973384034</v>
          </cell>
          <cell r="P31">
            <v>9.7052200614124864</v>
          </cell>
          <cell r="Q31">
            <v>9.8280215839954348</v>
          </cell>
        </row>
        <row r="32">
          <cell r="E32">
            <v>11.149265905383361</v>
          </cell>
          <cell r="F32">
            <v>11.39780745967742</v>
          </cell>
          <cell r="G32">
            <v>11.16198419666374</v>
          </cell>
          <cell r="H32">
            <v>11.151398676062353</v>
          </cell>
          <cell r="I32">
            <v>10.90843081887858</v>
          </cell>
          <cell r="J32">
            <v>11.253514299563742</v>
          </cell>
          <cell r="K32">
            <v>10.063391442155309</v>
          </cell>
          <cell r="L32">
            <v>9.7765392781316347</v>
          </cell>
          <cell r="M32">
            <v>9.1073512252042015</v>
          </cell>
          <cell r="N32">
            <v>8.8793513513513513</v>
          </cell>
          <cell r="O32">
            <v>9.3014226437462959</v>
          </cell>
          <cell r="P32">
            <v>9.7052200614124864</v>
          </cell>
          <cell r="Q32">
            <v>10.321306446519205</v>
          </cell>
        </row>
        <row r="34">
          <cell r="E34">
            <v>58</v>
          </cell>
          <cell r="F34">
            <v>48</v>
          </cell>
          <cell r="G34">
            <v>50</v>
          </cell>
          <cell r="H34">
            <v>53</v>
          </cell>
          <cell r="I34">
            <v>47</v>
          </cell>
          <cell r="J34">
            <v>48</v>
          </cell>
          <cell r="K34">
            <v>39</v>
          </cell>
          <cell r="L34">
            <v>40</v>
          </cell>
          <cell r="M34">
            <v>42</v>
          </cell>
          <cell r="N34">
            <v>40</v>
          </cell>
          <cell r="O34">
            <v>44</v>
          </cell>
          <cell r="P34">
            <v>49</v>
          </cell>
        </row>
        <row r="56"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57.3</v>
          </cell>
          <cell r="K56">
            <v>333.53</v>
          </cell>
          <cell r="L56">
            <v>513.10200000000009</v>
          </cell>
          <cell r="M56">
            <v>553</v>
          </cell>
          <cell r="N56">
            <v>584.65000000000009</v>
          </cell>
          <cell r="O56">
            <v>542.005</v>
          </cell>
          <cell r="P56">
            <v>528.21</v>
          </cell>
        </row>
      </sheetData>
      <sheetData sheetId="4" refreshError="1">
        <row r="72">
          <cell r="E72">
            <v>5423.3019999999997</v>
          </cell>
          <cell r="F72">
            <v>6298</v>
          </cell>
          <cell r="G72">
            <v>9357</v>
          </cell>
          <cell r="H72">
            <v>7937</v>
          </cell>
          <cell r="I72">
            <v>4060</v>
          </cell>
          <cell r="J72">
            <v>7581</v>
          </cell>
          <cell r="K72">
            <v>7920</v>
          </cell>
          <cell r="L72">
            <v>5863</v>
          </cell>
          <cell r="M72">
            <v>8366</v>
          </cell>
          <cell r="N72">
            <v>7269</v>
          </cell>
          <cell r="O72">
            <v>5779</v>
          </cell>
          <cell r="P72">
            <v>7171</v>
          </cell>
        </row>
        <row r="74">
          <cell r="E74">
            <v>5818</v>
          </cell>
          <cell r="F74">
            <v>3710</v>
          </cell>
          <cell r="G74">
            <v>6170</v>
          </cell>
          <cell r="H74">
            <v>1772</v>
          </cell>
          <cell r="I74">
            <v>4016</v>
          </cell>
          <cell r="J74">
            <v>5945</v>
          </cell>
          <cell r="K74">
            <v>6424</v>
          </cell>
          <cell r="L74">
            <v>7362</v>
          </cell>
          <cell r="M74">
            <v>5761</v>
          </cell>
          <cell r="N74">
            <v>5218</v>
          </cell>
          <cell r="O74">
            <v>108955.7591493197</v>
          </cell>
          <cell r="P74">
            <v>5331</v>
          </cell>
        </row>
        <row r="75"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710.4</v>
          </cell>
          <cell r="K75">
            <v>1694.6</v>
          </cell>
          <cell r="L75">
            <v>2575</v>
          </cell>
          <cell r="M75">
            <v>1080</v>
          </cell>
          <cell r="N75">
            <v>1080</v>
          </cell>
          <cell r="O75">
            <v>960</v>
          </cell>
          <cell r="P75">
            <v>1320</v>
          </cell>
        </row>
        <row r="76"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34165</v>
          </cell>
        </row>
        <row r="77">
          <cell r="E77">
            <v>1105</v>
          </cell>
          <cell r="F77">
            <v>1330</v>
          </cell>
          <cell r="G77">
            <v>1071</v>
          </cell>
          <cell r="H77">
            <v>1446</v>
          </cell>
          <cell r="I77">
            <v>1319</v>
          </cell>
          <cell r="J77">
            <v>1253</v>
          </cell>
          <cell r="K77">
            <v>2722</v>
          </cell>
          <cell r="L77">
            <v>652</v>
          </cell>
          <cell r="M77">
            <v>809</v>
          </cell>
          <cell r="N77">
            <v>1015</v>
          </cell>
          <cell r="O77">
            <v>1085</v>
          </cell>
          <cell r="P77">
            <v>2502</v>
          </cell>
        </row>
        <row r="78">
          <cell r="E78">
            <v>9189</v>
          </cell>
          <cell r="F78">
            <v>8379</v>
          </cell>
          <cell r="G78">
            <v>8676</v>
          </cell>
          <cell r="H78">
            <v>8834</v>
          </cell>
          <cell r="I78">
            <v>10015</v>
          </cell>
          <cell r="J78">
            <v>6334</v>
          </cell>
          <cell r="K78">
            <v>1513</v>
          </cell>
          <cell r="L78">
            <v>448</v>
          </cell>
          <cell r="M78">
            <v>373</v>
          </cell>
          <cell r="N78">
            <v>468</v>
          </cell>
          <cell r="O78">
            <v>518</v>
          </cell>
          <cell r="P78">
            <v>563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>
        <row r="6">
          <cell r="D6">
            <v>1013923</v>
          </cell>
          <cell r="E6">
            <v>1004097</v>
          </cell>
          <cell r="F6">
            <v>1206848</v>
          </cell>
          <cell r="G6">
            <v>1049182</v>
          </cell>
          <cell r="H6">
            <v>1119382</v>
          </cell>
          <cell r="I6">
            <v>1015854</v>
          </cell>
          <cell r="J6">
            <v>1063442</v>
          </cell>
          <cell r="K6">
            <v>1045079</v>
          </cell>
          <cell r="L6">
            <v>909081</v>
          </cell>
          <cell r="M6">
            <v>953364</v>
          </cell>
          <cell r="N6">
            <v>1000369</v>
          </cell>
          <cell r="O6">
            <v>1179534</v>
          </cell>
        </row>
        <row r="7">
          <cell r="D7">
            <v>2108352</v>
          </cell>
          <cell r="E7">
            <v>2272451</v>
          </cell>
          <cell r="F7">
            <v>2527693</v>
          </cell>
          <cell r="G7">
            <v>2370983</v>
          </cell>
          <cell r="H7">
            <v>2461327</v>
          </cell>
          <cell r="I7">
            <v>2146312</v>
          </cell>
          <cell r="J7">
            <v>2074698</v>
          </cell>
          <cell r="K7">
            <v>1912071</v>
          </cell>
          <cell r="L7">
            <v>1766686</v>
          </cell>
          <cell r="M7">
            <v>1802336</v>
          </cell>
          <cell r="N7">
            <v>1856076</v>
          </cell>
          <cell r="O7">
            <v>2094698</v>
          </cell>
        </row>
        <row r="8">
          <cell r="D8">
            <v>333919</v>
          </cell>
          <cell r="E8">
            <v>373651</v>
          </cell>
          <cell r="F8">
            <v>353323</v>
          </cell>
          <cell r="G8">
            <v>398084</v>
          </cell>
          <cell r="H8">
            <v>367324</v>
          </cell>
          <cell r="I8">
            <v>358180</v>
          </cell>
          <cell r="J8">
            <v>301320</v>
          </cell>
          <cell r="K8">
            <v>289578</v>
          </cell>
          <cell r="L8">
            <v>286028</v>
          </cell>
          <cell r="M8">
            <v>285818</v>
          </cell>
          <cell r="N8">
            <v>304178</v>
          </cell>
          <cell r="O8">
            <v>331358</v>
          </cell>
        </row>
        <row r="9">
          <cell r="D9">
            <v>13035</v>
          </cell>
          <cell r="E9">
            <v>13045</v>
          </cell>
          <cell r="F9">
            <v>13675</v>
          </cell>
          <cell r="G9">
            <v>11214</v>
          </cell>
          <cell r="H9">
            <v>12879</v>
          </cell>
          <cell r="I9">
            <v>13216</v>
          </cell>
          <cell r="J9">
            <v>11859</v>
          </cell>
          <cell r="K9">
            <v>14192</v>
          </cell>
          <cell r="L9">
            <v>12415</v>
          </cell>
          <cell r="M9">
            <v>10932</v>
          </cell>
          <cell r="N9">
            <v>11861</v>
          </cell>
          <cell r="O9">
            <v>14180</v>
          </cell>
        </row>
        <row r="13">
          <cell r="D13">
            <v>2904</v>
          </cell>
          <cell r="E13">
            <v>2913</v>
          </cell>
          <cell r="F13">
            <v>2921</v>
          </cell>
          <cell r="G13">
            <v>2928</v>
          </cell>
          <cell r="H13">
            <v>2938</v>
          </cell>
          <cell r="I13">
            <v>2953</v>
          </cell>
          <cell r="J13">
            <v>2966</v>
          </cell>
          <cell r="K13">
            <v>2992</v>
          </cell>
          <cell r="L13">
            <v>3002</v>
          </cell>
          <cell r="M13">
            <v>3008</v>
          </cell>
          <cell r="N13">
            <v>3023</v>
          </cell>
          <cell r="O13">
            <v>3028</v>
          </cell>
        </row>
        <row r="14">
          <cell r="D14">
            <v>5665</v>
          </cell>
          <cell r="E14">
            <v>5694</v>
          </cell>
          <cell r="F14">
            <v>5733</v>
          </cell>
          <cell r="G14">
            <v>5759</v>
          </cell>
          <cell r="H14">
            <v>5790</v>
          </cell>
          <cell r="I14">
            <v>5805</v>
          </cell>
          <cell r="J14">
            <v>5846</v>
          </cell>
          <cell r="K14">
            <v>5914</v>
          </cell>
          <cell r="L14">
            <v>5946</v>
          </cell>
          <cell r="M14">
            <v>5974</v>
          </cell>
          <cell r="N14">
            <v>5999</v>
          </cell>
          <cell r="O14">
            <v>6014</v>
          </cell>
        </row>
        <row r="15">
          <cell r="D15">
            <v>1099</v>
          </cell>
          <cell r="E15">
            <v>1118</v>
          </cell>
          <cell r="F15">
            <v>1120</v>
          </cell>
          <cell r="G15">
            <v>1123</v>
          </cell>
          <cell r="H15">
            <v>1122</v>
          </cell>
          <cell r="I15">
            <v>1131</v>
          </cell>
          <cell r="J15">
            <v>1140</v>
          </cell>
          <cell r="K15">
            <v>1141</v>
          </cell>
          <cell r="L15">
            <v>1140</v>
          </cell>
          <cell r="M15">
            <v>1147</v>
          </cell>
          <cell r="N15">
            <v>1154</v>
          </cell>
          <cell r="O15">
            <v>1150</v>
          </cell>
        </row>
        <row r="16">
          <cell r="D16">
            <v>69</v>
          </cell>
          <cell r="E16">
            <v>69</v>
          </cell>
          <cell r="F16">
            <v>69</v>
          </cell>
          <cell r="G16">
            <v>66</v>
          </cell>
          <cell r="H16">
            <v>68</v>
          </cell>
          <cell r="I16">
            <v>68</v>
          </cell>
          <cell r="J16">
            <v>68</v>
          </cell>
          <cell r="K16">
            <v>68</v>
          </cell>
          <cell r="L16">
            <v>68</v>
          </cell>
          <cell r="M16">
            <v>76</v>
          </cell>
          <cell r="N16">
            <v>76</v>
          </cell>
          <cell r="O16">
            <v>76</v>
          </cell>
        </row>
      </sheetData>
      <sheetData sheetId="10" refreshError="1">
        <row r="6">
          <cell r="D6">
            <v>416935</v>
          </cell>
          <cell r="E6">
            <v>423241.65705588029</v>
          </cell>
          <cell r="F6">
            <v>476562.08188576269</v>
          </cell>
          <cell r="G6">
            <v>428200.92547281604</v>
          </cell>
          <cell r="H6">
            <v>455408.1232510776</v>
          </cell>
          <cell r="I6">
            <v>411253.3030196859</v>
          </cell>
          <cell r="J6">
            <v>406060</v>
          </cell>
          <cell r="K6">
            <v>363295</v>
          </cell>
          <cell r="L6">
            <v>355628</v>
          </cell>
          <cell r="M6">
            <v>381682</v>
          </cell>
          <cell r="N6">
            <v>405715.77374404878</v>
          </cell>
          <cell r="O6">
            <v>458431.35052718967</v>
          </cell>
        </row>
        <row r="7">
          <cell r="D7">
            <v>530061</v>
          </cell>
          <cell r="E7">
            <v>538078.82758870558</v>
          </cell>
          <cell r="F7">
            <v>605866.55878362153</v>
          </cell>
          <cell r="G7">
            <v>544383.68272523617</v>
          </cell>
          <cell r="H7">
            <v>578972.94594742451</v>
          </cell>
          <cell r="I7">
            <v>522837.70144487196</v>
          </cell>
          <cell r="J7">
            <v>516235</v>
          </cell>
          <cell r="K7">
            <v>461867</v>
          </cell>
          <cell r="L7">
            <v>452120</v>
          </cell>
          <cell r="M7">
            <v>485243</v>
          </cell>
          <cell r="N7">
            <v>515797.80864406365</v>
          </cell>
          <cell r="O7">
            <v>582816.59555301303</v>
          </cell>
        </row>
        <row r="8">
          <cell r="D8">
            <v>155420</v>
          </cell>
          <cell r="E8">
            <v>157770.91954291414</v>
          </cell>
          <cell r="F8">
            <v>177647.06433061563</v>
          </cell>
          <cell r="G8">
            <v>159619.57580194771</v>
          </cell>
          <cell r="H8">
            <v>169761.54680149778</v>
          </cell>
          <cell r="I8">
            <v>153302.04553544216</v>
          </cell>
          <cell r="J8">
            <v>151366</v>
          </cell>
          <cell r="K8">
            <v>135425</v>
          </cell>
          <cell r="L8">
            <v>132567</v>
          </cell>
          <cell r="M8">
            <v>142279</v>
          </cell>
          <cell r="N8">
            <v>151238.0321118877</v>
          </cell>
          <cell r="O8">
            <v>170888.73491979716</v>
          </cell>
        </row>
        <row r="9">
          <cell r="D9">
            <v>861000</v>
          </cell>
          <cell r="E9">
            <v>863941.95502970577</v>
          </cell>
          <cell r="F9">
            <v>1055250</v>
          </cell>
          <cell r="H9">
            <v>913500</v>
          </cell>
          <cell r="I9">
            <v>852600</v>
          </cell>
          <cell r="J9">
            <v>823200</v>
          </cell>
          <cell r="K9">
            <v>768600</v>
          </cell>
          <cell r="L9">
            <v>685650</v>
          </cell>
          <cell r="M9">
            <v>735000</v>
          </cell>
          <cell r="N9">
            <v>754950</v>
          </cell>
          <cell r="O9">
            <v>833986.47200188448</v>
          </cell>
        </row>
        <row r="10">
          <cell r="D10">
            <v>1130850</v>
          </cell>
          <cell r="E10">
            <v>1134714.0067890158</v>
          </cell>
          <cell r="F10">
            <v>1222200</v>
          </cell>
          <cell r="H10">
            <v>1189650</v>
          </cell>
          <cell r="I10">
            <v>1001700</v>
          </cell>
          <cell r="J10">
            <v>952350</v>
          </cell>
          <cell r="K10">
            <v>903000</v>
          </cell>
          <cell r="L10">
            <v>803250</v>
          </cell>
          <cell r="M10">
            <v>878850</v>
          </cell>
          <cell r="N10">
            <v>889350</v>
          </cell>
          <cell r="O10">
            <v>997209.53866511048</v>
          </cell>
        </row>
        <row r="11">
          <cell r="D11">
            <v>423500</v>
          </cell>
          <cell r="E11">
            <v>424947.05918127805</v>
          </cell>
          <cell r="F11">
            <v>466900</v>
          </cell>
          <cell r="G11">
            <v>444500</v>
          </cell>
          <cell r="H11">
            <v>436450</v>
          </cell>
          <cell r="I11">
            <v>425600</v>
          </cell>
          <cell r="J11">
            <v>444150</v>
          </cell>
          <cell r="K11">
            <v>436800</v>
          </cell>
          <cell r="L11">
            <v>417200</v>
          </cell>
          <cell r="M11">
            <v>429100</v>
          </cell>
          <cell r="N11">
            <v>429100</v>
          </cell>
          <cell r="O11">
            <v>486889.24508300493</v>
          </cell>
        </row>
        <row r="12">
          <cell r="D12">
            <v>255116</v>
          </cell>
          <cell r="E12">
            <v>260986.50440333542</v>
          </cell>
          <cell r="F12">
            <v>299297.91835509299</v>
          </cell>
          <cell r="G12">
            <v>278141.09032602463</v>
          </cell>
          <cell r="H12">
            <v>264713.2488</v>
          </cell>
          <cell r="I12">
            <v>231841.67999999996</v>
          </cell>
          <cell r="J12">
            <v>235141</v>
          </cell>
          <cell r="K12">
            <v>218582</v>
          </cell>
          <cell r="L12">
            <v>201596</v>
          </cell>
          <cell r="M12">
            <v>218473</v>
          </cell>
          <cell r="N12">
            <v>222183.77346700878</v>
          </cell>
          <cell r="O12">
            <v>247301.18029061146</v>
          </cell>
        </row>
        <row r="13">
          <cell r="D13">
            <v>109335</v>
          </cell>
          <cell r="E13">
            <v>111850.92059666457</v>
          </cell>
          <cell r="F13">
            <v>128270.033644907</v>
          </cell>
          <cell r="G13">
            <v>119202.85717397538</v>
          </cell>
          <cell r="H13">
            <v>113448.5352</v>
          </cell>
          <cell r="I13">
            <v>99360.719999999987</v>
          </cell>
          <cell r="J13">
            <v>100775</v>
          </cell>
          <cell r="K13">
            <v>93678</v>
          </cell>
          <cell r="L13">
            <v>86398</v>
          </cell>
          <cell r="M13">
            <v>93631</v>
          </cell>
          <cell r="N13">
            <v>95221.326632991259</v>
          </cell>
          <cell r="O13">
            <v>105985.89670938854</v>
          </cell>
        </row>
        <row r="14">
          <cell r="D14">
            <v>18149</v>
          </cell>
          <cell r="E14">
            <v>14865.227999999999</v>
          </cell>
          <cell r="F14">
            <v>16181.466</v>
          </cell>
          <cell r="G14">
            <v>16447.703999999998</v>
          </cell>
          <cell r="H14">
            <v>15457.661999999998</v>
          </cell>
          <cell r="I14">
            <v>15919.725999999999</v>
          </cell>
          <cell r="J14">
            <v>16394</v>
          </cell>
          <cell r="K14">
            <v>17403</v>
          </cell>
          <cell r="L14">
            <v>14551</v>
          </cell>
          <cell r="M14">
            <v>15088</v>
          </cell>
          <cell r="N14">
            <v>15424.846316500001</v>
          </cell>
          <cell r="O14">
            <v>17827.529977999999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N CRISTÓBAL"/>
      <sheetName val="SANTA CRUZ"/>
      <sheetName val="ISABELA"/>
      <sheetName val="FLOREANA"/>
      <sheetName val="POTENCIA MAX"/>
      <sheetName val="AUTOCONSUMOS"/>
      <sheetName val="SISDAT"/>
      <sheetName val="SISDAT EOLICSA"/>
      <sheetName val="DEFICIT GRUPOS"/>
      <sheetName val="DIFICIT EOLICSA"/>
      <sheetName val="COMERCIAL"/>
      <sheetName val="TÉCNICO"/>
      <sheetName val="BALANCE"/>
      <sheetName val="HISTORICOS"/>
      <sheetName val="INDICADOR"/>
      <sheetName val="INDICADORES+"/>
    </sheetNames>
    <sheetDataSet>
      <sheetData sheetId="0">
        <row r="12">
          <cell r="D12">
            <v>1261007</v>
          </cell>
          <cell r="E12">
            <v>1155560</v>
          </cell>
          <cell r="F12">
            <v>1476498</v>
          </cell>
          <cell r="G12">
            <v>1313439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21">
          <cell r="D21">
            <v>100157</v>
          </cell>
          <cell r="E21">
            <v>92286</v>
          </cell>
          <cell r="F21">
            <v>116639</v>
          </cell>
          <cell r="G21">
            <v>106256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</row>
        <row r="45">
          <cell r="D45">
            <v>143915</v>
          </cell>
          <cell r="E45">
            <v>28444</v>
          </cell>
          <cell r="F45">
            <v>29534.16</v>
          </cell>
          <cell r="G45">
            <v>104720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6">
          <cell r="D46">
            <v>857</v>
          </cell>
          <cell r="E46">
            <v>791</v>
          </cell>
          <cell r="F46">
            <v>618</v>
          </cell>
          <cell r="G46">
            <v>750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</row>
        <row r="47">
          <cell r="D47">
            <v>619</v>
          </cell>
          <cell r="E47">
            <v>510</v>
          </cell>
          <cell r="F47">
            <v>650</v>
          </cell>
          <cell r="G47">
            <v>650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</row>
        <row r="51">
          <cell r="D51">
            <v>3.3714820142841511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</row>
      </sheetData>
      <sheetData sheetId="1">
        <row r="13">
          <cell r="D13">
            <v>2595038</v>
          </cell>
          <cell r="E13">
            <v>2785495</v>
          </cell>
          <cell r="F13">
            <v>3129040</v>
          </cell>
          <cell r="G13">
            <v>2696865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24">
          <cell r="D24">
            <v>186542.99999999997</v>
          </cell>
          <cell r="E24">
            <v>190833</v>
          </cell>
          <cell r="F24">
            <v>212753</v>
          </cell>
          <cell r="G24">
            <v>183144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56">
          <cell r="D56">
            <v>161978</v>
          </cell>
          <cell r="E56">
            <v>181992</v>
          </cell>
          <cell r="F56">
            <v>188688</v>
          </cell>
          <cell r="G56">
            <v>179649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67">
          <cell r="D67">
            <v>365939.9</v>
          </cell>
          <cell r="E67">
            <v>198584.3505859375</v>
          </cell>
          <cell r="F67">
            <v>67996.58203125</v>
          </cell>
          <cell r="G67">
            <v>172122.0703125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79">
          <cell r="D79">
            <v>5.9179994405110676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7">
          <cell r="F87">
            <v>11158</v>
          </cell>
          <cell r="G87">
            <v>7634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</row>
      </sheetData>
      <sheetData sheetId="2">
        <row r="10">
          <cell r="D10">
            <v>482060</v>
          </cell>
          <cell r="E10">
            <v>487550</v>
          </cell>
          <cell r="F10">
            <v>547605</v>
          </cell>
          <cell r="G10">
            <v>475248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8">
          <cell r="D18">
            <v>37461</v>
          </cell>
          <cell r="E18">
            <v>37154</v>
          </cell>
          <cell r="F18">
            <v>41758</v>
          </cell>
          <cell r="G18">
            <v>36657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</row>
        <row r="35">
          <cell r="D35">
            <v>0.91400000000000003</v>
          </cell>
          <cell r="E35">
            <v>0.95899999999999996</v>
          </cell>
          <cell r="F35">
            <v>1.1180000000000001</v>
          </cell>
          <cell r="G35">
            <v>1.0449999999999999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</row>
      </sheetData>
      <sheetData sheetId="3">
        <row r="5">
          <cell r="E5">
            <v>0</v>
          </cell>
          <cell r="F5">
            <v>1896.5</v>
          </cell>
          <cell r="G5">
            <v>3725.5</v>
          </cell>
          <cell r="H5">
            <v>1966.5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E6">
            <v>5713.5</v>
          </cell>
          <cell r="F6">
            <v>4507</v>
          </cell>
          <cell r="G6">
            <v>3536.5</v>
          </cell>
          <cell r="H6">
            <v>2278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</row>
        <row r="7">
          <cell r="E7">
            <v>0</v>
          </cell>
          <cell r="F7">
            <v>1896.5</v>
          </cell>
          <cell r="G7">
            <v>1618.5</v>
          </cell>
          <cell r="H7">
            <v>6404.5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</row>
        <row r="8">
          <cell r="E8">
            <v>5713.5</v>
          </cell>
          <cell r="F8">
            <v>4507</v>
          </cell>
          <cell r="G8">
            <v>2098.5</v>
          </cell>
          <cell r="H8">
            <v>6845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</row>
        <row r="9">
          <cell r="E9">
            <v>385</v>
          </cell>
          <cell r="F9">
            <v>0</v>
          </cell>
          <cell r="G9">
            <v>183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</row>
        <row r="10">
          <cell r="E10">
            <v>9863</v>
          </cell>
          <cell r="F10">
            <v>6658</v>
          </cell>
          <cell r="G10">
            <v>9450</v>
          </cell>
          <cell r="H10">
            <v>3054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</row>
        <row r="13">
          <cell r="E13">
            <v>0</v>
          </cell>
          <cell r="F13">
            <v>197.75</v>
          </cell>
          <cell r="G13">
            <v>362.5</v>
          </cell>
          <cell r="H13">
            <v>187.5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</row>
        <row r="14">
          <cell r="E14">
            <v>540.5</v>
          </cell>
          <cell r="F14">
            <v>434.25</v>
          </cell>
          <cell r="G14">
            <v>343</v>
          </cell>
          <cell r="H14">
            <v>221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</row>
        <row r="15">
          <cell r="E15">
            <v>0</v>
          </cell>
          <cell r="F15">
            <v>197.75</v>
          </cell>
          <cell r="G15">
            <v>179.5</v>
          </cell>
          <cell r="H15">
            <v>617.5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</row>
        <row r="16">
          <cell r="E16">
            <v>540.5</v>
          </cell>
          <cell r="F16">
            <v>434.25</v>
          </cell>
          <cell r="G16">
            <v>209</v>
          </cell>
          <cell r="H16">
            <v>661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36">
          <cell r="E36">
            <v>5.8999999999999997E-2</v>
          </cell>
          <cell r="F36">
            <v>5.6000000000000001E-2</v>
          </cell>
          <cell r="G36">
            <v>5.5E-2</v>
          </cell>
          <cell r="H36">
            <v>6.0999999999999999E-2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62">
          <cell r="E62">
            <v>1565.49</v>
          </cell>
          <cell r="F62">
            <v>1662</v>
          </cell>
          <cell r="G62">
            <v>1416.73</v>
          </cell>
          <cell r="H62">
            <v>2045.319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</row>
      </sheetData>
      <sheetData sheetId="4">
        <row r="5">
          <cell r="E5">
            <v>9.5244709160582399</v>
          </cell>
          <cell r="F5">
            <v>9.9231925535897361</v>
          </cell>
          <cell r="G5">
            <v>9.9481677800000003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</sheetData>
      <sheetData sheetId="5">
        <row r="26">
          <cell r="E26">
            <v>67187</v>
          </cell>
          <cell r="F26">
            <v>83540</v>
          </cell>
          <cell r="G26">
            <v>76007</v>
          </cell>
          <cell r="H26">
            <v>100310</v>
          </cell>
          <cell r="I26">
            <v>-32295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49">
          <cell r="E49">
            <v>723</v>
          </cell>
          <cell r="F49">
            <v>770</v>
          </cell>
          <cell r="G49">
            <v>790</v>
          </cell>
          <cell r="H49">
            <v>781</v>
          </cell>
          <cell r="I49">
            <v>-43273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</row>
        <row r="59">
          <cell r="E59">
            <v>483.07999999999993</v>
          </cell>
          <cell r="F59">
            <v>522.3799999999992</v>
          </cell>
          <cell r="G59">
            <v>1023.719000000001</v>
          </cell>
          <cell r="H59">
            <v>528.0010000000002</v>
          </cell>
          <cell r="I59">
            <v>-12944.1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4">
          <cell r="G64">
            <v>11.157999999999999</v>
          </cell>
          <cell r="H64">
            <v>7.6340000000000003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83">
          <cell r="E83">
            <v>6658</v>
          </cell>
          <cell r="F83">
            <v>6265</v>
          </cell>
          <cell r="G83">
            <v>8037</v>
          </cell>
          <cell r="H83">
            <v>7868</v>
          </cell>
          <cell r="I83">
            <v>-897788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</row>
        <row r="85">
          <cell r="E85">
            <v>5853</v>
          </cell>
          <cell r="F85">
            <v>6240</v>
          </cell>
          <cell r="G85">
            <v>7261</v>
          </cell>
          <cell r="H85">
            <v>7052</v>
          </cell>
          <cell r="I85">
            <v>-26406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</row>
        <row r="86"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-146370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</row>
        <row r="87">
          <cell r="E87">
            <v>39783.93</v>
          </cell>
          <cell r="F87">
            <v>48843.099999999962</v>
          </cell>
          <cell r="G87">
            <v>62417.250000000065</v>
          </cell>
          <cell r="H87">
            <v>51687.579999999929</v>
          </cell>
          <cell r="I87">
            <v>-875744.92999999993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E88">
            <v>1307</v>
          </cell>
          <cell r="F88">
            <v>1155</v>
          </cell>
          <cell r="G88">
            <v>1207</v>
          </cell>
          <cell r="H88">
            <v>1143</v>
          </cell>
          <cell r="I88">
            <v>-159730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E89">
            <v>893</v>
          </cell>
          <cell r="F89">
            <v>954</v>
          </cell>
          <cell r="G89">
            <v>1096</v>
          </cell>
          <cell r="H89">
            <v>1135</v>
          </cell>
          <cell r="I89">
            <v>-78633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</row>
      </sheetData>
      <sheetData sheetId="6"/>
      <sheetData sheetId="7"/>
      <sheetData sheetId="8"/>
      <sheetData sheetId="9"/>
      <sheetData sheetId="10">
        <row r="6">
          <cell r="D6">
            <v>1243598</v>
          </cell>
          <cell r="E6">
            <v>1346649</v>
          </cell>
          <cell r="F6">
            <v>1397883</v>
          </cell>
          <cell r="G6">
            <v>1426237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D7">
            <v>2535372</v>
          </cell>
          <cell r="E7">
            <v>2717946</v>
          </cell>
          <cell r="F7">
            <v>2813905</v>
          </cell>
          <cell r="G7">
            <v>2807388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D8">
            <v>401034</v>
          </cell>
          <cell r="E8">
            <v>423471</v>
          </cell>
          <cell r="F8">
            <v>456052</v>
          </cell>
          <cell r="G8">
            <v>498430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D9">
            <v>18930</v>
          </cell>
          <cell r="E9">
            <v>18108</v>
          </cell>
          <cell r="F9">
            <v>15178</v>
          </cell>
          <cell r="G9">
            <v>15528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3">
          <cell r="D13">
            <v>3169</v>
          </cell>
          <cell r="E13">
            <v>3177</v>
          </cell>
          <cell r="F13">
            <v>3183</v>
          </cell>
          <cell r="G13">
            <v>3202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D14">
            <v>6372</v>
          </cell>
          <cell r="E14">
            <v>6397</v>
          </cell>
          <cell r="F14">
            <v>6429</v>
          </cell>
          <cell r="G14">
            <v>6447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D15">
            <v>1175</v>
          </cell>
          <cell r="E15">
            <v>1178</v>
          </cell>
          <cell r="F15">
            <v>1172</v>
          </cell>
          <cell r="G15">
            <v>1178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D16">
            <v>76</v>
          </cell>
          <cell r="E16">
            <v>75</v>
          </cell>
          <cell r="F16">
            <v>75</v>
          </cell>
          <cell r="G16">
            <v>75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24">
          <cell r="D24">
            <v>1508</v>
          </cell>
          <cell r="E24">
            <v>1508</v>
          </cell>
          <cell r="F24">
            <v>1508</v>
          </cell>
          <cell r="G24">
            <v>1508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</row>
        <row r="25">
          <cell r="D25">
            <v>1276</v>
          </cell>
          <cell r="E25">
            <v>1276</v>
          </cell>
          <cell r="F25">
            <v>1276</v>
          </cell>
          <cell r="G25">
            <v>1276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</row>
        <row r="26">
          <cell r="D26">
            <v>348</v>
          </cell>
          <cell r="E26">
            <v>348</v>
          </cell>
          <cell r="F26">
            <v>348</v>
          </cell>
          <cell r="G26">
            <v>348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D27">
            <v>116</v>
          </cell>
          <cell r="E27">
            <v>116</v>
          </cell>
          <cell r="F27">
            <v>116</v>
          </cell>
          <cell r="G27">
            <v>116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D28">
            <v>116</v>
          </cell>
          <cell r="E28">
            <v>116</v>
          </cell>
          <cell r="F28">
            <v>116</v>
          </cell>
          <cell r="G28">
            <v>116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  <row r="29">
          <cell r="D29">
            <v>3364</v>
          </cell>
          <cell r="E29">
            <v>3364</v>
          </cell>
          <cell r="F29">
            <v>3364</v>
          </cell>
          <cell r="G29">
            <v>3364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</sheetData>
      <sheetData sheetId="11">
        <row r="6">
          <cell r="D6">
            <v>577747.89461170405</v>
          </cell>
          <cell r="E6">
            <v>569193.91099343251</v>
          </cell>
          <cell r="F6">
            <v>615555.69640788587</v>
          </cell>
          <cell r="G6">
            <v>596270.20644270512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D7">
            <v>565586.0774579912</v>
          </cell>
          <cell r="E7">
            <v>557212.15851095691</v>
          </cell>
          <cell r="F7">
            <v>602598.01036963461</v>
          </cell>
          <cell r="G7">
            <v>576922.06114248559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D8">
            <v>180820.06793030511</v>
          </cell>
          <cell r="E8">
            <v>178142.89348561049</v>
          </cell>
          <cell r="F8">
            <v>192652.92678247928</v>
          </cell>
          <cell r="G8">
            <v>170737.56441480917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D9">
            <v>1065993</v>
          </cell>
          <cell r="E9">
            <v>1061088</v>
          </cell>
          <cell r="F9">
            <v>1125083</v>
          </cell>
          <cell r="G9">
            <v>999425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D10">
            <v>1273664</v>
          </cell>
          <cell r="E10">
            <v>1287756</v>
          </cell>
          <cell r="F10">
            <v>1352749</v>
          </cell>
          <cell r="G10">
            <v>1206049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D11">
            <v>533897</v>
          </cell>
          <cell r="E11">
            <v>522836</v>
          </cell>
          <cell r="F11">
            <v>569569</v>
          </cell>
          <cell r="G11">
            <v>539459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</row>
        <row r="12">
          <cell r="D12">
            <v>8882.6289069999984</v>
          </cell>
          <cell r="E12">
            <v>10004.469999999999</v>
          </cell>
          <cell r="F12">
            <v>10968.65</v>
          </cell>
          <cell r="G12">
            <v>7591.86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D13">
            <v>19735.625</v>
          </cell>
          <cell r="E13">
            <v>23380.84</v>
          </cell>
          <cell r="F13">
            <v>26200.7</v>
          </cell>
          <cell r="G13">
            <v>19375.310000000001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D14">
            <v>44203.15625</v>
          </cell>
          <cell r="E14">
            <v>53876.28</v>
          </cell>
          <cell r="F14">
            <v>53337.34</v>
          </cell>
          <cell r="G14">
            <v>42280.34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D15">
            <v>268941.59820000001</v>
          </cell>
          <cell r="E15">
            <v>270950.00760000001</v>
          </cell>
          <cell r="F15">
            <v>302644.65240000002</v>
          </cell>
          <cell r="G15">
            <v>268428.63546000002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D16">
            <v>179294.39880000002</v>
          </cell>
          <cell r="E16">
            <v>180633.33840000001</v>
          </cell>
          <cell r="F16">
            <v>201763.10160000002</v>
          </cell>
          <cell r="G16">
            <v>178952.42364000002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D17">
            <v>20916.200940000002</v>
          </cell>
          <cell r="E17">
            <v>19383.302</v>
          </cell>
          <cell r="F17">
            <v>20114.402550000003</v>
          </cell>
          <cell r="G17">
            <v>20693.981540999997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</row>
      </sheetData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workbookViewId="0">
      <selection activeCell="B21" sqref="B21:M21"/>
    </sheetView>
  </sheetViews>
  <sheetFormatPr baseColWidth="10" defaultRowHeight="12.75" x14ac:dyDescent="0.2"/>
  <cols>
    <col min="1" max="1" width="29.7109375" style="50" customWidth="1"/>
    <col min="2" max="13" width="9.28515625" style="35" bestFit="1" customWidth="1"/>
    <col min="14" max="14" width="11.140625" style="35" bestFit="1" customWidth="1"/>
    <col min="15" max="256" width="11.42578125" style="1"/>
    <col min="257" max="257" width="29.7109375" style="1" customWidth="1"/>
    <col min="258" max="269" width="9.28515625" style="1" bestFit="1" customWidth="1"/>
    <col min="270" max="270" width="11.140625" style="1" bestFit="1" customWidth="1"/>
    <col min="271" max="512" width="11.42578125" style="1"/>
    <col min="513" max="513" width="29.7109375" style="1" customWidth="1"/>
    <col min="514" max="525" width="9.28515625" style="1" bestFit="1" customWidth="1"/>
    <col min="526" max="526" width="11.140625" style="1" bestFit="1" customWidth="1"/>
    <col min="527" max="768" width="11.42578125" style="1"/>
    <col min="769" max="769" width="29.7109375" style="1" customWidth="1"/>
    <col min="770" max="781" width="9.28515625" style="1" bestFit="1" customWidth="1"/>
    <col min="782" max="782" width="11.140625" style="1" bestFit="1" customWidth="1"/>
    <col min="783" max="1024" width="11.42578125" style="1"/>
    <col min="1025" max="1025" width="29.7109375" style="1" customWidth="1"/>
    <col min="1026" max="1037" width="9.28515625" style="1" bestFit="1" customWidth="1"/>
    <col min="1038" max="1038" width="11.140625" style="1" bestFit="1" customWidth="1"/>
    <col min="1039" max="1280" width="11.42578125" style="1"/>
    <col min="1281" max="1281" width="29.7109375" style="1" customWidth="1"/>
    <col min="1282" max="1293" width="9.28515625" style="1" bestFit="1" customWidth="1"/>
    <col min="1294" max="1294" width="11.140625" style="1" bestFit="1" customWidth="1"/>
    <col min="1295" max="1536" width="11.42578125" style="1"/>
    <col min="1537" max="1537" width="29.7109375" style="1" customWidth="1"/>
    <col min="1538" max="1549" width="9.28515625" style="1" bestFit="1" customWidth="1"/>
    <col min="1550" max="1550" width="11.140625" style="1" bestFit="1" customWidth="1"/>
    <col min="1551" max="1792" width="11.42578125" style="1"/>
    <col min="1793" max="1793" width="29.7109375" style="1" customWidth="1"/>
    <col min="1794" max="1805" width="9.28515625" style="1" bestFit="1" customWidth="1"/>
    <col min="1806" max="1806" width="11.140625" style="1" bestFit="1" customWidth="1"/>
    <col min="1807" max="2048" width="11.42578125" style="1"/>
    <col min="2049" max="2049" width="29.7109375" style="1" customWidth="1"/>
    <col min="2050" max="2061" width="9.28515625" style="1" bestFit="1" customWidth="1"/>
    <col min="2062" max="2062" width="11.140625" style="1" bestFit="1" customWidth="1"/>
    <col min="2063" max="2304" width="11.42578125" style="1"/>
    <col min="2305" max="2305" width="29.7109375" style="1" customWidth="1"/>
    <col min="2306" max="2317" width="9.28515625" style="1" bestFit="1" customWidth="1"/>
    <col min="2318" max="2318" width="11.140625" style="1" bestFit="1" customWidth="1"/>
    <col min="2319" max="2560" width="11.42578125" style="1"/>
    <col min="2561" max="2561" width="29.7109375" style="1" customWidth="1"/>
    <col min="2562" max="2573" width="9.28515625" style="1" bestFit="1" customWidth="1"/>
    <col min="2574" max="2574" width="11.140625" style="1" bestFit="1" customWidth="1"/>
    <col min="2575" max="2816" width="11.42578125" style="1"/>
    <col min="2817" max="2817" width="29.7109375" style="1" customWidth="1"/>
    <col min="2818" max="2829" width="9.28515625" style="1" bestFit="1" customWidth="1"/>
    <col min="2830" max="2830" width="11.140625" style="1" bestFit="1" customWidth="1"/>
    <col min="2831" max="3072" width="11.42578125" style="1"/>
    <col min="3073" max="3073" width="29.7109375" style="1" customWidth="1"/>
    <col min="3074" max="3085" width="9.28515625" style="1" bestFit="1" customWidth="1"/>
    <col min="3086" max="3086" width="11.140625" style="1" bestFit="1" customWidth="1"/>
    <col min="3087" max="3328" width="11.42578125" style="1"/>
    <col min="3329" max="3329" width="29.7109375" style="1" customWidth="1"/>
    <col min="3330" max="3341" width="9.28515625" style="1" bestFit="1" customWidth="1"/>
    <col min="3342" max="3342" width="11.140625" style="1" bestFit="1" customWidth="1"/>
    <col min="3343" max="3584" width="11.42578125" style="1"/>
    <col min="3585" max="3585" width="29.7109375" style="1" customWidth="1"/>
    <col min="3586" max="3597" width="9.28515625" style="1" bestFit="1" customWidth="1"/>
    <col min="3598" max="3598" width="11.140625" style="1" bestFit="1" customWidth="1"/>
    <col min="3599" max="3840" width="11.42578125" style="1"/>
    <col min="3841" max="3841" width="29.7109375" style="1" customWidth="1"/>
    <col min="3842" max="3853" width="9.28515625" style="1" bestFit="1" customWidth="1"/>
    <col min="3854" max="3854" width="11.140625" style="1" bestFit="1" customWidth="1"/>
    <col min="3855" max="4096" width="11.42578125" style="1"/>
    <col min="4097" max="4097" width="29.7109375" style="1" customWidth="1"/>
    <col min="4098" max="4109" width="9.28515625" style="1" bestFit="1" customWidth="1"/>
    <col min="4110" max="4110" width="11.140625" style="1" bestFit="1" customWidth="1"/>
    <col min="4111" max="4352" width="11.42578125" style="1"/>
    <col min="4353" max="4353" width="29.7109375" style="1" customWidth="1"/>
    <col min="4354" max="4365" width="9.28515625" style="1" bestFit="1" customWidth="1"/>
    <col min="4366" max="4366" width="11.140625" style="1" bestFit="1" customWidth="1"/>
    <col min="4367" max="4608" width="11.42578125" style="1"/>
    <col min="4609" max="4609" width="29.7109375" style="1" customWidth="1"/>
    <col min="4610" max="4621" width="9.28515625" style="1" bestFit="1" customWidth="1"/>
    <col min="4622" max="4622" width="11.140625" style="1" bestFit="1" customWidth="1"/>
    <col min="4623" max="4864" width="11.42578125" style="1"/>
    <col min="4865" max="4865" width="29.7109375" style="1" customWidth="1"/>
    <col min="4866" max="4877" width="9.28515625" style="1" bestFit="1" customWidth="1"/>
    <col min="4878" max="4878" width="11.140625" style="1" bestFit="1" customWidth="1"/>
    <col min="4879" max="5120" width="11.42578125" style="1"/>
    <col min="5121" max="5121" width="29.7109375" style="1" customWidth="1"/>
    <col min="5122" max="5133" width="9.28515625" style="1" bestFit="1" customWidth="1"/>
    <col min="5134" max="5134" width="11.140625" style="1" bestFit="1" customWidth="1"/>
    <col min="5135" max="5376" width="11.42578125" style="1"/>
    <col min="5377" max="5377" width="29.7109375" style="1" customWidth="1"/>
    <col min="5378" max="5389" width="9.28515625" style="1" bestFit="1" customWidth="1"/>
    <col min="5390" max="5390" width="11.140625" style="1" bestFit="1" customWidth="1"/>
    <col min="5391" max="5632" width="11.42578125" style="1"/>
    <col min="5633" max="5633" width="29.7109375" style="1" customWidth="1"/>
    <col min="5634" max="5645" width="9.28515625" style="1" bestFit="1" customWidth="1"/>
    <col min="5646" max="5646" width="11.140625" style="1" bestFit="1" customWidth="1"/>
    <col min="5647" max="5888" width="11.42578125" style="1"/>
    <col min="5889" max="5889" width="29.7109375" style="1" customWidth="1"/>
    <col min="5890" max="5901" width="9.28515625" style="1" bestFit="1" customWidth="1"/>
    <col min="5902" max="5902" width="11.140625" style="1" bestFit="1" customWidth="1"/>
    <col min="5903" max="6144" width="11.42578125" style="1"/>
    <col min="6145" max="6145" width="29.7109375" style="1" customWidth="1"/>
    <col min="6146" max="6157" width="9.28515625" style="1" bestFit="1" customWidth="1"/>
    <col min="6158" max="6158" width="11.140625" style="1" bestFit="1" customWidth="1"/>
    <col min="6159" max="6400" width="11.42578125" style="1"/>
    <col min="6401" max="6401" width="29.7109375" style="1" customWidth="1"/>
    <col min="6402" max="6413" width="9.28515625" style="1" bestFit="1" customWidth="1"/>
    <col min="6414" max="6414" width="11.140625" style="1" bestFit="1" customWidth="1"/>
    <col min="6415" max="6656" width="11.42578125" style="1"/>
    <col min="6657" max="6657" width="29.7109375" style="1" customWidth="1"/>
    <col min="6658" max="6669" width="9.28515625" style="1" bestFit="1" customWidth="1"/>
    <col min="6670" max="6670" width="11.140625" style="1" bestFit="1" customWidth="1"/>
    <col min="6671" max="6912" width="11.42578125" style="1"/>
    <col min="6913" max="6913" width="29.7109375" style="1" customWidth="1"/>
    <col min="6914" max="6925" width="9.28515625" style="1" bestFit="1" customWidth="1"/>
    <col min="6926" max="6926" width="11.140625" style="1" bestFit="1" customWidth="1"/>
    <col min="6927" max="7168" width="11.42578125" style="1"/>
    <col min="7169" max="7169" width="29.7109375" style="1" customWidth="1"/>
    <col min="7170" max="7181" width="9.28515625" style="1" bestFit="1" customWidth="1"/>
    <col min="7182" max="7182" width="11.140625" style="1" bestFit="1" customWidth="1"/>
    <col min="7183" max="7424" width="11.42578125" style="1"/>
    <col min="7425" max="7425" width="29.7109375" style="1" customWidth="1"/>
    <col min="7426" max="7437" width="9.28515625" style="1" bestFit="1" customWidth="1"/>
    <col min="7438" max="7438" width="11.140625" style="1" bestFit="1" customWidth="1"/>
    <col min="7439" max="7680" width="11.42578125" style="1"/>
    <col min="7681" max="7681" width="29.7109375" style="1" customWidth="1"/>
    <col min="7682" max="7693" width="9.28515625" style="1" bestFit="1" customWidth="1"/>
    <col min="7694" max="7694" width="11.140625" style="1" bestFit="1" customWidth="1"/>
    <col min="7695" max="7936" width="11.42578125" style="1"/>
    <col min="7937" max="7937" width="29.7109375" style="1" customWidth="1"/>
    <col min="7938" max="7949" width="9.28515625" style="1" bestFit="1" customWidth="1"/>
    <col min="7950" max="7950" width="11.140625" style="1" bestFit="1" customWidth="1"/>
    <col min="7951" max="8192" width="11.42578125" style="1"/>
    <col min="8193" max="8193" width="29.7109375" style="1" customWidth="1"/>
    <col min="8194" max="8205" width="9.28515625" style="1" bestFit="1" customWidth="1"/>
    <col min="8206" max="8206" width="11.140625" style="1" bestFit="1" customWidth="1"/>
    <col min="8207" max="8448" width="11.42578125" style="1"/>
    <col min="8449" max="8449" width="29.7109375" style="1" customWidth="1"/>
    <col min="8450" max="8461" width="9.28515625" style="1" bestFit="1" customWidth="1"/>
    <col min="8462" max="8462" width="11.140625" style="1" bestFit="1" customWidth="1"/>
    <col min="8463" max="8704" width="11.42578125" style="1"/>
    <col min="8705" max="8705" width="29.7109375" style="1" customWidth="1"/>
    <col min="8706" max="8717" width="9.28515625" style="1" bestFit="1" customWidth="1"/>
    <col min="8718" max="8718" width="11.140625" style="1" bestFit="1" customWidth="1"/>
    <col min="8719" max="8960" width="11.42578125" style="1"/>
    <col min="8961" max="8961" width="29.7109375" style="1" customWidth="1"/>
    <col min="8962" max="8973" width="9.28515625" style="1" bestFit="1" customWidth="1"/>
    <col min="8974" max="8974" width="11.140625" style="1" bestFit="1" customWidth="1"/>
    <col min="8975" max="9216" width="11.42578125" style="1"/>
    <col min="9217" max="9217" width="29.7109375" style="1" customWidth="1"/>
    <col min="9218" max="9229" width="9.28515625" style="1" bestFit="1" customWidth="1"/>
    <col min="9230" max="9230" width="11.140625" style="1" bestFit="1" customWidth="1"/>
    <col min="9231" max="9472" width="11.42578125" style="1"/>
    <col min="9473" max="9473" width="29.7109375" style="1" customWidth="1"/>
    <col min="9474" max="9485" width="9.28515625" style="1" bestFit="1" customWidth="1"/>
    <col min="9486" max="9486" width="11.140625" style="1" bestFit="1" customWidth="1"/>
    <col min="9487" max="9728" width="11.42578125" style="1"/>
    <col min="9729" max="9729" width="29.7109375" style="1" customWidth="1"/>
    <col min="9730" max="9741" width="9.28515625" style="1" bestFit="1" customWidth="1"/>
    <col min="9742" max="9742" width="11.140625" style="1" bestFit="1" customWidth="1"/>
    <col min="9743" max="9984" width="11.42578125" style="1"/>
    <col min="9985" max="9985" width="29.7109375" style="1" customWidth="1"/>
    <col min="9986" max="9997" width="9.28515625" style="1" bestFit="1" customWidth="1"/>
    <col min="9998" max="9998" width="11.140625" style="1" bestFit="1" customWidth="1"/>
    <col min="9999" max="10240" width="11.42578125" style="1"/>
    <col min="10241" max="10241" width="29.7109375" style="1" customWidth="1"/>
    <col min="10242" max="10253" width="9.28515625" style="1" bestFit="1" customWidth="1"/>
    <col min="10254" max="10254" width="11.140625" style="1" bestFit="1" customWidth="1"/>
    <col min="10255" max="10496" width="11.42578125" style="1"/>
    <col min="10497" max="10497" width="29.7109375" style="1" customWidth="1"/>
    <col min="10498" max="10509" width="9.28515625" style="1" bestFit="1" customWidth="1"/>
    <col min="10510" max="10510" width="11.140625" style="1" bestFit="1" customWidth="1"/>
    <col min="10511" max="10752" width="11.42578125" style="1"/>
    <col min="10753" max="10753" width="29.7109375" style="1" customWidth="1"/>
    <col min="10754" max="10765" width="9.28515625" style="1" bestFit="1" customWidth="1"/>
    <col min="10766" max="10766" width="11.140625" style="1" bestFit="1" customWidth="1"/>
    <col min="10767" max="11008" width="11.42578125" style="1"/>
    <col min="11009" max="11009" width="29.7109375" style="1" customWidth="1"/>
    <col min="11010" max="11021" width="9.28515625" style="1" bestFit="1" customWidth="1"/>
    <col min="11022" max="11022" width="11.140625" style="1" bestFit="1" customWidth="1"/>
    <col min="11023" max="11264" width="11.42578125" style="1"/>
    <col min="11265" max="11265" width="29.7109375" style="1" customWidth="1"/>
    <col min="11266" max="11277" width="9.28515625" style="1" bestFit="1" customWidth="1"/>
    <col min="11278" max="11278" width="11.140625" style="1" bestFit="1" customWidth="1"/>
    <col min="11279" max="11520" width="11.42578125" style="1"/>
    <col min="11521" max="11521" width="29.7109375" style="1" customWidth="1"/>
    <col min="11522" max="11533" width="9.28515625" style="1" bestFit="1" customWidth="1"/>
    <col min="11534" max="11534" width="11.140625" style="1" bestFit="1" customWidth="1"/>
    <col min="11535" max="11776" width="11.42578125" style="1"/>
    <col min="11777" max="11777" width="29.7109375" style="1" customWidth="1"/>
    <col min="11778" max="11789" width="9.28515625" style="1" bestFit="1" customWidth="1"/>
    <col min="11790" max="11790" width="11.140625" style="1" bestFit="1" customWidth="1"/>
    <col min="11791" max="12032" width="11.42578125" style="1"/>
    <col min="12033" max="12033" width="29.7109375" style="1" customWidth="1"/>
    <col min="12034" max="12045" width="9.28515625" style="1" bestFit="1" customWidth="1"/>
    <col min="12046" max="12046" width="11.140625" style="1" bestFit="1" customWidth="1"/>
    <col min="12047" max="12288" width="11.42578125" style="1"/>
    <col min="12289" max="12289" width="29.7109375" style="1" customWidth="1"/>
    <col min="12290" max="12301" width="9.28515625" style="1" bestFit="1" customWidth="1"/>
    <col min="12302" max="12302" width="11.140625" style="1" bestFit="1" customWidth="1"/>
    <col min="12303" max="12544" width="11.42578125" style="1"/>
    <col min="12545" max="12545" width="29.7109375" style="1" customWidth="1"/>
    <col min="12546" max="12557" width="9.28515625" style="1" bestFit="1" customWidth="1"/>
    <col min="12558" max="12558" width="11.140625" style="1" bestFit="1" customWidth="1"/>
    <col min="12559" max="12800" width="11.42578125" style="1"/>
    <col min="12801" max="12801" width="29.7109375" style="1" customWidth="1"/>
    <col min="12802" max="12813" width="9.28515625" style="1" bestFit="1" customWidth="1"/>
    <col min="12814" max="12814" width="11.140625" style="1" bestFit="1" customWidth="1"/>
    <col min="12815" max="13056" width="11.42578125" style="1"/>
    <col min="13057" max="13057" width="29.7109375" style="1" customWidth="1"/>
    <col min="13058" max="13069" width="9.28515625" style="1" bestFit="1" customWidth="1"/>
    <col min="13070" max="13070" width="11.140625" style="1" bestFit="1" customWidth="1"/>
    <col min="13071" max="13312" width="11.42578125" style="1"/>
    <col min="13313" max="13313" width="29.7109375" style="1" customWidth="1"/>
    <col min="13314" max="13325" width="9.28515625" style="1" bestFit="1" customWidth="1"/>
    <col min="13326" max="13326" width="11.140625" style="1" bestFit="1" customWidth="1"/>
    <col min="13327" max="13568" width="11.42578125" style="1"/>
    <col min="13569" max="13569" width="29.7109375" style="1" customWidth="1"/>
    <col min="13570" max="13581" width="9.28515625" style="1" bestFit="1" customWidth="1"/>
    <col min="13582" max="13582" width="11.140625" style="1" bestFit="1" customWidth="1"/>
    <col min="13583" max="13824" width="11.42578125" style="1"/>
    <col min="13825" max="13825" width="29.7109375" style="1" customWidth="1"/>
    <col min="13826" max="13837" width="9.28515625" style="1" bestFit="1" customWidth="1"/>
    <col min="13838" max="13838" width="11.140625" style="1" bestFit="1" customWidth="1"/>
    <col min="13839" max="14080" width="11.42578125" style="1"/>
    <col min="14081" max="14081" width="29.7109375" style="1" customWidth="1"/>
    <col min="14082" max="14093" width="9.28515625" style="1" bestFit="1" customWidth="1"/>
    <col min="14094" max="14094" width="11.140625" style="1" bestFit="1" customWidth="1"/>
    <col min="14095" max="14336" width="11.42578125" style="1"/>
    <col min="14337" max="14337" width="29.7109375" style="1" customWidth="1"/>
    <col min="14338" max="14349" width="9.28515625" style="1" bestFit="1" customWidth="1"/>
    <col min="14350" max="14350" width="11.140625" style="1" bestFit="1" customWidth="1"/>
    <col min="14351" max="14592" width="11.42578125" style="1"/>
    <col min="14593" max="14593" width="29.7109375" style="1" customWidth="1"/>
    <col min="14594" max="14605" width="9.28515625" style="1" bestFit="1" customWidth="1"/>
    <col min="14606" max="14606" width="11.140625" style="1" bestFit="1" customWidth="1"/>
    <col min="14607" max="14848" width="11.42578125" style="1"/>
    <col min="14849" max="14849" width="29.7109375" style="1" customWidth="1"/>
    <col min="14850" max="14861" width="9.28515625" style="1" bestFit="1" customWidth="1"/>
    <col min="14862" max="14862" width="11.140625" style="1" bestFit="1" customWidth="1"/>
    <col min="14863" max="15104" width="11.42578125" style="1"/>
    <col min="15105" max="15105" width="29.7109375" style="1" customWidth="1"/>
    <col min="15106" max="15117" width="9.28515625" style="1" bestFit="1" customWidth="1"/>
    <col min="15118" max="15118" width="11.140625" style="1" bestFit="1" customWidth="1"/>
    <col min="15119" max="15360" width="11.42578125" style="1"/>
    <col min="15361" max="15361" width="29.7109375" style="1" customWidth="1"/>
    <col min="15362" max="15373" width="9.28515625" style="1" bestFit="1" customWidth="1"/>
    <col min="15374" max="15374" width="11.140625" style="1" bestFit="1" customWidth="1"/>
    <col min="15375" max="15616" width="11.42578125" style="1"/>
    <col min="15617" max="15617" width="29.7109375" style="1" customWidth="1"/>
    <col min="15618" max="15629" width="9.28515625" style="1" bestFit="1" customWidth="1"/>
    <col min="15630" max="15630" width="11.140625" style="1" bestFit="1" customWidth="1"/>
    <col min="15631" max="15872" width="11.42578125" style="1"/>
    <col min="15873" max="15873" width="29.7109375" style="1" customWidth="1"/>
    <col min="15874" max="15885" width="9.28515625" style="1" bestFit="1" customWidth="1"/>
    <col min="15886" max="15886" width="11.140625" style="1" bestFit="1" customWidth="1"/>
    <col min="15887" max="16128" width="11.42578125" style="1"/>
    <col min="16129" max="16129" width="29.7109375" style="1" customWidth="1"/>
    <col min="16130" max="16141" width="9.28515625" style="1" bestFit="1" customWidth="1"/>
    <col min="16142" max="16142" width="11.140625" style="1" bestFit="1" customWidth="1"/>
    <col min="16143" max="16384" width="11.42578125" style="1"/>
  </cols>
  <sheetData>
    <row r="1" spans="1:14" x14ac:dyDescent="0.2">
      <c r="A1" s="732" t="s">
        <v>0</v>
      </c>
      <c r="B1" s="732"/>
      <c r="C1" s="732"/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</row>
    <row r="2" spans="1:14" x14ac:dyDescent="0.2">
      <c r="A2" s="732" t="s">
        <v>1</v>
      </c>
      <c r="B2" s="732"/>
      <c r="C2" s="732"/>
      <c r="D2" s="732"/>
      <c r="E2" s="732"/>
      <c r="F2" s="732"/>
      <c r="G2" s="732"/>
      <c r="H2" s="732"/>
      <c r="I2" s="732"/>
      <c r="J2" s="732"/>
      <c r="K2" s="732"/>
      <c r="L2" s="732"/>
      <c r="M2" s="732"/>
      <c r="N2" s="732"/>
    </row>
    <row r="3" spans="1:14" ht="13.5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3.5" thickBot="1" x14ac:dyDescent="0.25">
      <c r="A4" s="733" t="s">
        <v>2</v>
      </c>
      <c r="B4" s="734"/>
      <c r="C4" s="734"/>
      <c r="D4" s="734"/>
      <c r="E4" s="734"/>
      <c r="F4" s="734"/>
      <c r="G4" s="734"/>
      <c r="H4" s="734"/>
      <c r="I4" s="734"/>
      <c r="J4" s="734"/>
      <c r="K4" s="734"/>
      <c r="L4" s="734"/>
      <c r="M4" s="734"/>
      <c r="N4" s="735"/>
    </row>
    <row r="5" spans="1:14" ht="13.5" thickBot="1" x14ac:dyDescent="0.25">
      <c r="A5" s="3" t="s">
        <v>3</v>
      </c>
      <c r="B5" s="4" t="s">
        <v>4</v>
      </c>
      <c r="C5" s="5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  <c r="K5" s="4" t="s">
        <v>13</v>
      </c>
      <c r="L5" s="4" t="s">
        <v>14</v>
      </c>
      <c r="M5" s="4" t="s">
        <v>15</v>
      </c>
      <c r="N5" s="3" t="s">
        <v>16</v>
      </c>
    </row>
    <row r="6" spans="1:14" x14ac:dyDescent="0.2">
      <c r="A6" s="6" t="s">
        <v>17</v>
      </c>
      <c r="B6" s="7">
        <v>935323</v>
      </c>
      <c r="C6" s="7">
        <v>901848</v>
      </c>
      <c r="D6" s="7">
        <v>1059566</v>
      </c>
      <c r="E6" s="7">
        <v>1057211</v>
      </c>
      <c r="F6" s="7">
        <v>1081600</v>
      </c>
      <c r="G6" s="7">
        <v>969489</v>
      </c>
      <c r="H6" s="7">
        <v>902031</v>
      </c>
      <c r="I6" s="7">
        <v>847805</v>
      </c>
      <c r="J6" s="7">
        <v>780023</v>
      </c>
      <c r="K6" s="7">
        <v>823793</v>
      </c>
      <c r="L6" s="7">
        <v>816235</v>
      </c>
      <c r="M6" s="7">
        <v>908272</v>
      </c>
      <c r="N6" s="7">
        <v>11083196</v>
      </c>
    </row>
    <row r="7" spans="1:14" x14ac:dyDescent="0.2">
      <c r="A7" s="277" t="s">
        <v>18</v>
      </c>
      <c r="B7" s="9">
        <v>847901</v>
      </c>
      <c r="C7" s="10">
        <v>881183</v>
      </c>
      <c r="D7" s="9">
        <v>892303</v>
      </c>
      <c r="E7" s="11">
        <v>1000277</v>
      </c>
      <c r="F7" s="9">
        <v>964781</v>
      </c>
      <c r="G7" s="9">
        <v>839844</v>
      </c>
      <c r="H7" s="9">
        <v>635363</v>
      </c>
      <c r="I7" s="9">
        <v>443539</v>
      </c>
      <c r="J7" s="9">
        <v>425251</v>
      </c>
      <c r="K7" s="9">
        <v>547196</v>
      </c>
      <c r="L7" s="9">
        <v>522705</v>
      </c>
      <c r="M7" s="9">
        <v>667736</v>
      </c>
      <c r="N7" s="9">
        <v>8668079</v>
      </c>
    </row>
    <row r="8" spans="1:14" x14ac:dyDescent="0.2">
      <c r="A8" s="6" t="s">
        <v>19</v>
      </c>
      <c r="B8" s="12">
        <v>0.90653282342035857</v>
      </c>
      <c r="C8" s="12">
        <v>0.97708593909394936</v>
      </c>
      <c r="D8" s="12">
        <v>0.84214008377014737</v>
      </c>
      <c r="E8" s="12">
        <v>0.94614698484976034</v>
      </c>
      <c r="F8" s="12">
        <v>0.89199426775147928</v>
      </c>
      <c r="G8" s="12">
        <v>0.86627491389794009</v>
      </c>
      <c r="H8" s="12">
        <v>0.70436936202857769</v>
      </c>
      <c r="I8" s="12">
        <v>0.52316157606996894</v>
      </c>
      <c r="J8" s="12">
        <v>0.54517751399638215</v>
      </c>
      <c r="K8" s="12">
        <v>0.66423968157049162</v>
      </c>
      <c r="L8" s="12">
        <v>0.64038542821613875</v>
      </c>
      <c r="M8" s="13">
        <v>0.73517184279599068</v>
      </c>
      <c r="N8" s="13">
        <v>0.78209200667388723</v>
      </c>
    </row>
    <row r="9" spans="1:14" x14ac:dyDescent="0.2">
      <c r="A9" s="276" t="s">
        <v>20</v>
      </c>
      <c r="B9" s="9">
        <v>85915</v>
      </c>
      <c r="C9" s="14">
        <v>19421</v>
      </c>
      <c r="D9" s="9">
        <v>166048</v>
      </c>
      <c r="E9" s="15">
        <v>55441</v>
      </c>
      <c r="F9" s="16">
        <v>115349</v>
      </c>
      <c r="G9" s="9">
        <v>128278</v>
      </c>
      <c r="H9" s="9">
        <v>265225</v>
      </c>
      <c r="I9" s="9">
        <v>403163</v>
      </c>
      <c r="J9" s="9">
        <v>353429</v>
      </c>
      <c r="K9" s="9">
        <v>274931</v>
      </c>
      <c r="L9" s="9">
        <v>292110</v>
      </c>
      <c r="M9" s="9">
        <v>239063</v>
      </c>
      <c r="N9" s="9">
        <v>2398373</v>
      </c>
    </row>
    <row r="10" spans="1:14" x14ac:dyDescent="0.2">
      <c r="A10" s="6" t="s">
        <v>21</v>
      </c>
      <c r="B10" s="17">
        <v>9.1855968472923252E-2</v>
      </c>
      <c r="C10" s="17">
        <v>2.153467103103849E-2</v>
      </c>
      <c r="D10" s="17">
        <v>0.15671322031850776</v>
      </c>
      <c r="E10" s="17">
        <v>5.2440808882994974E-2</v>
      </c>
      <c r="F10" s="17">
        <v>0.10664663461538462</v>
      </c>
      <c r="G10" s="17">
        <v>0.13231506494658526</v>
      </c>
      <c r="H10" s="17">
        <v>0.29403091468031589</v>
      </c>
      <c r="I10" s="17">
        <v>0.4755374172126845</v>
      </c>
      <c r="J10" s="17">
        <v>0.45310074190120037</v>
      </c>
      <c r="K10" s="17">
        <v>0.33373796572682701</v>
      </c>
      <c r="L10" s="17">
        <v>0.35787487672055229</v>
      </c>
      <c r="M10" s="17">
        <v>0.2632063963218067</v>
      </c>
      <c r="N10" s="18">
        <v>0.21639723776426945</v>
      </c>
    </row>
    <row r="11" spans="1:14" x14ac:dyDescent="0.2">
      <c r="A11" s="276" t="s">
        <v>22</v>
      </c>
      <c r="B11" s="19">
        <v>1507</v>
      </c>
      <c r="C11" s="20">
        <v>1244</v>
      </c>
      <c r="D11" s="19">
        <v>1215</v>
      </c>
      <c r="E11" s="21">
        <v>1493</v>
      </c>
      <c r="F11" s="19">
        <v>1470</v>
      </c>
      <c r="G11" s="19">
        <v>1367</v>
      </c>
      <c r="H11" s="19">
        <v>1443</v>
      </c>
      <c r="I11" s="19">
        <v>1103</v>
      </c>
      <c r="J11" s="19">
        <v>1343</v>
      </c>
      <c r="K11" s="9">
        <v>1666</v>
      </c>
      <c r="L11" s="9">
        <v>1420</v>
      </c>
      <c r="M11" s="9">
        <v>1473</v>
      </c>
      <c r="N11" s="9">
        <v>16744</v>
      </c>
    </row>
    <row r="12" spans="1:14" x14ac:dyDescent="0.2">
      <c r="A12" s="6" t="s">
        <v>23</v>
      </c>
      <c r="B12" s="18">
        <v>1.611208106718214E-3</v>
      </c>
      <c r="C12" s="18">
        <v>1.3793898750121972E-3</v>
      </c>
      <c r="D12" s="18">
        <v>1.1466959113448337E-3</v>
      </c>
      <c r="E12" s="18">
        <v>1.4122062672446655E-3</v>
      </c>
      <c r="F12" s="18">
        <v>1.3590976331360946E-3</v>
      </c>
      <c r="G12" s="18">
        <v>1.4100211554746883E-3</v>
      </c>
      <c r="H12" s="18">
        <v>1.5997232911064032E-3</v>
      </c>
      <c r="I12" s="18">
        <v>1.3010067173465597E-3</v>
      </c>
      <c r="J12" s="18">
        <v>1.7217441024174928E-3</v>
      </c>
      <c r="K12" s="18">
        <v>2.0223527026813773E-3</v>
      </c>
      <c r="L12" s="18">
        <v>1.7396950633089736E-3</v>
      </c>
      <c r="M12" s="18">
        <v>1.6217608822026882E-3</v>
      </c>
      <c r="N12" s="18">
        <v>1.5107555618433528E-3</v>
      </c>
    </row>
    <row r="13" spans="1:14" x14ac:dyDescent="0.2">
      <c r="A13" s="6" t="s">
        <v>24</v>
      </c>
      <c r="B13" s="9">
        <v>8447</v>
      </c>
      <c r="C13" s="22">
        <v>5727</v>
      </c>
      <c r="D13" s="9">
        <v>7954</v>
      </c>
      <c r="E13" s="11">
        <v>7180</v>
      </c>
      <c r="F13" s="9">
        <v>4254</v>
      </c>
      <c r="G13" s="9">
        <v>4750</v>
      </c>
      <c r="H13" s="9">
        <v>3982</v>
      </c>
      <c r="I13" s="9">
        <v>5065</v>
      </c>
      <c r="J13" s="9">
        <v>3838</v>
      </c>
      <c r="K13" s="9">
        <v>3666</v>
      </c>
      <c r="L13" s="9">
        <v>3567</v>
      </c>
      <c r="M13" s="9">
        <v>4038</v>
      </c>
      <c r="N13" s="9">
        <v>62468</v>
      </c>
    </row>
    <row r="14" spans="1:14" x14ac:dyDescent="0.2">
      <c r="A14" s="23" t="s">
        <v>25</v>
      </c>
      <c r="B14" s="9">
        <v>926876</v>
      </c>
      <c r="C14" s="9">
        <v>896121</v>
      </c>
      <c r="D14" s="9">
        <v>1051612</v>
      </c>
      <c r="E14" s="9">
        <v>1050031</v>
      </c>
      <c r="F14" s="9">
        <v>1077346</v>
      </c>
      <c r="G14" s="9">
        <v>964739</v>
      </c>
      <c r="H14" s="9">
        <v>898049</v>
      </c>
      <c r="I14" s="9">
        <v>842740</v>
      </c>
      <c r="J14" s="9">
        <v>776185</v>
      </c>
      <c r="K14" s="9">
        <v>820127</v>
      </c>
      <c r="L14" s="9">
        <v>812668</v>
      </c>
      <c r="M14" s="9">
        <v>904234</v>
      </c>
      <c r="N14" s="9">
        <v>11020728</v>
      </c>
    </row>
    <row r="15" spans="1:14" x14ac:dyDescent="0.2">
      <c r="A15" s="23" t="s">
        <v>26</v>
      </c>
      <c r="B15" s="9">
        <v>878445.076</v>
      </c>
      <c r="C15" s="9">
        <v>798320.076</v>
      </c>
      <c r="D15" s="9">
        <v>922236.076</v>
      </c>
      <c r="E15" s="9">
        <v>964676.076</v>
      </c>
      <c r="F15" s="9">
        <v>1025057.076</v>
      </c>
      <c r="G15" s="9">
        <v>923053.076</v>
      </c>
      <c r="H15" s="9">
        <v>809670.076</v>
      </c>
      <c r="I15" s="9">
        <v>812215</v>
      </c>
      <c r="J15" s="9">
        <v>723707</v>
      </c>
      <c r="K15" s="9">
        <v>727890</v>
      </c>
      <c r="L15" s="9">
        <v>792002</v>
      </c>
      <c r="M15" s="9">
        <v>835637</v>
      </c>
      <c r="N15" s="9">
        <v>10212908.532000002</v>
      </c>
    </row>
    <row r="16" spans="1:14" x14ac:dyDescent="0.2">
      <c r="A16" s="23" t="s">
        <v>27</v>
      </c>
      <c r="B16" s="9">
        <v>846462</v>
      </c>
      <c r="C16" s="9">
        <v>763617</v>
      </c>
      <c r="D16" s="9">
        <v>889760</v>
      </c>
      <c r="E16" s="9">
        <v>931426</v>
      </c>
      <c r="F16" s="9">
        <v>988881</v>
      </c>
      <c r="G16" s="9">
        <v>887373</v>
      </c>
      <c r="H16" s="9">
        <v>773222</v>
      </c>
      <c r="I16" s="9">
        <v>817280</v>
      </c>
      <c r="J16" s="9">
        <v>727545</v>
      </c>
      <c r="K16" s="9">
        <v>731556</v>
      </c>
      <c r="L16" s="9">
        <v>795569</v>
      </c>
      <c r="M16" s="9">
        <v>839675</v>
      </c>
      <c r="N16" s="9">
        <v>9992366</v>
      </c>
    </row>
    <row r="17" spans="1:14" x14ac:dyDescent="0.2">
      <c r="A17" s="6" t="s">
        <v>28</v>
      </c>
      <c r="B17" s="9">
        <v>56877.923999999999</v>
      </c>
      <c r="C17" s="9">
        <v>103527.924</v>
      </c>
      <c r="D17" s="9">
        <v>137329.924</v>
      </c>
      <c r="E17" s="9">
        <v>92534.923999999999</v>
      </c>
      <c r="F17" s="9">
        <v>56542.923999999999</v>
      </c>
      <c r="G17" s="9">
        <v>46435.923999999999</v>
      </c>
      <c r="H17" s="9">
        <v>92360.923999999999</v>
      </c>
      <c r="I17" s="9">
        <v>35590</v>
      </c>
      <c r="J17" s="9">
        <v>56316</v>
      </c>
      <c r="K17" s="9">
        <v>95903</v>
      </c>
      <c r="L17" s="9">
        <v>24233</v>
      </c>
      <c r="M17" s="9">
        <v>72635</v>
      </c>
      <c r="N17" s="9">
        <v>870287.46799999848</v>
      </c>
    </row>
    <row r="18" spans="1:14" x14ac:dyDescent="0.2">
      <c r="A18" s="6" t="s">
        <v>29</v>
      </c>
      <c r="B18" s="24">
        <v>6.0810996842801899</v>
      </c>
      <c r="C18" s="24">
        <v>11.479531362269475</v>
      </c>
      <c r="D18" s="24">
        <v>12.960959864699321</v>
      </c>
      <c r="E18" s="24">
        <v>8.7527394247695103</v>
      </c>
      <c r="F18" s="24">
        <v>5.2277111686390532</v>
      </c>
      <c r="G18" s="24">
        <v>4.7897319103156404</v>
      </c>
      <c r="H18" s="24">
        <v>10.239218386064337</v>
      </c>
      <c r="I18" s="24">
        <v>4.1978992810846831</v>
      </c>
      <c r="J18" s="24">
        <v>7.2197871088416621</v>
      </c>
      <c r="K18" s="24">
        <v>11.641638129967115</v>
      </c>
      <c r="L18" s="24">
        <v>2.9688753851525602</v>
      </c>
      <c r="M18" s="24">
        <v>7.9970537460144095</v>
      </c>
      <c r="N18" s="12">
        <v>7.8523150542496811E-2</v>
      </c>
    </row>
    <row r="19" spans="1:14" x14ac:dyDescent="0.2">
      <c r="A19" s="6" t="s">
        <v>30</v>
      </c>
      <c r="B19" s="9">
        <v>1993</v>
      </c>
      <c r="C19" s="10">
        <v>2080</v>
      </c>
      <c r="D19" s="9">
        <v>2049</v>
      </c>
      <c r="E19" s="11">
        <v>2141</v>
      </c>
      <c r="F19" s="9">
        <v>2073</v>
      </c>
      <c r="G19" s="9">
        <v>1900</v>
      </c>
      <c r="H19" s="9">
        <v>1752</v>
      </c>
      <c r="I19" s="9">
        <v>1572</v>
      </c>
      <c r="J19" s="9">
        <v>1650</v>
      </c>
      <c r="K19" s="9">
        <v>1782</v>
      </c>
      <c r="L19" s="9">
        <v>1850</v>
      </c>
      <c r="M19" s="9">
        <v>1953</v>
      </c>
      <c r="N19" s="9">
        <v>2141</v>
      </c>
    </row>
    <row r="20" spans="1:14" x14ac:dyDescent="0.2">
      <c r="A20" s="278" t="s">
        <v>31</v>
      </c>
      <c r="B20" s="9">
        <v>76250</v>
      </c>
      <c r="C20" s="10">
        <v>78924</v>
      </c>
      <c r="D20" s="16">
        <v>81578</v>
      </c>
      <c r="E20" s="11">
        <v>89558</v>
      </c>
      <c r="F20" s="9">
        <v>86153</v>
      </c>
      <c r="G20" s="9">
        <v>76273</v>
      </c>
      <c r="H20" s="9">
        <v>58021</v>
      </c>
      <c r="I20" s="9">
        <v>44494</v>
      </c>
      <c r="J20" s="9">
        <v>43300</v>
      </c>
      <c r="K20" s="9">
        <v>54427</v>
      </c>
      <c r="L20" s="9">
        <v>52318</v>
      </c>
      <c r="M20" s="9">
        <v>62938</v>
      </c>
      <c r="N20" s="9">
        <v>804234</v>
      </c>
    </row>
    <row r="21" spans="1:14" x14ac:dyDescent="0.2">
      <c r="A21" s="279" t="s">
        <v>32</v>
      </c>
      <c r="B21" s="24">
        <v>11.120013114754098</v>
      </c>
      <c r="C21" s="24">
        <v>11.164956160356798</v>
      </c>
      <c r="D21" s="24">
        <v>10.938034764274683</v>
      </c>
      <c r="E21" s="24">
        <v>11.169041291676901</v>
      </c>
      <c r="F21" s="24">
        <v>11.198460877740764</v>
      </c>
      <c r="G21" s="24">
        <v>11.011026182266333</v>
      </c>
      <c r="H21" s="24">
        <v>10.950569621343996</v>
      </c>
      <c r="I21" s="24">
        <v>9.9685126084415874</v>
      </c>
      <c r="J21" s="24">
        <v>9.821039260969977</v>
      </c>
      <c r="K21" s="24">
        <v>10.053760082312088</v>
      </c>
      <c r="L21" s="24">
        <v>9.9909209067624918</v>
      </c>
      <c r="M21" s="24">
        <v>10.609425148558898</v>
      </c>
      <c r="N21" s="24">
        <v>10.778055889206374</v>
      </c>
    </row>
    <row r="22" spans="1:14" ht="13.5" thickBot="1" x14ac:dyDescent="0.25">
      <c r="A22" s="25" t="s">
        <v>33</v>
      </c>
      <c r="B22" s="26">
        <v>2678</v>
      </c>
      <c r="C22" s="27">
        <v>2672</v>
      </c>
      <c r="D22" s="26">
        <v>2693</v>
      </c>
      <c r="E22" s="28">
        <v>2704</v>
      </c>
      <c r="F22" s="26">
        <v>2717</v>
      </c>
      <c r="G22" s="28">
        <v>2725</v>
      </c>
      <c r="H22" s="26">
        <v>2735</v>
      </c>
      <c r="I22" s="27">
        <v>2732</v>
      </c>
      <c r="J22" s="27">
        <v>2737</v>
      </c>
      <c r="K22" s="27">
        <v>2744</v>
      </c>
      <c r="L22" s="27">
        <v>2756</v>
      </c>
      <c r="M22" s="27">
        <v>2766</v>
      </c>
      <c r="N22" s="26">
        <v>2766</v>
      </c>
    </row>
    <row r="23" spans="1:14" ht="13.5" thickBot="1" x14ac:dyDescent="0.25">
      <c r="A23" s="29"/>
      <c r="B23" s="30"/>
      <c r="C23" s="31"/>
      <c r="D23" s="31"/>
      <c r="E23" s="31"/>
      <c r="F23" s="31"/>
      <c r="G23" s="31"/>
      <c r="H23" s="31"/>
      <c r="I23" s="31"/>
      <c r="J23" s="31"/>
      <c r="K23" s="30"/>
      <c r="L23" s="30"/>
      <c r="M23" s="30"/>
      <c r="N23" s="32"/>
    </row>
    <row r="24" spans="1:14" ht="13.5" thickBot="1" x14ac:dyDescent="0.25">
      <c r="A24" s="733" t="s">
        <v>34</v>
      </c>
      <c r="B24" s="734"/>
      <c r="C24" s="734"/>
      <c r="D24" s="734"/>
      <c r="E24" s="734"/>
      <c r="F24" s="734"/>
      <c r="G24" s="734"/>
      <c r="H24" s="734"/>
      <c r="I24" s="734"/>
      <c r="J24" s="734"/>
      <c r="K24" s="734"/>
      <c r="L24" s="734"/>
      <c r="M24" s="734"/>
      <c r="N24" s="735"/>
    </row>
    <row r="25" spans="1:14" ht="13.5" thickBot="1" x14ac:dyDescent="0.25">
      <c r="A25" s="3" t="s">
        <v>3</v>
      </c>
      <c r="B25" s="4" t="s">
        <v>4</v>
      </c>
      <c r="C25" s="4" t="s">
        <v>5</v>
      </c>
      <c r="D25" s="4" t="s">
        <v>6</v>
      </c>
      <c r="E25" s="4" t="s">
        <v>7</v>
      </c>
      <c r="F25" s="4" t="s">
        <v>8</v>
      </c>
      <c r="G25" s="4" t="s">
        <v>9</v>
      </c>
      <c r="H25" s="4" t="s">
        <v>10</v>
      </c>
      <c r="I25" s="4" t="s">
        <v>11</v>
      </c>
      <c r="J25" s="4" t="s">
        <v>12</v>
      </c>
      <c r="K25" s="4" t="s">
        <v>13</v>
      </c>
      <c r="L25" s="4" t="s">
        <v>14</v>
      </c>
      <c r="M25" s="4" t="s">
        <v>15</v>
      </c>
      <c r="N25" s="3" t="s">
        <v>16</v>
      </c>
    </row>
    <row r="26" spans="1:14" x14ac:dyDescent="0.2">
      <c r="A26" s="23" t="s">
        <v>17</v>
      </c>
      <c r="B26" s="7">
        <v>2105920</v>
      </c>
      <c r="C26" s="7">
        <v>1894289.0000000002</v>
      </c>
      <c r="D26" s="7">
        <v>2244246</v>
      </c>
      <c r="E26" s="7">
        <v>2182743.9999999995</v>
      </c>
      <c r="F26" s="7">
        <v>2274462.0000000005</v>
      </c>
      <c r="G26" s="7">
        <v>2146540</v>
      </c>
      <c r="H26" s="7">
        <v>1927056</v>
      </c>
      <c r="I26" s="7">
        <v>1898350</v>
      </c>
      <c r="J26" s="7">
        <v>1763670</v>
      </c>
      <c r="K26" s="7">
        <v>1846564</v>
      </c>
      <c r="L26" s="7">
        <v>1848005</v>
      </c>
      <c r="M26" s="7">
        <v>2028830</v>
      </c>
      <c r="N26" s="7">
        <v>24160676</v>
      </c>
    </row>
    <row r="27" spans="1:14" x14ac:dyDescent="0.2">
      <c r="A27" s="277" t="s">
        <v>18</v>
      </c>
      <c r="B27" s="9">
        <v>2105920</v>
      </c>
      <c r="C27" s="9">
        <v>1894289.0000000002</v>
      </c>
      <c r="D27" s="9">
        <v>2244246</v>
      </c>
      <c r="E27" s="9">
        <v>2182743.9999999995</v>
      </c>
      <c r="F27" s="9">
        <v>2274462.0000000005</v>
      </c>
      <c r="G27" s="9">
        <v>2146540</v>
      </c>
      <c r="H27" s="9">
        <v>1927056</v>
      </c>
      <c r="I27" s="9">
        <v>1898350</v>
      </c>
      <c r="J27" s="9">
        <v>1763670</v>
      </c>
      <c r="K27" s="9">
        <v>1846564</v>
      </c>
      <c r="L27" s="9">
        <v>1848005</v>
      </c>
      <c r="M27" s="22">
        <v>2028830</v>
      </c>
      <c r="N27" s="9">
        <v>24160676</v>
      </c>
    </row>
    <row r="28" spans="1:14" x14ac:dyDescent="0.2">
      <c r="A28" s="6" t="s">
        <v>19</v>
      </c>
      <c r="B28" s="33">
        <v>1</v>
      </c>
      <c r="C28" s="33">
        <v>1</v>
      </c>
      <c r="D28" s="33">
        <v>1</v>
      </c>
      <c r="E28" s="33">
        <v>1</v>
      </c>
      <c r="F28" s="33">
        <v>1</v>
      </c>
      <c r="G28" s="33">
        <v>1</v>
      </c>
      <c r="H28" s="33">
        <v>1</v>
      </c>
      <c r="I28" s="33">
        <v>1</v>
      </c>
      <c r="J28" s="33">
        <v>1</v>
      </c>
      <c r="K28" s="33">
        <v>1</v>
      </c>
      <c r="L28" s="33">
        <v>1</v>
      </c>
      <c r="M28" s="33">
        <v>1</v>
      </c>
      <c r="N28" s="33">
        <v>1</v>
      </c>
    </row>
    <row r="29" spans="1:14" x14ac:dyDescent="0.2">
      <c r="A29" s="23" t="s">
        <v>24</v>
      </c>
      <c r="B29" s="9">
        <v>5893</v>
      </c>
      <c r="C29" s="9">
        <v>5775</v>
      </c>
      <c r="D29" s="9">
        <v>6554</v>
      </c>
      <c r="E29" s="9">
        <v>5487</v>
      </c>
      <c r="F29" s="9">
        <v>6686</v>
      </c>
      <c r="G29" s="9">
        <v>7888</v>
      </c>
      <c r="H29" s="9">
        <v>6504</v>
      </c>
      <c r="I29" s="9">
        <v>6788</v>
      </c>
      <c r="J29" s="9">
        <v>6822</v>
      </c>
      <c r="K29" s="9">
        <v>4440</v>
      </c>
      <c r="L29" s="9">
        <v>5830</v>
      </c>
      <c r="M29" s="9">
        <v>5428</v>
      </c>
      <c r="N29" s="9">
        <v>74095</v>
      </c>
    </row>
    <row r="30" spans="1:14" x14ac:dyDescent="0.2">
      <c r="A30" s="23" t="s">
        <v>25</v>
      </c>
      <c r="B30" s="16">
        <v>2100027</v>
      </c>
      <c r="C30" s="16">
        <v>1888514.0000000002</v>
      </c>
      <c r="D30" s="16">
        <v>2237692</v>
      </c>
      <c r="E30" s="16">
        <v>2177256.9999999995</v>
      </c>
      <c r="F30" s="16">
        <v>2267776.0000000005</v>
      </c>
      <c r="G30" s="16">
        <v>2138652</v>
      </c>
      <c r="H30" s="16">
        <v>1920552</v>
      </c>
      <c r="I30" s="16">
        <v>1891562</v>
      </c>
      <c r="J30" s="9">
        <v>1756848</v>
      </c>
      <c r="K30" s="9">
        <v>1842124</v>
      </c>
      <c r="L30" s="9">
        <v>1842175</v>
      </c>
      <c r="M30" s="9">
        <v>2023402</v>
      </c>
      <c r="N30" s="16">
        <v>24086581</v>
      </c>
    </row>
    <row r="31" spans="1:14" x14ac:dyDescent="0.2">
      <c r="A31" s="23" t="s">
        <v>35</v>
      </c>
      <c r="B31" s="16">
        <v>2084950</v>
      </c>
      <c r="C31" s="16">
        <v>1911350</v>
      </c>
      <c r="D31" s="16">
        <v>2240000</v>
      </c>
      <c r="E31" s="16">
        <v>2172800</v>
      </c>
      <c r="F31" s="16">
        <v>2171400</v>
      </c>
      <c r="G31" s="16">
        <v>2134300</v>
      </c>
      <c r="H31" s="16">
        <v>1971200</v>
      </c>
      <c r="I31" s="16">
        <v>1822800</v>
      </c>
      <c r="J31" s="16">
        <v>1762509</v>
      </c>
      <c r="K31" s="16">
        <v>1804600</v>
      </c>
      <c r="L31" s="16">
        <v>1799350</v>
      </c>
      <c r="M31" s="16">
        <v>0</v>
      </c>
      <c r="N31" s="9">
        <v>21875259</v>
      </c>
    </row>
    <row r="32" spans="1:14" x14ac:dyDescent="0.2">
      <c r="A32" s="23" t="s">
        <v>36</v>
      </c>
      <c r="B32" s="9">
        <v>20970</v>
      </c>
      <c r="C32" s="9">
        <v>-17060.999999999767</v>
      </c>
      <c r="D32" s="9">
        <v>4246</v>
      </c>
      <c r="E32" s="9">
        <v>9943.9999999995343</v>
      </c>
      <c r="F32" s="9">
        <v>103062.00000000047</v>
      </c>
      <c r="G32" s="9">
        <v>12240</v>
      </c>
      <c r="H32" s="9">
        <v>-44144</v>
      </c>
      <c r="I32" s="9">
        <v>75550</v>
      </c>
      <c r="J32" s="9">
        <v>1161</v>
      </c>
      <c r="K32" s="9">
        <v>41964</v>
      </c>
      <c r="L32" s="9">
        <v>48655</v>
      </c>
      <c r="M32" s="9">
        <v>2028830</v>
      </c>
      <c r="N32" s="9">
        <v>2285417</v>
      </c>
    </row>
    <row r="33" spans="1:14" x14ac:dyDescent="0.2">
      <c r="A33" s="23" t="s">
        <v>37</v>
      </c>
      <c r="B33" s="24">
        <v>0.99855858996098623</v>
      </c>
      <c r="C33" s="24">
        <v>-0.90340871182314586</v>
      </c>
      <c r="D33" s="24">
        <v>0.18974908074927202</v>
      </c>
      <c r="E33" s="24">
        <v>0.45672146191283508</v>
      </c>
      <c r="F33" s="24">
        <v>4.5446287464017807</v>
      </c>
      <c r="G33" s="24">
        <v>0.57232312690423692</v>
      </c>
      <c r="H33" s="24">
        <v>-2.2985058462358738</v>
      </c>
      <c r="I33" s="24">
        <v>3.9940535916877162</v>
      </c>
      <c r="J33" s="24">
        <v>6.6084259992896369E-2</v>
      </c>
      <c r="K33" s="24">
        <v>2.2780225435421286</v>
      </c>
      <c r="L33" s="24">
        <v>2.6411714413668625</v>
      </c>
      <c r="M33" s="24">
        <v>100.26826107713643</v>
      </c>
      <c r="N33" s="13">
        <v>9.488341246937454E-2</v>
      </c>
    </row>
    <row r="34" spans="1:14" x14ac:dyDescent="0.2">
      <c r="A34" s="23" t="s">
        <v>26</v>
      </c>
      <c r="B34" s="9">
        <v>1974753.1879999996</v>
      </c>
      <c r="C34" s="9">
        <v>1795952.7959999992</v>
      </c>
      <c r="D34" s="9">
        <v>2008397.6519999998</v>
      </c>
      <c r="E34" s="9">
        <v>2026151.2929999996</v>
      </c>
      <c r="F34" s="9">
        <v>2196703.3879999998</v>
      </c>
      <c r="G34" s="9">
        <v>1997803.4279999994</v>
      </c>
      <c r="H34" s="9">
        <v>1771480.4279999994</v>
      </c>
      <c r="I34" s="9">
        <v>1742561</v>
      </c>
      <c r="J34" s="9">
        <v>1763303.9999999995</v>
      </c>
      <c r="K34" s="9">
        <v>1778450.0000000002</v>
      </c>
      <c r="L34" s="9">
        <v>1654828.9999999998</v>
      </c>
      <c r="M34" s="9">
        <v>1755123.0000000002</v>
      </c>
      <c r="N34" s="9">
        <v>22465509.172999997</v>
      </c>
    </row>
    <row r="35" spans="1:14" x14ac:dyDescent="0.2">
      <c r="A35" s="23" t="s">
        <v>27</v>
      </c>
      <c r="B35" s="9">
        <v>1909353</v>
      </c>
      <c r="C35" s="9">
        <v>1741355</v>
      </c>
      <c r="D35" s="9">
        <v>1974216</v>
      </c>
      <c r="E35" s="9">
        <v>1995340</v>
      </c>
      <c r="F35" s="9">
        <v>2158194</v>
      </c>
      <c r="G35" s="9">
        <v>1954272</v>
      </c>
      <c r="H35" s="9">
        <v>1721604</v>
      </c>
      <c r="I35" s="9">
        <v>1735526</v>
      </c>
      <c r="J35" s="9">
        <v>1758024</v>
      </c>
      <c r="K35" s="9">
        <v>1455167</v>
      </c>
      <c r="L35" s="9">
        <v>1566544</v>
      </c>
      <c r="M35" s="9">
        <v>1653231</v>
      </c>
      <c r="N35" s="9">
        <v>21622826</v>
      </c>
    </row>
    <row r="36" spans="1:14" x14ac:dyDescent="0.2">
      <c r="A36" s="23" t="s">
        <v>38</v>
      </c>
      <c r="B36" s="24">
        <v>5.2473997715267648</v>
      </c>
      <c r="C36" s="24">
        <v>6.1104764910400888</v>
      </c>
      <c r="D36" s="24">
        <v>10.350054788594687</v>
      </c>
      <c r="E36" s="24">
        <v>6.73547987215108</v>
      </c>
      <c r="F36" s="24">
        <v>-1.1157798653835209</v>
      </c>
      <c r="G36" s="24">
        <v>6.3823647793096132</v>
      </c>
      <c r="H36" s="24">
        <v>10.399071308665459</v>
      </c>
      <c r="I36" s="24">
        <v>4.2419439595424313</v>
      </c>
      <c r="J36" s="24">
        <v>-4.5251495860742327E-2</v>
      </c>
      <c r="K36" s="24">
        <v>1.4195569896488927</v>
      </c>
      <c r="L36" s="24">
        <v>7.845128720127037</v>
      </c>
      <c r="M36" s="24">
        <v>-86.741191320360471</v>
      </c>
      <c r="N36" s="13">
        <v>-2.4505353125875221E-2</v>
      </c>
    </row>
    <row r="37" spans="1:14" x14ac:dyDescent="0.2">
      <c r="A37" s="23" t="s">
        <v>39</v>
      </c>
      <c r="B37" s="34">
        <v>6.2284802841513631</v>
      </c>
      <c r="C37" s="34">
        <v>5.1911933184430179</v>
      </c>
      <c r="D37" s="34">
        <v>10.509023877061615</v>
      </c>
      <c r="E37" s="34">
        <v>7.1741215186022718</v>
      </c>
      <c r="F37" s="34">
        <v>3.418769449654496</v>
      </c>
      <c r="G37" s="34">
        <v>6.929131159913192</v>
      </c>
      <c r="H37" s="34">
        <v>8.0732252721249722</v>
      </c>
      <c r="I37" s="34">
        <v>8.2065477915031479</v>
      </c>
      <c r="J37" s="34">
        <v>2.0752181530584838E-2</v>
      </c>
      <c r="K37" s="34">
        <v>3.6886888296316709</v>
      </c>
      <c r="L37" s="34">
        <v>10.453218470729258</v>
      </c>
      <c r="M37" s="34">
        <v>13.490878979510345</v>
      </c>
      <c r="N37" s="18">
        <v>7.0378059343499319E-2</v>
      </c>
    </row>
    <row r="38" spans="1:14" x14ac:dyDescent="0.2">
      <c r="A38" s="23" t="s">
        <v>30</v>
      </c>
      <c r="B38" s="9">
        <v>4320</v>
      </c>
      <c r="C38" s="9">
        <v>3970</v>
      </c>
      <c r="D38" s="9">
        <v>4280</v>
      </c>
      <c r="E38" s="9">
        <v>4330</v>
      </c>
      <c r="F38" s="9">
        <v>4250</v>
      </c>
      <c r="G38" s="9">
        <v>4170</v>
      </c>
      <c r="H38" s="9">
        <v>3814</v>
      </c>
      <c r="I38" s="9">
        <v>3575</v>
      </c>
      <c r="J38" s="9">
        <v>3448</v>
      </c>
      <c r="K38" s="9">
        <v>3403</v>
      </c>
      <c r="L38" s="9">
        <v>3609</v>
      </c>
      <c r="M38" s="9">
        <v>4283</v>
      </c>
      <c r="N38" s="9">
        <v>4330</v>
      </c>
    </row>
    <row r="39" spans="1:14" x14ac:dyDescent="0.2">
      <c r="A39" s="280" t="s">
        <v>31</v>
      </c>
      <c r="B39" s="9">
        <v>162270</v>
      </c>
      <c r="C39" s="9">
        <v>146252</v>
      </c>
      <c r="D39" s="9">
        <v>170985</v>
      </c>
      <c r="E39" s="9">
        <v>169570</v>
      </c>
      <c r="F39" s="9">
        <v>170413</v>
      </c>
      <c r="G39" s="9">
        <v>150385</v>
      </c>
      <c r="H39" s="9">
        <v>139975</v>
      </c>
      <c r="I39" s="9">
        <v>128771</v>
      </c>
      <c r="J39" s="9">
        <v>122716</v>
      </c>
      <c r="K39" s="9">
        <v>129695</v>
      </c>
      <c r="L39" s="9">
        <v>128338</v>
      </c>
      <c r="M39" s="9">
        <v>137161</v>
      </c>
      <c r="N39" s="9">
        <v>1756531</v>
      </c>
    </row>
    <row r="40" spans="1:14" x14ac:dyDescent="0.2">
      <c r="A40" s="281" t="s">
        <v>32</v>
      </c>
      <c r="B40" s="24">
        <v>12.977876378874715</v>
      </c>
      <c r="C40" s="24">
        <v>12.952226294341276</v>
      </c>
      <c r="D40" s="24">
        <v>13.125396964646022</v>
      </c>
      <c r="E40" s="24">
        <v>12.872229757622218</v>
      </c>
      <c r="F40" s="24">
        <v>13.346763451145161</v>
      </c>
      <c r="G40" s="24">
        <v>14.273631013731423</v>
      </c>
      <c r="H40" s="24">
        <v>13.767144132880871</v>
      </c>
      <c r="I40" s="24">
        <v>14.742061488999852</v>
      </c>
      <c r="J40" s="24">
        <v>14.371964536001826</v>
      </c>
      <c r="K40" s="24">
        <v>14.237742395620494</v>
      </c>
      <c r="L40" s="24">
        <v>14.399515342299241</v>
      </c>
      <c r="M40" s="24">
        <v>14.791595278541276</v>
      </c>
      <c r="N40" s="24">
        <v>13.754767778080774</v>
      </c>
    </row>
    <row r="41" spans="1:14" ht="13.5" thickBot="1" x14ac:dyDescent="0.25">
      <c r="A41" s="29" t="s">
        <v>33</v>
      </c>
      <c r="B41" s="26">
        <v>5077</v>
      </c>
      <c r="C41" s="26">
        <v>5093</v>
      </c>
      <c r="D41" s="26">
        <v>5111</v>
      </c>
      <c r="E41" s="26">
        <v>5131</v>
      </c>
      <c r="F41" s="26">
        <v>5147</v>
      </c>
      <c r="G41" s="26">
        <v>5174</v>
      </c>
      <c r="H41" s="26">
        <v>5204</v>
      </c>
      <c r="I41" s="26">
        <v>5233</v>
      </c>
      <c r="J41" s="26">
        <v>5272</v>
      </c>
      <c r="K41" s="26">
        <v>5278</v>
      </c>
      <c r="L41" s="26">
        <v>5307</v>
      </c>
      <c r="M41" s="26">
        <v>5350</v>
      </c>
      <c r="N41" s="26">
        <v>5350</v>
      </c>
    </row>
    <row r="42" spans="1:14" x14ac:dyDescent="0.2">
      <c r="A42" s="35"/>
      <c r="B42" s="36"/>
      <c r="C42" s="36"/>
      <c r="D42" s="36"/>
      <c r="E42" s="36"/>
      <c r="F42" s="36"/>
      <c r="G42" s="36"/>
      <c r="H42" s="36"/>
      <c r="I42" s="37"/>
      <c r="J42" s="37"/>
      <c r="K42" s="37"/>
    </row>
    <row r="43" spans="1:14" x14ac:dyDescent="0.2">
      <c r="A43" s="732" t="s">
        <v>0</v>
      </c>
      <c r="B43" s="732"/>
      <c r="C43" s="732"/>
      <c r="D43" s="732"/>
      <c r="E43" s="732"/>
      <c r="F43" s="732"/>
      <c r="G43" s="732"/>
      <c r="H43" s="732"/>
      <c r="I43" s="732"/>
      <c r="J43" s="732"/>
      <c r="K43" s="732"/>
      <c r="L43" s="732"/>
      <c r="M43" s="732"/>
      <c r="N43" s="732"/>
    </row>
    <row r="44" spans="1:14" x14ac:dyDescent="0.2">
      <c r="A44" s="732" t="s">
        <v>1</v>
      </c>
      <c r="B44" s="732"/>
      <c r="C44" s="732"/>
      <c r="D44" s="732"/>
      <c r="E44" s="732"/>
      <c r="F44" s="732"/>
      <c r="G44" s="732"/>
      <c r="H44" s="732"/>
      <c r="I44" s="732"/>
      <c r="J44" s="732"/>
      <c r="K44" s="732"/>
      <c r="L44" s="732"/>
      <c r="M44" s="732"/>
      <c r="N44" s="732"/>
    </row>
    <row r="45" spans="1:14" ht="13.5" thickBot="1" x14ac:dyDescent="0.25">
      <c r="A45" s="732"/>
      <c r="B45" s="732"/>
      <c r="C45" s="732"/>
      <c r="D45" s="732"/>
      <c r="E45" s="732"/>
      <c r="F45" s="732"/>
      <c r="G45" s="732"/>
      <c r="H45" s="732"/>
      <c r="I45" s="732"/>
      <c r="J45" s="732"/>
      <c r="K45" s="732"/>
      <c r="L45" s="732"/>
      <c r="M45" s="732"/>
      <c r="N45" s="732"/>
    </row>
    <row r="46" spans="1:14" ht="13.5" thickBot="1" x14ac:dyDescent="0.25">
      <c r="A46" s="733" t="s">
        <v>40</v>
      </c>
      <c r="B46" s="734"/>
      <c r="C46" s="734"/>
      <c r="D46" s="734"/>
      <c r="E46" s="734"/>
      <c r="F46" s="734"/>
      <c r="G46" s="734"/>
      <c r="H46" s="734"/>
      <c r="I46" s="734"/>
      <c r="J46" s="734"/>
      <c r="K46" s="734"/>
      <c r="L46" s="734"/>
      <c r="M46" s="734"/>
      <c r="N46" s="735"/>
    </row>
    <row r="47" spans="1:14" ht="13.5" thickBot="1" x14ac:dyDescent="0.25">
      <c r="A47" s="3" t="s">
        <v>3</v>
      </c>
      <c r="B47" s="3" t="s">
        <v>4</v>
      </c>
      <c r="C47" s="3" t="s">
        <v>5</v>
      </c>
      <c r="D47" s="4" t="s">
        <v>6</v>
      </c>
      <c r="E47" s="38" t="s">
        <v>7</v>
      </c>
      <c r="F47" s="3" t="s">
        <v>8</v>
      </c>
      <c r="G47" s="4" t="s">
        <v>9</v>
      </c>
      <c r="H47" s="4" t="s">
        <v>10</v>
      </c>
      <c r="I47" s="4" t="s">
        <v>11</v>
      </c>
      <c r="J47" s="4" t="s">
        <v>12</v>
      </c>
      <c r="K47" s="4" t="s">
        <v>13</v>
      </c>
      <c r="L47" s="4" t="s">
        <v>14</v>
      </c>
      <c r="M47" s="4" t="s">
        <v>15</v>
      </c>
      <c r="N47" s="3" t="s">
        <v>16</v>
      </c>
    </row>
    <row r="48" spans="1:14" x14ac:dyDescent="0.2">
      <c r="A48" s="6" t="s">
        <v>17</v>
      </c>
      <c r="B48" s="22">
        <v>304437</v>
      </c>
      <c r="C48" s="22">
        <v>295495</v>
      </c>
      <c r="D48" s="22">
        <v>360881</v>
      </c>
      <c r="E48" s="22">
        <v>338576</v>
      </c>
      <c r="F48" s="7">
        <v>347962</v>
      </c>
      <c r="G48" s="10">
        <v>316095</v>
      </c>
      <c r="H48" s="22">
        <v>288484</v>
      </c>
      <c r="I48" s="22">
        <v>262480</v>
      </c>
      <c r="J48" s="22">
        <v>242829</v>
      </c>
      <c r="K48" s="22">
        <v>247751</v>
      </c>
      <c r="L48" s="22">
        <v>254798</v>
      </c>
      <c r="M48" s="22">
        <v>273915</v>
      </c>
      <c r="N48" s="7">
        <v>3533703</v>
      </c>
    </row>
    <row r="49" spans="1:14" x14ac:dyDescent="0.2">
      <c r="A49" s="277" t="s">
        <v>18</v>
      </c>
      <c r="B49" s="22">
        <v>304437</v>
      </c>
      <c r="C49" s="22">
        <v>295495</v>
      </c>
      <c r="D49" s="22">
        <v>360881</v>
      </c>
      <c r="E49" s="22">
        <v>338576</v>
      </c>
      <c r="F49" s="9">
        <v>347962</v>
      </c>
      <c r="G49" s="10">
        <v>316095</v>
      </c>
      <c r="H49" s="22">
        <v>288484</v>
      </c>
      <c r="I49" s="22">
        <v>262480</v>
      </c>
      <c r="J49" s="22">
        <v>242829</v>
      </c>
      <c r="K49" s="22">
        <v>247751</v>
      </c>
      <c r="L49" s="22">
        <v>254798</v>
      </c>
      <c r="M49" s="22">
        <v>273915</v>
      </c>
      <c r="N49" s="9">
        <v>3533703</v>
      </c>
    </row>
    <row r="50" spans="1:14" x14ac:dyDescent="0.2">
      <c r="A50" s="6" t="s">
        <v>19</v>
      </c>
      <c r="B50" s="33">
        <v>1</v>
      </c>
      <c r="C50" s="33">
        <v>1</v>
      </c>
      <c r="D50" s="33">
        <v>1</v>
      </c>
      <c r="E50" s="39">
        <v>1</v>
      </c>
      <c r="F50" s="33">
        <v>1</v>
      </c>
      <c r="G50" s="40">
        <v>1</v>
      </c>
      <c r="H50" s="33">
        <v>1</v>
      </c>
      <c r="I50" s="33">
        <v>1</v>
      </c>
      <c r="J50" s="33">
        <v>1</v>
      </c>
      <c r="K50" s="33">
        <v>1</v>
      </c>
      <c r="L50" s="33">
        <v>1</v>
      </c>
      <c r="M50" s="33">
        <v>1</v>
      </c>
      <c r="N50" s="33">
        <v>1</v>
      </c>
    </row>
    <row r="51" spans="1:14" x14ac:dyDescent="0.2">
      <c r="A51" s="23" t="s">
        <v>24</v>
      </c>
      <c r="B51" s="22">
        <v>1900</v>
      </c>
      <c r="C51" s="22">
        <v>2060</v>
      </c>
      <c r="D51" s="22">
        <v>2120</v>
      </c>
      <c r="E51" s="22">
        <v>2105</v>
      </c>
      <c r="F51" s="9">
        <v>2304</v>
      </c>
      <c r="G51" s="10">
        <v>2025</v>
      </c>
      <c r="H51" s="22">
        <v>2008</v>
      </c>
      <c r="I51" s="22">
        <v>1817</v>
      </c>
      <c r="J51" s="22">
        <v>1291</v>
      </c>
      <c r="K51" s="22">
        <v>1517</v>
      </c>
      <c r="L51" s="22">
        <v>893</v>
      </c>
      <c r="M51" s="22">
        <v>1628</v>
      </c>
      <c r="N51" s="9">
        <v>21668</v>
      </c>
    </row>
    <row r="52" spans="1:14" x14ac:dyDescent="0.2">
      <c r="A52" s="23" t="s">
        <v>25</v>
      </c>
      <c r="B52" s="22">
        <v>302537</v>
      </c>
      <c r="C52" s="22">
        <v>293435</v>
      </c>
      <c r="D52" s="22">
        <v>358761</v>
      </c>
      <c r="E52" s="22">
        <v>336471</v>
      </c>
      <c r="F52" s="9">
        <v>345658</v>
      </c>
      <c r="G52" s="10">
        <v>314070</v>
      </c>
      <c r="H52" s="22">
        <v>286476</v>
      </c>
      <c r="I52" s="22">
        <v>260663</v>
      </c>
      <c r="J52" s="22">
        <v>241538</v>
      </c>
      <c r="K52" s="22">
        <v>246234</v>
      </c>
      <c r="L52" s="22">
        <v>253905</v>
      </c>
      <c r="M52" s="22">
        <v>272287</v>
      </c>
      <c r="N52" s="9">
        <v>3512035</v>
      </c>
    </row>
    <row r="53" spans="1:14" x14ac:dyDescent="0.2">
      <c r="A53" s="23" t="s">
        <v>35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/>
      <c r="N53" s="9"/>
    </row>
    <row r="54" spans="1:14" x14ac:dyDescent="0.2">
      <c r="A54" s="23" t="s">
        <v>36</v>
      </c>
      <c r="B54" s="22">
        <v>302537</v>
      </c>
      <c r="C54" s="22">
        <v>293435</v>
      </c>
      <c r="D54" s="22">
        <v>358761</v>
      </c>
      <c r="E54" s="22">
        <v>336471</v>
      </c>
      <c r="F54" s="22">
        <v>345658</v>
      </c>
      <c r="G54" s="22">
        <v>314070</v>
      </c>
      <c r="H54" s="22">
        <v>286476</v>
      </c>
      <c r="I54" s="22">
        <v>260663</v>
      </c>
      <c r="J54" s="22">
        <v>241538</v>
      </c>
      <c r="K54" s="22">
        <v>246234</v>
      </c>
      <c r="L54" s="22">
        <v>253905</v>
      </c>
      <c r="M54" s="22">
        <v>272287</v>
      </c>
      <c r="N54" s="9">
        <v>3512035</v>
      </c>
    </row>
    <row r="55" spans="1:14" x14ac:dyDescent="0.2">
      <c r="A55" s="23" t="s">
        <v>37</v>
      </c>
      <c r="B55" s="22"/>
      <c r="C55" s="22"/>
      <c r="D55" s="22"/>
      <c r="E55" s="22"/>
      <c r="F55" s="9"/>
      <c r="G55" s="10"/>
      <c r="H55" s="22"/>
      <c r="I55" s="22"/>
      <c r="J55" s="22"/>
      <c r="K55" s="22"/>
      <c r="L55" s="22"/>
      <c r="M55" s="22"/>
      <c r="N55" s="9"/>
    </row>
    <row r="56" spans="1:14" x14ac:dyDescent="0.2">
      <c r="A56" s="23" t="s">
        <v>26</v>
      </c>
      <c r="B56" s="22">
        <v>269030.89600000001</v>
      </c>
      <c r="C56" s="22">
        <v>274658.89600000001</v>
      </c>
      <c r="D56" s="22">
        <v>305751.89600000001</v>
      </c>
      <c r="E56" s="22">
        <v>327924.89600000001</v>
      </c>
      <c r="F56" s="22">
        <v>315386.89600000001</v>
      </c>
      <c r="G56" s="22">
        <v>307971.89600000001</v>
      </c>
      <c r="H56" s="22">
        <v>262530.89600000001</v>
      </c>
      <c r="I56" s="22">
        <v>239166</v>
      </c>
      <c r="J56" s="22">
        <v>229678</v>
      </c>
      <c r="K56" s="22">
        <v>214225</v>
      </c>
      <c r="L56" s="22">
        <v>225625</v>
      </c>
      <c r="M56" s="22">
        <v>239414</v>
      </c>
      <c r="N56" s="9">
        <v>3211364.2719999999</v>
      </c>
    </row>
    <row r="57" spans="1:14" x14ac:dyDescent="0.2">
      <c r="A57" s="23" t="s">
        <v>41</v>
      </c>
      <c r="B57" s="22">
        <v>257495</v>
      </c>
      <c r="C57" s="22">
        <v>263283</v>
      </c>
      <c r="D57" s="22">
        <v>294436</v>
      </c>
      <c r="E57" s="22">
        <v>316594</v>
      </c>
      <c r="F57" s="9">
        <v>304255</v>
      </c>
      <c r="G57" s="10">
        <v>296561</v>
      </c>
      <c r="H57" s="22">
        <v>251103</v>
      </c>
      <c r="I57" s="22">
        <v>240983</v>
      </c>
      <c r="J57" s="22">
        <v>230969</v>
      </c>
      <c r="K57" s="22">
        <v>215742</v>
      </c>
      <c r="L57" s="22">
        <v>226518</v>
      </c>
      <c r="M57" s="22">
        <v>241042</v>
      </c>
      <c r="N57" s="9">
        <v>3138981</v>
      </c>
    </row>
    <row r="58" spans="1:14" x14ac:dyDescent="0.2">
      <c r="A58" s="23" t="s">
        <v>42</v>
      </c>
      <c r="B58" s="22">
        <v>35406.103999999992</v>
      </c>
      <c r="C58" s="22">
        <v>20836.103999999992</v>
      </c>
      <c r="D58" s="22">
        <v>55129.103999999992</v>
      </c>
      <c r="E58" s="22">
        <v>10651.103999999992</v>
      </c>
      <c r="F58" s="9">
        <v>32575.103999999992</v>
      </c>
      <c r="G58" s="10">
        <v>8123.1039999999921</v>
      </c>
      <c r="H58" s="22">
        <v>25953.103999999992</v>
      </c>
      <c r="I58" s="22">
        <v>23314</v>
      </c>
      <c r="J58" s="22">
        <v>13151</v>
      </c>
      <c r="K58" s="22">
        <v>33526</v>
      </c>
      <c r="L58" s="22">
        <v>29173</v>
      </c>
      <c r="M58" s="22">
        <v>34501</v>
      </c>
      <c r="N58" s="9">
        <v>300670.72800000012</v>
      </c>
    </row>
    <row r="59" spans="1:14" x14ac:dyDescent="0.2">
      <c r="A59" s="23" t="s">
        <v>43</v>
      </c>
      <c r="B59" s="41">
        <v>11.630026573642493</v>
      </c>
      <c r="C59" s="41">
        <v>7.0512543359447672</v>
      </c>
      <c r="D59" s="41">
        <v>15.276255607804231</v>
      </c>
      <c r="E59" s="41">
        <v>3.1458532205472309</v>
      </c>
      <c r="F59" s="41">
        <v>9.361684321851234</v>
      </c>
      <c r="G59" s="41">
        <v>2.5698299561840563</v>
      </c>
      <c r="H59" s="41">
        <v>8.9963755355582951</v>
      </c>
      <c r="I59" s="41">
        <v>8.8822005486132287</v>
      </c>
      <c r="J59" s="41">
        <v>5.4157452363597436</v>
      </c>
      <c r="K59" s="41">
        <v>13.532135087244853</v>
      </c>
      <c r="L59" s="41">
        <v>11.449461926702721</v>
      </c>
      <c r="M59" s="41">
        <v>12.595513206651699</v>
      </c>
      <c r="N59" s="13">
        <v>8.5611540887263402E-2</v>
      </c>
    </row>
    <row r="60" spans="1:14" x14ac:dyDescent="0.2">
      <c r="A60" s="23" t="s">
        <v>30</v>
      </c>
      <c r="B60" s="22">
        <v>564</v>
      </c>
      <c r="C60" s="22">
        <v>597</v>
      </c>
      <c r="D60" s="22">
        <v>676</v>
      </c>
      <c r="E60" s="22">
        <v>659</v>
      </c>
      <c r="F60" s="9">
        <v>660</v>
      </c>
      <c r="G60" s="10">
        <v>520</v>
      </c>
      <c r="H60" s="22">
        <v>596</v>
      </c>
      <c r="I60" s="22">
        <v>555</v>
      </c>
      <c r="J60" s="22">
        <v>560</v>
      </c>
      <c r="K60" s="22">
        <v>511</v>
      </c>
      <c r="L60" s="22">
        <v>553</v>
      </c>
      <c r="M60" s="22">
        <v>615</v>
      </c>
      <c r="N60" s="9">
        <v>676</v>
      </c>
    </row>
    <row r="61" spans="1:14" x14ac:dyDescent="0.2">
      <c r="A61" s="280" t="s">
        <v>31</v>
      </c>
      <c r="B61" s="22">
        <v>23462</v>
      </c>
      <c r="C61" s="22">
        <v>22383</v>
      </c>
      <c r="D61" s="22">
        <v>27610</v>
      </c>
      <c r="E61" s="23">
        <v>26147</v>
      </c>
      <c r="F61" s="9">
        <v>26895</v>
      </c>
      <c r="G61" s="10">
        <v>24835</v>
      </c>
      <c r="H61" s="22">
        <v>22187</v>
      </c>
      <c r="I61" s="22">
        <v>20071</v>
      </c>
      <c r="J61" s="22">
        <v>18206</v>
      </c>
      <c r="K61" s="22">
        <v>19002</v>
      </c>
      <c r="L61" s="22">
        <v>19013</v>
      </c>
      <c r="M61" s="22">
        <v>21356</v>
      </c>
      <c r="N61" s="9">
        <v>271167</v>
      </c>
    </row>
    <row r="62" spans="1:14" x14ac:dyDescent="0.2">
      <c r="A62" s="281" t="s">
        <v>44</v>
      </c>
      <c r="B62" s="41">
        <v>12.975748018071776</v>
      </c>
      <c r="C62" s="41">
        <v>13.20176026448644</v>
      </c>
      <c r="D62" s="41">
        <v>13.070662803332127</v>
      </c>
      <c r="E62" s="41">
        <v>12.948942517306001</v>
      </c>
      <c r="F62" s="24">
        <v>12.937795129206172</v>
      </c>
      <c r="G62" s="42">
        <v>12.727803503120596</v>
      </c>
      <c r="H62" s="41">
        <v>13.002388786226168</v>
      </c>
      <c r="I62" s="41">
        <v>13.077574610134024</v>
      </c>
      <c r="J62" s="41">
        <v>13.337855651982863</v>
      </c>
      <c r="K62" s="41">
        <v>13.0381538785391</v>
      </c>
      <c r="L62" s="41">
        <v>13.401251775101246</v>
      </c>
      <c r="M62" s="41">
        <v>12.826137853530623</v>
      </c>
      <c r="N62" s="24">
        <v>13.0314640055759</v>
      </c>
    </row>
    <row r="63" spans="1:14" ht="13.5" thickBot="1" x14ac:dyDescent="0.25">
      <c r="A63" s="29" t="s">
        <v>33</v>
      </c>
      <c r="B63" s="27">
        <v>976</v>
      </c>
      <c r="C63" s="27">
        <v>974</v>
      </c>
      <c r="D63" s="27">
        <v>979</v>
      </c>
      <c r="E63" s="27">
        <v>985</v>
      </c>
      <c r="F63" s="26">
        <v>992</v>
      </c>
      <c r="G63" s="31">
        <v>1002</v>
      </c>
      <c r="H63" s="27">
        <v>1013</v>
      </c>
      <c r="I63" s="27">
        <v>1015</v>
      </c>
      <c r="J63" s="27">
        <v>1019</v>
      </c>
      <c r="K63" s="27">
        <v>1029</v>
      </c>
      <c r="L63" s="27">
        <v>1037</v>
      </c>
      <c r="M63" s="27">
        <v>1045</v>
      </c>
      <c r="N63" s="26">
        <v>1045</v>
      </c>
    </row>
    <row r="64" spans="1:14" x14ac:dyDescent="0.2">
      <c r="A64" s="43"/>
      <c r="B64" s="10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10"/>
    </row>
    <row r="65" spans="1:14" ht="13.5" thickBot="1" x14ac:dyDescent="0.25">
      <c r="A65" s="35"/>
      <c r="B65" s="44"/>
    </row>
    <row r="66" spans="1:14" ht="13.5" thickBot="1" x14ac:dyDescent="0.25">
      <c r="A66" s="729" t="s">
        <v>45</v>
      </c>
      <c r="B66" s="730"/>
      <c r="C66" s="730"/>
      <c r="D66" s="730"/>
      <c r="E66" s="730"/>
      <c r="F66" s="730"/>
      <c r="G66" s="730"/>
      <c r="H66" s="730"/>
      <c r="I66" s="730"/>
      <c r="J66" s="730"/>
      <c r="K66" s="730"/>
      <c r="L66" s="730"/>
      <c r="M66" s="730"/>
      <c r="N66" s="731"/>
    </row>
    <row r="67" spans="1:14" ht="13.5" thickBot="1" x14ac:dyDescent="0.25">
      <c r="A67" s="3" t="s">
        <v>3</v>
      </c>
      <c r="B67" s="4" t="s">
        <v>4</v>
      </c>
      <c r="C67" s="4" t="s">
        <v>5</v>
      </c>
      <c r="D67" s="4" t="s">
        <v>6</v>
      </c>
      <c r="E67" s="4" t="s">
        <v>7</v>
      </c>
      <c r="F67" s="4" t="s">
        <v>8</v>
      </c>
      <c r="G67" s="4" t="s">
        <v>9</v>
      </c>
      <c r="H67" s="4" t="s">
        <v>10</v>
      </c>
      <c r="I67" s="4" t="s">
        <v>11</v>
      </c>
      <c r="J67" s="4" t="s">
        <v>12</v>
      </c>
      <c r="K67" s="4" t="s">
        <v>13</v>
      </c>
      <c r="L67" s="4" t="s">
        <v>14</v>
      </c>
      <c r="M67" s="4" t="s">
        <v>15</v>
      </c>
      <c r="N67" s="3" t="s">
        <v>16</v>
      </c>
    </row>
    <row r="68" spans="1:14" x14ac:dyDescent="0.2">
      <c r="A68" s="6" t="s">
        <v>17</v>
      </c>
      <c r="B68" s="45">
        <v>26408</v>
      </c>
      <c r="C68" s="45">
        <v>22481</v>
      </c>
      <c r="D68" s="45">
        <v>30491</v>
      </c>
      <c r="E68" s="45">
        <v>31367</v>
      </c>
      <c r="F68" s="45">
        <v>32589</v>
      </c>
      <c r="G68" s="45">
        <v>31702</v>
      </c>
      <c r="H68" s="45">
        <v>29914</v>
      </c>
      <c r="I68" s="45">
        <v>29560</v>
      </c>
      <c r="J68" s="45">
        <v>31488</v>
      </c>
      <c r="K68" s="45">
        <v>33642</v>
      </c>
      <c r="L68" s="45">
        <v>31991</v>
      </c>
      <c r="M68" s="45">
        <v>32576</v>
      </c>
      <c r="N68" s="7">
        <v>364209</v>
      </c>
    </row>
    <row r="69" spans="1:14" x14ac:dyDescent="0.2">
      <c r="A69" s="277" t="s">
        <v>18</v>
      </c>
      <c r="B69" s="22">
        <v>0</v>
      </c>
      <c r="C69" s="22">
        <v>16011</v>
      </c>
      <c r="D69" s="22">
        <v>12416</v>
      </c>
      <c r="E69" s="22">
        <v>20564</v>
      </c>
      <c r="F69" s="22">
        <v>26057</v>
      </c>
      <c r="G69" s="22">
        <v>23342.799999999999</v>
      </c>
      <c r="H69" s="22">
        <v>23931</v>
      </c>
      <c r="I69" s="22">
        <v>24469</v>
      </c>
      <c r="J69" s="22">
        <v>31488</v>
      </c>
      <c r="K69" s="22">
        <v>33642</v>
      </c>
      <c r="L69" s="22">
        <v>31991</v>
      </c>
      <c r="M69" s="22">
        <v>32576</v>
      </c>
      <c r="N69" s="9">
        <v>276487.8</v>
      </c>
    </row>
    <row r="70" spans="1:14" x14ac:dyDescent="0.2">
      <c r="A70" s="6" t="s">
        <v>19</v>
      </c>
      <c r="B70" s="39">
        <v>0</v>
      </c>
      <c r="C70" s="39">
        <v>0.71220141452782348</v>
      </c>
      <c r="D70" s="39">
        <v>0.40720212521727722</v>
      </c>
      <c r="E70" s="39">
        <v>0.65559345809290015</v>
      </c>
      <c r="F70" s="39">
        <v>0.79956427015250542</v>
      </c>
      <c r="G70" s="39">
        <v>0.73631947511198026</v>
      </c>
      <c r="H70" s="39">
        <v>0.79999331416727959</v>
      </c>
      <c r="I70" s="39">
        <v>0.82777401894451963</v>
      </c>
      <c r="J70" s="39">
        <v>1</v>
      </c>
      <c r="K70" s="39">
        <v>1</v>
      </c>
      <c r="L70" s="39">
        <v>1</v>
      </c>
      <c r="M70" s="39">
        <v>1</v>
      </c>
      <c r="N70" s="33">
        <v>0.75914598486034113</v>
      </c>
    </row>
    <row r="71" spans="1:14" x14ac:dyDescent="0.2">
      <c r="A71" s="277" t="s">
        <v>46</v>
      </c>
      <c r="B71" s="22">
        <v>26408</v>
      </c>
      <c r="C71" s="22">
        <v>6470</v>
      </c>
      <c r="D71" s="22">
        <v>18075</v>
      </c>
      <c r="E71" s="22">
        <v>10803</v>
      </c>
      <c r="F71" s="22">
        <v>6532</v>
      </c>
      <c r="G71" s="22">
        <v>8359.2000000000007</v>
      </c>
      <c r="H71" s="22">
        <v>5983</v>
      </c>
      <c r="I71" s="22">
        <v>5091</v>
      </c>
      <c r="J71" s="22">
        <v>0</v>
      </c>
      <c r="K71" s="22">
        <v>0</v>
      </c>
      <c r="L71" s="22">
        <v>0</v>
      </c>
      <c r="M71" s="22">
        <v>0</v>
      </c>
      <c r="N71" s="9">
        <v>87721.2</v>
      </c>
    </row>
    <row r="72" spans="1:14" x14ac:dyDescent="0.2">
      <c r="A72" s="6" t="s">
        <v>47</v>
      </c>
      <c r="B72" s="39">
        <v>1</v>
      </c>
      <c r="C72" s="39">
        <v>0.28779858547217652</v>
      </c>
      <c r="D72" s="39">
        <v>0.59279787478272272</v>
      </c>
      <c r="E72" s="39">
        <v>0.34440654190709979</v>
      </c>
      <c r="F72" s="39">
        <v>0.20043572984749455</v>
      </c>
      <c r="G72" s="39">
        <v>0.26368052488801969</v>
      </c>
      <c r="H72" s="39">
        <v>0.20000668583272047</v>
      </c>
      <c r="I72" s="39">
        <v>0.17222598105548037</v>
      </c>
      <c r="J72" s="39">
        <v>0</v>
      </c>
      <c r="K72" s="39">
        <v>0</v>
      </c>
      <c r="L72" s="39">
        <v>0</v>
      </c>
      <c r="M72" s="39">
        <v>0</v>
      </c>
      <c r="N72" s="33">
        <v>0.24085401513965882</v>
      </c>
    </row>
    <row r="73" spans="1:14" x14ac:dyDescent="0.2">
      <c r="A73" s="23" t="s">
        <v>48</v>
      </c>
      <c r="B73" s="22">
        <v>12779</v>
      </c>
      <c r="C73" s="22">
        <v>9746</v>
      </c>
      <c r="D73" s="22">
        <v>12587</v>
      </c>
      <c r="E73" s="22">
        <v>15054</v>
      </c>
      <c r="F73" s="22">
        <v>15970</v>
      </c>
      <c r="G73" s="22">
        <v>17488</v>
      </c>
      <c r="H73" s="22">
        <v>13227</v>
      </c>
      <c r="I73" s="22">
        <v>12980</v>
      </c>
      <c r="J73" s="22">
        <v>16719</v>
      </c>
      <c r="K73" s="22">
        <v>18226</v>
      </c>
      <c r="L73" s="22">
        <v>18112</v>
      </c>
      <c r="M73" s="22">
        <v>14895</v>
      </c>
      <c r="N73" s="9">
        <v>177783</v>
      </c>
    </row>
    <row r="74" spans="1:14" x14ac:dyDescent="0.2">
      <c r="A74" s="23" t="s">
        <v>25</v>
      </c>
      <c r="B74" s="22">
        <v>13629</v>
      </c>
      <c r="C74" s="22">
        <v>12735</v>
      </c>
      <c r="D74" s="22">
        <v>17904</v>
      </c>
      <c r="E74" s="22">
        <v>16313</v>
      </c>
      <c r="F74" s="22">
        <v>16619</v>
      </c>
      <c r="G74" s="22">
        <v>14214</v>
      </c>
      <c r="H74" s="22">
        <v>16687</v>
      </c>
      <c r="I74" s="22">
        <v>16580</v>
      </c>
      <c r="J74" s="22">
        <v>14769</v>
      </c>
      <c r="K74" s="22">
        <v>15416</v>
      </c>
      <c r="L74" s="22">
        <v>13879</v>
      </c>
      <c r="M74" s="22">
        <v>17681</v>
      </c>
      <c r="N74" s="9">
        <v>186426</v>
      </c>
    </row>
    <row r="75" spans="1:14" x14ac:dyDescent="0.2">
      <c r="A75" s="23" t="s">
        <v>35</v>
      </c>
      <c r="B75" s="22">
        <v>13629</v>
      </c>
      <c r="C75" s="22">
        <v>12735</v>
      </c>
      <c r="D75" s="22">
        <v>17904</v>
      </c>
      <c r="E75" s="22">
        <v>16313</v>
      </c>
      <c r="F75" s="22">
        <v>16619</v>
      </c>
      <c r="G75" s="22">
        <v>14214</v>
      </c>
      <c r="H75" s="22">
        <v>16687</v>
      </c>
      <c r="I75" s="22">
        <v>16580</v>
      </c>
      <c r="J75" s="22">
        <v>14769</v>
      </c>
      <c r="K75" s="22">
        <v>15416</v>
      </c>
      <c r="L75" s="22">
        <v>13879</v>
      </c>
      <c r="M75" s="22">
        <v>17681</v>
      </c>
      <c r="N75" s="9">
        <v>186426</v>
      </c>
    </row>
    <row r="76" spans="1:14" x14ac:dyDescent="0.2">
      <c r="A76" s="23" t="s">
        <v>26</v>
      </c>
      <c r="B76" s="22">
        <v>25832.6</v>
      </c>
      <c r="C76" s="22">
        <v>22467.599999999999</v>
      </c>
      <c r="D76" s="22">
        <v>24761.599999999999</v>
      </c>
      <c r="E76" s="22">
        <v>28163.599999999999</v>
      </c>
      <c r="F76" s="22">
        <v>30633.599999999999</v>
      </c>
      <c r="G76" s="22">
        <v>31767.599999999999</v>
      </c>
      <c r="H76" s="22">
        <v>25688.6</v>
      </c>
      <c r="I76" s="22">
        <v>23508</v>
      </c>
      <c r="J76" s="22">
        <v>27232</v>
      </c>
      <c r="K76" s="22">
        <v>28197</v>
      </c>
      <c r="L76" s="22">
        <v>28994</v>
      </c>
      <c r="M76" s="22">
        <v>24773</v>
      </c>
      <c r="N76" s="9">
        <v>322019.20000000001</v>
      </c>
    </row>
    <row r="77" spans="1:14" x14ac:dyDescent="0.2">
      <c r="A77" s="23" t="s">
        <v>27</v>
      </c>
      <c r="B77" s="22">
        <v>23489</v>
      </c>
      <c r="C77" s="22">
        <v>20124</v>
      </c>
      <c r="D77" s="22">
        <v>22418</v>
      </c>
      <c r="E77" s="22">
        <v>25820</v>
      </c>
      <c r="F77" s="22">
        <v>28290</v>
      </c>
      <c r="G77" s="22">
        <v>29424</v>
      </c>
      <c r="H77" s="22">
        <v>23345</v>
      </c>
      <c r="I77" s="22">
        <v>23508</v>
      </c>
      <c r="J77" s="22">
        <v>27232</v>
      </c>
      <c r="K77" s="22">
        <v>28197</v>
      </c>
      <c r="L77" s="22">
        <v>28994</v>
      </c>
      <c r="M77" s="22">
        <v>24773</v>
      </c>
      <c r="N77" s="9">
        <v>305614</v>
      </c>
    </row>
    <row r="78" spans="1:14" x14ac:dyDescent="0.2">
      <c r="A78" s="23" t="s">
        <v>28</v>
      </c>
      <c r="B78" s="22">
        <v>575.40000000000146</v>
      </c>
      <c r="C78" s="22">
        <v>13.400000000001455</v>
      </c>
      <c r="D78" s="22">
        <v>5729.4000000000015</v>
      </c>
      <c r="E78" s="22">
        <v>3203.4000000000015</v>
      </c>
      <c r="F78" s="22">
        <v>1955.4000000000015</v>
      </c>
      <c r="G78" s="22">
        <v>-65.599999999998545</v>
      </c>
      <c r="H78" s="22">
        <v>4225.4000000000015</v>
      </c>
      <c r="I78" s="22">
        <v>6052</v>
      </c>
      <c r="J78" s="22">
        <v>4256</v>
      </c>
      <c r="K78" s="22">
        <v>5445</v>
      </c>
      <c r="L78" s="22">
        <v>2997</v>
      </c>
      <c r="M78" s="22">
        <v>7803</v>
      </c>
      <c r="N78" s="9">
        <v>42189.799999999988</v>
      </c>
    </row>
    <row r="79" spans="1:14" x14ac:dyDescent="0.2">
      <c r="A79" s="23" t="s">
        <v>29</v>
      </c>
      <c r="B79" s="41">
        <v>2.178885186307185</v>
      </c>
      <c r="C79" s="41">
        <v>5.9605889417736993E-2</v>
      </c>
      <c r="D79" s="41">
        <v>18.790462759502809</v>
      </c>
      <c r="E79" s="41">
        <v>10.212643861382986</v>
      </c>
      <c r="F79" s="41">
        <v>6.0001841112031711</v>
      </c>
      <c r="G79" s="41">
        <v>-0.20692700775975817</v>
      </c>
      <c r="H79" s="41">
        <v>14.125158788527115</v>
      </c>
      <c r="I79" s="41">
        <v>20.473612990527741</v>
      </c>
      <c r="J79" s="41">
        <v>13.516260162601625</v>
      </c>
      <c r="K79" s="41">
        <v>16.185125735687535</v>
      </c>
      <c r="L79" s="41">
        <v>9.3682598230752401</v>
      </c>
      <c r="M79" s="41">
        <v>23.953217092337916</v>
      </c>
      <c r="N79" s="13">
        <v>0.11583953169745939</v>
      </c>
    </row>
    <row r="80" spans="1:14" x14ac:dyDescent="0.2">
      <c r="A80" s="23" t="s">
        <v>30</v>
      </c>
      <c r="B80" s="22">
        <v>32</v>
      </c>
      <c r="C80" s="22">
        <v>64</v>
      </c>
      <c r="D80" s="22">
        <v>59</v>
      </c>
      <c r="E80" s="22">
        <v>59</v>
      </c>
      <c r="F80" s="22">
        <v>54</v>
      </c>
      <c r="G80" s="22">
        <v>52</v>
      </c>
      <c r="H80" s="22">
        <v>67</v>
      </c>
      <c r="I80" s="22">
        <v>59</v>
      </c>
      <c r="J80" s="22">
        <v>62</v>
      </c>
      <c r="K80" s="22">
        <v>65</v>
      </c>
      <c r="L80" s="22">
        <v>63</v>
      </c>
      <c r="M80" s="22">
        <v>59</v>
      </c>
      <c r="N80" s="9">
        <v>67</v>
      </c>
    </row>
    <row r="81" spans="1:14" x14ac:dyDescent="0.2">
      <c r="A81" s="280" t="s">
        <v>31</v>
      </c>
      <c r="B81" s="22">
        <v>0</v>
      </c>
      <c r="C81" s="22">
        <v>1381</v>
      </c>
      <c r="D81" s="22">
        <v>1125</v>
      </c>
      <c r="E81" s="22">
        <v>1866</v>
      </c>
      <c r="F81" s="22">
        <v>2339</v>
      </c>
      <c r="G81" s="22">
        <v>2016.3</v>
      </c>
      <c r="H81" s="22">
        <v>2056</v>
      </c>
      <c r="I81" s="22">
        <v>2102</v>
      </c>
      <c r="J81" s="22">
        <v>2618</v>
      </c>
      <c r="K81" s="22">
        <v>2751</v>
      </c>
      <c r="L81" s="22">
        <v>2626</v>
      </c>
      <c r="M81" s="22">
        <v>2699</v>
      </c>
      <c r="N81" s="9">
        <v>23579.3</v>
      </c>
    </row>
    <row r="82" spans="1:14" x14ac:dyDescent="0.2">
      <c r="A82" s="280" t="s">
        <v>49</v>
      </c>
      <c r="B82" s="22">
        <v>2556</v>
      </c>
      <c r="C82" s="22">
        <v>623</v>
      </c>
      <c r="D82" s="22">
        <v>1640</v>
      </c>
      <c r="E82" s="22">
        <v>1021</v>
      </c>
      <c r="F82" s="22">
        <v>620</v>
      </c>
      <c r="G82" s="22">
        <v>710.09999999999991</v>
      </c>
      <c r="H82" s="22">
        <v>514</v>
      </c>
      <c r="I82" s="22">
        <v>441</v>
      </c>
      <c r="J82" s="22">
        <v>0</v>
      </c>
      <c r="K82" s="22">
        <v>0</v>
      </c>
      <c r="L82" s="22">
        <v>0</v>
      </c>
      <c r="M82" s="22">
        <v>0</v>
      </c>
      <c r="N82" s="9">
        <v>8125.1</v>
      </c>
    </row>
    <row r="83" spans="1:14" x14ac:dyDescent="0.2">
      <c r="A83" s="281" t="s">
        <v>50</v>
      </c>
      <c r="B83" s="41">
        <v>0</v>
      </c>
      <c r="C83" s="41">
        <v>11.593772628530051</v>
      </c>
      <c r="D83" s="41">
        <v>11.036444444444445</v>
      </c>
      <c r="E83" s="41">
        <v>11.020364415862808</v>
      </c>
      <c r="F83" s="41">
        <v>11.140230867892262</v>
      </c>
      <c r="G83" s="41">
        <v>11.577047066408769</v>
      </c>
      <c r="H83" s="41">
        <v>11.639591439688717</v>
      </c>
      <c r="I83" s="41">
        <v>11.64081826831589</v>
      </c>
      <c r="J83" s="41">
        <v>12.027501909854852</v>
      </c>
      <c r="K83" s="41">
        <v>12.229007633587786</v>
      </c>
      <c r="L83" s="41">
        <v>12.182406702208683</v>
      </c>
      <c r="M83" s="41">
        <v>12.069655427936272</v>
      </c>
      <c r="N83" s="24">
        <v>11.725869724716171</v>
      </c>
    </row>
    <row r="84" spans="1:14" x14ac:dyDescent="0.2">
      <c r="A84" s="281" t="s">
        <v>51</v>
      </c>
      <c r="B84" s="41">
        <v>10.331768388106417</v>
      </c>
      <c r="C84" s="41">
        <v>10.385232744783307</v>
      </c>
      <c r="D84" s="41">
        <v>11.021341463414634</v>
      </c>
      <c r="E84" s="41">
        <v>10.580803134182174</v>
      </c>
      <c r="F84" s="41">
        <v>10.535483870967742</v>
      </c>
      <c r="G84" s="41">
        <v>11.771863117870724</v>
      </c>
      <c r="H84" s="41">
        <v>11.640077821011673</v>
      </c>
      <c r="I84" s="41">
        <v>11.544217687074831</v>
      </c>
      <c r="J84" s="41">
        <v>0</v>
      </c>
      <c r="K84" s="41">
        <v>0</v>
      </c>
      <c r="L84" s="41">
        <v>0</v>
      </c>
      <c r="M84" s="41">
        <v>0</v>
      </c>
      <c r="N84" s="24">
        <v>10.796322506799916</v>
      </c>
    </row>
    <row r="85" spans="1:14" ht="13.5" thickBot="1" x14ac:dyDescent="0.25">
      <c r="A85" s="29" t="s">
        <v>33</v>
      </c>
      <c r="B85" s="27">
        <v>66</v>
      </c>
      <c r="C85" s="27">
        <v>65</v>
      </c>
      <c r="D85" s="27">
        <v>65</v>
      </c>
      <c r="E85" s="27">
        <v>65</v>
      </c>
      <c r="F85" s="27">
        <v>67</v>
      </c>
      <c r="G85" s="27">
        <v>69</v>
      </c>
      <c r="H85" s="27">
        <v>69</v>
      </c>
      <c r="I85" s="27">
        <v>70</v>
      </c>
      <c r="J85" s="27">
        <v>70</v>
      </c>
      <c r="K85" s="27">
        <v>69</v>
      </c>
      <c r="L85" s="27">
        <v>69</v>
      </c>
      <c r="M85" s="27">
        <v>69</v>
      </c>
      <c r="N85" s="26">
        <v>70</v>
      </c>
    </row>
    <row r="86" spans="1:14" x14ac:dyDescent="0.2">
      <c r="A86" s="43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 x14ac:dyDescent="0.2">
      <c r="A87" s="43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 x14ac:dyDescent="0.2">
      <c r="A88" s="732" t="s">
        <v>0</v>
      </c>
      <c r="B88" s="732"/>
      <c r="C88" s="732"/>
      <c r="D88" s="732"/>
      <c r="E88" s="732"/>
      <c r="F88" s="732"/>
      <c r="G88" s="732"/>
      <c r="H88" s="732"/>
      <c r="I88" s="732"/>
      <c r="J88" s="732"/>
      <c r="K88" s="732"/>
      <c r="L88" s="732"/>
      <c r="M88" s="732"/>
      <c r="N88" s="732"/>
    </row>
    <row r="89" spans="1:14" x14ac:dyDescent="0.2">
      <c r="A89" s="732" t="s">
        <v>1</v>
      </c>
      <c r="B89" s="732"/>
      <c r="C89" s="732"/>
      <c r="D89" s="732"/>
      <c r="E89" s="732"/>
      <c r="F89" s="732"/>
      <c r="G89" s="732"/>
      <c r="H89" s="732"/>
      <c r="I89" s="732"/>
      <c r="J89" s="732"/>
      <c r="K89" s="732"/>
      <c r="L89" s="732"/>
      <c r="M89" s="732"/>
      <c r="N89" s="732"/>
    </row>
    <row r="90" spans="1:14" ht="13.5" thickBot="1" x14ac:dyDescent="0.25">
      <c r="A90" s="35"/>
      <c r="D90" s="37"/>
    </row>
    <row r="91" spans="1:14" ht="13.5" thickBot="1" x14ac:dyDescent="0.25">
      <c r="A91" s="729" t="s">
        <v>52</v>
      </c>
      <c r="B91" s="730"/>
      <c r="C91" s="730"/>
      <c r="D91" s="730"/>
      <c r="E91" s="730"/>
      <c r="F91" s="730"/>
      <c r="G91" s="730"/>
      <c r="H91" s="730"/>
      <c r="I91" s="730"/>
      <c r="J91" s="730"/>
      <c r="K91" s="730"/>
      <c r="L91" s="730"/>
      <c r="M91" s="730"/>
      <c r="N91" s="731"/>
    </row>
    <row r="92" spans="1:14" ht="13.5" thickBot="1" x14ac:dyDescent="0.25">
      <c r="A92" s="3"/>
      <c r="B92" s="4" t="s">
        <v>4</v>
      </c>
      <c r="C92" s="4" t="s">
        <v>5</v>
      </c>
      <c r="D92" s="4" t="s">
        <v>6</v>
      </c>
      <c r="E92" s="4" t="s">
        <v>7</v>
      </c>
      <c r="F92" s="4" t="s">
        <v>8</v>
      </c>
      <c r="G92" s="4" t="s">
        <v>9</v>
      </c>
      <c r="H92" s="4" t="s">
        <v>10</v>
      </c>
      <c r="I92" s="4" t="s">
        <v>11</v>
      </c>
      <c r="J92" s="4" t="s">
        <v>12</v>
      </c>
      <c r="K92" s="4" t="s">
        <v>13</v>
      </c>
      <c r="L92" s="4" t="s">
        <v>14</v>
      </c>
      <c r="M92" s="4" t="s">
        <v>15</v>
      </c>
      <c r="N92" s="3" t="s">
        <v>16</v>
      </c>
    </row>
    <row r="93" spans="1:14" x14ac:dyDescent="0.2">
      <c r="A93" s="46" t="s">
        <v>53</v>
      </c>
      <c r="B93" s="9">
        <v>3372088</v>
      </c>
      <c r="C93" s="9">
        <v>3114113</v>
      </c>
      <c r="D93" s="9">
        <v>3695184</v>
      </c>
      <c r="E93" s="9">
        <v>3609897.9999999995</v>
      </c>
      <c r="F93" s="9">
        <v>3736613.0000000005</v>
      </c>
      <c r="G93" s="9">
        <v>3463826</v>
      </c>
      <c r="H93" s="9">
        <v>3147485</v>
      </c>
      <c r="I93" s="9">
        <v>3038195</v>
      </c>
      <c r="J93" s="9">
        <v>2818010</v>
      </c>
      <c r="K93" s="9">
        <v>2951750</v>
      </c>
      <c r="L93" s="9">
        <v>2951029</v>
      </c>
      <c r="M93" s="9">
        <v>3243593</v>
      </c>
      <c r="N93" s="9">
        <v>39141784</v>
      </c>
    </row>
    <row r="94" spans="1:14" x14ac:dyDescent="0.2">
      <c r="A94" s="8" t="s">
        <v>18</v>
      </c>
      <c r="B94" s="9">
        <v>3258258</v>
      </c>
      <c r="C94" s="9">
        <v>3086978</v>
      </c>
      <c r="D94" s="9">
        <v>3509846</v>
      </c>
      <c r="E94" s="9">
        <v>3542160.9999999995</v>
      </c>
      <c r="F94" s="9">
        <v>3613262.0000000005</v>
      </c>
      <c r="G94" s="9">
        <v>3325821.8</v>
      </c>
      <c r="H94" s="9">
        <v>2874834</v>
      </c>
      <c r="I94" s="9">
        <v>2628838</v>
      </c>
      <c r="J94" s="9">
        <v>2463238</v>
      </c>
      <c r="K94" s="9">
        <v>2675153</v>
      </c>
      <c r="L94" s="9">
        <v>2657499</v>
      </c>
      <c r="M94" s="9">
        <v>3003057</v>
      </c>
      <c r="N94" s="9">
        <v>36638945.799999997</v>
      </c>
    </row>
    <row r="95" spans="1:14" x14ac:dyDescent="0.2">
      <c r="A95" s="6" t="s">
        <v>19</v>
      </c>
      <c r="B95" s="12">
        <v>0.96624346695578522</v>
      </c>
      <c r="C95" s="12">
        <v>0.99128644336284522</v>
      </c>
      <c r="D95" s="12">
        <v>0.94984336368635502</v>
      </c>
      <c r="E95" s="12">
        <v>0.98123575790784112</v>
      </c>
      <c r="F95" s="12">
        <v>0.96698855353765567</v>
      </c>
      <c r="G95" s="12">
        <v>0.96015844906759162</v>
      </c>
      <c r="H95" s="12">
        <v>0.91337496445574795</v>
      </c>
      <c r="I95" s="12">
        <v>0.86526309206617746</v>
      </c>
      <c r="J95" s="12">
        <v>0.87410548578606895</v>
      </c>
      <c r="K95" s="12">
        <v>0.90629389345303635</v>
      </c>
      <c r="L95" s="12">
        <v>0.90053300052286844</v>
      </c>
      <c r="M95" s="12">
        <v>0.92584273057686339</v>
      </c>
      <c r="N95" s="13">
        <v>0.93605712504059591</v>
      </c>
    </row>
    <row r="96" spans="1:14" x14ac:dyDescent="0.2">
      <c r="A96" s="8" t="s">
        <v>46</v>
      </c>
      <c r="B96" s="9">
        <v>26408</v>
      </c>
      <c r="C96" s="9">
        <v>6470</v>
      </c>
      <c r="D96" s="9">
        <v>18075</v>
      </c>
      <c r="E96" s="9">
        <v>10803</v>
      </c>
      <c r="F96" s="9">
        <v>6532</v>
      </c>
      <c r="G96" s="9">
        <v>8359.2000000000007</v>
      </c>
      <c r="H96" s="9">
        <v>5983</v>
      </c>
      <c r="I96" s="9">
        <v>5091</v>
      </c>
      <c r="J96" s="9">
        <v>0</v>
      </c>
      <c r="K96" s="9">
        <v>0</v>
      </c>
      <c r="L96" s="9">
        <v>0</v>
      </c>
      <c r="M96" s="9">
        <v>0</v>
      </c>
      <c r="N96" s="9">
        <v>87721.2</v>
      </c>
    </row>
    <row r="97" spans="1:14" x14ac:dyDescent="0.2">
      <c r="A97" s="6" t="s">
        <v>47</v>
      </c>
      <c r="B97" s="12">
        <v>7.8313495970449166E-3</v>
      </c>
      <c r="C97" s="12">
        <v>2.0776381589235845E-3</v>
      </c>
      <c r="D97" s="12">
        <v>4.891502019926477E-3</v>
      </c>
      <c r="E97" s="12">
        <v>2.992605331230966E-3</v>
      </c>
      <c r="F97" s="12">
        <v>1.7481071762047607E-3</v>
      </c>
      <c r="G97" s="12">
        <v>2.4132851938867602E-3</v>
      </c>
      <c r="H97" s="12">
        <v>1.9008827683054882E-3</v>
      </c>
      <c r="I97" s="12">
        <v>1.6756659793067924E-3</v>
      </c>
      <c r="J97" s="12">
        <v>0</v>
      </c>
      <c r="K97" s="12">
        <v>0</v>
      </c>
      <c r="L97" s="12">
        <v>0</v>
      </c>
      <c r="M97" s="12">
        <v>0</v>
      </c>
      <c r="N97" s="13">
        <v>2.2411139972567423E-3</v>
      </c>
    </row>
    <row r="98" spans="1:14" x14ac:dyDescent="0.2">
      <c r="A98" s="6" t="s">
        <v>20</v>
      </c>
      <c r="B98" s="9">
        <v>85915</v>
      </c>
      <c r="C98" s="9">
        <v>19421</v>
      </c>
      <c r="D98" s="9">
        <v>166048</v>
      </c>
      <c r="E98" s="9">
        <v>55441</v>
      </c>
      <c r="F98" s="9">
        <v>115349</v>
      </c>
      <c r="G98" s="9">
        <v>128278</v>
      </c>
      <c r="H98" s="9">
        <v>265225</v>
      </c>
      <c r="I98" s="9">
        <v>403163</v>
      </c>
      <c r="J98" s="9">
        <v>353429</v>
      </c>
      <c r="K98" s="9">
        <v>274931</v>
      </c>
      <c r="L98" s="9">
        <v>292110</v>
      </c>
      <c r="M98" s="9">
        <v>239063</v>
      </c>
      <c r="N98" s="47">
        <v>2398373</v>
      </c>
    </row>
    <row r="99" spans="1:14" x14ac:dyDescent="0.2">
      <c r="A99" s="6" t="s">
        <v>21</v>
      </c>
      <c r="B99" s="12">
        <v>2.5478279333160939E-2</v>
      </c>
      <c r="C99" s="12">
        <v>6.2364467827596493E-3</v>
      </c>
      <c r="D99" s="12">
        <v>4.4936327933872845E-2</v>
      </c>
      <c r="E99" s="12">
        <v>1.5358051667941866E-2</v>
      </c>
      <c r="F99" s="12">
        <v>3.0869934884881038E-2</v>
      </c>
      <c r="G99" s="12">
        <v>3.7033615429874364E-2</v>
      </c>
      <c r="H99" s="12">
        <v>8.426569149654406E-2</v>
      </c>
      <c r="I99" s="12">
        <v>0.13269819744947248</v>
      </c>
      <c r="J99" s="12">
        <v>0.12541793677098378</v>
      </c>
      <c r="K99" s="12">
        <v>9.3141695604302535E-2</v>
      </c>
      <c r="L99" s="12">
        <v>9.898581138985757E-2</v>
      </c>
      <c r="M99" s="12">
        <v>7.3703143396844181E-2</v>
      </c>
      <c r="N99" s="13">
        <v>6.1273982810798815E-2</v>
      </c>
    </row>
    <row r="100" spans="1:14" x14ac:dyDescent="0.2">
      <c r="A100" s="6" t="s">
        <v>22</v>
      </c>
      <c r="B100" s="9">
        <v>1507</v>
      </c>
      <c r="C100" s="9">
        <v>1244</v>
      </c>
      <c r="D100" s="9">
        <v>1215</v>
      </c>
      <c r="E100" s="9">
        <v>1493</v>
      </c>
      <c r="F100" s="9">
        <v>1470</v>
      </c>
      <c r="G100" s="9">
        <v>1367</v>
      </c>
      <c r="H100" s="9">
        <v>1443</v>
      </c>
      <c r="I100" s="9">
        <v>1103</v>
      </c>
      <c r="J100" s="9">
        <v>1343</v>
      </c>
      <c r="K100" s="9">
        <v>1666</v>
      </c>
      <c r="L100" s="9">
        <v>1420</v>
      </c>
      <c r="M100" s="48">
        <v>1473</v>
      </c>
      <c r="N100" s="9">
        <v>16744</v>
      </c>
    </row>
    <row r="101" spans="1:14" x14ac:dyDescent="0.2">
      <c r="A101" s="6" t="s">
        <v>23</v>
      </c>
      <c r="B101" s="12">
        <v>4.4690411400888705E-4</v>
      </c>
      <c r="C101" s="12">
        <v>3.9947169547155159E-4</v>
      </c>
      <c r="D101" s="12">
        <v>3.2880635984568023E-4</v>
      </c>
      <c r="E101" s="12">
        <v>4.1358509298600687E-4</v>
      </c>
      <c r="F101" s="12">
        <v>3.9340440125857289E-4</v>
      </c>
      <c r="G101" s="12">
        <v>3.9465030864714335E-4</v>
      </c>
      <c r="H101" s="12">
        <v>4.5846127940244352E-4</v>
      </c>
      <c r="I101" s="12">
        <v>3.6304450504329053E-4</v>
      </c>
      <c r="J101" s="12">
        <v>4.7657744294732807E-4</v>
      </c>
      <c r="K101" s="12">
        <v>5.6441094266113318E-4</v>
      </c>
      <c r="L101" s="12">
        <v>4.8118808727396444E-4</v>
      </c>
      <c r="M101" s="13">
        <v>4.5412602629244794E-4</v>
      </c>
      <c r="N101" s="13">
        <v>4.2777815134844134E-4</v>
      </c>
    </row>
    <row r="102" spans="1:14" x14ac:dyDescent="0.2">
      <c r="A102" s="46" t="s">
        <v>48</v>
      </c>
      <c r="B102" s="9">
        <v>29019</v>
      </c>
      <c r="C102" s="9">
        <v>23308</v>
      </c>
      <c r="D102" s="9">
        <v>29215</v>
      </c>
      <c r="E102" s="9">
        <v>29826</v>
      </c>
      <c r="F102" s="9">
        <v>29214</v>
      </c>
      <c r="G102" s="9">
        <v>32151</v>
      </c>
      <c r="H102" s="9">
        <v>25721</v>
      </c>
      <c r="I102" s="9">
        <v>26650</v>
      </c>
      <c r="J102" s="9">
        <v>28670</v>
      </c>
      <c r="K102" s="9">
        <v>27849</v>
      </c>
      <c r="L102" s="9">
        <v>28402</v>
      </c>
      <c r="M102" s="9">
        <v>25989</v>
      </c>
      <c r="N102" s="9">
        <v>336014</v>
      </c>
    </row>
    <row r="103" spans="1:14" x14ac:dyDescent="0.2">
      <c r="A103" s="23" t="s">
        <v>25</v>
      </c>
      <c r="B103" s="9">
        <v>3343069</v>
      </c>
      <c r="C103" s="9">
        <v>3090805</v>
      </c>
      <c r="D103" s="9">
        <v>3665969</v>
      </c>
      <c r="E103" s="9">
        <v>3580071.9999999995</v>
      </c>
      <c r="F103" s="9">
        <v>3707399.0000000005</v>
      </c>
      <c r="G103" s="9">
        <v>3431675</v>
      </c>
      <c r="H103" s="9">
        <v>3121764</v>
      </c>
      <c r="I103" s="9">
        <v>3011545</v>
      </c>
      <c r="J103" s="9">
        <v>2789340</v>
      </c>
      <c r="K103" s="9">
        <v>2923901</v>
      </c>
      <c r="L103" s="9">
        <v>2922627</v>
      </c>
      <c r="M103" s="9">
        <v>3217604</v>
      </c>
      <c r="N103" s="9">
        <v>38805770</v>
      </c>
    </row>
    <row r="104" spans="1:14" x14ac:dyDescent="0.2">
      <c r="A104" s="46" t="s">
        <v>26</v>
      </c>
      <c r="B104" s="9">
        <v>3148061.76</v>
      </c>
      <c r="C104" s="9">
        <v>2891399.3679999993</v>
      </c>
      <c r="D104" s="9">
        <v>3261147.2239999999</v>
      </c>
      <c r="E104" s="9">
        <v>3346915.8649999998</v>
      </c>
      <c r="F104" s="9">
        <v>3567780.96</v>
      </c>
      <c r="G104" s="9">
        <v>3260595.9999999995</v>
      </c>
      <c r="H104" s="9">
        <v>2869369.9999999995</v>
      </c>
      <c r="I104" s="9">
        <v>2817450</v>
      </c>
      <c r="J104" s="9">
        <v>2743920.9999999995</v>
      </c>
      <c r="K104" s="9">
        <v>2748762</v>
      </c>
      <c r="L104" s="9">
        <v>2701450</v>
      </c>
      <c r="M104" s="9">
        <v>2854947</v>
      </c>
      <c r="N104" s="9">
        <v>36211801.177000001</v>
      </c>
    </row>
    <row r="105" spans="1:14" x14ac:dyDescent="0.2">
      <c r="A105" s="46" t="s">
        <v>27</v>
      </c>
      <c r="B105" s="9">
        <v>3036799</v>
      </c>
      <c r="C105" s="9">
        <v>2788379</v>
      </c>
      <c r="D105" s="9">
        <v>3180830</v>
      </c>
      <c r="E105" s="9">
        <v>3269180</v>
      </c>
      <c r="F105" s="9">
        <v>3479620</v>
      </c>
      <c r="G105" s="9">
        <v>3167630</v>
      </c>
      <c r="H105" s="9">
        <v>2769274</v>
      </c>
      <c r="I105" s="9">
        <v>2817297</v>
      </c>
      <c r="J105" s="9">
        <v>2743770</v>
      </c>
      <c r="K105" s="9">
        <v>2430662</v>
      </c>
      <c r="L105" s="9">
        <v>2617625</v>
      </c>
      <c r="M105" s="9">
        <v>2758721</v>
      </c>
      <c r="N105" s="9">
        <v>35059787</v>
      </c>
    </row>
    <row r="106" spans="1:14" x14ac:dyDescent="0.2">
      <c r="A106" s="23" t="s">
        <v>28</v>
      </c>
      <c r="B106" s="9">
        <v>224026.24000000022</v>
      </c>
      <c r="C106" s="9">
        <v>222713.63200000068</v>
      </c>
      <c r="D106" s="9">
        <v>434036.77600000007</v>
      </c>
      <c r="E106" s="9">
        <v>262982.13499999978</v>
      </c>
      <c r="F106" s="9">
        <v>168832.0400000005</v>
      </c>
      <c r="G106" s="9">
        <v>203230.00000000047</v>
      </c>
      <c r="H106" s="9">
        <v>278115.00000000047</v>
      </c>
      <c r="I106" s="9">
        <v>220745</v>
      </c>
      <c r="J106" s="9">
        <v>74089.000000000466</v>
      </c>
      <c r="K106" s="9">
        <v>202988</v>
      </c>
      <c r="L106" s="9">
        <v>249579</v>
      </c>
      <c r="M106" s="9">
        <v>388646</v>
      </c>
      <c r="N106" s="9">
        <v>2929982.8229999989</v>
      </c>
    </row>
    <row r="107" spans="1:14" x14ac:dyDescent="0.2">
      <c r="A107" s="23" t="s">
        <v>29</v>
      </c>
      <c r="B107" s="24">
        <v>6.643546669007458</v>
      </c>
      <c r="C107" s="24">
        <v>7.1517517829314698</v>
      </c>
      <c r="D107" s="24">
        <v>11.746012539565013</v>
      </c>
      <c r="E107" s="24">
        <v>7.2850295216097471</v>
      </c>
      <c r="F107" s="24">
        <v>4.518317524453308</v>
      </c>
      <c r="G107" s="24">
        <v>5.8672115747153715</v>
      </c>
      <c r="H107" s="24">
        <v>8.8361024754685236</v>
      </c>
      <c r="I107" s="24">
        <v>7.2656626714216825</v>
      </c>
      <c r="J107" s="24">
        <v>2.6291248079318548</v>
      </c>
      <c r="K107" s="24">
        <v>6.8768696535953246</v>
      </c>
      <c r="L107" s="24">
        <v>8.4573550446301944</v>
      </c>
      <c r="M107" s="24">
        <v>11.981959512182941</v>
      </c>
      <c r="N107" s="24">
        <v>7.4855628016341793</v>
      </c>
    </row>
    <row r="108" spans="1:14" x14ac:dyDescent="0.2">
      <c r="A108" s="46" t="s">
        <v>30</v>
      </c>
      <c r="B108" s="9">
        <v>6909</v>
      </c>
      <c r="C108" s="9">
        <v>6711</v>
      </c>
      <c r="D108" s="9">
        <v>7064</v>
      </c>
      <c r="E108" s="9">
        <v>7189</v>
      </c>
      <c r="F108" s="9">
        <v>7037</v>
      </c>
      <c r="G108" s="9">
        <v>6642</v>
      </c>
      <c r="H108" s="9">
        <v>6229</v>
      </c>
      <c r="I108" s="9">
        <v>5761</v>
      </c>
      <c r="J108" s="9">
        <v>5720</v>
      </c>
      <c r="K108" s="9">
        <v>5761</v>
      </c>
      <c r="L108" s="9">
        <v>6075</v>
      </c>
      <c r="M108" s="9">
        <v>6910</v>
      </c>
      <c r="N108" s="9">
        <v>7189</v>
      </c>
    </row>
    <row r="109" spans="1:14" x14ac:dyDescent="0.2">
      <c r="A109" s="46" t="s">
        <v>31</v>
      </c>
      <c r="B109" s="9">
        <v>261982</v>
      </c>
      <c r="C109" s="9">
        <v>248940</v>
      </c>
      <c r="D109" s="9">
        <v>281298</v>
      </c>
      <c r="E109" s="9">
        <v>287141</v>
      </c>
      <c r="F109" s="9">
        <v>285800</v>
      </c>
      <c r="G109" s="9">
        <v>253509.3</v>
      </c>
      <c r="H109" s="9">
        <v>222239</v>
      </c>
      <c r="I109" s="9">
        <v>195438</v>
      </c>
      <c r="J109" s="9">
        <v>186840</v>
      </c>
      <c r="K109" s="9">
        <v>205875</v>
      </c>
      <c r="L109" s="9">
        <v>202295</v>
      </c>
      <c r="M109" s="9">
        <v>224154</v>
      </c>
      <c r="N109" s="9">
        <v>2855511.3</v>
      </c>
    </row>
    <row r="110" spans="1:14" x14ac:dyDescent="0.2">
      <c r="A110" s="23" t="s">
        <v>49</v>
      </c>
      <c r="B110" s="9">
        <v>2556</v>
      </c>
      <c r="C110" s="9">
        <v>623</v>
      </c>
      <c r="D110" s="9">
        <v>1640</v>
      </c>
      <c r="E110" s="9">
        <v>1021</v>
      </c>
      <c r="F110" s="9">
        <v>620</v>
      </c>
      <c r="G110" s="9">
        <v>710.09999999999991</v>
      </c>
      <c r="H110" s="9">
        <v>514</v>
      </c>
      <c r="I110" s="9">
        <v>441</v>
      </c>
      <c r="J110" s="9">
        <v>0</v>
      </c>
      <c r="K110" s="9">
        <v>0</v>
      </c>
      <c r="L110" s="9">
        <v>0</v>
      </c>
      <c r="M110" s="9">
        <v>0</v>
      </c>
      <c r="N110" s="9">
        <v>8125.1</v>
      </c>
    </row>
    <row r="111" spans="1:14" x14ac:dyDescent="0.2">
      <c r="A111" s="46" t="s">
        <v>32</v>
      </c>
      <c r="B111" s="24">
        <v>12.436953683840875</v>
      </c>
      <c r="C111" s="24">
        <v>12.400490077930424</v>
      </c>
      <c r="D111" s="24">
        <v>12.477322981322299</v>
      </c>
      <c r="E111" s="24">
        <v>12.335963864442903</v>
      </c>
      <c r="F111" s="24">
        <v>12.64262421273618</v>
      </c>
      <c r="G111" s="24">
        <v>13.119131329698753</v>
      </c>
      <c r="H111" s="24">
        <v>12.935776348885659</v>
      </c>
      <c r="I111" s="24">
        <v>13.451007480633244</v>
      </c>
      <c r="J111" s="24">
        <v>13.183675872404196</v>
      </c>
      <c r="K111" s="24">
        <v>12.994064359441408</v>
      </c>
      <c r="L111" s="24">
        <v>13.13675078474505</v>
      </c>
      <c r="M111" s="24">
        <v>13.397293824781178</v>
      </c>
      <c r="N111" s="24">
        <v>12.83095808445934</v>
      </c>
    </row>
    <row r="112" spans="1:14" x14ac:dyDescent="0.2">
      <c r="A112" s="23" t="s">
        <v>51</v>
      </c>
      <c r="B112" s="24">
        <v>10.331768388106417</v>
      </c>
      <c r="C112" s="24">
        <v>10.385232744783307</v>
      </c>
      <c r="D112" s="24">
        <v>11.021341463414634</v>
      </c>
      <c r="E112" s="24">
        <v>10.580803134182174</v>
      </c>
      <c r="F112" s="24">
        <v>10.535483870967742</v>
      </c>
      <c r="G112" s="24">
        <v>11.771863117870724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10.796322506799916</v>
      </c>
    </row>
    <row r="113" spans="1:14" ht="13.5" thickBot="1" x14ac:dyDescent="0.25">
      <c r="A113" s="49" t="s">
        <v>33</v>
      </c>
      <c r="B113" s="26">
        <v>8797</v>
      </c>
      <c r="C113" s="26">
        <v>8804</v>
      </c>
      <c r="D113" s="26">
        <v>8843</v>
      </c>
      <c r="E113" s="26">
        <v>8885</v>
      </c>
      <c r="F113" s="26">
        <v>8923</v>
      </c>
      <c r="G113" s="26">
        <v>8970</v>
      </c>
      <c r="H113" s="26">
        <v>9021</v>
      </c>
      <c r="I113" s="26">
        <v>9050</v>
      </c>
      <c r="J113" s="26">
        <v>9098</v>
      </c>
      <c r="K113" s="26">
        <v>9120</v>
      </c>
      <c r="L113" s="26">
        <v>9169</v>
      </c>
      <c r="M113" s="26">
        <v>9230</v>
      </c>
      <c r="N113" s="26">
        <v>9230</v>
      </c>
    </row>
    <row r="114" spans="1:14" x14ac:dyDescent="0.2">
      <c r="D114" s="37"/>
      <c r="E114" s="37"/>
      <c r="G114" s="37"/>
    </row>
    <row r="115" spans="1:14" x14ac:dyDescent="0.2">
      <c r="A115" s="51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</row>
    <row r="116" spans="1:14" x14ac:dyDescent="0.2">
      <c r="A116" s="53"/>
      <c r="B116" s="52"/>
      <c r="C116" s="52"/>
      <c r="D116" s="52"/>
      <c r="E116" s="54"/>
      <c r="F116" s="54"/>
      <c r="G116" s="52"/>
      <c r="H116" s="52"/>
      <c r="I116" s="52"/>
      <c r="J116" s="52"/>
      <c r="K116" s="52"/>
      <c r="L116" s="52"/>
      <c r="M116" s="52"/>
      <c r="N116" s="52"/>
    </row>
    <row r="117" spans="1:14" x14ac:dyDescent="0.2">
      <c r="A117" s="55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</row>
    <row r="118" spans="1:14" x14ac:dyDescent="0.2">
      <c r="A118" s="52"/>
      <c r="B118" s="52"/>
      <c r="C118" s="52"/>
      <c r="D118" s="52"/>
      <c r="E118" s="52"/>
      <c r="F118" s="56"/>
      <c r="G118" s="52"/>
      <c r="H118" s="52"/>
      <c r="I118" s="52"/>
      <c r="J118" s="52"/>
      <c r="K118" s="52"/>
      <c r="L118" s="52"/>
      <c r="M118" s="52"/>
      <c r="N118" s="52"/>
    </row>
    <row r="119" spans="1:14" x14ac:dyDescent="0.2">
      <c r="A119" s="55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</row>
    <row r="120" spans="1:14" x14ac:dyDescent="0.2">
      <c r="A120" s="57"/>
      <c r="B120" s="52"/>
      <c r="C120" s="52"/>
      <c r="D120" s="52"/>
      <c r="E120" s="58"/>
      <c r="F120" s="59"/>
      <c r="G120" s="59"/>
      <c r="H120" s="52"/>
      <c r="I120" s="52"/>
      <c r="J120" s="52"/>
      <c r="K120" s="52"/>
      <c r="L120" s="52"/>
      <c r="M120" s="52"/>
      <c r="N120" s="52"/>
    </row>
    <row r="121" spans="1:14" x14ac:dyDescent="0.2">
      <c r="A121" s="51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</row>
    <row r="122" spans="1:14" x14ac:dyDescent="0.2">
      <c r="A122" s="53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</row>
    <row r="123" spans="1:14" x14ac:dyDescent="0.2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</row>
    <row r="124" spans="1:14" x14ac:dyDescent="0.2">
      <c r="A124" s="60"/>
      <c r="B124" s="37"/>
      <c r="C124" s="37"/>
      <c r="D124" s="37"/>
      <c r="E124" s="37"/>
      <c r="F124" s="37"/>
      <c r="G124" s="37"/>
      <c r="K124" s="37"/>
      <c r="L124" s="37"/>
      <c r="M124" s="37"/>
      <c r="N124" s="37"/>
    </row>
    <row r="125" spans="1:14" x14ac:dyDescent="0.2">
      <c r="A125" s="60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37"/>
    </row>
    <row r="126" spans="1:14" x14ac:dyDescent="0.2">
      <c r="A126" s="60"/>
      <c r="B126" s="37"/>
      <c r="C126" s="37"/>
      <c r="D126" s="37"/>
      <c r="E126" s="37"/>
      <c r="F126" s="37"/>
      <c r="G126" s="37"/>
      <c r="K126" s="37"/>
      <c r="L126" s="37"/>
      <c r="M126" s="37"/>
      <c r="N126" s="37"/>
    </row>
    <row r="127" spans="1:14" x14ac:dyDescent="0.2">
      <c r="A127" s="60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</row>
    <row r="129" spans="1:13" x14ac:dyDescent="0.2"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</row>
    <row r="131" spans="1:13" x14ac:dyDescent="0.2">
      <c r="A131" s="62"/>
      <c r="B131" s="63"/>
      <c r="D131" s="63"/>
      <c r="E131" s="63"/>
      <c r="F131" s="63"/>
      <c r="G131" s="63"/>
      <c r="K131" s="63"/>
      <c r="L131" s="63"/>
      <c r="M131" s="63"/>
    </row>
    <row r="132" spans="1:13" x14ac:dyDescent="0.2">
      <c r="B132" s="63"/>
      <c r="C132" s="63"/>
      <c r="D132" s="63"/>
      <c r="E132" s="63"/>
      <c r="F132" s="63"/>
      <c r="G132" s="63"/>
      <c r="H132" s="63"/>
    </row>
  </sheetData>
  <mergeCells count="12">
    <mergeCell ref="A91:N91"/>
    <mergeCell ref="A1:N1"/>
    <mergeCell ref="A2:N2"/>
    <mergeCell ref="A4:N4"/>
    <mergeCell ref="A24:N24"/>
    <mergeCell ref="A43:N43"/>
    <mergeCell ref="A44:N44"/>
    <mergeCell ref="A45:N45"/>
    <mergeCell ref="A46:N46"/>
    <mergeCell ref="A66:N66"/>
    <mergeCell ref="A88:N88"/>
    <mergeCell ref="A89:N8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J18"/>
  <sheetViews>
    <sheetView workbookViewId="0">
      <selection activeCell="G35" sqref="G35"/>
    </sheetView>
  </sheetViews>
  <sheetFormatPr baseColWidth="10" defaultRowHeight="15" x14ac:dyDescent="0.25"/>
  <sheetData>
    <row r="2" spans="1:27" x14ac:dyDescent="0.25">
      <c r="A2" s="216">
        <v>222565.4</v>
      </c>
      <c r="B2" s="216">
        <v>41463.699999999997</v>
      </c>
      <c r="C2" s="216">
        <v>96349.4</v>
      </c>
      <c r="D2" s="216">
        <v>161722</v>
      </c>
      <c r="E2" s="216">
        <v>370069.4</v>
      </c>
      <c r="F2" s="216">
        <v>533501</v>
      </c>
      <c r="G2" s="216">
        <v>644823.30000000005</v>
      </c>
      <c r="H2" s="216">
        <v>596954.4</v>
      </c>
      <c r="I2" s="216">
        <v>555407</v>
      </c>
      <c r="J2" s="216">
        <v>573943.1</v>
      </c>
      <c r="K2" s="216">
        <v>512057.2</v>
      </c>
      <c r="L2" s="216">
        <v>425911.6</v>
      </c>
    </row>
    <row r="4" spans="1:27" x14ac:dyDescent="0.25">
      <c r="A4">
        <f>+A2*0.75</f>
        <v>166924.04999999999</v>
      </c>
      <c r="B4">
        <f t="shared" ref="B4:L4" si="0">+B2*0.75</f>
        <v>31097.774999999998</v>
      </c>
      <c r="C4">
        <f t="shared" si="0"/>
        <v>72262.049999999988</v>
      </c>
      <c r="D4">
        <f t="shared" si="0"/>
        <v>121291.5</v>
      </c>
      <c r="E4">
        <f t="shared" si="0"/>
        <v>277552.05000000005</v>
      </c>
      <c r="F4">
        <f t="shared" si="0"/>
        <v>400125.75</v>
      </c>
      <c r="G4">
        <f t="shared" si="0"/>
        <v>483617.47500000003</v>
      </c>
      <c r="H4">
        <f t="shared" si="0"/>
        <v>447715.80000000005</v>
      </c>
      <c r="I4">
        <f t="shared" si="0"/>
        <v>416555.25</v>
      </c>
      <c r="J4">
        <f t="shared" si="0"/>
        <v>430457.32499999995</v>
      </c>
      <c r="K4">
        <f t="shared" si="0"/>
        <v>384042.9</v>
      </c>
      <c r="L4">
        <f t="shared" si="0"/>
        <v>319433.69999999995</v>
      </c>
    </row>
    <row r="6" spans="1:27" x14ac:dyDescent="0.25">
      <c r="A6" t="s">
        <v>168</v>
      </c>
      <c r="B6" t="s">
        <v>169</v>
      </c>
      <c r="C6" t="s">
        <v>170</v>
      </c>
      <c r="D6" t="s">
        <v>171</v>
      </c>
      <c r="E6" t="s">
        <v>172</v>
      </c>
      <c r="F6" t="s">
        <v>173</v>
      </c>
      <c r="G6" t="s">
        <v>174</v>
      </c>
      <c r="H6" t="s">
        <v>175</v>
      </c>
      <c r="I6" t="s">
        <v>176</v>
      </c>
      <c r="J6" t="s">
        <v>177</v>
      </c>
      <c r="K6" t="s">
        <v>178</v>
      </c>
      <c r="L6" t="s">
        <v>179</v>
      </c>
    </row>
    <row r="14" spans="1:27" x14ac:dyDescent="0.25">
      <c r="C14" t="s">
        <v>198</v>
      </c>
      <c r="D14" t="s">
        <v>199</v>
      </c>
      <c r="E14" t="s">
        <v>200</v>
      </c>
      <c r="F14" t="s">
        <v>201</v>
      </c>
      <c r="G14" t="s">
        <v>202</v>
      </c>
      <c r="H14" t="s">
        <v>203</v>
      </c>
      <c r="I14" t="s">
        <v>204</v>
      </c>
      <c r="J14" t="s">
        <v>205</v>
      </c>
      <c r="K14" t="s">
        <v>206</v>
      </c>
      <c r="L14" t="s">
        <v>207</v>
      </c>
      <c r="M14" t="s">
        <v>208</v>
      </c>
      <c r="N14" t="s">
        <v>209</v>
      </c>
      <c r="O14" t="s">
        <v>210</v>
      </c>
      <c r="P14" t="s">
        <v>211</v>
      </c>
      <c r="Q14" t="s">
        <v>212</v>
      </c>
      <c r="R14" t="s">
        <v>213</v>
      </c>
      <c r="S14" t="s">
        <v>214</v>
      </c>
      <c r="T14" t="s">
        <v>215</v>
      </c>
      <c r="U14" t="s">
        <v>216</v>
      </c>
      <c r="V14" t="s">
        <v>217</v>
      </c>
      <c r="W14" t="s">
        <v>218</v>
      </c>
      <c r="X14" t="s">
        <v>219</v>
      </c>
      <c r="Y14" t="s">
        <v>220</v>
      </c>
      <c r="Z14" t="s">
        <v>221</v>
      </c>
      <c r="AA14" t="s">
        <v>222</v>
      </c>
    </row>
    <row r="15" spans="1:27" x14ac:dyDescent="0.25">
      <c r="C15" s="567">
        <v>14442.849000000002</v>
      </c>
      <c r="D15" s="567">
        <v>15496.141999999996</v>
      </c>
      <c r="E15" s="567">
        <v>17200.724000000002</v>
      </c>
      <c r="F15" s="567">
        <v>19175.062000000002</v>
      </c>
      <c r="G15" s="567">
        <v>20996.681</v>
      </c>
      <c r="H15" s="567">
        <v>23051.7</v>
      </c>
      <c r="I15" s="567">
        <v>23896.75</v>
      </c>
      <c r="J15" s="567">
        <v>27356.19</v>
      </c>
      <c r="K15" s="567">
        <v>29009.21</v>
      </c>
      <c r="L15" s="567">
        <v>29706.92</v>
      </c>
      <c r="M15" s="567">
        <v>32515.68</v>
      </c>
      <c r="N15" s="567">
        <v>36201.799999999996</v>
      </c>
      <c r="O15" s="567">
        <v>34729.703000000001</v>
      </c>
      <c r="P15" s="567">
        <v>40850.731000000007</v>
      </c>
      <c r="Q15" s="567">
        <v>43381.335768655888</v>
      </c>
      <c r="R15" s="567">
        <v>46068.705430824783</v>
      </c>
      <c r="S15" s="567">
        <v>48922.551195519867</v>
      </c>
      <c r="T15" s="567">
        <v>51953.18585785172</v>
      </c>
      <c r="U15" s="567">
        <v>55171.561065843591</v>
      </c>
      <c r="V15" s="567">
        <v>58589.306895836518</v>
      </c>
      <c r="W15" s="567">
        <v>62218.773879495806</v>
      </c>
      <c r="X15" s="567">
        <v>66073.077634289672</v>
      </c>
      <c r="Y15" s="567">
        <v>70166.146258719033</v>
      </c>
      <c r="Z15" s="567">
        <v>74512.770663568022</v>
      </c>
      <c r="AA15" s="567">
        <v>79128.658021054653</v>
      </c>
    </row>
    <row r="16" spans="1:27" x14ac:dyDescent="0.25">
      <c r="C16" s="567">
        <v>1849</v>
      </c>
      <c r="D16" s="567">
        <v>2351</v>
      </c>
      <c r="E16" s="567">
        <v>2024.5981199999987</v>
      </c>
      <c r="F16" s="567">
        <v>1672.5405890000006</v>
      </c>
      <c r="G16" s="567">
        <v>2135.71</v>
      </c>
      <c r="H16" s="567">
        <v>2605.89</v>
      </c>
      <c r="I16" s="567">
        <v>2503.9499999999998</v>
      </c>
      <c r="J16" s="567">
        <v>2087.77</v>
      </c>
      <c r="K16" s="567">
        <v>2479.08</v>
      </c>
      <c r="L16" s="567">
        <v>2983.06</v>
      </c>
      <c r="M16" s="567">
        <v>2710.6</v>
      </c>
      <c r="N16" s="567">
        <v>2930.98</v>
      </c>
      <c r="O16" s="567">
        <v>5106.75</v>
      </c>
      <c r="P16" s="567">
        <v>5790.67</v>
      </c>
      <c r="Q16" s="567">
        <v>3749.937961344112</v>
      </c>
      <c r="R16" s="567">
        <v>1557.9340915689172</v>
      </c>
      <c r="S16" s="567">
        <v>1663.5366169751285</v>
      </c>
      <c r="T16" s="567">
        <v>1227.4059658178812</v>
      </c>
      <c r="U16" s="567">
        <v>1985.6173173626084</v>
      </c>
      <c r="V16" s="567">
        <v>2069.5089514721185</v>
      </c>
      <c r="W16" s="567">
        <v>1125.5354221415037</v>
      </c>
      <c r="X16" s="567">
        <v>1247.887078434389</v>
      </c>
      <c r="Y16" s="567">
        <v>1339.036632478761</v>
      </c>
      <c r="Z16" s="567">
        <v>1595.8418939099793</v>
      </c>
      <c r="AA16" s="567">
        <v>1848.4572904730012</v>
      </c>
    </row>
    <row r="17" spans="11:88" x14ac:dyDescent="0.25">
      <c r="N17">
        <v>39141784</v>
      </c>
      <c r="P17">
        <v>47455890.814500004</v>
      </c>
      <c r="Q17">
        <v>52086424.04948099</v>
      </c>
      <c r="R17" s="464">
        <v>54612913.53981749</v>
      </c>
      <c r="S17">
        <v>58632482.823555812</v>
      </c>
      <c r="T17">
        <v>62953501.671324454</v>
      </c>
      <c r="U17">
        <v>67234320.414551005</v>
      </c>
      <c r="V17">
        <v>72047656.728322819</v>
      </c>
      <c r="W17">
        <v>77213751.102484018</v>
      </c>
      <c r="X17">
        <v>82759266.57719402</v>
      </c>
      <c r="Y17">
        <v>88712960.560746893</v>
      </c>
      <c r="Z17">
        <v>95105856.830959916</v>
      </c>
      <c r="AN17">
        <v>47455890.814499997</v>
      </c>
      <c r="BA17">
        <v>52086424.04948099</v>
      </c>
      <c r="BN17">
        <v>54612913.53981749</v>
      </c>
      <c r="CC17">
        <v>58632482.823555812</v>
      </c>
      <c r="CD17">
        <v>62953501.671324454</v>
      </c>
      <c r="CE17">
        <v>67234320.414551005</v>
      </c>
      <c r="CF17">
        <v>72047656.728322819</v>
      </c>
      <c r="CG17">
        <v>77213751.102484018</v>
      </c>
      <c r="CH17">
        <v>82759266.57719402</v>
      </c>
      <c r="CI17">
        <v>88712960.560746893</v>
      </c>
      <c r="CJ17">
        <v>95105856.830959916</v>
      </c>
    </row>
    <row r="18" spans="11:88" x14ac:dyDescent="0.25">
      <c r="K18" s="568">
        <f t="shared" ref="K18:O18" si="1">+K15+K16</f>
        <v>31488.29</v>
      </c>
      <c r="L18" s="568">
        <f t="shared" si="1"/>
        <v>32689.98</v>
      </c>
      <c r="M18" s="568">
        <f t="shared" si="1"/>
        <v>35226.28</v>
      </c>
      <c r="N18" s="568">
        <f t="shared" si="1"/>
        <v>39132.78</v>
      </c>
      <c r="O18" s="568">
        <f t="shared" si="1"/>
        <v>39836.453000000001</v>
      </c>
      <c r="P18" s="568">
        <f>+P15+P16</f>
        <v>46641.401000000005</v>
      </c>
      <c r="Q18" s="568">
        <f t="shared" ref="Q18:V18" si="2">+Q15+Q16</f>
        <v>47131.273730000001</v>
      </c>
      <c r="R18" s="568">
        <f t="shared" si="2"/>
        <v>47626.6395223937</v>
      </c>
      <c r="S18" s="568">
        <f t="shared" si="2"/>
        <v>50586.087812494996</v>
      </c>
      <c r="T18" s="568">
        <f t="shared" si="2"/>
        <v>53180.591823669602</v>
      </c>
      <c r="U18" s="568">
        <f t="shared" si="2"/>
        <v>57157.178383206199</v>
      </c>
      <c r="V18" s="568">
        <f t="shared" si="2"/>
        <v>60658.815847308637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5"/>
  <sheetViews>
    <sheetView zoomScale="85" zoomScaleNormal="85" workbookViewId="0">
      <selection activeCell="N104" sqref="N104"/>
    </sheetView>
  </sheetViews>
  <sheetFormatPr baseColWidth="10" defaultRowHeight="12.75" x14ac:dyDescent="0.2"/>
  <cols>
    <col min="1" max="1" width="4" style="64" customWidth="1"/>
    <col min="2" max="2" width="36.85546875" style="146" customWidth="1"/>
    <col min="3" max="4" width="12.85546875" style="196" customWidth="1"/>
    <col min="5" max="5" width="13" style="196" customWidth="1"/>
    <col min="6" max="8" width="12.85546875" style="196" customWidth="1"/>
    <col min="9" max="10" width="12.85546875" style="197" customWidth="1"/>
    <col min="11" max="11" width="12.85546875" style="198" customWidth="1"/>
    <col min="12" max="12" width="12.85546875" style="149" customWidth="1"/>
    <col min="13" max="15" width="12.85546875" style="198" customWidth="1"/>
    <col min="16" max="16" width="14.7109375" style="1" customWidth="1"/>
    <col min="17" max="256" width="11.42578125" style="1"/>
    <col min="257" max="257" width="4" style="1" customWidth="1"/>
    <col min="258" max="258" width="36.85546875" style="1" customWidth="1"/>
    <col min="259" max="260" width="12.85546875" style="1" customWidth="1"/>
    <col min="261" max="261" width="13" style="1" customWidth="1"/>
    <col min="262" max="271" width="12.85546875" style="1" customWidth="1"/>
    <col min="272" max="272" width="14.7109375" style="1" customWidth="1"/>
    <col min="273" max="512" width="11.42578125" style="1"/>
    <col min="513" max="513" width="4" style="1" customWidth="1"/>
    <col min="514" max="514" width="36.85546875" style="1" customWidth="1"/>
    <col min="515" max="516" width="12.85546875" style="1" customWidth="1"/>
    <col min="517" max="517" width="13" style="1" customWidth="1"/>
    <col min="518" max="527" width="12.85546875" style="1" customWidth="1"/>
    <col min="528" max="528" width="14.7109375" style="1" customWidth="1"/>
    <col min="529" max="768" width="11.42578125" style="1"/>
    <col min="769" max="769" width="4" style="1" customWidth="1"/>
    <col min="770" max="770" width="36.85546875" style="1" customWidth="1"/>
    <col min="771" max="772" width="12.85546875" style="1" customWidth="1"/>
    <col min="773" max="773" width="13" style="1" customWidth="1"/>
    <col min="774" max="783" width="12.85546875" style="1" customWidth="1"/>
    <col min="784" max="784" width="14.7109375" style="1" customWidth="1"/>
    <col min="785" max="1024" width="11.42578125" style="1"/>
    <col min="1025" max="1025" width="4" style="1" customWidth="1"/>
    <col min="1026" max="1026" width="36.85546875" style="1" customWidth="1"/>
    <col min="1027" max="1028" width="12.85546875" style="1" customWidth="1"/>
    <col min="1029" max="1029" width="13" style="1" customWidth="1"/>
    <col min="1030" max="1039" width="12.85546875" style="1" customWidth="1"/>
    <col min="1040" max="1040" width="14.7109375" style="1" customWidth="1"/>
    <col min="1041" max="1280" width="11.42578125" style="1"/>
    <col min="1281" max="1281" width="4" style="1" customWidth="1"/>
    <col min="1282" max="1282" width="36.85546875" style="1" customWidth="1"/>
    <col min="1283" max="1284" width="12.85546875" style="1" customWidth="1"/>
    <col min="1285" max="1285" width="13" style="1" customWidth="1"/>
    <col min="1286" max="1295" width="12.85546875" style="1" customWidth="1"/>
    <col min="1296" max="1296" width="14.7109375" style="1" customWidth="1"/>
    <col min="1297" max="1536" width="11.42578125" style="1"/>
    <col min="1537" max="1537" width="4" style="1" customWidth="1"/>
    <col min="1538" max="1538" width="36.85546875" style="1" customWidth="1"/>
    <col min="1539" max="1540" width="12.85546875" style="1" customWidth="1"/>
    <col min="1541" max="1541" width="13" style="1" customWidth="1"/>
    <col min="1542" max="1551" width="12.85546875" style="1" customWidth="1"/>
    <col min="1552" max="1552" width="14.7109375" style="1" customWidth="1"/>
    <col min="1553" max="1792" width="11.42578125" style="1"/>
    <col min="1793" max="1793" width="4" style="1" customWidth="1"/>
    <col min="1794" max="1794" width="36.85546875" style="1" customWidth="1"/>
    <col min="1795" max="1796" width="12.85546875" style="1" customWidth="1"/>
    <col min="1797" max="1797" width="13" style="1" customWidth="1"/>
    <col min="1798" max="1807" width="12.85546875" style="1" customWidth="1"/>
    <col min="1808" max="1808" width="14.7109375" style="1" customWidth="1"/>
    <col min="1809" max="2048" width="11.42578125" style="1"/>
    <col min="2049" max="2049" width="4" style="1" customWidth="1"/>
    <col min="2050" max="2050" width="36.85546875" style="1" customWidth="1"/>
    <col min="2051" max="2052" width="12.85546875" style="1" customWidth="1"/>
    <col min="2053" max="2053" width="13" style="1" customWidth="1"/>
    <col min="2054" max="2063" width="12.85546875" style="1" customWidth="1"/>
    <col min="2064" max="2064" width="14.7109375" style="1" customWidth="1"/>
    <col min="2065" max="2304" width="11.42578125" style="1"/>
    <col min="2305" max="2305" width="4" style="1" customWidth="1"/>
    <col min="2306" max="2306" width="36.85546875" style="1" customWidth="1"/>
    <col min="2307" max="2308" width="12.85546875" style="1" customWidth="1"/>
    <col min="2309" max="2309" width="13" style="1" customWidth="1"/>
    <col min="2310" max="2319" width="12.85546875" style="1" customWidth="1"/>
    <col min="2320" max="2320" width="14.7109375" style="1" customWidth="1"/>
    <col min="2321" max="2560" width="11.42578125" style="1"/>
    <col min="2561" max="2561" width="4" style="1" customWidth="1"/>
    <col min="2562" max="2562" width="36.85546875" style="1" customWidth="1"/>
    <col min="2563" max="2564" width="12.85546875" style="1" customWidth="1"/>
    <col min="2565" max="2565" width="13" style="1" customWidth="1"/>
    <col min="2566" max="2575" width="12.85546875" style="1" customWidth="1"/>
    <col min="2576" max="2576" width="14.7109375" style="1" customWidth="1"/>
    <col min="2577" max="2816" width="11.42578125" style="1"/>
    <col min="2817" max="2817" width="4" style="1" customWidth="1"/>
    <col min="2818" max="2818" width="36.85546875" style="1" customWidth="1"/>
    <col min="2819" max="2820" width="12.85546875" style="1" customWidth="1"/>
    <col min="2821" max="2821" width="13" style="1" customWidth="1"/>
    <col min="2822" max="2831" width="12.85546875" style="1" customWidth="1"/>
    <col min="2832" max="2832" width="14.7109375" style="1" customWidth="1"/>
    <col min="2833" max="3072" width="11.42578125" style="1"/>
    <col min="3073" max="3073" width="4" style="1" customWidth="1"/>
    <col min="3074" max="3074" width="36.85546875" style="1" customWidth="1"/>
    <col min="3075" max="3076" width="12.85546875" style="1" customWidth="1"/>
    <col min="3077" max="3077" width="13" style="1" customWidth="1"/>
    <col min="3078" max="3087" width="12.85546875" style="1" customWidth="1"/>
    <col min="3088" max="3088" width="14.7109375" style="1" customWidth="1"/>
    <col min="3089" max="3328" width="11.42578125" style="1"/>
    <col min="3329" max="3329" width="4" style="1" customWidth="1"/>
    <col min="3330" max="3330" width="36.85546875" style="1" customWidth="1"/>
    <col min="3331" max="3332" width="12.85546875" style="1" customWidth="1"/>
    <col min="3333" max="3333" width="13" style="1" customWidth="1"/>
    <col min="3334" max="3343" width="12.85546875" style="1" customWidth="1"/>
    <col min="3344" max="3344" width="14.7109375" style="1" customWidth="1"/>
    <col min="3345" max="3584" width="11.42578125" style="1"/>
    <col min="3585" max="3585" width="4" style="1" customWidth="1"/>
    <col min="3586" max="3586" width="36.85546875" style="1" customWidth="1"/>
    <col min="3587" max="3588" width="12.85546875" style="1" customWidth="1"/>
    <col min="3589" max="3589" width="13" style="1" customWidth="1"/>
    <col min="3590" max="3599" width="12.85546875" style="1" customWidth="1"/>
    <col min="3600" max="3600" width="14.7109375" style="1" customWidth="1"/>
    <col min="3601" max="3840" width="11.42578125" style="1"/>
    <col min="3841" max="3841" width="4" style="1" customWidth="1"/>
    <col min="3842" max="3842" width="36.85546875" style="1" customWidth="1"/>
    <col min="3843" max="3844" width="12.85546875" style="1" customWidth="1"/>
    <col min="3845" max="3845" width="13" style="1" customWidth="1"/>
    <col min="3846" max="3855" width="12.85546875" style="1" customWidth="1"/>
    <col min="3856" max="3856" width="14.7109375" style="1" customWidth="1"/>
    <col min="3857" max="4096" width="11.42578125" style="1"/>
    <col min="4097" max="4097" width="4" style="1" customWidth="1"/>
    <col min="4098" max="4098" width="36.85546875" style="1" customWidth="1"/>
    <col min="4099" max="4100" width="12.85546875" style="1" customWidth="1"/>
    <col min="4101" max="4101" width="13" style="1" customWidth="1"/>
    <col min="4102" max="4111" width="12.85546875" style="1" customWidth="1"/>
    <col min="4112" max="4112" width="14.7109375" style="1" customWidth="1"/>
    <col min="4113" max="4352" width="11.42578125" style="1"/>
    <col min="4353" max="4353" width="4" style="1" customWidth="1"/>
    <col min="4354" max="4354" width="36.85546875" style="1" customWidth="1"/>
    <col min="4355" max="4356" width="12.85546875" style="1" customWidth="1"/>
    <col min="4357" max="4357" width="13" style="1" customWidth="1"/>
    <col min="4358" max="4367" width="12.85546875" style="1" customWidth="1"/>
    <col min="4368" max="4368" width="14.7109375" style="1" customWidth="1"/>
    <col min="4369" max="4608" width="11.42578125" style="1"/>
    <col min="4609" max="4609" width="4" style="1" customWidth="1"/>
    <col min="4610" max="4610" width="36.85546875" style="1" customWidth="1"/>
    <col min="4611" max="4612" width="12.85546875" style="1" customWidth="1"/>
    <col min="4613" max="4613" width="13" style="1" customWidth="1"/>
    <col min="4614" max="4623" width="12.85546875" style="1" customWidth="1"/>
    <col min="4624" max="4624" width="14.7109375" style="1" customWidth="1"/>
    <col min="4625" max="4864" width="11.42578125" style="1"/>
    <col min="4865" max="4865" width="4" style="1" customWidth="1"/>
    <col min="4866" max="4866" width="36.85546875" style="1" customWidth="1"/>
    <col min="4867" max="4868" width="12.85546875" style="1" customWidth="1"/>
    <col min="4869" max="4869" width="13" style="1" customWidth="1"/>
    <col min="4870" max="4879" width="12.85546875" style="1" customWidth="1"/>
    <col min="4880" max="4880" width="14.7109375" style="1" customWidth="1"/>
    <col min="4881" max="5120" width="11.42578125" style="1"/>
    <col min="5121" max="5121" width="4" style="1" customWidth="1"/>
    <col min="5122" max="5122" width="36.85546875" style="1" customWidth="1"/>
    <col min="5123" max="5124" width="12.85546875" style="1" customWidth="1"/>
    <col min="5125" max="5125" width="13" style="1" customWidth="1"/>
    <col min="5126" max="5135" width="12.85546875" style="1" customWidth="1"/>
    <col min="5136" max="5136" width="14.7109375" style="1" customWidth="1"/>
    <col min="5137" max="5376" width="11.42578125" style="1"/>
    <col min="5377" max="5377" width="4" style="1" customWidth="1"/>
    <col min="5378" max="5378" width="36.85546875" style="1" customWidth="1"/>
    <col min="5379" max="5380" width="12.85546875" style="1" customWidth="1"/>
    <col min="5381" max="5381" width="13" style="1" customWidth="1"/>
    <col min="5382" max="5391" width="12.85546875" style="1" customWidth="1"/>
    <col min="5392" max="5392" width="14.7109375" style="1" customWidth="1"/>
    <col min="5393" max="5632" width="11.42578125" style="1"/>
    <col min="5633" max="5633" width="4" style="1" customWidth="1"/>
    <col min="5634" max="5634" width="36.85546875" style="1" customWidth="1"/>
    <col min="5635" max="5636" width="12.85546875" style="1" customWidth="1"/>
    <col min="5637" max="5637" width="13" style="1" customWidth="1"/>
    <col min="5638" max="5647" width="12.85546875" style="1" customWidth="1"/>
    <col min="5648" max="5648" width="14.7109375" style="1" customWidth="1"/>
    <col min="5649" max="5888" width="11.42578125" style="1"/>
    <col min="5889" max="5889" width="4" style="1" customWidth="1"/>
    <col min="5890" max="5890" width="36.85546875" style="1" customWidth="1"/>
    <col min="5891" max="5892" width="12.85546875" style="1" customWidth="1"/>
    <col min="5893" max="5893" width="13" style="1" customWidth="1"/>
    <col min="5894" max="5903" width="12.85546875" style="1" customWidth="1"/>
    <col min="5904" max="5904" width="14.7109375" style="1" customWidth="1"/>
    <col min="5905" max="6144" width="11.42578125" style="1"/>
    <col min="6145" max="6145" width="4" style="1" customWidth="1"/>
    <col min="6146" max="6146" width="36.85546875" style="1" customWidth="1"/>
    <col min="6147" max="6148" width="12.85546875" style="1" customWidth="1"/>
    <col min="6149" max="6149" width="13" style="1" customWidth="1"/>
    <col min="6150" max="6159" width="12.85546875" style="1" customWidth="1"/>
    <col min="6160" max="6160" width="14.7109375" style="1" customWidth="1"/>
    <col min="6161" max="6400" width="11.42578125" style="1"/>
    <col min="6401" max="6401" width="4" style="1" customWidth="1"/>
    <col min="6402" max="6402" width="36.85546875" style="1" customWidth="1"/>
    <col min="6403" max="6404" width="12.85546875" style="1" customWidth="1"/>
    <col min="6405" max="6405" width="13" style="1" customWidth="1"/>
    <col min="6406" max="6415" width="12.85546875" style="1" customWidth="1"/>
    <col min="6416" max="6416" width="14.7109375" style="1" customWidth="1"/>
    <col min="6417" max="6656" width="11.42578125" style="1"/>
    <col min="6657" max="6657" width="4" style="1" customWidth="1"/>
    <col min="6658" max="6658" width="36.85546875" style="1" customWidth="1"/>
    <col min="6659" max="6660" width="12.85546875" style="1" customWidth="1"/>
    <col min="6661" max="6661" width="13" style="1" customWidth="1"/>
    <col min="6662" max="6671" width="12.85546875" style="1" customWidth="1"/>
    <col min="6672" max="6672" width="14.7109375" style="1" customWidth="1"/>
    <col min="6673" max="6912" width="11.42578125" style="1"/>
    <col min="6913" max="6913" width="4" style="1" customWidth="1"/>
    <col min="6914" max="6914" width="36.85546875" style="1" customWidth="1"/>
    <col min="6915" max="6916" width="12.85546875" style="1" customWidth="1"/>
    <col min="6917" max="6917" width="13" style="1" customWidth="1"/>
    <col min="6918" max="6927" width="12.85546875" style="1" customWidth="1"/>
    <col min="6928" max="6928" width="14.7109375" style="1" customWidth="1"/>
    <col min="6929" max="7168" width="11.42578125" style="1"/>
    <col min="7169" max="7169" width="4" style="1" customWidth="1"/>
    <col min="7170" max="7170" width="36.85546875" style="1" customWidth="1"/>
    <col min="7171" max="7172" width="12.85546875" style="1" customWidth="1"/>
    <col min="7173" max="7173" width="13" style="1" customWidth="1"/>
    <col min="7174" max="7183" width="12.85546875" style="1" customWidth="1"/>
    <col min="7184" max="7184" width="14.7109375" style="1" customWidth="1"/>
    <col min="7185" max="7424" width="11.42578125" style="1"/>
    <col min="7425" max="7425" width="4" style="1" customWidth="1"/>
    <col min="7426" max="7426" width="36.85546875" style="1" customWidth="1"/>
    <col min="7427" max="7428" width="12.85546875" style="1" customWidth="1"/>
    <col min="7429" max="7429" width="13" style="1" customWidth="1"/>
    <col min="7430" max="7439" width="12.85546875" style="1" customWidth="1"/>
    <col min="7440" max="7440" width="14.7109375" style="1" customWidth="1"/>
    <col min="7441" max="7680" width="11.42578125" style="1"/>
    <col min="7681" max="7681" width="4" style="1" customWidth="1"/>
    <col min="7682" max="7682" width="36.85546875" style="1" customWidth="1"/>
    <col min="7683" max="7684" width="12.85546875" style="1" customWidth="1"/>
    <col min="7685" max="7685" width="13" style="1" customWidth="1"/>
    <col min="7686" max="7695" width="12.85546875" style="1" customWidth="1"/>
    <col min="7696" max="7696" width="14.7109375" style="1" customWidth="1"/>
    <col min="7697" max="7936" width="11.42578125" style="1"/>
    <col min="7937" max="7937" width="4" style="1" customWidth="1"/>
    <col min="7938" max="7938" width="36.85546875" style="1" customWidth="1"/>
    <col min="7939" max="7940" width="12.85546875" style="1" customWidth="1"/>
    <col min="7941" max="7941" width="13" style="1" customWidth="1"/>
    <col min="7942" max="7951" width="12.85546875" style="1" customWidth="1"/>
    <col min="7952" max="7952" width="14.7109375" style="1" customWidth="1"/>
    <col min="7953" max="8192" width="11.42578125" style="1"/>
    <col min="8193" max="8193" width="4" style="1" customWidth="1"/>
    <col min="8194" max="8194" width="36.85546875" style="1" customWidth="1"/>
    <col min="8195" max="8196" width="12.85546875" style="1" customWidth="1"/>
    <col min="8197" max="8197" width="13" style="1" customWidth="1"/>
    <col min="8198" max="8207" width="12.85546875" style="1" customWidth="1"/>
    <col min="8208" max="8208" width="14.7109375" style="1" customWidth="1"/>
    <col min="8209" max="8448" width="11.42578125" style="1"/>
    <col min="8449" max="8449" width="4" style="1" customWidth="1"/>
    <col min="8450" max="8450" width="36.85546875" style="1" customWidth="1"/>
    <col min="8451" max="8452" width="12.85546875" style="1" customWidth="1"/>
    <col min="8453" max="8453" width="13" style="1" customWidth="1"/>
    <col min="8454" max="8463" width="12.85546875" style="1" customWidth="1"/>
    <col min="8464" max="8464" width="14.7109375" style="1" customWidth="1"/>
    <col min="8465" max="8704" width="11.42578125" style="1"/>
    <col min="8705" max="8705" width="4" style="1" customWidth="1"/>
    <col min="8706" max="8706" width="36.85546875" style="1" customWidth="1"/>
    <col min="8707" max="8708" width="12.85546875" style="1" customWidth="1"/>
    <col min="8709" max="8709" width="13" style="1" customWidth="1"/>
    <col min="8710" max="8719" width="12.85546875" style="1" customWidth="1"/>
    <col min="8720" max="8720" width="14.7109375" style="1" customWidth="1"/>
    <col min="8721" max="8960" width="11.42578125" style="1"/>
    <col min="8961" max="8961" width="4" style="1" customWidth="1"/>
    <col min="8962" max="8962" width="36.85546875" style="1" customWidth="1"/>
    <col min="8963" max="8964" width="12.85546875" style="1" customWidth="1"/>
    <col min="8965" max="8965" width="13" style="1" customWidth="1"/>
    <col min="8966" max="8975" width="12.85546875" style="1" customWidth="1"/>
    <col min="8976" max="8976" width="14.7109375" style="1" customWidth="1"/>
    <col min="8977" max="9216" width="11.42578125" style="1"/>
    <col min="9217" max="9217" width="4" style="1" customWidth="1"/>
    <col min="9218" max="9218" width="36.85546875" style="1" customWidth="1"/>
    <col min="9219" max="9220" width="12.85546875" style="1" customWidth="1"/>
    <col min="9221" max="9221" width="13" style="1" customWidth="1"/>
    <col min="9222" max="9231" width="12.85546875" style="1" customWidth="1"/>
    <col min="9232" max="9232" width="14.7109375" style="1" customWidth="1"/>
    <col min="9233" max="9472" width="11.42578125" style="1"/>
    <col min="9473" max="9473" width="4" style="1" customWidth="1"/>
    <col min="9474" max="9474" width="36.85546875" style="1" customWidth="1"/>
    <col min="9475" max="9476" width="12.85546875" style="1" customWidth="1"/>
    <col min="9477" max="9477" width="13" style="1" customWidth="1"/>
    <col min="9478" max="9487" width="12.85546875" style="1" customWidth="1"/>
    <col min="9488" max="9488" width="14.7109375" style="1" customWidth="1"/>
    <col min="9489" max="9728" width="11.42578125" style="1"/>
    <col min="9729" max="9729" width="4" style="1" customWidth="1"/>
    <col min="9730" max="9730" width="36.85546875" style="1" customWidth="1"/>
    <col min="9731" max="9732" width="12.85546875" style="1" customWidth="1"/>
    <col min="9733" max="9733" width="13" style="1" customWidth="1"/>
    <col min="9734" max="9743" width="12.85546875" style="1" customWidth="1"/>
    <col min="9744" max="9744" width="14.7109375" style="1" customWidth="1"/>
    <col min="9745" max="9984" width="11.42578125" style="1"/>
    <col min="9985" max="9985" width="4" style="1" customWidth="1"/>
    <col min="9986" max="9986" width="36.85546875" style="1" customWidth="1"/>
    <col min="9987" max="9988" width="12.85546875" style="1" customWidth="1"/>
    <col min="9989" max="9989" width="13" style="1" customWidth="1"/>
    <col min="9990" max="9999" width="12.85546875" style="1" customWidth="1"/>
    <col min="10000" max="10000" width="14.7109375" style="1" customWidth="1"/>
    <col min="10001" max="10240" width="11.42578125" style="1"/>
    <col min="10241" max="10241" width="4" style="1" customWidth="1"/>
    <col min="10242" max="10242" width="36.85546875" style="1" customWidth="1"/>
    <col min="10243" max="10244" width="12.85546875" style="1" customWidth="1"/>
    <col min="10245" max="10245" width="13" style="1" customWidth="1"/>
    <col min="10246" max="10255" width="12.85546875" style="1" customWidth="1"/>
    <col min="10256" max="10256" width="14.7109375" style="1" customWidth="1"/>
    <col min="10257" max="10496" width="11.42578125" style="1"/>
    <col min="10497" max="10497" width="4" style="1" customWidth="1"/>
    <col min="10498" max="10498" width="36.85546875" style="1" customWidth="1"/>
    <col min="10499" max="10500" width="12.85546875" style="1" customWidth="1"/>
    <col min="10501" max="10501" width="13" style="1" customWidth="1"/>
    <col min="10502" max="10511" width="12.85546875" style="1" customWidth="1"/>
    <col min="10512" max="10512" width="14.7109375" style="1" customWidth="1"/>
    <col min="10513" max="10752" width="11.42578125" style="1"/>
    <col min="10753" max="10753" width="4" style="1" customWidth="1"/>
    <col min="10754" max="10754" width="36.85546875" style="1" customWidth="1"/>
    <col min="10755" max="10756" width="12.85546875" style="1" customWidth="1"/>
    <col min="10757" max="10757" width="13" style="1" customWidth="1"/>
    <col min="10758" max="10767" width="12.85546875" style="1" customWidth="1"/>
    <col min="10768" max="10768" width="14.7109375" style="1" customWidth="1"/>
    <col min="10769" max="11008" width="11.42578125" style="1"/>
    <col min="11009" max="11009" width="4" style="1" customWidth="1"/>
    <col min="11010" max="11010" width="36.85546875" style="1" customWidth="1"/>
    <col min="11011" max="11012" width="12.85546875" style="1" customWidth="1"/>
    <col min="11013" max="11013" width="13" style="1" customWidth="1"/>
    <col min="11014" max="11023" width="12.85546875" style="1" customWidth="1"/>
    <col min="11024" max="11024" width="14.7109375" style="1" customWidth="1"/>
    <col min="11025" max="11264" width="11.42578125" style="1"/>
    <col min="11265" max="11265" width="4" style="1" customWidth="1"/>
    <col min="11266" max="11266" width="36.85546875" style="1" customWidth="1"/>
    <col min="11267" max="11268" width="12.85546875" style="1" customWidth="1"/>
    <col min="11269" max="11269" width="13" style="1" customWidth="1"/>
    <col min="11270" max="11279" width="12.85546875" style="1" customWidth="1"/>
    <col min="11280" max="11280" width="14.7109375" style="1" customWidth="1"/>
    <col min="11281" max="11520" width="11.42578125" style="1"/>
    <col min="11521" max="11521" width="4" style="1" customWidth="1"/>
    <col min="11522" max="11522" width="36.85546875" style="1" customWidth="1"/>
    <col min="11523" max="11524" width="12.85546875" style="1" customWidth="1"/>
    <col min="11525" max="11525" width="13" style="1" customWidth="1"/>
    <col min="11526" max="11535" width="12.85546875" style="1" customWidth="1"/>
    <col min="11536" max="11536" width="14.7109375" style="1" customWidth="1"/>
    <col min="11537" max="11776" width="11.42578125" style="1"/>
    <col min="11777" max="11777" width="4" style="1" customWidth="1"/>
    <col min="11778" max="11778" width="36.85546875" style="1" customWidth="1"/>
    <col min="11779" max="11780" width="12.85546875" style="1" customWidth="1"/>
    <col min="11781" max="11781" width="13" style="1" customWidth="1"/>
    <col min="11782" max="11791" width="12.85546875" style="1" customWidth="1"/>
    <col min="11792" max="11792" width="14.7109375" style="1" customWidth="1"/>
    <col min="11793" max="12032" width="11.42578125" style="1"/>
    <col min="12033" max="12033" width="4" style="1" customWidth="1"/>
    <col min="12034" max="12034" width="36.85546875" style="1" customWidth="1"/>
    <col min="12035" max="12036" width="12.85546875" style="1" customWidth="1"/>
    <col min="12037" max="12037" width="13" style="1" customWidth="1"/>
    <col min="12038" max="12047" width="12.85546875" style="1" customWidth="1"/>
    <col min="12048" max="12048" width="14.7109375" style="1" customWidth="1"/>
    <col min="12049" max="12288" width="11.42578125" style="1"/>
    <col min="12289" max="12289" width="4" style="1" customWidth="1"/>
    <col min="12290" max="12290" width="36.85546875" style="1" customWidth="1"/>
    <col min="12291" max="12292" width="12.85546875" style="1" customWidth="1"/>
    <col min="12293" max="12293" width="13" style="1" customWidth="1"/>
    <col min="12294" max="12303" width="12.85546875" style="1" customWidth="1"/>
    <col min="12304" max="12304" width="14.7109375" style="1" customWidth="1"/>
    <col min="12305" max="12544" width="11.42578125" style="1"/>
    <col min="12545" max="12545" width="4" style="1" customWidth="1"/>
    <col min="12546" max="12546" width="36.85546875" style="1" customWidth="1"/>
    <col min="12547" max="12548" width="12.85546875" style="1" customWidth="1"/>
    <col min="12549" max="12549" width="13" style="1" customWidth="1"/>
    <col min="12550" max="12559" width="12.85546875" style="1" customWidth="1"/>
    <col min="12560" max="12560" width="14.7109375" style="1" customWidth="1"/>
    <col min="12561" max="12800" width="11.42578125" style="1"/>
    <col min="12801" max="12801" width="4" style="1" customWidth="1"/>
    <col min="12802" max="12802" width="36.85546875" style="1" customWidth="1"/>
    <col min="12803" max="12804" width="12.85546875" style="1" customWidth="1"/>
    <col min="12805" max="12805" width="13" style="1" customWidth="1"/>
    <col min="12806" max="12815" width="12.85546875" style="1" customWidth="1"/>
    <col min="12816" max="12816" width="14.7109375" style="1" customWidth="1"/>
    <col min="12817" max="13056" width="11.42578125" style="1"/>
    <col min="13057" max="13057" width="4" style="1" customWidth="1"/>
    <col min="13058" max="13058" width="36.85546875" style="1" customWidth="1"/>
    <col min="13059" max="13060" width="12.85546875" style="1" customWidth="1"/>
    <col min="13061" max="13061" width="13" style="1" customWidth="1"/>
    <col min="13062" max="13071" width="12.85546875" style="1" customWidth="1"/>
    <col min="13072" max="13072" width="14.7109375" style="1" customWidth="1"/>
    <col min="13073" max="13312" width="11.42578125" style="1"/>
    <col min="13313" max="13313" width="4" style="1" customWidth="1"/>
    <col min="13314" max="13314" width="36.85546875" style="1" customWidth="1"/>
    <col min="13315" max="13316" width="12.85546875" style="1" customWidth="1"/>
    <col min="13317" max="13317" width="13" style="1" customWidth="1"/>
    <col min="13318" max="13327" width="12.85546875" style="1" customWidth="1"/>
    <col min="13328" max="13328" width="14.7109375" style="1" customWidth="1"/>
    <col min="13329" max="13568" width="11.42578125" style="1"/>
    <col min="13569" max="13569" width="4" style="1" customWidth="1"/>
    <col min="13570" max="13570" width="36.85546875" style="1" customWidth="1"/>
    <col min="13571" max="13572" width="12.85546875" style="1" customWidth="1"/>
    <col min="13573" max="13573" width="13" style="1" customWidth="1"/>
    <col min="13574" max="13583" width="12.85546875" style="1" customWidth="1"/>
    <col min="13584" max="13584" width="14.7109375" style="1" customWidth="1"/>
    <col min="13585" max="13824" width="11.42578125" style="1"/>
    <col min="13825" max="13825" width="4" style="1" customWidth="1"/>
    <col min="13826" max="13826" width="36.85546875" style="1" customWidth="1"/>
    <col min="13827" max="13828" width="12.85546875" style="1" customWidth="1"/>
    <col min="13829" max="13829" width="13" style="1" customWidth="1"/>
    <col min="13830" max="13839" width="12.85546875" style="1" customWidth="1"/>
    <col min="13840" max="13840" width="14.7109375" style="1" customWidth="1"/>
    <col min="13841" max="14080" width="11.42578125" style="1"/>
    <col min="14081" max="14081" width="4" style="1" customWidth="1"/>
    <col min="14082" max="14082" width="36.85546875" style="1" customWidth="1"/>
    <col min="14083" max="14084" width="12.85546875" style="1" customWidth="1"/>
    <col min="14085" max="14085" width="13" style="1" customWidth="1"/>
    <col min="14086" max="14095" width="12.85546875" style="1" customWidth="1"/>
    <col min="14096" max="14096" width="14.7109375" style="1" customWidth="1"/>
    <col min="14097" max="14336" width="11.42578125" style="1"/>
    <col min="14337" max="14337" width="4" style="1" customWidth="1"/>
    <col min="14338" max="14338" width="36.85546875" style="1" customWidth="1"/>
    <col min="14339" max="14340" width="12.85546875" style="1" customWidth="1"/>
    <col min="14341" max="14341" width="13" style="1" customWidth="1"/>
    <col min="14342" max="14351" width="12.85546875" style="1" customWidth="1"/>
    <col min="14352" max="14352" width="14.7109375" style="1" customWidth="1"/>
    <col min="14353" max="14592" width="11.42578125" style="1"/>
    <col min="14593" max="14593" width="4" style="1" customWidth="1"/>
    <col min="14594" max="14594" width="36.85546875" style="1" customWidth="1"/>
    <col min="14595" max="14596" width="12.85546875" style="1" customWidth="1"/>
    <col min="14597" max="14597" width="13" style="1" customWidth="1"/>
    <col min="14598" max="14607" width="12.85546875" style="1" customWidth="1"/>
    <col min="14608" max="14608" width="14.7109375" style="1" customWidth="1"/>
    <col min="14609" max="14848" width="11.42578125" style="1"/>
    <col min="14849" max="14849" width="4" style="1" customWidth="1"/>
    <col min="14850" max="14850" width="36.85546875" style="1" customWidth="1"/>
    <col min="14851" max="14852" width="12.85546875" style="1" customWidth="1"/>
    <col min="14853" max="14853" width="13" style="1" customWidth="1"/>
    <col min="14854" max="14863" width="12.85546875" style="1" customWidth="1"/>
    <col min="14864" max="14864" width="14.7109375" style="1" customWidth="1"/>
    <col min="14865" max="15104" width="11.42578125" style="1"/>
    <col min="15105" max="15105" width="4" style="1" customWidth="1"/>
    <col min="15106" max="15106" width="36.85546875" style="1" customWidth="1"/>
    <col min="15107" max="15108" width="12.85546875" style="1" customWidth="1"/>
    <col min="15109" max="15109" width="13" style="1" customWidth="1"/>
    <col min="15110" max="15119" width="12.85546875" style="1" customWidth="1"/>
    <col min="15120" max="15120" width="14.7109375" style="1" customWidth="1"/>
    <col min="15121" max="15360" width="11.42578125" style="1"/>
    <col min="15361" max="15361" width="4" style="1" customWidth="1"/>
    <col min="15362" max="15362" width="36.85546875" style="1" customWidth="1"/>
    <col min="15363" max="15364" width="12.85546875" style="1" customWidth="1"/>
    <col min="15365" max="15365" width="13" style="1" customWidth="1"/>
    <col min="15366" max="15375" width="12.85546875" style="1" customWidth="1"/>
    <col min="15376" max="15376" width="14.7109375" style="1" customWidth="1"/>
    <col min="15377" max="15616" width="11.42578125" style="1"/>
    <col min="15617" max="15617" width="4" style="1" customWidth="1"/>
    <col min="15618" max="15618" width="36.85546875" style="1" customWidth="1"/>
    <col min="15619" max="15620" width="12.85546875" style="1" customWidth="1"/>
    <col min="15621" max="15621" width="13" style="1" customWidth="1"/>
    <col min="15622" max="15631" width="12.85546875" style="1" customWidth="1"/>
    <col min="15632" max="15632" width="14.7109375" style="1" customWidth="1"/>
    <col min="15633" max="15872" width="11.42578125" style="1"/>
    <col min="15873" max="15873" width="4" style="1" customWidth="1"/>
    <col min="15874" max="15874" width="36.85546875" style="1" customWidth="1"/>
    <col min="15875" max="15876" width="12.85546875" style="1" customWidth="1"/>
    <col min="15877" max="15877" width="13" style="1" customWidth="1"/>
    <col min="15878" max="15887" width="12.85546875" style="1" customWidth="1"/>
    <col min="15888" max="15888" width="14.7109375" style="1" customWidth="1"/>
    <col min="15889" max="16128" width="11.42578125" style="1"/>
    <col min="16129" max="16129" width="4" style="1" customWidth="1"/>
    <col min="16130" max="16130" width="36.85546875" style="1" customWidth="1"/>
    <col min="16131" max="16132" width="12.85546875" style="1" customWidth="1"/>
    <col min="16133" max="16133" width="13" style="1" customWidth="1"/>
    <col min="16134" max="16143" width="12.85546875" style="1" customWidth="1"/>
    <col min="16144" max="16144" width="14.7109375" style="1" customWidth="1"/>
    <col min="16145" max="16384" width="11.42578125" style="1"/>
  </cols>
  <sheetData>
    <row r="1" spans="1:16" x14ac:dyDescent="0.2">
      <c r="B1" s="736" t="s">
        <v>54</v>
      </c>
      <c r="C1" s="736"/>
      <c r="D1" s="736"/>
      <c r="E1" s="736"/>
      <c r="F1" s="736"/>
      <c r="G1" s="736"/>
      <c r="H1" s="736"/>
      <c r="I1" s="736"/>
      <c r="J1" s="736"/>
      <c r="K1" s="736"/>
      <c r="L1" s="736"/>
      <c r="M1" s="736"/>
      <c r="N1" s="736"/>
      <c r="O1" s="736"/>
    </row>
    <row r="2" spans="1:16" x14ac:dyDescent="0.2">
      <c r="B2" s="736" t="s">
        <v>55</v>
      </c>
      <c r="C2" s="736"/>
      <c r="D2" s="736"/>
      <c r="E2" s="736"/>
      <c r="F2" s="736"/>
      <c r="G2" s="736"/>
      <c r="H2" s="736"/>
      <c r="I2" s="736"/>
      <c r="J2" s="736"/>
      <c r="K2" s="736"/>
      <c r="L2" s="736"/>
      <c r="M2" s="736"/>
      <c r="N2" s="736"/>
      <c r="O2" s="736"/>
    </row>
    <row r="3" spans="1:16" ht="13.5" thickBot="1" x14ac:dyDescent="0.25">
      <c r="B3" s="65"/>
      <c r="C3" s="66"/>
      <c r="D3" s="66"/>
      <c r="E3" s="66"/>
      <c r="F3" s="66"/>
      <c r="G3" s="66"/>
      <c r="H3" s="66"/>
      <c r="I3" s="67"/>
      <c r="J3" s="67"/>
      <c r="K3" s="68"/>
      <c r="L3" s="68"/>
      <c r="M3" s="68"/>
      <c r="N3" s="68"/>
      <c r="O3" s="68"/>
    </row>
    <row r="4" spans="1:16" ht="15.75" thickBot="1" x14ac:dyDescent="0.3">
      <c r="B4" s="737" t="s">
        <v>2</v>
      </c>
      <c r="C4" s="738"/>
      <c r="D4" s="738"/>
      <c r="E4" s="738"/>
      <c r="F4" s="738"/>
      <c r="G4" s="738"/>
      <c r="H4" s="738"/>
      <c r="I4" s="738"/>
      <c r="J4" s="738"/>
      <c r="K4" s="738"/>
      <c r="L4" s="738"/>
      <c r="M4" s="738"/>
      <c r="N4" s="738"/>
      <c r="O4" s="738"/>
      <c r="P4" s="739"/>
    </row>
    <row r="5" spans="1:16" ht="13.5" thickBot="1" x14ac:dyDescent="0.25">
      <c r="A5" s="69" t="s">
        <v>56</v>
      </c>
      <c r="B5" s="70" t="s">
        <v>57</v>
      </c>
      <c r="C5" s="71" t="s">
        <v>58</v>
      </c>
      <c r="D5" s="71" t="s">
        <v>59</v>
      </c>
      <c r="E5" s="71" t="s">
        <v>60</v>
      </c>
      <c r="F5" s="71" t="s">
        <v>61</v>
      </c>
      <c r="G5" s="71" t="s">
        <v>62</v>
      </c>
      <c r="H5" s="71" t="s">
        <v>63</v>
      </c>
      <c r="I5" s="72" t="s">
        <v>64</v>
      </c>
      <c r="J5" s="72" t="s">
        <v>65</v>
      </c>
      <c r="K5" s="71" t="s">
        <v>66</v>
      </c>
      <c r="L5" s="71" t="s">
        <v>67</v>
      </c>
      <c r="M5" s="71" t="s">
        <v>68</v>
      </c>
      <c r="N5" s="73" t="s">
        <v>69</v>
      </c>
      <c r="O5" s="74" t="s">
        <v>70</v>
      </c>
      <c r="P5" s="74" t="s">
        <v>71</v>
      </c>
    </row>
    <row r="6" spans="1:16" x14ac:dyDescent="0.2">
      <c r="A6" s="69">
        <v>1</v>
      </c>
      <c r="B6" s="75" t="s">
        <v>72</v>
      </c>
      <c r="C6" s="76">
        <v>985205</v>
      </c>
      <c r="D6" s="76">
        <v>937696</v>
      </c>
      <c r="E6" s="76">
        <v>1120826</v>
      </c>
      <c r="F6" s="76">
        <v>1134816</v>
      </c>
      <c r="G6" s="76">
        <v>994041</v>
      </c>
      <c r="H6" s="76">
        <v>868147</v>
      </c>
      <c r="I6" s="76">
        <v>859678</v>
      </c>
      <c r="J6" s="76">
        <v>827950</v>
      </c>
      <c r="K6" s="76">
        <v>811769</v>
      </c>
      <c r="L6" s="76">
        <v>853822</v>
      </c>
      <c r="M6" s="76">
        <v>874841</v>
      </c>
      <c r="N6" s="77">
        <v>1029256.06</v>
      </c>
      <c r="O6" s="78">
        <v>11298047.060000001</v>
      </c>
      <c r="P6" s="79" t="s">
        <v>73</v>
      </c>
    </row>
    <row r="7" spans="1:16" x14ac:dyDescent="0.2">
      <c r="A7" s="69">
        <v>2</v>
      </c>
      <c r="B7" s="282" t="s">
        <v>74</v>
      </c>
      <c r="C7" s="80">
        <v>822417</v>
      </c>
      <c r="D7" s="80">
        <v>867999</v>
      </c>
      <c r="E7" s="80">
        <v>1010206</v>
      </c>
      <c r="F7" s="80">
        <v>1094160</v>
      </c>
      <c r="G7" s="80">
        <v>606163</v>
      </c>
      <c r="H7" s="80">
        <v>372728</v>
      </c>
      <c r="I7" s="80">
        <v>464119</v>
      </c>
      <c r="J7" s="80">
        <v>396446</v>
      </c>
      <c r="K7" s="80">
        <v>439450</v>
      </c>
      <c r="L7" s="80">
        <v>509600</v>
      </c>
      <c r="M7" s="80">
        <v>517958</v>
      </c>
      <c r="N7" s="81">
        <v>728369</v>
      </c>
      <c r="O7" s="82">
        <v>7829615</v>
      </c>
      <c r="P7" s="83" t="s">
        <v>73</v>
      </c>
    </row>
    <row r="8" spans="1:16" x14ac:dyDescent="0.2">
      <c r="A8" s="69">
        <v>3</v>
      </c>
      <c r="B8" s="84" t="s">
        <v>75</v>
      </c>
      <c r="C8" s="85">
        <v>0.83476738343796464</v>
      </c>
      <c r="D8" s="85">
        <v>0.92567207282530795</v>
      </c>
      <c r="E8" s="85">
        <v>0.90130493047092053</v>
      </c>
      <c r="F8" s="85">
        <v>0.964173927755689</v>
      </c>
      <c r="G8" s="85">
        <v>0.6097967790060973</v>
      </c>
      <c r="H8" s="85">
        <v>0.42933742787799761</v>
      </c>
      <c r="I8" s="85">
        <v>0.53987539520611205</v>
      </c>
      <c r="J8" s="85">
        <v>0.47882843166857902</v>
      </c>
      <c r="K8" s="85">
        <v>0.5413485856198007</v>
      </c>
      <c r="L8" s="85">
        <v>0.5968457125724097</v>
      </c>
      <c r="M8" s="85">
        <v>0.59205958568471295</v>
      </c>
      <c r="N8" s="86">
        <v>0.70766549579508908</v>
      </c>
      <c r="O8" s="87" t="s">
        <v>73</v>
      </c>
      <c r="P8" s="88">
        <v>0.67680631066005681</v>
      </c>
    </row>
    <row r="9" spans="1:16" x14ac:dyDescent="0.2">
      <c r="A9" s="69">
        <v>4</v>
      </c>
      <c r="B9" s="283" t="s">
        <v>76</v>
      </c>
      <c r="C9" s="90">
        <v>161375</v>
      </c>
      <c r="D9" s="90">
        <v>68509</v>
      </c>
      <c r="E9" s="90">
        <v>109361</v>
      </c>
      <c r="F9" s="90">
        <v>39216</v>
      </c>
      <c r="G9" s="90">
        <v>386313</v>
      </c>
      <c r="H9" s="90">
        <v>494044</v>
      </c>
      <c r="I9" s="90">
        <v>394166</v>
      </c>
      <c r="J9" s="90">
        <v>430039</v>
      </c>
      <c r="K9" s="90">
        <v>370893</v>
      </c>
      <c r="L9" s="90">
        <v>342672</v>
      </c>
      <c r="M9" s="90">
        <v>355392</v>
      </c>
      <c r="N9" s="91">
        <v>299471.06</v>
      </c>
      <c r="O9" s="92">
        <v>3451451.06</v>
      </c>
      <c r="P9" s="93" t="s">
        <v>73</v>
      </c>
    </row>
    <row r="10" spans="1:16" x14ac:dyDescent="0.2">
      <c r="A10" s="69">
        <v>5</v>
      </c>
      <c r="B10" s="89" t="s">
        <v>77</v>
      </c>
      <c r="C10" s="94">
        <v>0.1637983972878741</v>
      </c>
      <c r="D10" s="94">
        <v>7.3060992048595702E-2</v>
      </c>
      <c r="E10" s="94">
        <v>9.7571790804281841E-2</v>
      </c>
      <c r="F10" s="94">
        <v>3.4557144065645883E-2</v>
      </c>
      <c r="G10" s="94">
        <v>0.38862883925310926</v>
      </c>
      <c r="H10" s="94">
        <v>0.56907873896932204</v>
      </c>
      <c r="I10" s="94">
        <v>0.45850423065380291</v>
      </c>
      <c r="J10" s="94">
        <v>0.51940213781025424</v>
      </c>
      <c r="K10" s="94">
        <v>0.45689475700599552</v>
      </c>
      <c r="L10" s="94">
        <v>0.40133892075865929</v>
      </c>
      <c r="M10" s="94">
        <v>0.40623610461786769</v>
      </c>
      <c r="N10" s="95">
        <v>0.29095875325718262</v>
      </c>
      <c r="O10" s="87" t="s">
        <v>73</v>
      </c>
      <c r="P10" s="96">
        <v>0.3216692338777159</v>
      </c>
    </row>
    <row r="11" spans="1:16" x14ac:dyDescent="0.2">
      <c r="A11" s="69">
        <v>6</v>
      </c>
      <c r="B11" s="283" t="s">
        <v>78</v>
      </c>
      <c r="C11" s="90">
        <v>1413</v>
      </c>
      <c r="D11" s="90">
        <v>1188</v>
      </c>
      <c r="E11" s="90">
        <v>1259</v>
      </c>
      <c r="F11" s="90">
        <v>1440</v>
      </c>
      <c r="G11" s="90">
        <v>1565</v>
      </c>
      <c r="H11" s="90">
        <v>1375</v>
      </c>
      <c r="I11" s="90">
        <v>1393</v>
      </c>
      <c r="J11" s="90">
        <v>1465</v>
      </c>
      <c r="K11" s="90">
        <v>1426</v>
      </c>
      <c r="L11" s="90">
        <v>1550</v>
      </c>
      <c r="M11" s="90">
        <v>1491</v>
      </c>
      <c r="N11" s="91">
        <v>1416</v>
      </c>
      <c r="O11" s="92">
        <v>16981</v>
      </c>
      <c r="P11" s="93" t="s">
        <v>73</v>
      </c>
    </row>
    <row r="12" spans="1:16" x14ac:dyDescent="0.2">
      <c r="A12" s="69">
        <v>7</v>
      </c>
      <c r="B12" s="97" t="s">
        <v>79</v>
      </c>
      <c r="C12" s="98">
        <v>1.4342192741612152E-3</v>
      </c>
      <c r="D12" s="98">
        <v>1.266935126096304E-3</v>
      </c>
      <c r="E12" s="98">
        <v>1.1232787247976047E-3</v>
      </c>
      <c r="F12" s="98">
        <v>1.2689281786650876E-3</v>
      </c>
      <c r="G12" s="98">
        <v>1.5743817407933877E-3</v>
      </c>
      <c r="H12" s="98">
        <v>1.583833152680364E-3</v>
      </c>
      <c r="I12" s="98">
        <v>1.6203741400850086E-3</v>
      </c>
      <c r="J12" s="98">
        <v>1.7694305211667372E-3</v>
      </c>
      <c r="K12" s="98">
        <v>1.7566573742037453E-3</v>
      </c>
      <c r="L12" s="98">
        <v>1.8153666689309949E-3</v>
      </c>
      <c r="M12" s="98">
        <v>1.7043096974193024E-3</v>
      </c>
      <c r="N12" s="99">
        <v>1.3757509477282067E-3</v>
      </c>
      <c r="O12" s="87" t="s">
        <v>73</v>
      </c>
      <c r="P12" s="100">
        <v>1.5244554622273301E-3</v>
      </c>
    </row>
    <row r="13" spans="1:16" x14ac:dyDescent="0.2">
      <c r="A13" s="69">
        <v>8</v>
      </c>
      <c r="B13" s="89" t="s">
        <v>80</v>
      </c>
      <c r="C13" s="101">
        <v>3961</v>
      </c>
      <c r="D13" s="101">
        <v>4284</v>
      </c>
      <c r="E13" s="101">
        <v>4008</v>
      </c>
      <c r="F13" s="101">
        <v>4200</v>
      </c>
      <c r="G13" s="101">
        <v>3334</v>
      </c>
      <c r="H13" s="101">
        <v>3476</v>
      </c>
      <c r="I13" s="101">
        <v>8332</v>
      </c>
      <c r="J13" s="101">
        <v>8331</v>
      </c>
      <c r="K13" s="101">
        <v>3885</v>
      </c>
      <c r="L13" s="101">
        <v>3592</v>
      </c>
      <c r="M13" s="101">
        <v>13782</v>
      </c>
      <c r="N13" s="102">
        <v>8149</v>
      </c>
      <c r="O13" s="103">
        <v>69334</v>
      </c>
      <c r="P13" s="104" t="s">
        <v>73</v>
      </c>
    </row>
    <row r="14" spans="1:16" x14ac:dyDescent="0.2">
      <c r="A14" s="69">
        <v>9</v>
      </c>
      <c r="B14" s="89" t="s">
        <v>81</v>
      </c>
      <c r="C14" s="105">
        <v>981244</v>
      </c>
      <c r="D14" s="105">
        <v>933412</v>
      </c>
      <c r="E14" s="105">
        <v>1116818</v>
      </c>
      <c r="F14" s="105">
        <v>1130616</v>
      </c>
      <c r="G14" s="105">
        <v>990707</v>
      </c>
      <c r="H14" s="105">
        <v>864671</v>
      </c>
      <c r="I14" s="105">
        <v>851346</v>
      </c>
      <c r="J14" s="105">
        <v>819619</v>
      </c>
      <c r="K14" s="105">
        <v>807884</v>
      </c>
      <c r="L14" s="105">
        <v>850230</v>
      </c>
      <c r="M14" s="105">
        <v>861059</v>
      </c>
      <c r="N14" s="106">
        <v>1021107.06</v>
      </c>
      <c r="O14" s="107">
        <v>11228713.060000001</v>
      </c>
      <c r="P14" s="108" t="s">
        <v>73</v>
      </c>
    </row>
    <row r="15" spans="1:16" x14ac:dyDescent="0.2">
      <c r="A15" s="69">
        <v>10</v>
      </c>
      <c r="B15" s="84" t="s">
        <v>82</v>
      </c>
      <c r="C15" s="109">
        <v>972496</v>
      </c>
      <c r="D15" s="109">
        <v>916622</v>
      </c>
      <c r="E15" s="109">
        <v>1085413</v>
      </c>
      <c r="F15" s="109">
        <v>1175366</v>
      </c>
      <c r="G15" s="109">
        <v>959869</v>
      </c>
      <c r="H15" s="109">
        <v>840018</v>
      </c>
      <c r="I15" s="109">
        <v>816281.69725163071</v>
      </c>
      <c r="J15" s="109">
        <v>782666.68654663861</v>
      </c>
      <c r="K15" s="109">
        <v>769319.20526524109</v>
      </c>
      <c r="L15" s="109">
        <v>811006.00460113678</v>
      </c>
      <c r="M15" s="109">
        <v>834254.48320371332</v>
      </c>
      <c r="N15" s="110">
        <v>960638.46076000005</v>
      </c>
      <c r="O15" s="111">
        <v>10923950.537628358</v>
      </c>
      <c r="P15" s="108" t="s">
        <v>73</v>
      </c>
    </row>
    <row r="16" spans="1:16" x14ac:dyDescent="0.2">
      <c r="A16" s="69">
        <v>11</v>
      </c>
      <c r="B16" s="89" t="s">
        <v>83</v>
      </c>
      <c r="C16" s="90">
        <v>367799</v>
      </c>
      <c r="D16" s="90">
        <v>359241</v>
      </c>
      <c r="E16" s="90">
        <v>423824</v>
      </c>
      <c r="F16" s="90">
        <v>453020</v>
      </c>
      <c r="G16" s="90">
        <v>372294</v>
      </c>
      <c r="H16" s="90">
        <v>344329</v>
      </c>
      <c r="I16" s="90">
        <v>310187.04495561967</v>
      </c>
      <c r="J16" s="90">
        <v>297413.34088772268</v>
      </c>
      <c r="K16" s="90">
        <v>292341.29800079163</v>
      </c>
      <c r="L16" s="90">
        <v>308182.28174843203</v>
      </c>
      <c r="M16" s="90">
        <v>317016.70361741108</v>
      </c>
      <c r="N16" s="91">
        <v>365042.61508880003</v>
      </c>
      <c r="O16" s="92">
        <v>4210690.2842987776</v>
      </c>
      <c r="P16" s="93" t="s">
        <v>73</v>
      </c>
    </row>
    <row r="17" spans="1:16" x14ac:dyDescent="0.2">
      <c r="A17" s="69">
        <v>12</v>
      </c>
      <c r="B17" s="89" t="s">
        <v>84</v>
      </c>
      <c r="C17" s="90">
        <v>467593</v>
      </c>
      <c r="D17" s="90">
        <v>438455</v>
      </c>
      <c r="E17" s="90">
        <v>526664</v>
      </c>
      <c r="F17" s="90">
        <v>564368</v>
      </c>
      <c r="G17" s="90">
        <v>443224</v>
      </c>
      <c r="H17" s="90">
        <v>368223</v>
      </c>
      <c r="I17" s="90">
        <v>391815.21468078275</v>
      </c>
      <c r="J17" s="90">
        <v>375680.00954238651</v>
      </c>
      <c r="K17" s="90">
        <v>369273.21852731571</v>
      </c>
      <c r="L17" s="90">
        <v>389282.88220854569</v>
      </c>
      <c r="M17" s="90">
        <v>400442.15193778236</v>
      </c>
      <c r="N17" s="91">
        <v>470712.84577240003</v>
      </c>
      <c r="O17" s="92">
        <v>5205733.3226692136</v>
      </c>
      <c r="P17" s="93" t="s">
        <v>73</v>
      </c>
    </row>
    <row r="18" spans="1:16" x14ac:dyDescent="0.2">
      <c r="A18" s="69">
        <v>13</v>
      </c>
      <c r="B18" s="89" t="s">
        <v>85</v>
      </c>
      <c r="C18" s="90">
        <v>137104</v>
      </c>
      <c r="D18" s="90">
        <v>118926</v>
      </c>
      <c r="E18" s="90">
        <v>134925</v>
      </c>
      <c r="F18" s="90">
        <v>157978</v>
      </c>
      <c r="G18" s="90">
        <v>144351</v>
      </c>
      <c r="H18" s="90">
        <v>127466</v>
      </c>
      <c r="I18" s="90">
        <v>114279.43761522831</v>
      </c>
      <c r="J18" s="90">
        <v>109573.33611652942</v>
      </c>
      <c r="K18" s="90">
        <v>107704.68873713377</v>
      </c>
      <c r="L18" s="90">
        <v>113540.84064415918</v>
      </c>
      <c r="M18" s="90">
        <v>116795.62764851988</v>
      </c>
      <c r="N18" s="91">
        <v>124882.99989880002</v>
      </c>
      <c r="O18" s="92">
        <v>1507526.9306603705</v>
      </c>
      <c r="P18" s="93" t="s">
        <v>73</v>
      </c>
    </row>
    <row r="19" spans="1:16" x14ac:dyDescent="0.2">
      <c r="A19" s="69">
        <v>14</v>
      </c>
      <c r="B19" s="89" t="s">
        <v>86</v>
      </c>
      <c r="C19" s="105">
        <v>8748</v>
      </c>
      <c r="D19" s="105">
        <v>16790</v>
      </c>
      <c r="E19" s="105">
        <v>31405</v>
      </c>
      <c r="F19" s="105">
        <v>-44750</v>
      </c>
      <c r="G19" s="105">
        <v>30838</v>
      </c>
      <c r="H19" s="105">
        <v>24653</v>
      </c>
      <c r="I19" s="105">
        <v>35064.302748369286</v>
      </c>
      <c r="J19" s="105">
        <v>36952.313453361392</v>
      </c>
      <c r="K19" s="105">
        <v>38564.794734758907</v>
      </c>
      <c r="L19" s="105">
        <v>39223.995398863219</v>
      </c>
      <c r="M19" s="105">
        <v>26804.516796286684</v>
      </c>
      <c r="N19" s="106">
        <v>60468.59924000001</v>
      </c>
      <c r="O19" s="107">
        <v>304762.5223716395</v>
      </c>
      <c r="P19" s="108" t="s">
        <v>73</v>
      </c>
    </row>
    <row r="20" spans="1:16" x14ac:dyDescent="0.2">
      <c r="A20" s="69">
        <v>15</v>
      </c>
      <c r="B20" s="89" t="s">
        <v>87</v>
      </c>
      <c r="C20" s="112">
        <v>8.9152137490777009E-3</v>
      </c>
      <c r="D20" s="112">
        <v>1.7987769602276379E-2</v>
      </c>
      <c r="E20" s="112">
        <v>2.8120069698017044E-2</v>
      </c>
      <c r="F20" s="112">
        <v>-3.9580193452065066E-2</v>
      </c>
      <c r="G20" s="112">
        <v>3.1127265679963906E-2</v>
      </c>
      <c r="H20" s="112">
        <v>2.851142226349675E-2</v>
      </c>
      <c r="I20" s="112">
        <v>4.1186900212568434E-2</v>
      </c>
      <c r="J20" s="112">
        <v>4.5084744806259243E-2</v>
      </c>
      <c r="K20" s="112">
        <v>4.7735559479775445E-2</v>
      </c>
      <c r="L20" s="112">
        <v>4.6133393786226336E-2</v>
      </c>
      <c r="M20" s="112">
        <v>3.1129709806513473E-2</v>
      </c>
      <c r="N20" s="113">
        <v>5.9218667276671272E-2</v>
      </c>
      <c r="O20" s="87" t="s">
        <v>73</v>
      </c>
      <c r="P20" s="100">
        <v>2.8797543575731738E-2</v>
      </c>
    </row>
    <row r="21" spans="1:16" x14ac:dyDescent="0.2">
      <c r="A21" s="69">
        <v>16</v>
      </c>
      <c r="B21" s="89" t="s">
        <v>88</v>
      </c>
      <c r="C21" s="101">
        <v>917195</v>
      </c>
      <c r="D21" s="101">
        <v>984615</v>
      </c>
      <c r="E21" s="101">
        <v>968074</v>
      </c>
      <c r="F21" s="101">
        <v>1065402</v>
      </c>
      <c r="G21" s="101">
        <v>838970</v>
      </c>
      <c r="H21" s="101">
        <v>822103</v>
      </c>
      <c r="I21" s="101">
        <v>762068</v>
      </c>
      <c r="J21" s="101">
        <v>724024</v>
      </c>
      <c r="K21" s="101">
        <v>705884</v>
      </c>
      <c r="L21" s="101">
        <v>758996</v>
      </c>
      <c r="M21" s="101">
        <v>805110</v>
      </c>
      <c r="N21" s="102">
        <v>904029</v>
      </c>
      <c r="O21" s="103">
        <v>10256470</v>
      </c>
      <c r="P21" s="104" t="s">
        <v>73</v>
      </c>
    </row>
    <row r="22" spans="1:16" x14ac:dyDescent="0.2">
      <c r="A22" s="69">
        <v>17</v>
      </c>
      <c r="B22" s="89" t="s">
        <v>89</v>
      </c>
      <c r="C22" s="105">
        <v>55301</v>
      </c>
      <c r="D22" s="105">
        <v>-67993</v>
      </c>
      <c r="E22" s="105">
        <v>117339</v>
      </c>
      <c r="F22" s="105">
        <v>109964</v>
      </c>
      <c r="G22" s="105">
        <v>120899</v>
      </c>
      <c r="H22" s="105">
        <v>17915</v>
      </c>
      <c r="I22" s="105">
        <v>54213.697251630714</v>
      </c>
      <c r="J22" s="105">
        <v>58642.686546638608</v>
      </c>
      <c r="K22" s="105">
        <v>63435.205265241093</v>
      </c>
      <c r="L22" s="105">
        <v>52010.004601136781</v>
      </c>
      <c r="M22" s="105">
        <v>29144.483203713316</v>
      </c>
      <c r="N22" s="106">
        <v>56609.460760000045</v>
      </c>
      <c r="O22" s="107">
        <v>667480.53762836056</v>
      </c>
      <c r="P22" s="108" t="s">
        <v>73</v>
      </c>
    </row>
    <row r="23" spans="1:16" x14ac:dyDescent="0.2">
      <c r="A23" s="69">
        <v>18</v>
      </c>
      <c r="B23" s="89" t="s">
        <v>90</v>
      </c>
      <c r="C23" s="112">
        <v>5.6865015383096691E-2</v>
      </c>
      <c r="D23" s="112">
        <v>-7.4177796299892435E-2</v>
      </c>
      <c r="E23" s="112">
        <v>0.10810539398367257</v>
      </c>
      <c r="F23" s="112">
        <v>9.3557240893474877E-2</v>
      </c>
      <c r="G23" s="112">
        <v>0.12595364575791071</v>
      </c>
      <c r="H23" s="112">
        <v>2.1326923946867804E-2</v>
      </c>
      <c r="I23" s="112">
        <v>6.6415426726049151E-2</v>
      </c>
      <c r="J23" s="112">
        <v>7.4926769664092674E-2</v>
      </c>
      <c r="K23" s="112">
        <v>8.2456287105649853E-2</v>
      </c>
      <c r="L23" s="112">
        <v>6.4130233692555674E-2</v>
      </c>
      <c r="M23" s="112">
        <v>3.4934763660834457E-2</v>
      </c>
      <c r="N23" s="113">
        <v>5.8928996779094189E-2</v>
      </c>
      <c r="O23" s="87" t="s">
        <v>73</v>
      </c>
      <c r="P23" s="100">
        <v>5.9451908441117196E-2</v>
      </c>
    </row>
    <row r="24" spans="1:16" x14ac:dyDescent="0.2">
      <c r="A24" s="69">
        <v>19</v>
      </c>
      <c r="B24" s="89" t="s">
        <v>91</v>
      </c>
      <c r="C24" s="105">
        <v>64049</v>
      </c>
      <c r="D24" s="105">
        <v>-51203</v>
      </c>
      <c r="E24" s="105">
        <v>148744</v>
      </c>
      <c r="F24" s="105">
        <v>65214</v>
      </c>
      <c r="G24" s="105">
        <v>151737</v>
      </c>
      <c r="H24" s="105">
        <v>42568</v>
      </c>
      <c r="I24" s="105">
        <v>89278</v>
      </c>
      <c r="J24" s="105">
        <v>95595</v>
      </c>
      <c r="K24" s="105">
        <v>102000</v>
      </c>
      <c r="L24" s="105">
        <v>91234</v>
      </c>
      <c r="M24" s="105">
        <v>55949</v>
      </c>
      <c r="N24" s="106">
        <v>117078.06000000006</v>
      </c>
      <c r="O24" s="107">
        <v>972243.06</v>
      </c>
      <c r="P24" s="108" t="s">
        <v>73</v>
      </c>
    </row>
    <row r="25" spans="1:16" x14ac:dyDescent="0.2">
      <c r="A25" s="69">
        <v>20</v>
      </c>
      <c r="B25" s="89" t="s">
        <v>92</v>
      </c>
      <c r="C25" s="114">
        <v>6.5273265365189501E-2</v>
      </c>
      <c r="D25" s="114">
        <v>-5.4855733588168996E-2</v>
      </c>
      <c r="E25" s="114">
        <v>0.13318553246813716</v>
      </c>
      <c r="F25" s="114">
        <v>5.7680061134815004E-2</v>
      </c>
      <c r="G25" s="114">
        <v>0.15316031884300807</v>
      </c>
      <c r="H25" s="114">
        <v>4.9230285276133927E-2</v>
      </c>
      <c r="I25" s="114">
        <v>0.10486688138547665</v>
      </c>
      <c r="J25" s="114">
        <v>0.11663346018088892</v>
      </c>
      <c r="K25" s="114">
        <v>0.1262557495878121</v>
      </c>
      <c r="L25" s="114">
        <v>0.10730508215424062</v>
      </c>
      <c r="M25" s="114">
        <v>6.4976964412427021E-2</v>
      </c>
      <c r="N25" s="115">
        <v>0.11465796740255625</v>
      </c>
      <c r="O25" s="87" t="s">
        <v>73</v>
      </c>
      <c r="P25" s="116">
        <v>8.6530819551876359E-2</v>
      </c>
    </row>
    <row r="26" spans="1:16" x14ac:dyDescent="0.2">
      <c r="A26" s="69">
        <v>21</v>
      </c>
      <c r="B26" s="89" t="s">
        <v>93</v>
      </c>
      <c r="C26" s="90">
        <v>2109</v>
      </c>
      <c r="D26" s="90">
        <v>2192</v>
      </c>
      <c r="E26" s="90">
        <v>2526</v>
      </c>
      <c r="F26" s="90">
        <v>2262</v>
      </c>
      <c r="G26" s="90">
        <v>1921</v>
      </c>
      <c r="H26" s="90">
        <v>1806</v>
      </c>
      <c r="I26" s="90">
        <v>1765</v>
      </c>
      <c r="J26" s="90">
        <v>1762</v>
      </c>
      <c r="K26" s="90">
        <v>1696</v>
      </c>
      <c r="L26" s="90">
        <v>1681</v>
      </c>
      <c r="M26" s="90">
        <v>1826</v>
      </c>
      <c r="N26" s="91">
        <v>2081</v>
      </c>
      <c r="O26" s="82">
        <v>2526</v>
      </c>
      <c r="P26" s="83" t="s">
        <v>73</v>
      </c>
    </row>
    <row r="27" spans="1:16" x14ac:dyDescent="0.2">
      <c r="A27" s="69">
        <v>22</v>
      </c>
      <c r="B27" s="284" t="s">
        <v>31</v>
      </c>
      <c r="C27" s="90">
        <v>76622</v>
      </c>
      <c r="D27" s="90">
        <v>79470</v>
      </c>
      <c r="E27" s="90">
        <v>91350</v>
      </c>
      <c r="F27" s="90">
        <v>82041</v>
      </c>
      <c r="G27" s="90">
        <v>48567</v>
      </c>
      <c r="H27" s="90">
        <v>32765</v>
      </c>
      <c r="I27" s="90">
        <v>38288</v>
      </c>
      <c r="J27" s="90">
        <v>32788</v>
      </c>
      <c r="K27" s="90">
        <v>36433</v>
      </c>
      <c r="L27" s="90">
        <v>40629</v>
      </c>
      <c r="M27" s="90">
        <v>41002</v>
      </c>
      <c r="N27" s="91">
        <v>53402</v>
      </c>
      <c r="O27" s="92">
        <v>653357</v>
      </c>
      <c r="P27" s="93" t="s">
        <v>73</v>
      </c>
    </row>
    <row r="28" spans="1:16" x14ac:dyDescent="0.2">
      <c r="A28" s="69">
        <v>23</v>
      </c>
      <c r="B28" s="285" t="s">
        <v>94</v>
      </c>
      <c r="C28" s="117">
        <v>10.733431651483908</v>
      </c>
      <c r="D28" s="117">
        <v>10.92234805587014</v>
      </c>
      <c r="E28" s="117">
        <v>11.058631636562671</v>
      </c>
      <c r="F28" s="117">
        <v>13.336746261015833</v>
      </c>
      <c r="G28" s="117">
        <v>12.480964440875491</v>
      </c>
      <c r="H28" s="117">
        <v>11.375797344727605</v>
      </c>
      <c r="I28" s="117">
        <v>12.121787505223569</v>
      </c>
      <c r="J28" s="117">
        <v>12.091191899475417</v>
      </c>
      <c r="K28" s="117">
        <v>12.061866988719018</v>
      </c>
      <c r="L28" s="117">
        <v>12.542765020059564</v>
      </c>
      <c r="M28" s="117">
        <v>12.632505731427734</v>
      </c>
      <c r="N28" s="118">
        <v>13.639358076476537</v>
      </c>
      <c r="O28" s="87" t="s">
        <v>73</v>
      </c>
      <c r="P28" s="119">
        <v>12.083116217659791</v>
      </c>
    </row>
    <row r="29" spans="1:16" ht="13.5" thickBot="1" x14ac:dyDescent="0.25">
      <c r="A29" s="69">
        <v>24</v>
      </c>
      <c r="B29" s="120" t="s">
        <v>33</v>
      </c>
      <c r="C29" s="121">
        <v>2779</v>
      </c>
      <c r="D29" s="121">
        <v>2792</v>
      </c>
      <c r="E29" s="121">
        <v>2802</v>
      </c>
      <c r="F29" s="121">
        <v>2820</v>
      </c>
      <c r="G29" s="121">
        <v>2824</v>
      </c>
      <c r="H29" s="121">
        <v>2843</v>
      </c>
      <c r="I29" s="121">
        <v>2853</v>
      </c>
      <c r="J29" s="121">
        <v>2858</v>
      </c>
      <c r="K29" s="121">
        <v>2876</v>
      </c>
      <c r="L29" s="121">
        <v>2881</v>
      </c>
      <c r="M29" s="121">
        <v>2887</v>
      </c>
      <c r="N29" s="122">
        <v>2890</v>
      </c>
      <c r="O29" s="123" t="s">
        <v>73</v>
      </c>
      <c r="P29" s="123" t="s">
        <v>73</v>
      </c>
    </row>
    <row r="30" spans="1:16" x14ac:dyDescent="0.2">
      <c r="A30" s="69"/>
      <c r="B30" s="124"/>
      <c r="C30" s="125"/>
      <c r="D30" s="125"/>
      <c r="E30" s="125"/>
      <c r="F30" s="125"/>
      <c r="G30" s="125"/>
      <c r="H30" s="125"/>
      <c r="I30" s="126"/>
      <c r="J30" s="126"/>
      <c r="K30" s="127"/>
      <c r="L30" s="127"/>
      <c r="M30" s="127"/>
      <c r="N30" s="127"/>
      <c r="O30" s="127"/>
    </row>
    <row r="31" spans="1:16" ht="13.5" thickBot="1" x14ac:dyDescent="0.25">
      <c r="A31" s="128"/>
      <c r="B31" s="43"/>
      <c r="C31" s="129"/>
      <c r="D31" s="129"/>
      <c r="E31" s="129"/>
      <c r="F31" s="129"/>
      <c r="G31" s="129"/>
      <c r="H31" s="129"/>
      <c r="I31" s="126"/>
      <c r="J31" s="126"/>
      <c r="K31" s="126"/>
      <c r="L31" s="126"/>
      <c r="M31" s="126"/>
      <c r="N31" s="126"/>
      <c r="O31" s="126"/>
    </row>
    <row r="32" spans="1:16" ht="15.75" thickBot="1" x14ac:dyDescent="0.3">
      <c r="B32" s="737" t="s">
        <v>34</v>
      </c>
      <c r="C32" s="738"/>
      <c r="D32" s="738"/>
      <c r="E32" s="738"/>
      <c r="F32" s="738"/>
      <c r="G32" s="738"/>
      <c r="H32" s="738"/>
      <c r="I32" s="738"/>
      <c r="J32" s="738"/>
      <c r="K32" s="738"/>
      <c r="L32" s="738"/>
      <c r="M32" s="738"/>
      <c r="N32" s="738"/>
      <c r="O32" s="738"/>
      <c r="P32" s="739"/>
    </row>
    <row r="33" spans="1:16" ht="13.5" thickBot="1" x14ac:dyDescent="0.25">
      <c r="B33" s="130" t="s">
        <v>57</v>
      </c>
      <c r="C33" s="131" t="s">
        <v>58</v>
      </c>
      <c r="D33" s="131" t="s">
        <v>59</v>
      </c>
      <c r="E33" s="131" t="s">
        <v>60</v>
      </c>
      <c r="F33" s="131" t="s">
        <v>61</v>
      </c>
      <c r="G33" s="131" t="s">
        <v>62</v>
      </c>
      <c r="H33" s="131" t="s">
        <v>63</v>
      </c>
      <c r="I33" s="132" t="s">
        <v>64</v>
      </c>
      <c r="J33" s="132" t="s">
        <v>65</v>
      </c>
      <c r="K33" s="131" t="s">
        <v>66</v>
      </c>
      <c r="L33" s="131" t="s">
        <v>67</v>
      </c>
      <c r="M33" s="131" t="s">
        <v>68</v>
      </c>
      <c r="N33" s="133" t="s">
        <v>69</v>
      </c>
      <c r="O33" s="134" t="s">
        <v>70</v>
      </c>
      <c r="P33" s="135" t="s">
        <v>71</v>
      </c>
    </row>
    <row r="34" spans="1:16" x14ac:dyDescent="0.2">
      <c r="A34" s="64">
        <v>1</v>
      </c>
      <c r="B34" s="84" t="s">
        <v>72</v>
      </c>
      <c r="C34" s="105">
        <v>2332704</v>
      </c>
      <c r="D34" s="105">
        <v>2218890</v>
      </c>
      <c r="E34" s="105">
        <v>2558935</v>
      </c>
      <c r="F34" s="105">
        <v>2408846</v>
      </c>
      <c r="G34" s="105">
        <v>2217156</v>
      </c>
      <c r="H34" s="105">
        <v>1917398</v>
      </c>
      <c r="I34" s="105">
        <v>1919482</v>
      </c>
      <c r="J34" s="105">
        <v>1862094</v>
      </c>
      <c r="K34" s="105">
        <v>1756917</v>
      </c>
      <c r="L34" s="105">
        <v>1879668</v>
      </c>
      <c r="M34" s="105">
        <v>1899350</v>
      </c>
      <c r="N34" s="106">
        <v>2202032</v>
      </c>
      <c r="O34" s="136">
        <v>25173472</v>
      </c>
      <c r="P34" s="137" t="s">
        <v>73</v>
      </c>
    </row>
    <row r="35" spans="1:16" x14ac:dyDescent="0.2">
      <c r="A35" s="64">
        <v>2</v>
      </c>
      <c r="B35" s="282" t="s">
        <v>74</v>
      </c>
      <c r="C35" s="80">
        <v>2332704</v>
      </c>
      <c r="D35" s="80">
        <v>2218890</v>
      </c>
      <c r="E35" s="80">
        <v>2558935</v>
      </c>
      <c r="F35" s="80">
        <v>2408846</v>
      </c>
      <c r="G35" s="80">
        <v>2217156</v>
      </c>
      <c r="H35" s="80">
        <v>1917398</v>
      </c>
      <c r="I35" s="80">
        <v>1919482</v>
      </c>
      <c r="J35" s="80">
        <v>1862094</v>
      </c>
      <c r="K35" s="80">
        <v>1756917</v>
      </c>
      <c r="L35" s="80">
        <v>1879668</v>
      </c>
      <c r="M35" s="80">
        <v>1899350</v>
      </c>
      <c r="N35" s="81">
        <v>2202032</v>
      </c>
      <c r="O35" s="82">
        <v>25173472</v>
      </c>
      <c r="P35" s="83" t="s">
        <v>73</v>
      </c>
    </row>
    <row r="36" spans="1:16" x14ac:dyDescent="0.2">
      <c r="A36" s="64">
        <v>3</v>
      </c>
      <c r="B36" s="84" t="s">
        <v>75</v>
      </c>
      <c r="C36" s="94">
        <v>1</v>
      </c>
      <c r="D36" s="94">
        <v>1</v>
      </c>
      <c r="E36" s="94">
        <v>1</v>
      </c>
      <c r="F36" s="94">
        <v>1</v>
      </c>
      <c r="G36" s="94">
        <v>1</v>
      </c>
      <c r="H36" s="94">
        <v>1</v>
      </c>
      <c r="I36" s="94">
        <v>1</v>
      </c>
      <c r="J36" s="94">
        <v>1</v>
      </c>
      <c r="K36" s="94">
        <v>1</v>
      </c>
      <c r="L36" s="94">
        <v>1</v>
      </c>
      <c r="M36" s="94">
        <v>1</v>
      </c>
      <c r="N36" s="95">
        <v>1</v>
      </c>
      <c r="O36" s="138" t="s">
        <v>73</v>
      </c>
      <c r="P36" s="139">
        <v>1</v>
      </c>
    </row>
    <row r="37" spans="1:16" x14ac:dyDescent="0.2">
      <c r="A37" s="64">
        <v>4</v>
      </c>
      <c r="B37" s="89" t="s">
        <v>80</v>
      </c>
      <c r="C37" s="101">
        <v>6718</v>
      </c>
      <c r="D37" s="101">
        <v>5968</v>
      </c>
      <c r="E37" s="101">
        <v>6226</v>
      </c>
      <c r="F37" s="101">
        <v>6880</v>
      </c>
      <c r="G37" s="101">
        <v>5715</v>
      </c>
      <c r="H37" s="101">
        <v>5556</v>
      </c>
      <c r="I37" s="101">
        <v>6572</v>
      </c>
      <c r="J37" s="101">
        <v>6571</v>
      </c>
      <c r="K37" s="101">
        <v>5193</v>
      </c>
      <c r="L37" s="101">
        <v>4943</v>
      </c>
      <c r="M37" s="101">
        <v>4417</v>
      </c>
      <c r="N37" s="102">
        <v>4569</v>
      </c>
      <c r="O37" s="103">
        <v>69328</v>
      </c>
      <c r="P37" s="104" t="s">
        <v>73</v>
      </c>
    </row>
    <row r="38" spans="1:16" x14ac:dyDescent="0.2">
      <c r="A38" s="64">
        <v>5</v>
      </c>
      <c r="B38" s="89" t="s">
        <v>95</v>
      </c>
      <c r="C38" s="101">
        <v>0</v>
      </c>
      <c r="D38" s="101">
        <v>101880</v>
      </c>
      <c r="E38" s="101">
        <v>114450</v>
      </c>
      <c r="F38" s="101">
        <v>96501</v>
      </c>
      <c r="G38" s="101">
        <v>93918</v>
      </c>
      <c r="H38" s="101">
        <v>93952</v>
      </c>
      <c r="I38" s="101">
        <v>81956</v>
      </c>
      <c r="J38" s="101">
        <v>90009</v>
      </c>
      <c r="K38" s="101">
        <v>86946</v>
      </c>
      <c r="L38" s="101">
        <v>93153</v>
      </c>
      <c r="M38" s="101">
        <v>82758</v>
      </c>
      <c r="N38" s="102">
        <v>101338</v>
      </c>
      <c r="O38" s="103">
        <v>1036861</v>
      </c>
      <c r="P38" s="104" t="s">
        <v>73</v>
      </c>
    </row>
    <row r="39" spans="1:16" x14ac:dyDescent="0.2">
      <c r="A39" s="64">
        <v>6</v>
      </c>
      <c r="B39" s="89" t="s">
        <v>81</v>
      </c>
      <c r="C39" s="105">
        <v>2325986</v>
      </c>
      <c r="D39" s="105">
        <v>2212922</v>
      </c>
      <c r="E39" s="105">
        <v>2552709</v>
      </c>
      <c r="F39" s="105">
        <v>2401966</v>
      </c>
      <c r="G39" s="105">
        <v>2211441</v>
      </c>
      <c r="H39" s="105">
        <v>1911842</v>
      </c>
      <c r="I39" s="105">
        <v>1912910</v>
      </c>
      <c r="J39" s="105">
        <v>1855523</v>
      </c>
      <c r="K39" s="105">
        <v>1751724</v>
      </c>
      <c r="L39" s="105">
        <v>1874725</v>
      </c>
      <c r="M39" s="105">
        <v>1894933</v>
      </c>
      <c r="N39" s="106">
        <v>2197463</v>
      </c>
      <c r="O39" s="107">
        <v>25104144</v>
      </c>
      <c r="P39" s="140" t="s">
        <v>73</v>
      </c>
    </row>
    <row r="40" spans="1:16" x14ac:dyDescent="0.2">
      <c r="A40" s="64">
        <v>7</v>
      </c>
      <c r="B40" s="89" t="s">
        <v>82</v>
      </c>
      <c r="C40" s="105">
        <v>2241400</v>
      </c>
      <c r="D40" s="105">
        <v>2131850</v>
      </c>
      <c r="E40" s="105">
        <v>2460850</v>
      </c>
      <c r="F40" s="105">
        <v>2325050</v>
      </c>
      <c r="G40" s="105">
        <v>2131150</v>
      </c>
      <c r="H40" s="105">
        <v>1834350</v>
      </c>
      <c r="I40" s="105">
        <v>1843800</v>
      </c>
      <c r="J40" s="105">
        <v>1782200</v>
      </c>
      <c r="K40" s="105">
        <v>1677200</v>
      </c>
      <c r="L40" s="105">
        <v>1797250</v>
      </c>
      <c r="M40" s="105">
        <v>1822800</v>
      </c>
      <c r="N40" s="106">
        <v>2111200</v>
      </c>
      <c r="O40" s="107">
        <v>24159100</v>
      </c>
      <c r="P40" s="140" t="s">
        <v>73</v>
      </c>
    </row>
    <row r="41" spans="1:16" x14ac:dyDescent="0.2">
      <c r="A41" s="64">
        <v>8</v>
      </c>
      <c r="B41" s="89" t="s">
        <v>96</v>
      </c>
      <c r="C41" s="80">
        <v>811650</v>
      </c>
      <c r="D41" s="80">
        <v>813750</v>
      </c>
      <c r="E41" s="80">
        <v>958650</v>
      </c>
      <c r="F41" s="80">
        <v>887250</v>
      </c>
      <c r="G41" s="80">
        <v>763350</v>
      </c>
      <c r="H41" s="80">
        <v>626850</v>
      </c>
      <c r="I41" s="80">
        <v>652050</v>
      </c>
      <c r="J41" s="80">
        <v>614250</v>
      </c>
      <c r="K41" s="80">
        <v>553350</v>
      </c>
      <c r="L41" s="80">
        <v>621600</v>
      </c>
      <c r="M41" s="80">
        <v>636300</v>
      </c>
      <c r="N41" s="81">
        <v>746550</v>
      </c>
      <c r="O41" s="82">
        <v>8685600</v>
      </c>
      <c r="P41" s="83" t="s">
        <v>73</v>
      </c>
    </row>
    <row r="42" spans="1:16" x14ac:dyDescent="0.2">
      <c r="A42" s="64">
        <v>9</v>
      </c>
      <c r="B42" s="89" t="s">
        <v>97</v>
      </c>
      <c r="C42" s="80">
        <v>1036350</v>
      </c>
      <c r="D42" s="80">
        <v>967050</v>
      </c>
      <c r="E42" s="80">
        <v>1124550</v>
      </c>
      <c r="F42" s="80">
        <v>1073100</v>
      </c>
      <c r="G42" s="80">
        <v>993300</v>
      </c>
      <c r="H42" s="80">
        <v>859950</v>
      </c>
      <c r="I42" s="80">
        <v>821100</v>
      </c>
      <c r="J42" s="80">
        <v>801150</v>
      </c>
      <c r="K42" s="80">
        <v>784350</v>
      </c>
      <c r="L42" s="80">
        <v>814800</v>
      </c>
      <c r="M42" s="80">
        <v>821100</v>
      </c>
      <c r="N42" s="81">
        <v>972300</v>
      </c>
      <c r="O42" s="82">
        <v>11069100</v>
      </c>
      <c r="P42" s="83" t="s">
        <v>73</v>
      </c>
    </row>
    <row r="43" spans="1:16" x14ac:dyDescent="0.2">
      <c r="A43" s="64">
        <v>10</v>
      </c>
      <c r="B43" s="89" t="s">
        <v>98</v>
      </c>
      <c r="C43" s="80">
        <v>393400</v>
      </c>
      <c r="D43" s="80">
        <v>351050</v>
      </c>
      <c r="E43" s="80">
        <v>377650</v>
      </c>
      <c r="F43" s="80">
        <v>364700</v>
      </c>
      <c r="G43" s="80">
        <v>374500</v>
      </c>
      <c r="H43" s="80">
        <v>347550</v>
      </c>
      <c r="I43" s="80">
        <v>370650</v>
      </c>
      <c r="J43" s="80">
        <v>366800</v>
      </c>
      <c r="K43" s="80">
        <v>339500</v>
      </c>
      <c r="L43" s="80">
        <v>360850</v>
      </c>
      <c r="M43" s="80">
        <v>365400</v>
      </c>
      <c r="N43" s="81">
        <v>392350</v>
      </c>
      <c r="O43" s="82">
        <v>4404400</v>
      </c>
      <c r="P43" s="83" t="s">
        <v>73</v>
      </c>
    </row>
    <row r="44" spans="1:16" x14ac:dyDescent="0.2">
      <c r="A44" s="64">
        <v>11</v>
      </c>
      <c r="B44" s="89" t="s">
        <v>86</v>
      </c>
      <c r="C44" s="105">
        <v>84586</v>
      </c>
      <c r="D44" s="105">
        <v>81072</v>
      </c>
      <c r="E44" s="105">
        <v>91859</v>
      </c>
      <c r="F44" s="105">
        <v>76916</v>
      </c>
      <c r="G44" s="105">
        <v>80291</v>
      </c>
      <c r="H44" s="105">
        <v>77492</v>
      </c>
      <c r="I44" s="105">
        <v>69110</v>
      </c>
      <c r="J44" s="105">
        <v>73323</v>
      </c>
      <c r="K44" s="105">
        <v>74524</v>
      </c>
      <c r="L44" s="105">
        <v>77475</v>
      </c>
      <c r="M44" s="105">
        <v>72133</v>
      </c>
      <c r="N44" s="106">
        <v>86263</v>
      </c>
      <c r="O44" s="107">
        <v>945044</v>
      </c>
      <c r="P44" s="140" t="s">
        <v>73</v>
      </c>
    </row>
    <row r="45" spans="1:16" x14ac:dyDescent="0.2">
      <c r="A45" s="64">
        <v>12</v>
      </c>
      <c r="B45" s="89" t="s">
        <v>87</v>
      </c>
      <c r="C45" s="141">
        <v>3.6365653103673026E-2</v>
      </c>
      <c r="D45" s="141">
        <v>3.6635724169220604E-2</v>
      </c>
      <c r="E45" s="141">
        <v>3.5984908581432509E-2</v>
      </c>
      <c r="F45" s="141">
        <v>3.2022101894864458E-2</v>
      </c>
      <c r="G45" s="141">
        <v>3.6307095690095284E-2</v>
      </c>
      <c r="H45" s="141">
        <v>4.0532638157337271E-2</v>
      </c>
      <c r="I45" s="141">
        <v>3.6128202581407386E-2</v>
      </c>
      <c r="J45" s="141">
        <v>3.9516082527675488E-2</v>
      </c>
      <c r="K45" s="141">
        <v>4.2543231696317456E-2</v>
      </c>
      <c r="L45" s="141">
        <v>4.1326061155636161E-2</v>
      </c>
      <c r="M45" s="141">
        <v>3.8066253529808178E-2</v>
      </c>
      <c r="N45" s="142">
        <v>3.9255723532091329E-2</v>
      </c>
      <c r="O45" s="138" t="s">
        <v>73</v>
      </c>
      <c r="P45" s="143">
        <v>3.7890306384963261E-2</v>
      </c>
    </row>
    <row r="46" spans="1:16" x14ac:dyDescent="0.2">
      <c r="A46" s="64">
        <v>13</v>
      </c>
      <c r="B46" s="89" t="s">
        <v>88</v>
      </c>
      <c r="C46" s="101">
        <v>2190489</v>
      </c>
      <c r="D46" s="101">
        <v>2020823</v>
      </c>
      <c r="E46" s="101">
        <v>2056432</v>
      </c>
      <c r="F46" s="101">
        <v>2179545</v>
      </c>
      <c r="G46" s="101">
        <v>1872598</v>
      </c>
      <c r="H46" s="101">
        <v>1733878</v>
      </c>
      <c r="I46" s="101">
        <v>1664648</v>
      </c>
      <c r="J46" s="101">
        <v>1700397</v>
      </c>
      <c r="K46" s="101">
        <v>1584437</v>
      </c>
      <c r="L46" s="101">
        <v>1561998</v>
      </c>
      <c r="M46" s="101">
        <v>1690315</v>
      </c>
      <c r="N46" s="102">
        <v>1808519</v>
      </c>
      <c r="O46" s="103">
        <v>22064079</v>
      </c>
      <c r="P46" s="104" t="s">
        <v>73</v>
      </c>
    </row>
    <row r="47" spans="1:16" x14ac:dyDescent="0.2">
      <c r="A47" s="64">
        <v>14</v>
      </c>
      <c r="B47" s="89" t="s">
        <v>89</v>
      </c>
      <c r="C47" s="105">
        <v>50911</v>
      </c>
      <c r="D47" s="105">
        <v>111027</v>
      </c>
      <c r="E47" s="105">
        <v>404418</v>
      </c>
      <c r="F47" s="105">
        <v>145505</v>
      </c>
      <c r="G47" s="105">
        <v>258552</v>
      </c>
      <c r="H47" s="105">
        <v>100472</v>
      </c>
      <c r="I47" s="105">
        <v>179152</v>
      </c>
      <c r="J47" s="105">
        <v>81803</v>
      </c>
      <c r="K47" s="105">
        <v>92763</v>
      </c>
      <c r="L47" s="105">
        <v>235252</v>
      </c>
      <c r="M47" s="105">
        <v>132485</v>
      </c>
      <c r="N47" s="106">
        <v>302681</v>
      </c>
      <c r="O47" s="107">
        <v>2095021</v>
      </c>
      <c r="P47" s="140" t="s">
        <v>73</v>
      </c>
    </row>
    <row r="48" spans="1:16" x14ac:dyDescent="0.2">
      <c r="A48" s="64">
        <v>15</v>
      </c>
      <c r="B48" s="89" t="s">
        <v>90</v>
      </c>
      <c r="C48" s="141">
        <v>2.2713928794503437E-2</v>
      </c>
      <c r="D48" s="141">
        <v>5.208011820719094E-2</v>
      </c>
      <c r="E48" s="141">
        <v>0.1643407765609444</v>
      </c>
      <c r="F48" s="141">
        <v>6.2581449861293312E-2</v>
      </c>
      <c r="G48" s="141">
        <v>0.12132041386106093</v>
      </c>
      <c r="H48" s="141">
        <v>5.4772535230463104E-2</v>
      </c>
      <c r="I48" s="141">
        <v>9.7164551469790653E-2</v>
      </c>
      <c r="J48" s="141">
        <v>4.5900011222085063E-2</v>
      </c>
      <c r="K48" s="141">
        <v>5.5308251848318626E-2</v>
      </c>
      <c r="L48" s="141">
        <v>0.13089553484490193</v>
      </c>
      <c r="M48" s="141">
        <v>7.2682137371077468E-2</v>
      </c>
      <c r="N48" s="142">
        <v>0.14336917392951876</v>
      </c>
      <c r="O48" s="138" t="s">
        <v>73</v>
      </c>
      <c r="P48" s="143">
        <v>8.5260740266762378E-2</v>
      </c>
    </row>
    <row r="49" spans="1:16" x14ac:dyDescent="0.2">
      <c r="A49" s="64">
        <v>16</v>
      </c>
      <c r="B49" s="89" t="s">
        <v>91</v>
      </c>
      <c r="C49" s="105">
        <v>135497</v>
      </c>
      <c r="D49" s="105">
        <v>192099</v>
      </c>
      <c r="E49" s="105">
        <v>496277</v>
      </c>
      <c r="F49" s="105">
        <v>222421</v>
      </c>
      <c r="G49" s="105">
        <v>338843</v>
      </c>
      <c r="H49" s="105">
        <v>177964</v>
      </c>
      <c r="I49" s="105">
        <v>248262</v>
      </c>
      <c r="J49" s="105">
        <v>155126</v>
      </c>
      <c r="K49" s="105">
        <v>167287</v>
      </c>
      <c r="L49" s="105">
        <v>312727</v>
      </c>
      <c r="M49" s="105">
        <v>204618</v>
      </c>
      <c r="N49" s="106">
        <v>388944</v>
      </c>
      <c r="O49" s="107">
        <v>3040065</v>
      </c>
      <c r="P49" s="140" t="s">
        <v>73</v>
      </c>
    </row>
    <row r="50" spans="1:16" x14ac:dyDescent="0.2">
      <c r="A50" s="64">
        <v>17</v>
      </c>
      <c r="B50" s="89" t="s">
        <v>92</v>
      </c>
      <c r="C50" s="141">
        <v>5.8253575043014018E-2</v>
      </c>
      <c r="D50" s="141">
        <v>8.6807849531072498E-2</v>
      </c>
      <c r="E50" s="141">
        <v>0.1944118973216297</v>
      </c>
      <c r="F50" s="141">
        <v>9.2599562191971074E-2</v>
      </c>
      <c r="G50" s="141">
        <v>0.1532227176759407</v>
      </c>
      <c r="H50" s="141">
        <v>9.3085098036344002E-2</v>
      </c>
      <c r="I50" s="141">
        <v>0.12978237345196586</v>
      </c>
      <c r="J50" s="141">
        <v>8.3602305118287409E-2</v>
      </c>
      <c r="K50" s="141">
        <v>9.5498491771534785E-2</v>
      </c>
      <c r="L50" s="141">
        <v>0.16681219912253797</v>
      </c>
      <c r="M50" s="141">
        <v>0.10798165423262986</v>
      </c>
      <c r="N50" s="142">
        <v>0.17699683680680858</v>
      </c>
      <c r="O50" s="138" t="s">
        <v>73</v>
      </c>
      <c r="P50" s="143">
        <v>0.11992121335864471</v>
      </c>
    </row>
    <row r="51" spans="1:16" x14ac:dyDescent="0.2">
      <c r="A51" s="64">
        <v>18</v>
      </c>
      <c r="B51" s="89" t="s">
        <v>93</v>
      </c>
      <c r="C51" s="80">
        <v>4555</v>
      </c>
      <c r="D51" s="80">
        <v>4696</v>
      </c>
      <c r="E51" s="80">
        <v>4710</v>
      </c>
      <c r="F51" s="80">
        <v>4734</v>
      </c>
      <c r="G51" s="80">
        <v>4160</v>
      </c>
      <c r="H51" s="80">
        <v>3605</v>
      </c>
      <c r="I51" s="80">
        <v>3633</v>
      </c>
      <c r="J51" s="80">
        <v>3541</v>
      </c>
      <c r="K51" s="80">
        <v>3450</v>
      </c>
      <c r="L51" s="80">
        <v>3513</v>
      </c>
      <c r="M51" s="80">
        <v>3758</v>
      </c>
      <c r="N51" s="81">
        <v>4405</v>
      </c>
      <c r="O51" s="82">
        <v>4734</v>
      </c>
      <c r="P51" s="83" t="s">
        <v>73</v>
      </c>
    </row>
    <row r="52" spans="1:16" x14ac:dyDescent="0.2">
      <c r="A52" s="64">
        <v>19</v>
      </c>
      <c r="B52" s="284" t="s">
        <v>31</v>
      </c>
      <c r="C52" s="80">
        <v>160841</v>
      </c>
      <c r="D52" s="80">
        <v>153584</v>
      </c>
      <c r="E52" s="80">
        <v>178509</v>
      </c>
      <c r="F52" s="80">
        <v>169555</v>
      </c>
      <c r="G52" s="80">
        <v>152872</v>
      </c>
      <c r="H52" s="80">
        <v>127289</v>
      </c>
      <c r="I52" s="80">
        <v>127566</v>
      </c>
      <c r="J52" s="80">
        <v>122047</v>
      </c>
      <c r="K52" s="80">
        <v>116788</v>
      </c>
      <c r="L52" s="80">
        <v>125144</v>
      </c>
      <c r="M52" s="80">
        <v>129947</v>
      </c>
      <c r="N52" s="81">
        <v>151550</v>
      </c>
      <c r="O52" s="144" t="s">
        <v>73</v>
      </c>
      <c r="P52" s="82">
        <v>142974.33333333334</v>
      </c>
    </row>
    <row r="53" spans="1:16" x14ac:dyDescent="0.2">
      <c r="A53" s="64">
        <v>20</v>
      </c>
      <c r="B53" s="285" t="s">
        <v>94</v>
      </c>
      <c r="C53" s="117">
        <v>14.503167724647323</v>
      </c>
      <c r="D53" s="117">
        <v>14.447403375351598</v>
      </c>
      <c r="E53" s="117">
        <v>14.335047532617404</v>
      </c>
      <c r="F53" s="117">
        <v>14.206870926837899</v>
      </c>
      <c r="G53" s="117">
        <v>14.503349207179863</v>
      </c>
      <c r="H53" s="117">
        <v>15.063344043868677</v>
      </c>
      <c r="I53" s="117">
        <v>15.046971763636078</v>
      </c>
      <c r="J53" s="117">
        <v>15.257187804698191</v>
      </c>
      <c r="K53" s="117">
        <v>15.043643182518752</v>
      </c>
      <c r="L53" s="117">
        <v>15.020040912868376</v>
      </c>
      <c r="M53" s="117">
        <v>14.616343586231309</v>
      </c>
      <c r="N53" s="118">
        <v>14.530069284064664</v>
      </c>
      <c r="O53" s="138" t="s">
        <v>73</v>
      </c>
      <c r="P53" s="145">
        <v>14.714453278710016</v>
      </c>
    </row>
    <row r="54" spans="1:16" ht="13.5" thickBot="1" x14ac:dyDescent="0.25">
      <c r="A54" s="64">
        <v>21</v>
      </c>
      <c r="B54" s="120" t="s">
        <v>33</v>
      </c>
      <c r="C54" s="121">
        <v>5366</v>
      </c>
      <c r="D54" s="121">
        <v>5375</v>
      </c>
      <c r="E54" s="121">
        <v>5414</v>
      </c>
      <c r="F54" s="121">
        <v>5445</v>
      </c>
      <c r="G54" s="121">
        <v>5461</v>
      </c>
      <c r="H54" s="121">
        <v>5483</v>
      </c>
      <c r="I54" s="121">
        <v>5508</v>
      </c>
      <c r="J54" s="121">
        <v>5541</v>
      </c>
      <c r="K54" s="121">
        <v>5560</v>
      </c>
      <c r="L54" s="121">
        <v>5594</v>
      </c>
      <c r="M54" s="121">
        <v>5626</v>
      </c>
      <c r="N54" s="122">
        <v>5641</v>
      </c>
      <c r="O54" s="123" t="s">
        <v>73</v>
      </c>
      <c r="P54" s="123" t="s">
        <v>73</v>
      </c>
    </row>
    <row r="55" spans="1:16" x14ac:dyDescent="0.2">
      <c r="C55" s="147"/>
      <c r="D55" s="147"/>
      <c r="E55" s="147"/>
      <c r="F55" s="147"/>
      <c r="G55" s="147"/>
      <c r="H55" s="147"/>
      <c r="I55" s="148"/>
      <c r="J55" s="148"/>
      <c r="K55" s="149"/>
      <c r="M55" s="149"/>
      <c r="N55" s="149"/>
      <c r="O55" s="149"/>
    </row>
    <row r="56" spans="1:16" x14ac:dyDescent="0.2">
      <c r="C56" s="147"/>
      <c r="D56" s="147"/>
      <c r="E56" s="147"/>
      <c r="F56" s="147"/>
      <c r="G56" s="147"/>
      <c r="H56" s="147"/>
      <c r="I56" s="148"/>
      <c r="J56" s="148"/>
      <c r="K56" s="149"/>
      <c r="M56" s="149"/>
      <c r="N56" s="149"/>
      <c r="O56" s="149"/>
    </row>
    <row r="57" spans="1:16" x14ac:dyDescent="0.2">
      <c r="B57" s="736" t="s">
        <v>54</v>
      </c>
      <c r="C57" s="736"/>
      <c r="D57" s="736"/>
      <c r="E57" s="736"/>
      <c r="F57" s="736"/>
      <c r="G57" s="736"/>
      <c r="H57" s="736"/>
      <c r="I57" s="736"/>
      <c r="J57" s="736"/>
      <c r="K57" s="736"/>
      <c r="L57" s="736"/>
      <c r="M57" s="736"/>
      <c r="N57" s="736"/>
      <c r="O57" s="736"/>
    </row>
    <row r="58" spans="1:16" x14ac:dyDescent="0.2">
      <c r="B58" s="736" t="s">
        <v>55</v>
      </c>
      <c r="C58" s="736"/>
      <c r="D58" s="736"/>
      <c r="E58" s="736"/>
      <c r="F58" s="736"/>
      <c r="G58" s="736"/>
      <c r="H58" s="736"/>
      <c r="I58" s="736"/>
      <c r="J58" s="736"/>
      <c r="K58" s="736"/>
      <c r="L58" s="736"/>
      <c r="M58" s="736"/>
      <c r="N58" s="736"/>
      <c r="O58" s="736"/>
    </row>
    <row r="59" spans="1:16" ht="13.5" thickBot="1" x14ac:dyDescent="0.25"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</row>
    <row r="60" spans="1:16" ht="15.75" thickBot="1" x14ac:dyDescent="0.3">
      <c r="B60" s="737" t="s">
        <v>40</v>
      </c>
      <c r="C60" s="738"/>
      <c r="D60" s="738"/>
      <c r="E60" s="738"/>
      <c r="F60" s="738"/>
      <c r="G60" s="738"/>
      <c r="H60" s="738"/>
      <c r="I60" s="738"/>
      <c r="J60" s="738"/>
      <c r="K60" s="738"/>
      <c r="L60" s="738"/>
      <c r="M60" s="738"/>
      <c r="N60" s="738"/>
      <c r="O60" s="738"/>
      <c r="P60" s="739"/>
    </row>
    <row r="61" spans="1:16" ht="13.5" thickBot="1" x14ac:dyDescent="0.25">
      <c r="B61" s="130" t="s">
        <v>57</v>
      </c>
      <c r="C61" s="131" t="s">
        <v>58</v>
      </c>
      <c r="D61" s="131" t="s">
        <v>59</v>
      </c>
      <c r="E61" s="131" t="s">
        <v>60</v>
      </c>
      <c r="F61" s="131" t="s">
        <v>61</v>
      </c>
      <c r="G61" s="131" t="s">
        <v>62</v>
      </c>
      <c r="H61" s="131" t="s">
        <v>63</v>
      </c>
      <c r="I61" s="132" t="s">
        <v>64</v>
      </c>
      <c r="J61" s="132" t="s">
        <v>65</v>
      </c>
      <c r="K61" s="131" t="s">
        <v>66</v>
      </c>
      <c r="L61" s="131" t="s">
        <v>67</v>
      </c>
      <c r="M61" s="131" t="s">
        <v>68</v>
      </c>
      <c r="N61" s="133" t="s">
        <v>69</v>
      </c>
      <c r="O61" s="134" t="s">
        <v>70</v>
      </c>
      <c r="P61" s="135" t="s">
        <v>71</v>
      </c>
    </row>
    <row r="62" spans="1:16" x14ac:dyDescent="0.2">
      <c r="A62" s="150">
        <v>1</v>
      </c>
      <c r="B62" s="151" t="s">
        <v>72</v>
      </c>
      <c r="C62" s="152">
        <v>317976</v>
      </c>
      <c r="D62" s="152">
        <v>319738</v>
      </c>
      <c r="E62" s="152">
        <v>397618</v>
      </c>
      <c r="F62" s="152">
        <v>381119</v>
      </c>
      <c r="G62" s="152">
        <v>322784</v>
      </c>
      <c r="H62" s="152">
        <v>271332</v>
      </c>
      <c r="I62" s="152">
        <v>274042</v>
      </c>
      <c r="J62" s="152">
        <v>266979</v>
      </c>
      <c r="K62" s="152">
        <v>254906</v>
      </c>
      <c r="L62" s="152">
        <v>271493</v>
      </c>
      <c r="M62" s="152">
        <v>278573</v>
      </c>
      <c r="N62" s="153">
        <v>327352</v>
      </c>
      <c r="O62" s="136">
        <v>3683912</v>
      </c>
      <c r="P62" s="154" t="s">
        <v>73</v>
      </c>
    </row>
    <row r="63" spans="1:16" x14ac:dyDescent="0.2">
      <c r="A63" s="150">
        <v>2</v>
      </c>
      <c r="B63" s="282" t="s">
        <v>99</v>
      </c>
      <c r="C63" s="80">
        <v>317976</v>
      </c>
      <c r="D63" s="80">
        <v>319738</v>
      </c>
      <c r="E63" s="80">
        <v>397618</v>
      </c>
      <c r="F63" s="80">
        <v>381119</v>
      </c>
      <c r="G63" s="80">
        <v>322784</v>
      </c>
      <c r="H63" s="80">
        <v>271332</v>
      </c>
      <c r="I63" s="80">
        <v>274042</v>
      </c>
      <c r="J63" s="80">
        <v>266979</v>
      </c>
      <c r="K63" s="80">
        <v>254906</v>
      </c>
      <c r="L63" s="80">
        <v>271493</v>
      </c>
      <c r="M63" s="80">
        <v>278573</v>
      </c>
      <c r="N63" s="81">
        <v>327352</v>
      </c>
      <c r="O63" s="82">
        <v>3683912</v>
      </c>
      <c r="P63" s="83" t="s">
        <v>73</v>
      </c>
    </row>
    <row r="64" spans="1:16" x14ac:dyDescent="0.2">
      <c r="A64" s="150">
        <v>3</v>
      </c>
      <c r="B64" s="84" t="s">
        <v>75</v>
      </c>
      <c r="C64" s="156">
        <v>1</v>
      </c>
      <c r="D64" s="156">
        <v>1</v>
      </c>
      <c r="E64" s="156">
        <v>1</v>
      </c>
      <c r="F64" s="156">
        <v>1</v>
      </c>
      <c r="G64" s="156">
        <v>1</v>
      </c>
      <c r="H64" s="156">
        <v>1</v>
      </c>
      <c r="I64" s="156">
        <v>1</v>
      </c>
      <c r="J64" s="156">
        <v>1</v>
      </c>
      <c r="K64" s="156">
        <v>1</v>
      </c>
      <c r="L64" s="156">
        <v>1</v>
      </c>
      <c r="M64" s="156">
        <v>1</v>
      </c>
      <c r="N64" s="157">
        <v>1</v>
      </c>
      <c r="O64" s="158" t="s">
        <v>73</v>
      </c>
      <c r="P64" s="159">
        <v>1</v>
      </c>
    </row>
    <row r="65" spans="1:16" x14ac:dyDescent="0.2">
      <c r="A65" s="150">
        <v>4</v>
      </c>
      <c r="B65" s="89" t="s">
        <v>80</v>
      </c>
      <c r="C65" s="101">
        <v>1162</v>
      </c>
      <c r="D65" s="101">
        <v>1376</v>
      </c>
      <c r="E65" s="101">
        <v>1000</v>
      </c>
      <c r="F65" s="101">
        <v>1145</v>
      </c>
      <c r="G65" s="101">
        <v>1280</v>
      </c>
      <c r="H65" s="101">
        <v>1058</v>
      </c>
      <c r="I65" s="101">
        <v>1501</v>
      </c>
      <c r="J65" s="101">
        <v>1500</v>
      </c>
      <c r="K65" s="101">
        <v>1523</v>
      </c>
      <c r="L65" s="101">
        <v>1523</v>
      </c>
      <c r="M65" s="101">
        <v>2075</v>
      </c>
      <c r="N65" s="102">
        <v>1326</v>
      </c>
      <c r="O65" s="103">
        <v>16469</v>
      </c>
      <c r="P65" s="104" t="s">
        <v>73</v>
      </c>
    </row>
    <row r="66" spans="1:16" x14ac:dyDescent="0.2">
      <c r="A66" s="150">
        <v>5</v>
      </c>
      <c r="B66" s="89" t="s">
        <v>81</v>
      </c>
      <c r="C66" s="105">
        <v>316814</v>
      </c>
      <c r="D66" s="105">
        <v>318362</v>
      </c>
      <c r="E66" s="105">
        <v>396618</v>
      </c>
      <c r="F66" s="105">
        <v>379974</v>
      </c>
      <c r="G66" s="105">
        <v>321504</v>
      </c>
      <c r="H66" s="105">
        <v>270274</v>
      </c>
      <c r="I66" s="105">
        <v>272541</v>
      </c>
      <c r="J66" s="105">
        <v>265479</v>
      </c>
      <c r="K66" s="105">
        <v>253383</v>
      </c>
      <c r="L66" s="105">
        <v>269970</v>
      </c>
      <c r="M66" s="105">
        <v>276498</v>
      </c>
      <c r="N66" s="106">
        <v>326026</v>
      </c>
      <c r="O66" s="107">
        <v>3667443</v>
      </c>
      <c r="P66" s="160" t="s">
        <v>73</v>
      </c>
    </row>
    <row r="67" spans="1:16" x14ac:dyDescent="0.2">
      <c r="A67" s="150">
        <v>6</v>
      </c>
      <c r="B67" s="89" t="s">
        <v>82</v>
      </c>
      <c r="C67" s="105">
        <v>316814</v>
      </c>
      <c r="D67" s="105">
        <v>318362</v>
      </c>
      <c r="E67" s="105">
        <v>396618</v>
      </c>
      <c r="F67" s="105">
        <v>379974</v>
      </c>
      <c r="G67" s="105">
        <v>321504</v>
      </c>
      <c r="H67" s="105">
        <v>270274</v>
      </c>
      <c r="I67" s="105">
        <v>261315.8810291664</v>
      </c>
      <c r="J67" s="105">
        <v>253509.94703357905</v>
      </c>
      <c r="K67" s="105">
        <v>241287.62073233607</v>
      </c>
      <c r="L67" s="105">
        <v>257515.3676795325</v>
      </c>
      <c r="M67" s="105">
        <v>266834.11578714428</v>
      </c>
      <c r="N67" s="106">
        <v>314257.91999999993</v>
      </c>
      <c r="O67" s="107">
        <v>3598266.8522617579</v>
      </c>
      <c r="P67" s="160" t="s">
        <v>73</v>
      </c>
    </row>
    <row r="68" spans="1:16" x14ac:dyDescent="0.2">
      <c r="A68" s="150">
        <v>7</v>
      </c>
      <c r="B68" s="89" t="s">
        <v>83</v>
      </c>
      <c r="C68" s="80">
        <v>221769.8</v>
      </c>
      <c r="D68" s="80">
        <v>222853.4</v>
      </c>
      <c r="E68" s="80">
        <v>277632.59999999998</v>
      </c>
      <c r="F68" s="80">
        <v>265981.8</v>
      </c>
      <c r="G68" s="80">
        <v>225052.79999999999</v>
      </c>
      <c r="H68" s="80">
        <v>189191.8</v>
      </c>
      <c r="I68" s="80">
        <v>182921.11672041647</v>
      </c>
      <c r="J68" s="80">
        <v>177456.96292350534</v>
      </c>
      <c r="K68" s="80">
        <v>168901.33451263525</v>
      </c>
      <c r="L68" s="80">
        <v>180260.75737567275</v>
      </c>
      <c r="M68" s="80">
        <v>186783.88105100099</v>
      </c>
      <c r="N68" s="81">
        <v>219980.54399999997</v>
      </c>
      <c r="O68" s="82">
        <v>2518786.7965832306</v>
      </c>
      <c r="P68" s="83" t="s">
        <v>73</v>
      </c>
    </row>
    <row r="69" spans="1:16" x14ac:dyDescent="0.2">
      <c r="A69" s="150">
        <v>8</v>
      </c>
      <c r="B69" s="89" t="s">
        <v>84</v>
      </c>
      <c r="C69" s="80">
        <v>95044.2</v>
      </c>
      <c r="D69" s="80">
        <v>95508.599999999991</v>
      </c>
      <c r="E69" s="80">
        <v>118985.4</v>
      </c>
      <c r="F69" s="80">
        <v>113992.2</v>
      </c>
      <c r="G69" s="80">
        <v>96451.199999999997</v>
      </c>
      <c r="H69" s="80">
        <v>81082.2</v>
      </c>
      <c r="I69" s="80">
        <v>78394.764308749916</v>
      </c>
      <c r="J69" s="80">
        <v>76052.984110073725</v>
      </c>
      <c r="K69" s="80">
        <v>72386.286219700822</v>
      </c>
      <c r="L69" s="80">
        <v>77254.61030385975</v>
      </c>
      <c r="M69" s="80">
        <v>80050.234736143277</v>
      </c>
      <c r="N69" s="81">
        <v>94277.375999999989</v>
      </c>
      <c r="O69" s="82">
        <v>1079480.0556785276</v>
      </c>
      <c r="P69" s="83" t="s">
        <v>73</v>
      </c>
    </row>
    <row r="70" spans="1:16" x14ac:dyDescent="0.2">
      <c r="A70" s="150">
        <v>9</v>
      </c>
      <c r="B70" s="89" t="s">
        <v>86</v>
      </c>
      <c r="C70" s="105">
        <v>0</v>
      </c>
      <c r="D70" s="105">
        <v>0</v>
      </c>
      <c r="E70" s="105">
        <v>0</v>
      </c>
      <c r="F70" s="105">
        <v>0</v>
      </c>
      <c r="G70" s="105">
        <v>0</v>
      </c>
      <c r="H70" s="105">
        <v>0</v>
      </c>
      <c r="I70" s="105">
        <v>11225.118970833602</v>
      </c>
      <c r="J70" s="105">
        <v>11969.052966420946</v>
      </c>
      <c r="K70" s="105">
        <v>12095.379267663928</v>
      </c>
      <c r="L70" s="105">
        <v>12454.632320467499</v>
      </c>
      <c r="M70" s="105">
        <v>9663.8842128557153</v>
      </c>
      <c r="N70" s="106">
        <v>11768.080000000075</v>
      </c>
      <c r="O70" s="107">
        <v>69176.147738241765</v>
      </c>
      <c r="P70" s="160" t="s">
        <v>73</v>
      </c>
    </row>
    <row r="71" spans="1:16" x14ac:dyDescent="0.2">
      <c r="A71" s="150">
        <v>10</v>
      </c>
      <c r="B71" s="89" t="s">
        <v>87</v>
      </c>
      <c r="C71" s="112">
        <v>0</v>
      </c>
      <c r="D71" s="112">
        <v>0</v>
      </c>
      <c r="E71" s="112">
        <v>0</v>
      </c>
      <c r="F71" s="112">
        <v>0</v>
      </c>
      <c r="G71" s="112">
        <v>0</v>
      </c>
      <c r="H71" s="112">
        <v>0</v>
      </c>
      <c r="I71" s="112">
        <v>4.1186900212568392E-2</v>
      </c>
      <c r="J71" s="112">
        <v>4.5084744806259423E-2</v>
      </c>
      <c r="K71" s="112">
        <v>4.773555947977539E-2</v>
      </c>
      <c r="L71" s="112">
        <v>4.6133393786226246E-2</v>
      </c>
      <c r="M71" s="112">
        <v>3.4951009457051103E-2</v>
      </c>
      <c r="N71" s="113">
        <v>3.6095526123683615E-2</v>
      </c>
      <c r="O71" s="158" t="s">
        <v>73</v>
      </c>
      <c r="P71" s="161">
        <v>2.0932261155463681E-2</v>
      </c>
    </row>
    <row r="72" spans="1:16" x14ac:dyDescent="0.2">
      <c r="A72" s="150">
        <v>11</v>
      </c>
      <c r="B72" s="89" t="s">
        <v>88</v>
      </c>
      <c r="C72" s="101">
        <v>273311</v>
      </c>
      <c r="D72" s="101">
        <v>330006</v>
      </c>
      <c r="E72" s="101">
        <v>301925</v>
      </c>
      <c r="F72" s="101">
        <v>349712</v>
      </c>
      <c r="G72" s="101">
        <v>286047</v>
      </c>
      <c r="H72" s="101">
        <v>273624</v>
      </c>
      <c r="I72" s="101">
        <v>255389</v>
      </c>
      <c r="J72" s="101">
        <v>238142</v>
      </c>
      <c r="K72" s="101">
        <v>236236</v>
      </c>
      <c r="L72" s="101">
        <v>242090</v>
      </c>
      <c r="M72" s="101">
        <v>281570</v>
      </c>
      <c r="N72" s="102">
        <v>241217</v>
      </c>
      <c r="O72" s="103">
        <v>3309269</v>
      </c>
      <c r="P72" s="104" t="s">
        <v>73</v>
      </c>
    </row>
    <row r="73" spans="1:16" x14ac:dyDescent="0.2">
      <c r="A73" s="150">
        <v>12</v>
      </c>
      <c r="B73" s="89" t="s">
        <v>89</v>
      </c>
      <c r="C73" s="105">
        <v>43503</v>
      </c>
      <c r="D73" s="105">
        <v>-11644</v>
      </c>
      <c r="E73" s="105">
        <v>94693</v>
      </c>
      <c r="F73" s="105">
        <v>30262</v>
      </c>
      <c r="G73" s="105">
        <v>35457</v>
      </c>
      <c r="H73" s="105">
        <v>-3350</v>
      </c>
      <c r="I73" s="105">
        <v>5926.8810291663976</v>
      </c>
      <c r="J73" s="105">
        <v>15367.947033579054</v>
      </c>
      <c r="K73" s="105">
        <v>5051.6207323360723</v>
      </c>
      <c r="L73" s="105">
        <v>15425.367679532501</v>
      </c>
      <c r="M73" s="105">
        <v>-14735.884212855715</v>
      </c>
      <c r="N73" s="106">
        <v>73040.919999999925</v>
      </c>
      <c r="O73" s="107">
        <v>288997.85226175823</v>
      </c>
      <c r="P73" s="160" t="s">
        <v>73</v>
      </c>
    </row>
    <row r="74" spans="1:16" x14ac:dyDescent="0.2">
      <c r="A74" s="150">
        <v>13</v>
      </c>
      <c r="B74" s="89" t="s">
        <v>90</v>
      </c>
      <c r="C74" s="141">
        <v>0.13731400758804851</v>
      </c>
      <c r="D74" s="141">
        <v>-3.6574716831782685E-2</v>
      </c>
      <c r="E74" s="141">
        <v>0.23875114089627802</v>
      </c>
      <c r="F74" s="141">
        <v>7.9642291314668892E-2</v>
      </c>
      <c r="G74" s="141">
        <v>0.11028478650343386</v>
      </c>
      <c r="H74" s="141">
        <v>-1.2394828951360471E-2</v>
      </c>
      <c r="I74" s="141">
        <v>2.2680906364450453E-2</v>
      </c>
      <c r="J74" s="141">
        <v>6.0620686538755297E-2</v>
      </c>
      <c r="K74" s="141">
        <v>2.0936095755778164E-2</v>
      </c>
      <c r="L74" s="141">
        <v>5.9900765606846228E-2</v>
      </c>
      <c r="M74" s="141">
        <v>-5.5224888202116733E-2</v>
      </c>
      <c r="N74" s="142">
        <v>0.23242348196029536</v>
      </c>
      <c r="O74" s="158" t="s">
        <v>73</v>
      </c>
      <c r="P74" s="143">
        <v>7.1529977378607904E-2</v>
      </c>
    </row>
    <row r="75" spans="1:16" x14ac:dyDescent="0.2">
      <c r="A75" s="150">
        <v>14</v>
      </c>
      <c r="B75" s="89" t="s">
        <v>91</v>
      </c>
      <c r="C75" s="105">
        <v>43503</v>
      </c>
      <c r="D75" s="105">
        <v>-11644</v>
      </c>
      <c r="E75" s="105">
        <v>94693</v>
      </c>
      <c r="F75" s="105">
        <v>30262</v>
      </c>
      <c r="G75" s="105">
        <v>35457</v>
      </c>
      <c r="H75" s="105">
        <v>-3350</v>
      </c>
      <c r="I75" s="105">
        <v>17152</v>
      </c>
      <c r="J75" s="105">
        <v>27337</v>
      </c>
      <c r="K75" s="105">
        <v>17147</v>
      </c>
      <c r="L75" s="105">
        <v>27880</v>
      </c>
      <c r="M75" s="105">
        <v>-5072</v>
      </c>
      <c r="N75" s="106">
        <v>84809</v>
      </c>
      <c r="O75" s="107">
        <v>358174</v>
      </c>
      <c r="P75" s="160" t="s">
        <v>73</v>
      </c>
    </row>
    <row r="76" spans="1:16" x14ac:dyDescent="0.2">
      <c r="A76" s="150">
        <v>15</v>
      </c>
      <c r="B76" s="89" t="s">
        <v>92</v>
      </c>
      <c r="C76" s="141">
        <v>0.13731400758804851</v>
      </c>
      <c r="D76" s="141">
        <v>-3.6574716831782685E-2</v>
      </c>
      <c r="E76" s="141">
        <v>0.23875114089627802</v>
      </c>
      <c r="F76" s="141">
        <v>7.9642291314668892E-2</v>
      </c>
      <c r="G76" s="141">
        <v>0.11028478650343386</v>
      </c>
      <c r="H76" s="141">
        <v>-1.2394828951360471E-2</v>
      </c>
      <c r="I76" s="141">
        <v>6.2933650349855624E-2</v>
      </c>
      <c r="J76" s="141">
        <v>0.10297236316243469</v>
      </c>
      <c r="K76" s="141">
        <v>6.7672258991329337E-2</v>
      </c>
      <c r="L76" s="141">
        <v>0.10327073378523539</v>
      </c>
      <c r="M76" s="141">
        <v>-1.8343713155248863E-2</v>
      </c>
      <c r="N76" s="142">
        <v>0.26012956021912365</v>
      </c>
      <c r="O76" s="158" t="s">
        <v>73</v>
      </c>
      <c r="P76" s="143">
        <v>9.1304794489334665E-2</v>
      </c>
    </row>
    <row r="77" spans="1:16" x14ac:dyDescent="0.2">
      <c r="A77" s="150">
        <v>16</v>
      </c>
      <c r="B77" s="89" t="s">
        <v>30</v>
      </c>
      <c r="C77" s="80">
        <v>665</v>
      </c>
      <c r="D77" s="80">
        <v>707</v>
      </c>
      <c r="E77" s="80">
        <v>814</v>
      </c>
      <c r="F77" s="80">
        <v>772</v>
      </c>
      <c r="G77" s="80">
        <v>650</v>
      </c>
      <c r="H77" s="80">
        <v>581</v>
      </c>
      <c r="I77" s="80">
        <v>570</v>
      </c>
      <c r="J77" s="80">
        <v>548</v>
      </c>
      <c r="K77" s="80">
        <v>551</v>
      </c>
      <c r="L77" s="80">
        <v>545</v>
      </c>
      <c r="M77" s="80">
        <v>584</v>
      </c>
      <c r="N77" s="81">
        <v>721</v>
      </c>
      <c r="O77" s="82">
        <v>814</v>
      </c>
      <c r="P77" s="83" t="s">
        <v>73</v>
      </c>
    </row>
    <row r="78" spans="1:16" x14ac:dyDescent="0.2">
      <c r="A78" s="150">
        <v>17</v>
      </c>
      <c r="B78" s="284" t="s">
        <v>31</v>
      </c>
      <c r="C78" s="80">
        <v>24638</v>
      </c>
      <c r="D78" s="80">
        <v>24323</v>
      </c>
      <c r="E78" s="80">
        <v>31080</v>
      </c>
      <c r="F78" s="80">
        <v>27708</v>
      </c>
      <c r="G78" s="80">
        <v>25144</v>
      </c>
      <c r="H78" s="80">
        <v>20521</v>
      </c>
      <c r="I78" s="80">
        <v>21266</v>
      </c>
      <c r="J78" s="80">
        <v>21037</v>
      </c>
      <c r="K78" s="80">
        <v>20201</v>
      </c>
      <c r="L78" s="80">
        <v>21491</v>
      </c>
      <c r="M78" s="80">
        <v>22292</v>
      </c>
      <c r="N78" s="81">
        <v>26182</v>
      </c>
      <c r="O78" s="82">
        <v>285883</v>
      </c>
      <c r="P78" s="83" t="s">
        <v>73</v>
      </c>
    </row>
    <row r="79" spans="1:16" x14ac:dyDescent="0.2">
      <c r="A79" s="150">
        <v>18</v>
      </c>
      <c r="B79" s="285" t="s">
        <v>94</v>
      </c>
      <c r="C79" s="117">
        <v>12.905917688124037</v>
      </c>
      <c r="D79" s="117">
        <v>13.145500143896724</v>
      </c>
      <c r="E79" s="117">
        <v>12.793371943371943</v>
      </c>
      <c r="F79" s="117">
        <v>13.754836148404793</v>
      </c>
      <c r="G79" s="117">
        <v>12.837416481069042</v>
      </c>
      <c r="H79" s="117">
        <v>13.222162662638272</v>
      </c>
      <c r="I79" s="117">
        <v>12.886391422928618</v>
      </c>
      <c r="J79" s="117">
        <v>12.690925512192804</v>
      </c>
      <c r="K79" s="117">
        <v>12.61848423345379</v>
      </c>
      <c r="L79" s="117">
        <v>12.632869573309758</v>
      </c>
      <c r="M79" s="117">
        <v>12.496545846043423</v>
      </c>
      <c r="N79" s="118">
        <v>12.502940951798946</v>
      </c>
      <c r="O79" s="158" t="s">
        <v>73</v>
      </c>
      <c r="P79" s="145">
        <v>12.873946883936009</v>
      </c>
    </row>
    <row r="80" spans="1:16" ht="13.5" thickBot="1" x14ac:dyDescent="0.25">
      <c r="A80" s="150">
        <v>19</v>
      </c>
      <c r="B80" s="120" t="s">
        <v>33</v>
      </c>
      <c r="C80" s="121">
        <v>1043</v>
      </c>
      <c r="D80" s="121">
        <v>1046</v>
      </c>
      <c r="E80" s="121">
        <v>1049</v>
      </c>
      <c r="F80" s="121">
        <v>1054</v>
      </c>
      <c r="G80" s="121">
        <v>1056</v>
      </c>
      <c r="H80" s="121">
        <v>1061</v>
      </c>
      <c r="I80" s="121">
        <v>1071</v>
      </c>
      <c r="J80" s="121">
        <v>1073</v>
      </c>
      <c r="K80" s="121">
        <v>1083</v>
      </c>
      <c r="L80" s="121">
        <v>1085</v>
      </c>
      <c r="M80" s="121">
        <v>1090</v>
      </c>
      <c r="N80" s="122">
        <v>1097</v>
      </c>
      <c r="O80" s="123" t="s">
        <v>73</v>
      </c>
      <c r="P80" s="123" t="s">
        <v>73</v>
      </c>
    </row>
    <row r="81" spans="1:16" x14ac:dyDescent="0.2">
      <c r="A81" s="150"/>
      <c r="B81" s="124"/>
      <c r="C81" s="125"/>
      <c r="D81" s="125"/>
      <c r="E81" s="125"/>
      <c r="F81" s="125"/>
      <c r="G81" s="125"/>
      <c r="H81" s="125"/>
      <c r="I81" s="126"/>
      <c r="J81" s="126"/>
      <c r="K81" s="127"/>
      <c r="L81" s="127"/>
      <c r="M81" s="127"/>
      <c r="N81" s="127"/>
      <c r="O81" s="127"/>
    </row>
    <row r="82" spans="1:16" ht="13.5" thickBot="1" x14ac:dyDescent="0.25">
      <c r="A82" s="150"/>
      <c r="C82" s="66"/>
      <c r="D82" s="147"/>
      <c r="E82" s="147"/>
      <c r="F82" s="147"/>
      <c r="G82" s="147"/>
      <c r="H82" s="147"/>
      <c r="I82" s="148"/>
      <c r="J82" s="148"/>
      <c r="K82" s="149"/>
      <c r="M82" s="149"/>
      <c r="N82" s="149"/>
      <c r="O82" s="149"/>
    </row>
    <row r="83" spans="1:16" ht="15.75" thickBot="1" x14ac:dyDescent="0.3">
      <c r="A83" s="150"/>
      <c r="B83" s="737" t="s">
        <v>45</v>
      </c>
      <c r="C83" s="738"/>
      <c r="D83" s="738"/>
      <c r="E83" s="738"/>
      <c r="F83" s="738"/>
      <c r="G83" s="738"/>
      <c r="H83" s="738"/>
      <c r="I83" s="738"/>
      <c r="J83" s="738"/>
      <c r="K83" s="738"/>
      <c r="L83" s="738"/>
      <c r="M83" s="738"/>
      <c r="N83" s="738"/>
      <c r="O83" s="738"/>
      <c r="P83" s="739"/>
    </row>
    <row r="84" spans="1:16" ht="13.5" thickBot="1" x14ac:dyDescent="0.25">
      <c r="A84" s="150"/>
      <c r="B84" s="130" t="s">
        <v>57</v>
      </c>
      <c r="C84" s="131" t="s">
        <v>58</v>
      </c>
      <c r="D84" s="131" t="s">
        <v>59</v>
      </c>
      <c r="E84" s="131" t="s">
        <v>60</v>
      </c>
      <c r="F84" s="131" t="s">
        <v>61</v>
      </c>
      <c r="G84" s="131" t="s">
        <v>62</v>
      </c>
      <c r="H84" s="131" t="s">
        <v>63</v>
      </c>
      <c r="I84" s="132" t="s">
        <v>64</v>
      </c>
      <c r="J84" s="132" t="s">
        <v>65</v>
      </c>
      <c r="K84" s="131" t="s">
        <v>66</v>
      </c>
      <c r="L84" s="131" t="s">
        <v>67</v>
      </c>
      <c r="M84" s="131" t="s">
        <v>68</v>
      </c>
      <c r="N84" s="133" t="s">
        <v>69</v>
      </c>
      <c r="O84" s="134" t="s">
        <v>70</v>
      </c>
      <c r="P84" s="135" t="s">
        <v>71</v>
      </c>
    </row>
    <row r="85" spans="1:16" x14ac:dyDescent="0.2">
      <c r="A85" s="150">
        <v>1</v>
      </c>
      <c r="B85" s="162" t="s">
        <v>100</v>
      </c>
      <c r="C85" s="163">
        <v>32252</v>
      </c>
      <c r="D85" s="163">
        <v>28697</v>
      </c>
      <c r="E85" s="163">
        <v>32690</v>
      </c>
      <c r="F85" s="163">
        <v>31182</v>
      </c>
      <c r="G85" s="163">
        <v>28912</v>
      </c>
      <c r="H85" s="163">
        <v>26646</v>
      </c>
      <c r="I85" s="163">
        <v>28099</v>
      </c>
      <c r="J85" s="163">
        <v>27988</v>
      </c>
      <c r="K85" s="163">
        <v>27311</v>
      </c>
      <c r="L85" s="163">
        <v>28863.75</v>
      </c>
      <c r="M85" s="163">
        <v>27429</v>
      </c>
      <c r="N85" s="164">
        <v>28069.5</v>
      </c>
      <c r="O85" s="136">
        <v>348139.25</v>
      </c>
      <c r="P85" s="165" t="s">
        <v>73</v>
      </c>
    </row>
    <row r="86" spans="1:16" x14ac:dyDescent="0.2">
      <c r="A86" s="150">
        <v>2</v>
      </c>
      <c r="B86" s="282" t="s">
        <v>99</v>
      </c>
      <c r="C86" s="80">
        <v>32252</v>
      </c>
      <c r="D86" s="80">
        <v>28697</v>
      </c>
      <c r="E86" s="80">
        <v>17308.7</v>
      </c>
      <c r="F86" s="80">
        <v>15591</v>
      </c>
      <c r="G86" s="80">
        <v>14089</v>
      </c>
      <c r="H86" s="80">
        <v>13323</v>
      </c>
      <c r="I86" s="80">
        <v>14049.5</v>
      </c>
      <c r="J86" s="80">
        <v>6997</v>
      </c>
      <c r="K86" s="80">
        <v>6827.75</v>
      </c>
      <c r="L86" s="80">
        <v>7552.5</v>
      </c>
      <c r="M86" s="80">
        <v>6850.5</v>
      </c>
      <c r="N86" s="81">
        <v>7020.25</v>
      </c>
      <c r="O86" s="82">
        <v>170558.2</v>
      </c>
      <c r="P86" s="83" t="s">
        <v>73</v>
      </c>
    </row>
    <row r="87" spans="1:16" x14ac:dyDescent="0.2">
      <c r="A87" s="150">
        <v>3</v>
      </c>
      <c r="B87" s="84" t="s">
        <v>75</v>
      </c>
      <c r="C87" s="166">
        <v>1</v>
      </c>
      <c r="D87" s="166">
        <v>1</v>
      </c>
      <c r="E87" s="166">
        <v>0.52947996329152647</v>
      </c>
      <c r="F87" s="166">
        <v>0.5</v>
      </c>
      <c r="G87" s="166">
        <v>0.48730630879911457</v>
      </c>
      <c r="H87" s="166">
        <v>0.5</v>
      </c>
      <c r="I87" s="166">
        <v>0.5</v>
      </c>
      <c r="J87" s="166">
        <v>0.25</v>
      </c>
      <c r="K87" s="166">
        <v>0.25</v>
      </c>
      <c r="L87" s="166">
        <v>0.26166038716383005</v>
      </c>
      <c r="M87" s="166">
        <v>0.24975391009515477</v>
      </c>
      <c r="N87" s="167">
        <v>0.25010242433958568</v>
      </c>
      <c r="O87" s="158" t="s">
        <v>73</v>
      </c>
      <c r="P87" s="143">
        <v>0.48152524947410097</v>
      </c>
    </row>
    <row r="88" spans="1:16" x14ac:dyDescent="0.2">
      <c r="A88" s="150">
        <v>4</v>
      </c>
      <c r="B88" s="282" t="s">
        <v>101</v>
      </c>
      <c r="C88" s="168">
        <v>0</v>
      </c>
      <c r="D88" s="168">
        <v>0</v>
      </c>
      <c r="E88" s="168">
        <v>15381.3</v>
      </c>
      <c r="F88" s="168">
        <v>15591</v>
      </c>
      <c r="G88" s="168">
        <v>14823</v>
      </c>
      <c r="H88" s="168">
        <v>13323</v>
      </c>
      <c r="I88" s="168">
        <v>14049.5</v>
      </c>
      <c r="J88" s="168">
        <v>20991</v>
      </c>
      <c r="K88" s="168">
        <v>20483.25</v>
      </c>
      <c r="L88" s="168">
        <v>21311.25</v>
      </c>
      <c r="M88" s="168">
        <v>20578.5</v>
      </c>
      <c r="N88" s="169">
        <v>21049.25</v>
      </c>
      <c r="O88" s="170">
        <v>177581.05</v>
      </c>
      <c r="P88" s="170" t="s">
        <v>73</v>
      </c>
    </row>
    <row r="89" spans="1:16" x14ac:dyDescent="0.2">
      <c r="A89" s="150">
        <v>5</v>
      </c>
      <c r="B89" s="84" t="s">
        <v>102</v>
      </c>
      <c r="C89" s="94">
        <v>0</v>
      </c>
      <c r="D89" s="94">
        <v>0</v>
      </c>
      <c r="E89" s="94">
        <v>0.47052003670847353</v>
      </c>
      <c r="F89" s="94">
        <v>0.5</v>
      </c>
      <c r="G89" s="94">
        <v>0.51269369120088548</v>
      </c>
      <c r="H89" s="94">
        <v>0.5</v>
      </c>
      <c r="I89" s="94">
        <v>0.5</v>
      </c>
      <c r="J89" s="94">
        <v>0.75</v>
      </c>
      <c r="K89" s="94">
        <v>0.75</v>
      </c>
      <c r="L89" s="94">
        <v>0.73833961283616989</v>
      </c>
      <c r="M89" s="94">
        <v>0.7502460899048452</v>
      </c>
      <c r="N89" s="95">
        <v>0.74989757566041437</v>
      </c>
      <c r="O89" s="158" t="s">
        <v>73</v>
      </c>
      <c r="P89" s="139">
        <v>0.51847475052589898</v>
      </c>
    </row>
    <row r="90" spans="1:16" x14ac:dyDescent="0.2">
      <c r="A90" s="150">
        <v>6</v>
      </c>
      <c r="B90" s="89" t="s">
        <v>80</v>
      </c>
      <c r="C90" s="101">
        <v>16321</v>
      </c>
      <c r="D90" s="101">
        <v>14526</v>
      </c>
      <c r="E90" s="101">
        <v>12826</v>
      </c>
      <c r="F90" s="101">
        <v>14039</v>
      </c>
      <c r="G90" s="101">
        <v>13059</v>
      </c>
      <c r="H90" s="101">
        <v>11279</v>
      </c>
      <c r="I90" s="101">
        <v>12718</v>
      </c>
      <c r="J90" s="101">
        <v>12717</v>
      </c>
      <c r="K90" s="101">
        <v>15906</v>
      </c>
      <c r="L90" s="101">
        <v>15044</v>
      </c>
      <c r="M90" s="101">
        <v>13097</v>
      </c>
      <c r="N90" s="102">
        <v>15808</v>
      </c>
      <c r="O90" s="103">
        <v>167340</v>
      </c>
      <c r="P90" s="104" t="s">
        <v>73</v>
      </c>
    </row>
    <row r="91" spans="1:16" x14ac:dyDescent="0.2">
      <c r="A91" s="150">
        <v>7</v>
      </c>
      <c r="B91" s="89" t="s">
        <v>81</v>
      </c>
      <c r="C91" s="105">
        <v>15931</v>
      </c>
      <c r="D91" s="105">
        <v>14171</v>
      </c>
      <c r="E91" s="105">
        <v>19864</v>
      </c>
      <c r="F91" s="105">
        <v>17143</v>
      </c>
      <c r="G91" s="105">
        <v>15853</v>
      </c>
      <c r="H91" s="105">
        <v>15367</v>
      </c>
      <c r="I91" s="105">
        <v>15381</v>
      </c>
      <c r="J91" s="105">
        <v>15271</v>
      </c>
      <c r="K91" s="105">
        <v>11405</v>
      </c>
      <c r="L91" s="105">
        <v>13819.75</v>
      </c>
      <c r="M91" s="105">
        <v>14332</v>
      </c>
      <c r="N91" s="106">
        <v>12261.5</v>
      </c>
      <c r="O91" s="107">
        <v>180799.25</v>
      </c>
      <c r="P91" s="140" t="s">
        <v>73</v>
      </c>
    </row>
    <row r="92" spans="1:16" x14ac:dyDescent="0.2">
      <c r="A92" s="150">
        <v>8</v>
      </c>
      <c r="B92" s="89" t="s">
        <v>82</v>
      </c>
      <c r="C92" s="109">
        <v>15931</v>
      </c>
      <c r="D92" s="109">
        <v>14171</v>
      </c>
      <c r="E92" s="109">
        <v>19864</v>
      </c>
      <c r="F92" s="109">
        <v>17143</v>
      </c>
      <c r="G92" s="109">
        <v>15853</v>
      </c>
      <c r="H92" s="109">
        <v>15367</v>
      </c>
      <c r="I92" s="109">
        <v>15381</v>
      </c>
      <c r="J92" s="109">
        <v>15271</v>
      </c>
      <c r="K92" s="109">
        <v>11405</v>
      </c>
      <c r="L92" s="109">
        <v>13819.75</v>
      </c>
      <c r="M92" s="109">
        <v>14332</v>
      </c>
      <c r="N92" s="110">
        <v>12261.5</v>
      </c>
      <c r="O92" s="111">
        <v>180799.25</v>
      </c>
      <c r="P92" s="171" t="s">
        <v>73</v>
      </c>
    </row>
    <row r="93" spans="1:16" x14ac:dyDescent="0.2">
      <c r="A93" s="150">
        <v>9</v>
      </c>
      <c r="B93" s="89" t="s">
        <v>83</v>
      </c>
      <c r="C93" s="80">
        <v>15931</v>
      </c>
      <c r="D93" s="80">
        <v>14171</v>
      </c>
      <c r="E93" s="80">
        <v>19864</v>
      </c>
      <c r="F93" s="80">
        <v>17143</v>
      </c>
      <c r="G93" s="80">
        <v>15853</v>
      </c>
      <c r="H93" s="80">
        <v>15367</v>
      </c>
      <c r="I93" s="80">
        <v>15381</v>
      </c>
      <c r="J93" s="80">
        <v>15271</v>
      </c>
      <c r="K93" s="80">
        <v>11405</v>
      </c>
      <c r="L93" s="80">
        <v>13819.75</v>
      </c>
      <c r="M93" s="80">
        <v>14332</v>
      </c>
      <c r="N93" s="81">
        <v>12261.5</v>
      </c>
      <c r="O93" s="82">
        <v>180799.25</v>
      </c>
      <c r="P93" s="83" t="s">
        <v>73</v>
      </c>
    </row>
    <row r="94" spans="1:16" x14ac:dyDescent="0.2">
      <c r="A94" s="150">
        <v>10</v>
      </c>
      <c r="B94" s="89" t="s">
        <v>86</v>
      </c>
      <c r="C94" s="105">
        <v>0</v>
      </c>
      <c r="D94" s="105">
        <v>0</v>
      </c>
      <c r="E94" s="105">
        <v>0</v>
      </c>
      <c r="F94" s="105">
        <v>0</v>
      </c>
      <c r="G94" s="105">
        <v>0</v>
      </c>
      <c r="H94" s="105">
        <v>0</v>
      </c>
      <c r="I94" s="105">
        <v>0</v>
      </c>
      <c r="J94" s="105">
        <v>0</v>
      </c>
      <c r="K94" s="105">
        <v>0</v>
      </c>
      <c r="L94" s="105">
        <v>0</v>
      </c>
      <c r="M94" s="105">
        <v>0</v>
      </c>
      <c r="N94" s="106">
        <v>0</v>
      </c>
      <c r="O94" s="107">
        <v>0</v>
      </c>
      <c r="P94" s="140" t="s">
        <v>73</v>
      </c>
    </row>
    <row r="95" spans="1:16" x14ac:dyDescent="0.2">
      <c r="A95" s="150">
        <v>11</v>
      </c>
      <c r="B95" s="89" t="s">
        <v>87</v>
      </c>
      <c r="C95" s="112">
        <v>0</v>
      </c>
      <c r="D95" s="112">
        <v>0</v>
      </c>
      <c r="E95" s="112">
        <v>0</v>
      </c>
      <c r="F95" s="112">
        <v>0</v>
      </c>
      <c r="G95" s="112">
        <v>0</v>
      </c>
      <c r="H95" s="112">
        <v>0</v>
      </c>
      <c r="I95" s="112">
        <v>0</v>
      </c>
      <c r="J95" s="112">
        <v>0</v>
      </c>
      <c r="K95" s="112">
        <v>0</v>
      </c>
      <c r="L95" s="112">
        <v>0</v>
      </c>
      <c r="M95" s="112">
        <v>0</v>
      </c>
      <c r="N95" s="113">
        <v>0</v>
      </c>
      <c r="O95" s="158" t="s">
        <v>73</v>
      </c>
      <c r="P95" s="161">
        <v>0</v>
      </c>
    </row>
    <row r="96" spans="1:16" x14ac:dyDescent="0.2">
      <c r="A96" s="150">
        <v>12</v>
      </c>
      <c r="B96" s="89" t="s">
        <v>88</v>
      </c>
      <c r="C96" s="101">
        <v>12010</v>
      </c>
      <c r="D96" s="101">
        <v>11697</v>
      </c>
      <c r="E96" s="101">
        <v>11689</v>
      </c>
      <c r="F96" s="101">
        <v>11725</v>
      </c>
      <c r="G96" s="101">
        <v>10905</v>
      </c>
      <c r="H96" s="101">
        <v>10688</v>
      </c>
      <c r="I96" s="101">
        <v>10405</v>
      </c>
      <c r="J96" s="101">
        <v>10068</v>
      </c>
      <c r="K96" s="101">
        <v>9605</v>
      </c>
      <c r="L96" s="101">
        <v>9997</v>
      </c>
      <c r="M96" s="101">
        <v>11044</v>
      </c>
      <c r="N96" s="102">
        <v>11186</v>
      </c>
      <c r="O96" s="103">
        <v>131019</v>
      </c>
      <c r="P96" s="104" t="s">
        <v>73</v>
      </c>
    </row>
    <row r="97" spans="1:16" x14ac:dyDescent="0.2">
      <c r="A97" s="150">
        <v>13</v>
      </c>
      <c r="B97" s="89" t="s">
        <v>89</v>
      </c>
      <c r="C97" s="105">
        <v>3921</v>
      </c>
      <c r="D97" s="105">
        <v>2474</v>
      </c>
      <c r="E97" s="105">
        <v>8175</v>
      </c>
      <c r="F97" s="105">
        <v>5418</v>
      </c>
      <c r="G97" s="105">
        <v>4948</v>
      </c>
      <c r="H97" s="105">
        <v>4679</v>
      </c>
      <c r="I97" s="105">
        <v>4976</v>
      </c>
      <c r="J97" s="105">
        <v>5203</v>
      </c>
      <c r="K97" s="105">
        <v>1800</v>
      </c>
      <c r="L97" s="105">
        <v>3822.75</v>
      </c>
      <c r="M97" s="105">
        <v>3288</v>
      </c>
      <c r="N97" s="106">
        <v>1075.5</v>
      </c>
      <c r="O97" s="107">
        <v>49780.25</v>
      </c>
      <c r="P97" s="140" t="s">
        <v>73</v>
      </c>
    </row>
    <row r="98" spans="1:16" x14ac:dyDescent="0.2">
      <c r="A98" s="150">
        <v>14</v>
      </c>
      <c r="B98" s="89" t="s">
        <v>90</v>
      </c>
      <c r="C98" s="112">
        <v>0.24612390935911116</v>
      </c>
      <c r="D98" s="112">
        <v>0.17458189259755838</v>
      </c>
      <c r="E98" s="112">
        <v>0.41154853000402741</v>
      </c>
      <c r="F98" s="112">
        <v>0.31604736627194774</v>
      </c>
      <c r="G98" s="112">
        <v>0.31211758026871883</v>
      </c>
      <c r="H98" s="112">
        <v>0.30448363376065596</v>
      </c>
      <c r="I98" s="112">
        <v>0.32351602626617254</v>
      </c>
      <c r="J98" s="112">
        <v>0.34071115185645995</v>
      </c>
      <c r="K98" s="112">
        <v>0.15782551512494519</v>
      </c>
      <c r="L98" s="112">
        <v>0.27661498941731943</v>
      </c>
      <c r="M98" s="112">
        <v>0.22941668992464415</v>
      </c>
      <c r="N98" s="113">
        <v>8.7713575011213962E-2</v>
      </c>
      <c r="O98" s="158" t="s">
        <v>73</v>
      </c>
      <c r="P98" s="161">
        <v>0.26505840498856459</v>
      </c>
    </row>
    <row r="99" spans="1:16" x14ac:dyDescent="0.2">
      <c r="A99" s="150">
        <v>15</v>
      </c>
      <c r="B99" s="89" t="s">
        <v>91</v>
      </c>
      <c r="C99" s="105">
        <v>3921</v>
      </c>
      <c r="D99" s="105">
        <v>2474</v>
      </c>
      <c r="E99" s="105">
        <v>8175</v>
      </c>
      <c r="F99" s="105">
        <v>5418</v>
      </c>
      <c r="G99" s="105">
        <v>4948</v>
      </c>
      <c r="H99" s="105">
        <v>4679</v>
      </c>
      <c r="I99" s="105">
        <v>4976</v>
      </c>
      <c r="J99" s="105">
        <v>5203</v>
      </c>
      <c r="K99" s="105">
        <v>1800</v>
      </c>
      <c r="L99" s="105">
        <v>3822.75</v>
      </c>
      <c r="M99" s="105">
        <v>3288</v>
      </c>
      <c r="N99" s="106">
        <v>1075.5</v>
      </c>
      <c r="O99" s="107">
        <v>49780.25</v>
      </c>
      <c r="P99" s="140" t="s">
        <v>73</v>
      </c>
    </row>
    <row r="100" spans="1:16" x14ac:dyDescent="0.2">
      <c r="A100" s="150">
        <v>16</v>
      </c>
      <c r="B100" s="89" t="s">
        <v>92</v>
      </c>
      <c r="C100" s="141">
        <v>0.24612390935911116</v>
      </c>
      <c r="D100" s="141">
        <v>0.17458189259755838</v>
      </c>
      <c r="E100" s="141">
        <v>0.41154853000402741</v>
      </c>
      <c r="F100" s="141">
        <v>0.31604736627194774</v>
      </c>
      <c r="G100" s="141">
        <v>0.31211758026871883</v>
      </c>
      <c r="H100" s="141">
        <v>0.30448363376065596</v>
      </c>
      <c r="I100" s="141">
        <v>0.32351602626617254</v>
      </c>
      <c r="J100" s="141">
        <v>0.34071115185645995</v>
      </c>
      <c r="K100" s="141">
        <v>0.15782551512494519</v>
      </c>
      <c r="L100" s="141">
        <v>0.27661498941731943</v>
      </c>
      <c r="M100" s="141">
        <v>0.22941668992464415</v>
      </c>
      <c r="N100" s="142">
        <v>8.7713575011213962E-2</v>
      </c>
      <c r="O100" s="158" t="s">
        <v>73</v>
      </c>
      <c r="P100" s="143">
        <v>0.26505840498856459</v>
      </c>
    </row>
    <row r="101" spans="1:16" x14ac:dyDescent="0.2">
      <c r="A101" s="150">
        <v>17</v>
      </c>
      <c r="B101" s="89" t="s">
        <v>30</v>
      </c>
      <c r="C101" s="80">
        <v>58</v>
      </c>
      <c r="D101" s="80">
        <v>60</v>
      </c>
      <c r="E101" s="80">
        <v>60</v>
      </c>
      <c r="F101" s="80">
        <v>58</v>
      </c>
      <c r="G101" s="80">
        <v>54</v>
      </c>
      <c r="H101" s="80">
        <v>50</v>
      </c>
      <c r="I101" s="80">
        <v>49</v>
      </c>
      <c r="J101" s="80">
        <v>55</v>
      </c>
      <c r="K101" s="80">
        <v>52</v>
      </c>
      <c r="L101" s="80">
        <v>51</v>
      </c>
      <c r="M101" s="80">
        <v>58</v>
      </c>
      <c r="N101" s="81">
        <v>53</v>
      </c>
      <c r="O101" s="82">
        <v>60</v>
      </c>
      <c r="P101" s="83" t="s">
        <v>73</v>
      </c>
    </row>
    <row r="102" spans="1:16" x14ac:dyDescent="0.2">
      <c r="A102" s="150">
        <v>18</v>
      </c>
      <c r="B102" s="284" t="s">
        <v>31</v>
      </c>
      <c r="C102" s="80">
        <v>2689</v>
      </c>
      <c r="D102" s="80">
        <v>2408</v>
      </c>
      <c r="E102" s="80">
        <v>1477.8000000000002</v>
      </c>
      <c r="F102" s="80">
        <v>1370</v>
      </c>
      <c r="G102" s="80">
        <v>1266</v>
      </c>
      <c r="H102" s="80">
        <v>1164</v>
      </c>
      <c r="I102" s="80">
        <v>1221.5</v>
      </c>
      <c r="J102" s="80">
        <v>621.5</v>
      </c>
      <c r="K102" s="80">
        <v>615</v>
      </c>
      <c r="L102" s="80">
        <v>641.75</v>
      </c>
      <c r="M102" s="80">
        <v>617.25</v>
      </c>
      <c r="N102" s="81">
        <v>628.5</v>
      </c>
      <c r="O102" s="82">
        <v>14720.3</v>
      </c>
      <c r="P102" s="83" t="s">
        <v>73</v>
      </c>
    </row>
    <row r="103" spans="1:16" x14ac:dyDescent="0.2">
      <c r="A103" s="150">
        <v>19</v>
      </c>
      <c r="B103" s="285" t="s">
        <v>103</v>
      </c>
      <c r="C103" s="172">
        <v>11.994049832651543</v>
      </c>
      <c r="D103" s="172">
        <v>11.91735880398671</v>
      </c>
      <c r="E103" s="172">
        <v>11.712478007849505</v>
      </c>
      <c r="F103" s="172">
        <v>11.38029197080292</v>
      </c>
      <c r="G103" s="172">
        <v>11.128751974723539</v>
      </c>
      <c r="H103" s="172">
        <v>11.445876288659793</v>
      </c>
      <c r="I103" s="172">
        <v>11.501841997544004</v>
      </c>
      <c r="J103" s="172">
        <v>11.25824617860016</v>
      </c>
      <c r="K103" s="172">
        <v>11.102032520325203</v>
      </c>
      <c r="L103" s="172">
        <v>11.768601480327231</v>
      </c>
      <c r="M103" s="172">
        <v>11.098420413122721</v>
      </c>
      <c r="N103" s="173">
        <v>11.169848846459825</v>
      </c>
      <c r="O103" s="158" t="s">
        <v>73</v>
      </c>
      <c r="P103" s="174">
        <v>11.456483192921096</v>
      </c>
    </row>
    <row r="104" spans="1:16" x14ac:dyDescent="0.2">
      <c r="A104" s="150">
        <v>20</v>
      </c>
      <c r="B104" s="284" t="s">
        <v>104</v>
      </c>
      <c r="C104" s="80">
        <v>0</v>
      </c>
      <c r="D104" s="80">
        <v>0</v>
      </c>
      <c r="E104" s="80">
        <v>1317.1999999999998</v>
      </c>
      <c r="F104" s="80">
        <v>1286</v>
      </c>
      <c r="G104" s="80">
        <v>1266</v>
      </c>
      <c r="H104" s="80">
        <v>1164</v>
      </c>
      <c r="I104" s="80">
        <v>1221.5</v>
      </c>
      <c r="J104" s="80">
        <v>1864.5</v>
      </c>
      <c r="K104" s="80">
        <v>1845</v>
      </c>
      <c r="L104" s="80">
        <v>1925.75</v>
      </c>
      <c r="M104" s="80">
        <v>1851.75</v>
      </c>
      <c r="N104" s="81">
        <v>1885.5</v>
      </c>
      <c r="O104" s="82">
        <v>15627.2</v>
      </c>
      <c r="P104" s="83" t="s">
        <v>73</v>
      </c>
    </row>
    <row r="105" spans="1:16" x14ac:dyDescent="0.2">
      <c r="A105" s="150">
        <v>21</v>
      </c>
      <c r="B105" s="285" t="s">
        <v>105</v>
      </c>
      <c r="C105" s="117">
        <v>0</v>
      </c>
      <c r="D105" s="117">
        <v>0</v>
      </c>
      <c r="E105" s="117">
        <v>11.67726996659581</v>
      </c>
      <c r="F105" s="117">
        <v>12.123639191290824</v>
      </c>
      <c r="G105" s="117">
        <v>11.708530805687204</v>
      </c>
      <c r="H105" s="117">
        <v>11.445876288659793</v>
      </c>
      <c r="I105" s="117">
        <v>11.501841997544004</v>
      </c>
      <c r="J105" s="117">
        <v>11.25824617860016</v>
      </c>
      <c r="K105" s="117">
        <v>11.102032520325203</v>
      </c>
      <c r="L105" s="117">
        <v>11.06646761002207</v>
      </c>
      <c r="M105" s="117">
        <v>11.113001215066829</v>
      </c>
      <c r="N105" s="118">
        <v>11.163749668522938</v>
      </c>
      <c r="O105" s="158" t="s">
        <v>73</v>
      </c>
      <c r="P105" s="145">
        <v>9.5133879535262373</v>
      </c>
    </row>
    <row r="106" spans="1:16" ht="13.5" thickBot="1" x14ac:dyDescent="0.25">
      <c r="A106" s="150">
        <v>22</v>
      </c>
      <c r="B106" s="120" t="s">
        <v>33</v>
      </c>
      <c r="C106" s="175">
        <v>69</v>
      </c>
      <c r="D106" s="175">
        <v>69</v>
      </c>
      <c r="E106" s="175">
        <v>69</v>
      </c>
      <c r="F106" s="175">
        <v>69</v>
      </c>
      <c r="G106" s="175">
        <v>69</v>
      </c>
      <c r="H106" s="175">
        <v>69</v>
      </c>
      <c r="I106" s="175">
        <v>68</v>
      </c>
      <c r="J106" s="175">
        <v>68</v>
      </c>
      <c r="K106" s="175">
        <v>68</v>
      </c>
      <c r="L106" s="175">
        <v>68</v>
      </c>
      <c r="M106" s="175">
        <v>68</v>
      </c>
      <c r="N106" s="176">
        <v>69</v>
      </c>
      <c r="O106" s="177" t="s">
        <v>73</v>
      </c>
      <c r="P106" s="177" t="s">
        <v>73</v>
      </c>
    </row>
    <row r="107" spans="1:16" x14ac:dyDescent="0.2">
      <c r="A107" s="150"/>
      <c r="B107" s="124"/>
      <c r="C107" s="125"/>
      <c r="D107" s="125"/>
      <c r="E107" s="125"/>
      <c r="F107" s="125"/>
      <c r="G107" s="125"/>
      <c r="H107" s="125"/>
      <c r="I107" s="126"/>
      <c r="J107" s="126"/>
      <c r="K107" s="127"/>
      <c r="L107" s="127"/>
      <c r="M107" s="127"/>
      <c r="N107" s="127"/>
      <c r="O107" s="127"/>
    </row>
    <row r="108" spans="1:16" x14ac:dyDescent="0.2">
      <c r="A108" s="150"/>
      <c r="B108" s="124"/>
      <c r="C108" s="125"/>
      <c r="D108" s="125"/>
      <c r="E108" s="125"/>
      <c r="F108" s="125"/>
      <c r="G108" s="125"/>
      <c r="H108" s="125"/>
      <c r="I108" s="126"/>
      <c r="J108" s="126"/>
      <c r="K108" s="127"/>
      <c r="L108" s="127"/>
      <c r="M108" s="127"/>
      <c r="N108" s="127"/>
      <c r="O108" s="127"/>
    </row>
    <row r="109" spans="1:16" x14ac:dyDescent="0.2">
      <c r="A109" s="150"/>
      <c r="B109" s="124"/>
      <c r="C109" s="125"/>
      <c r="D109" s="125"/>
      <c r="E109" s="125"/>
      <c r="F109" s="125"/>
      <c r="G109" s="125"/>
      <c r="H109" s="125"/>
      <c r="I109" s="126"/>
      <c r="J109" s="126"/>
      <c r="K109" s="127"/>
      <c r="L109" s="127"/>
      <c r="M109" s="127"/>
      <c r="N109" s="127"/>
      <c r="O109" s="127"/>
    </row>
    <row r="110" spans="1:16" x14ac:dyDescent="0.2">
      <c r="A110" s="150"/>
      <c r="B110" s="124"/>
      <c r="C110" s="125"/>
      <c r="D110" s="125"/>
      <c r="E110" s="125"/>
      <c r="F110" s="125"/>
      <c r="G110" s="125"/>
      <c r="H110" s="125"/>
      <c r="I110" s="126"/>
      <c r="J110" s="126"/>
      <c r="K110" s="127"/>
      <c r="L110" s="127"/>
      <c r="M110" s="127"/>
      <c r="N110" s="127"/>
      <c r="O110" s="127"/>
    </row>
    <row r="111" spans="1:16" x14ac:dyDescent="0.2">
      <c r="A111" s="150"/>
      <c r="B111" s="124"/>
      <c r="C111" s="178"/>
      <c r="D111" s="125"/>
      <c r="E111" s="125"/>
      <c r="F111" s="125"/>
      <c r="G111" s="125"/>
      <c r="H111" s="125"/>
      <c r="I111" s="126"/>
      <c r="J111" s="126"/>
      <c r="K111" s="127"/>
      <c r="L111" s="127"/>
      <c r="M111" s="127"/>
      <c r="N111" s="127"/>
      <c r="O111" s="127"/>
    </row>
    <row r="112" spans="1:16" x14ac:dyDescent="0.2">
      <c r="A112" s="150"/>
      <c r="B112" s="736" t="s">
        <v>0</v>
      </c>
      <c r="C112" s="736"/>
      <c r="D112" s="736"/>
      <c r="E112" s="736"/>
      <c r="F112" s="736"/>
      <c r="G112" s="736"/>
      <c r="H112" s="736"/>
      <c r="I112" s="736"/>
      <c r="J112" s="736"/>
      <c r="K112" s="736"/>
      <c r="L112" s="736"/>
      <c r="M112" s="736"/>
      <c r="N112" s="736"/>
      <c r="O112" s="736"/>
    </row>
    <row r="113" spans="1:17" x14ac:dyDescent="0.2">
      <c r="A113" s="150"/>
      <c r="B113" s="736" t="s">
        <v>106</v>
      </c>
      <c r="C113" s="736"/>
      <c r="D113" s="736"/>
      <c r="E113" s="736"/>
      <c r="F113" s="736"/>
      <c r="G113" s="736"/>
      <c r="H113" s="736"/>
      <c r="I113" s="736"/>
      <c r="J113" s="736"/>
      <c r="K113" s="736"/>
      <c r="L113" s="736"/>
      <c r="M113" s="736"/>
      <c r="N113" s="736"/>
      <c r="O113" s="736"/>
    </row>
    <row r="114" spans="1:17" ht="13.5" thickBot="1" x14ac:dyDescent="0.25">
      <c r="A114" s="150"/>
      <c r="C114" s="147"/>
      <c r="D114" s="147"/>
      <c r="E114" s="147"/>
      <c r="F114" s="147"/>
      <c r="G114" s="147"/>
      <c r="H114" s="147"/>
      <c r="I114" s="148"/>
      <c r="J114" s="148"/>
      <c r="K114" s="149"/>
      <c r="M114" s="149"/>
      <c r="N114" s="149"/>
      <c r="O114" s="149"/>
    </row>
    <row r="115" spans="1:17" ht="13.5" thickBot="1" x14ac:dyDescent="0.25">
      <c r="A115" s="150"/>
      <c r="B115" s="740" t="s">
        <v>52</v>
      </c>
      <c r="C115" s="741"/>
      <c r="D115" s="741"/>
      <c r="E115" s="741"/>
      <c r="F115" s="741"/>
      <c r="G115" s="741"/>
      <c r="H115" s="741"/>
      <c r="I115" s="741"/>
      <c r="J115" s="741"/>
      <c r="K115" s="741"/>
      <c r="L115" s="741"/>
      <c r="M115" s="741"/>
      <c r="N115" s="741"/>
      <c r="O115" s="741"/>
      <c r="P115" s="742"/>
    </row>
    <row r="116" spans="1:17" ht="13.5" thickBot="1" x14ac:dyDescent="0.25">
      <c r="A116" s="150"/>
      <c r="B116" s="130" t="s">
        <v>57</v>
      </c>
      <c r="C116" s="131" t="s">
        <v>58</v>
      </c>
      <c r="D116" s="131" t="s">
        <v>59</v>
      </c>
      <c r="E116" s="131" t="s">
        <v>60</v>
      </c>
      <c r="F116" s="131" t="s">
        <v>61</v>
      </c>
      <c r="G116" s="131" t="s">
        <v>62</v>
      </c>
      <c r="H116" s="131" t="s">
        <v>63</v>
      </c>
      <c r="I116" s="132" t="s">
        <v>64</v>
      </c>
      <c r="J116" s="132" t="s">
        <v>65</v>
      </c>
      <c r="K116" s="131" t="s">
        <v>66</v>
      </c>
      <c r="L116" s="131" t="s">
        <v>67</v>
      </c>
      <c r="M116" s="131" t="s">
        <v>68</v>
      </c>
      <c r="N116" s="133" t="s">
        <v>69</v>
      </c>
      <c r="O116" s="134" t="s">
        <v>70</v>
      </c>
      <c r="P116" s="134" t="s">
        <v>71</v>
      </c>
      <c r="Q116" s="179"/>
    </row>
    <row r="117" spans="1:17" x14ac:dyDescent="0.2">
      <c r="A117" s="150">
        <v>1</v>
      </c>
      <c r="B117" s="89" t="s">
        <v>100</v>
      </c>
      <c r="C117" s="105">
        <v>3668137</v>
      </c>
      <c r="D117" s="105">
        <v>3505021</v>
      </c>
      <c r="E117" s="105">
        <v>4110069</v>
      </c>
      <c r="F117" s="105">
        <v>3955963</v>
      </c>
      <c r="G117" s="105">
        <v>3562893</v>
      </c>
      <c r="H117" s="105">
        <v>3083523</v>
      </c>
      <c r="I117" s="105">
        <v>3081301</v>
      </c>
      <c r="J117" s="105">
        <v>2985011</v>
      </c>
      <c r="K117" s="105">
        <v>2850903</v>
      </c>
      <c r="L117" s="105">
        <v>3033846.75</v>
      </c>
      <c r="M117" s="105">
        <v>3080193</v>
      </c>
      <c r="N117" s="106">
        <v>3586709.56</v>
      </c>
      <c r="O117" s="136">
        <v>40503570.310000002</v>
      </c>
      <c r="P117" s="180" t="s">
        <v>73</v>
      </c>
      <c r="Q117" s="179"/>
    </row>
    <row r="118" spans="1:17" x14ac:dyDescent="0.2">
      <c r="A118" s="150">
        <v>2</v>
      </c>
      <c r="B118" s="155" t="s">
        <v>99</v>
      </c>
      <c r="C118" s="80">
        <v>3505349</v>
      </c>
      <c r="D118" s="80">
        <v>3435324</v>
      </c>
      <c r="E118" s="80">
        <v>3984067.7</v>
      </c>
      <c r="F118" s="80">
        <v>3899716</v>
      </c>
      <c r="G118" s="80">
        <v>3160192</v>
      </c>
      <c r="H118" s="80">
        <v>2574781</v>
      </c>
      <c r="I118" s="80">
        <v>2671692.5</v>
      </c>
      <c r="J118" s="80">
        <v>2532516</v>
      </c>
      <c r="K118" s="80">
        <v>2458100.75</v>
      </c>
      <c r="L118" s="80">
        <v>2668313.5</v>
      </c>
      <c r="M118" s="80">
        <v>2702731.5</v>
      </c>
      <c r="N118" s="81">
        <v>3264773.25</v>
      </c>
      <c r="O118" s="82">
        <v>36857557.200000003</v>
      </c>
      <c r="P118" s="181" t="s">
        <v>73</v>
      </c>
      <c r="Q118" s="179"/>
    </row>
    <row r="119" spans="1:17" x14ac:dyDescent="0.2">
      <c r="A119" s="150">
        <v>3</v>
      </c>
      <c r="B119" s="84" t="s">
        <v>75</v>
      </c>
      <c r="C119" s="112">
        <v>0.95562106867873253</v>
      </c>
      <c r="D119" s="112">
        <v>0.98011509774121186</v>
      </c>
      <c r="E119" s="112">
        <v>0.96934326406685634</v>
      </c>
      <c r="F119" s="112">
        <v>0.9857817173719774</v>
      </c>
      <c r="G119" s="112">
        <v>0.88697359140451315</v>
      </c>
      <c r="H119" s="112">
        <v>0.83501274354042443</v>
      </c>
      <c r="I119" s="112">
        <v>0.8670663787796129</v>
      </c>
      <c r="J119" s="112">
        <v>0.84841094387926874</v>
      </c>
      <c r="K119" s="112">
        <v>0.86221830416538203</v>
      </c>
      <c r="L119" s="112">
        <v>0.87951492605880632</v>
      </c>
      <c r="M119" s="112">
        <v>0.87745524387595197</v>
      </c>
      <c r="N119" s="113">
        <v>0.91024187918912502</v>
      </c>
      <c r="O119" s="158" t="s">
        <v>73</v>
      </c>
      <c r="P119" s="100">
        <v>0.90481292989598849</v>
      </c>
      <c r="Q119" s="179"/>
    </row>
    <row r="120" spans="1:17" x14ac:dyDescent="0.2">
      <c r="A120" s="150">
        <v>4</v>
      </c>
      <c r="B120" s="155" t="s">
        <v>107</v>
      </c>
      <c r="C120" s="80">
        <v>0</v>
      </c>
      <c r="D120" s="80">
        <v>0</v>
      </c>
      <c r="E120" s="80">
        <v>15381.3</v>
      </c>
      <c r="F120" s="80">
        <v>15591</v>
      </c>
      <c r="G120" s="80">
        <v>14823</v>
      </c>
      <c r="H120" s="80">
        <v>13323</v>
      </c>
      <c r="I120" s="80">
        <v>14049.5</v>
      </c>
      <c r="J120" s="80">
        <v>20991</v>
      </c>
      <c r="K120" s="80">
        <v>20483.25</v>
      </c>
      <c r="L120" s="80">
        <v>21311.25</v>
      </c>
      <c r="M120" s="80">
        <v>20578.5</v>
      </c>
      <c r="N120" s="81">
        <v>21049.25</v>
      </c>
      <c r="O120" s="82">
        <v>177581.05</v>
      </c>
      <c r="P120" s="181" t="s">
        <v>73</v>
      </c>
      <c r="Q120" s="179"/>
    </row>
    <row r="121" spans="1:17" x14ac:dyDescent="0.2">
      <c r="A121" s="150">
        <v>5</v>
      </c>
      <c r="B121" s="155" t="s">
        <v>101</v>
      </c>
      <c r="C121" s="112">
        <v>0</v>
      </c>
      <c r="D121" s="112">
        <v>0</v>
      </c>
      <c r="E121" s="112">
        <v>3.7423459314186694E-3</v>
      </c>
      <c r="F121" s="112">
        <v>3.9411389843636048E-3</v>
      </c>
      <c r="G121" s="112">
        <v>4.1603831493115286E-3</v>
      </c>
      <c r="H121" s="112">
        <v>4.3207071910927857E-3</v>
      </c>
      <c r="I121" s="112">
        <v>4.559599987148286E-3</v>
      </c>
      <c r="J121" s="112">
        <v>7.0321348899551796E-3</v>
      </c>
      <c r="K121" s="112">
        <v>7.1848288068727699E-3</v>
      </c>
      <c r="L121" s="112">
        <v>7.0244978590299594E-3</v>
      </c>
      <c r="M121" s="112">
        <v>6.6809125272344946E-3</v>
      </c>
      <c r="N121" s="113">
        <v>5.8686798158253993E-3</v>
      </c>
      <c r="O121" s="158" t="s">
        <v>73</v>
      </c>
      <c r="P121" s="100">
        <v>4.54293576185439E-3</v>
      </c>
    </row>
    <row r="122" spans="1:17" x14ac:dyDescent="0.2">
      <c r="A122" s="150">
        <v>6</v>
      </c>
      <c r="B122" s="89" t="s">
        <v>76</v>
      </c>
      <c r="C122" s="80">
        <v>161375</v>
      </c>
      <c r="D122" s="80">
        <v>68509</v>
      </c>
      <c r="E122" s="80">
        <v>109361</v>
      </c>
      <c r="F122" s="80">
        <v>39216</v>
      </c>
      <c r="G122" s="80">
        <v>386313</v>
      </c>
      <c r="H122" s="80">
        <v>494044</v>
      </c>
      <c r="I122" s="80">
        <v>394166</v>
      </c>
      <c r="J122" s="80">
        <v>430039</v>
      </c>
      <c r="K122" s="80">
        <v>370893</v>
      </c>
      <c r="L122" s="80">
        <v>342672</v>
      </c>
      <c r="M122" s="80">
        <v>355392</v>
      </c>
      <c r="N122" s="81">
        <v>299471.06</v>
      </c>
      <c r="O122" s="82">
        <v>3451451.06</v>
      </c>
      <c r="P122" s="181" t="s">
        <v>73</v>
      </c>
    </row>
    <row r="123" spans="1:17" x14ac:dyDescent="0.2">
      <c r="A123" s="150">
        <v>7</v>
      </c>
      <c r="B123" s="89" t="s">
        <v>77</v>
      </c>
      <c r="C123" s="112">
        <v>4.3993722153779974E-2</v>
      </c>
      <c r="D123" s="112">
        <v>1.9545959924348526E-2</v>
      </c>
      <c r="E123" s="112">
        <v>2.6608069110275277E-2</v>
      </c>
      <c r="F123" s="112">
        <v>9.9131361946509615E-3</v>
      </c>
      <c r="G123" s="112">
        <v>0.1084267756567486</v>
      </c>
      <c r="H123" s="112">
        <v>0.16022063075255155</v>
      </c>
      <c r="I123" s="112">
        <v>0.12792193946647862</v>
      </c>
      <c r="J123" s="112">
        <v>0.14406613576968394</v>
      </c>
      <c r="K123" s="112">
        <v>0.13009667463256377</v>
      </c>
      <c r="L123" s="112">
        <v>0.1129496735456397</v>
      </c>
      <c r="M123" s="112">
        <v>0.11537978302008997</v>
      </c>
      <c r="N123" s="113">
        <v>8.3494650177362004E-2</v>
      </c>
      <c r="O123" s="158" t="s">
        <v>73</v>
      </c>
      <c r="P123" s="100">
        <v>9.0218095867014403E-2</v>
      </c>
    </row>
    <row r="124" spans="1:17" x14ac:dyDescent="0.2">
      <c r="A124" s="150">
        <v>8</v>
      </c>
      <c r="B124" s="89" t="s">
        <v>108</v>
      </c>
      <c r="C124" s="80">
        <v>1413</v>
      </c>
      <c r="D124" s="80">
        <v>1188</v>
      </c>
      <c r="E124" s="80">
        <v>1259</v>
      </c>
      <c r="F124" s="80">
        <v>1440</v>
      </c>
      <c r="G124" s="80">
        <v>1565</v>
      </c>
      <c r="H124" s="80">
        <v>1375</v>
      </c>
      <c r="I124" s="80">
        <v>1393</v>
      </c>
      <c r="J124" s="80">
        <v>1465</v>
      </c>
      <c r="K124" s="80">
        <v>1426</v>
      </c>
      <c r="L124" s="80">
        <v>1550</v>
      </c>
      <c r="M124" s="80">
        <v>1491</v>
      </c>
      <c r="N124" s="81">
        <v>1416</v>
      </c>
      <c r="O124" s="82">
        <v>16981</v>
      </c>
      <c r="P124" s="181" t="s">
        <v>73</v>
      </c>
    </row>
    <row r="125" spans="1:17" x14ac:dyDescent="0.2">
      <c r="A125" s="150">
        <v>9</v>
      </c>
      <c r="B125" s="97" t="s">
        <v>109</v>
      </c>
      <c r="C125" s="112">
        <v>3.8520916748747389E-4</v>
      </c>
      <c r="D125" s="112">
        <v>3.38942334439651E-4</v>
      </c>
      <c r="E125" s="112">
        <v>3.0632089144975425E-4</v>
      </c>
      <c r="F125" s="112">
        <v>3.6400744900799123E-4</v>
      </c>
      <c r="G125" s="112">
        <v>4.3924978942673834E-4</v>
      </c>
      <c r="H125" s="112">
        <v>4.4591851593129027E-4</v>
      </c>
      <c r="I125" s="112">
        <v>4.5208176676020943E-4</v>
      </c>
      <c r="J125" s="112">
        <v>4.9078546109210318E-4</v>
      </c>
      <c r="K125" s="112">
        <v>5.0019239518145657E-4</v>
      </c>
      <c r="L125" s="112">
        <v>5.1090253652396917E-4</v>
      </c>
      <c r="M125" s="112">
        <v>4.8406057672360141E-4</v>
      </c>
      <c r="N125" s="113">
        <v>3.9479081768750745E-4</v>
      </c>
      <c r="O125" s="158" t="s">
        <v>73</v>
      </c>
      <c r="P125" s="100">
        <v>4.2603847514264555E-4</v>
      </c>
    </row>
    <row r="126" spans="1:17" x14ac:dyDescent="0.2">
      <c r="A126" s="150">
        <v>10</v>
      </c>
      <c r="B126" s="89" t="s">
        <v>80</v>
      </c>
      <c r="C126" s="101">
        <v>28162</v>
      </c>
      <c r="D126" s="101">
        <v>26154</v>
      </c>
      <c r="E126" s="101">
        <v>24060</v>
      </c>
      <c r="F126" s="101">
        <v>26264</v>
      </c>
      <c r="G126" s="101">
        <v>23388</v>
      </c>
      <c r="H126" s="101">
        <v>21369</v>
      </c>
      <c r="I126" s="101">
        <v>29123</v>
      </c>
      <c r="J126" s="101">
        <v>29119</v>
      </c>
      <c r="K126" s="101">
        <v>26507</v>
      </c>
      <c r="L126" s="101">
        <v>25102</v>
      </c>
      <c r="M126" s="101">
        <v>33371</v>
      </c>
      <c r="N126" s="102">
        <v>29852</v>
      </c>
      <c r="O126" s="103">
        <v>322471</v>
      </c>
      <c r="P126" s="182" t="s">
        <v>73</v>
      </c>
    </row>
    <row r="127" spans="1:17" x14ac:dyDescent="0.2">
      <c r="A127" s="150">
        <v>11</v>
      </c>
      <c r="B127" s="89" t="s">
        <v>95</v>
      </c>
      <c r="C127" s="101">
        <v>0</v>
      </c>
      <c r="D127" s="101">
        <v>101880</v>
      </c>
      <c r="E127" s="101">
        <v>114450</v>
      </c>
      <c r="F127" s="101">
        <v>96501</v>
      </c>
      <c r="G127" s="101">
        <v>93918</v>
      </c>
      <c r="H127" s="101">
        <v>93952</v>
      </c>
      <c r="I127" s="101">
        <v>81956</v>
      </c>
      <c r="J127" s="101">
        <v>90009</v>
      </c>
      <c r="K127" s="101">
        <v>86946</v>
      </c>
      <c r="L127" s="101">
        <v>93153</v>
      </c>
      <c r="M127" s="101">
        <v>82758</v>
      </c>
      <c r="N127" s="102">
        <v>101338</v>
      </c>
      <c r="O127" s="103">
        <v>1036861</v>
      </c>
      <c r="P127" s="182" t="s">
        <v>73</v>
      </c>
    </row>
    <row r="128" spans="1:17" x14ac:dyDescent="0.2">
      <c r="A128" s="150">
        <v>12</v>
      </c>
      <c r="B128" s="89" t="s">
        <v>81</v>
      </c>
      <c r="C128" s="105">
        <v>3639975</v>
      </c>
      <c r="D128" s="105">
        <v>3376987</v>
      </c>
      <c r="E128" s="105">
        <v>3971559</v>
      </c>
      <c r="F128" s="105">
        <v>3833198</v>
      </c>
      <c r="G128" s="105">
        <v>3445587</v>
      </c>
      <c r="H128" s="105">
        <v>2968202</v>
      </c>
      <c r="I128" s="105">
        <v>2970222</v>
      </c>
      <c r="J128" s="105">
        <v>2865883</v>
      </c>
      <c r="K128" s="105">
        <v>2737450</v>
      </c>
      <c r="L128" s="105">
        <v>2915591.75</v>
      </c>
      <c r="M128" s="105">
        <v>2964064</v>
      </c>
      <c r="N128" s="106">
        <v>3455519.56</v>
      </c>
      <c r="O128" s="107">
        <v>39144238.310000002</v>
      </c>
      <c r="P128" s="183" t="s">
        <v>73</v>
      </c>
    </row>
    <row r="129" spans="1:16" x14ac:dyDescent="0.2">
      <c r="A129" s="150">
        <v>13</v>
      </c>
      <c r="B129" s="89" t="s">
        <v>82</v>
      </c>
      <c r="C129" s="184">
        <v>3546641</v>
      </c>
      <c r="D129" s="184">
        <v>3381005</v>
      </c>
      <c r="E129" s="184">
        <v>3962745</v>
      </c>
      <c r="F129" s="184">
        <v>3897533</v>
      </c>
      <c r="G129" s="184">
        <v>3428376</v>
      </c>
      <c r="H129" s="184">
        <v>2960009</v>
      </c>
      <c r="I129" s="184">
        <v>2936778.5782807972</v>
      </c>
      <c r="J129" s="184">
        <v>2833647.6335802176</v>
      </c>
      <c r="K129" s="184">
        <v>2699211.825997577</v>
      </c>
      <c r="L129" s="184">
        <v>2879591.1222806694</v>
      </c>
      <c r="M129" s="184">
        <v>2938220.5989908576</v>
      </c>
      <c r="N129" s="185">
        <v>3398357.8807600001</v>
      </c>
      <c r="O129" s="186">
        <v>38862116.639890119</v>
      </c>
      <c r="P129" s="187" t="s">
        <v>73</v>
      </c>
    </row>
    <row r="130" spans="1:16" x14ac:dyDescent="0.2">
      <c r="A130" s="150">
        <v>14</v>
      </c>
      <c r="B130" s="89" t="s">
        <v>86</v>
      </c>
      <c r="C130" s="105">
        <v>93334</v>
      </c>
      <c r="D130" s="105">
        <v>97862</v>
      </c>
      <c r="E130" s="105">
        <v>123264</v>
      </c>
      <c r="F130" s="105">
        <v>32166</v>
      </c>
      <c r="G130" s="105">
        <v>111129</v>
      </c>
      <c r="H130" s="105">
        <v>102145</v>
      </c>
      <c r="I130" s="105">
        <v>115399.42171920289</v>
      </c>
      <c r="J130" s="105">
        <v>122244.36641978234</v>
      </c>
      <c r="K130" s="105">
        <v>125184.17400242283</v>
      </c>
      <c r="L130" s="105">
        <v>129153.62771933072</v>
      </c>
      <c r="M130" s="105">
        <v>108601.4010091424</v>
      </c>
      <c r="N130" s="106">
        <v>158499.67924000008</v>
      </c>
      <c r="O130" s="186">
        <v>1318982.6701098811</v>
      </c>
      <c r="P130" s="187" t="s">
        <v>73</v>
      </c>
    </row>
    <row r="131" spans="1:16" x14ac:dyDescent="0.2">
      <c r="A131" s="150">
        <v>15</v>
      </c>
      <c r="B131" s="89" t="s">
        <v>87</v>
      </c>
      <c r="C131" s="141">
        <v>2.5641384899621564E-2</v>
      </c>
      <c r="D131" s="141">
        <v>2.8979086979014131E-2</v>
      </c>
      <c r="E131" s="141">
        <v>3.1036678543614738E-2</v>
      </c>
      <c r="F131" s="141">
        <v>8.3914266886291819E-3</v>
      </c>
      <c r="G131" s="141">
        <v>3.2252559578382432E-2</v>
      </c>
      <c r="H131" s="141">
        <v>3.4413089136116744E-2</v>
      </c>
      <c r="I131" s="141">
        <v>3.8852120050017439E-2</v>
      </c>
      <c r="J131" s="141">
        <v>4.2655044333555256E-2</v>
      </c>
      <c r="K131" s="141">
        <v>4.5730213886070188E-2</v>
      </c>
      <c r="L131" s="141">
        <v>4.4297569342254699E-2</v>
      </c>
      <c r="M131" s="141">
        <v>3.6639357655280855E-2</v>
      </c>
      <c r="N131" s="142">
        <v>4.5868552178011716E-2</v>
      </c>
      <c r="O131" s="188" t="s">
        <v>73</v>
      </c>
      <c r="P131" s="189">
        <v>3.4563090272547413E-2</v>
      </c>
    </row>
    <row r="132" spans="1:16" x14ac:dyDescent="0.2">
      <c r="A132" s="150">
        <v>16</v>
      </c>
      <c r="B132" s="89" t="s">
        <v>88</v>
      </c>
      <c r="C132" s="101">
        <v>3393005</v>
      </c>
      <c r="D132" s="101">
        <v>3347141</v>
      </c>
      <c r="E132" s="101">
        <v>3338120</v>
      </c>
      <c r="F132" s="101">
        <v>3606384</v>
      </c>
      <c r="G132" s="101">
        <v>3008520</v>
      </c>
      <c r="H132" s="101">
        <v>2840293</v>
      </c>
      <c r="I132" s="101">
        <v>2692510</v>
      </c>
      <c r="J132" s="101">
        <v>2672631</v>
      </c>
      <c r="K132" s="101">
        <v>2536162</v>
      </c>
      <c r="L132" s="101">
        <v>2573081</v>
      </c>
      <c r="M132" s="101">
        <v>2788039</v>
      </c>
      <c r="N132" s="102">
        <v>2964951</v>
      </c>
      <c r="O132" s="103">
        <v>35760837</v>
      </c>
      <c r="P132" s="182" t="s">
        <v>73</v>
      </c>
    </row>
    <row r="133" spans="1:16" x14ac:dyDescent="0.2">
      <c r="A133" s="150">
        <v>17</v>
      </c>
      <c r="B133" s="89" t="s">
        <v>89</v>
      </c>
      <c r="C133" s="105">
        <v>153636</v>
      </c>
      <c r="D133" s="105">
        <v>33864</v>
      </c>
      <c r="E133" s="105">
        <v>624625</v>
      </c>
      <c r="F133" s="105">
        <v>291149</v>
      </c>
      <c r="G133" s="105">
        <v>419856</v>
      </c>
      <c r="H133" s="105">
        <v>119716</v>
      </c>
      <c r="I133" s="105">
        <v>244268.57828079711</v>
      </c>
      <c r="J133" s="105">
        <v>161016.63358021766</v>
      </c>
      <c r="K133" s="105">
        <v>163049.82599757717</v>
      </c>
      <c r="L133" s="105">
        <v>306510.12228066928</v>
      </c>
      <c r="M133" s="105">
        <v>150181.5989908576</v>
      </c>
      <c r="N133" s="106">
        <v>433406.88075999997</v>
      </c>
      <c r="O133" s="186">
        <v>3101279.639890119</v>
      </c>
      <c r="P133" s="187" t="s">
        <v>73</v>
      </c>
    </row>
    <row r="134" spans="1:16" x14ac:dyDescent="0.2">
      <c r="A134" s="150">
        <v>18</v>
      </c>
      <c r="B134" s="89" t="s">
        <v>90</v>
      </c>
      <c r="C134" s="141">
        <v>4.3318734543473666E-2</v>
      </c>
      <c r="D134" s="141">
        <v>1.001595679391187E-2</v>
      </c>
      <c r="E134" s="141">
        <v>0.15762432354340236</v>
      </c>
      <c r="F134" s="141">
        <v>7.4700842815185908E-2</v>
      </c>
      <c r="G134" s="141">
        <v>0.12246498050388872</v>
      </c>
      <c r="H134" s="141">
        <v>4.044447162153899E-2</v>
      </c>
      <c r="I134" s="141">
        <v>8.3175687839494181E-2</v>
      </c>
      <c r="J134" s="141">
        <v>5.6823096729489479E-2</v>
      </c>
      <c r="K134" s="141">
        <v>6.0406458073114386E-2</v>
      </c>
      <c r="L134" s="141">
        <v>0.10644223754861062</v>
      </c>
      <c r="M134" s="141">
        <v>5.1113112147684901E-2</v>
      </c>
      <c r="N134" s="142">
        <v>0.12753420798137774</v>
      </c>
      <c r="O134" s="188" t="s">
        <v>73</v>
      </c>
      <c r="P134" s="190">
        <v>7.7838675845097724E-2</v>
      </c>
    </row>
    <row r="135" spans="1:16" x14ac:dyDescent="0.2">
      <c r="A135" s="150">
        <v>19</v>
      </c>
      <c r="B135" s="89" t="s">
        <v>91</v>
      </c>
      <c r="C135" s="105">
        <v>246970</v>
      </c>
      <c r="D135" s="105">
        <v>29846</v>
      </c>
      <c r="E135" s="105">
        <v>633439</v>
      </c>
      <c r="F135" s="105">
        <v>226814</v>
      </c>
      <c r="G135" s="105">
        <v>437067</v>
      </c>
      <c r="H135" s="105">
        <v>127909</v>
      </c>
      <c r="I135" s="105">
        <v>277712</v>
      </c>
      <c r="J135" s="105">
        <v>193252</v>
      </c>
      <c r="K135" s="105">
        <v>201288</v>
      </c>
      <c r="L135" s="105">
        <v>342510.75</v>
      </c>
      <c r="M135" s="105">
        <v>176025</v>
      </c>
      <c r="N135" s="106">
        <v>490568.56000000006</v>
      </c>
      <c r="O135" s="107">
        <v>3383401.31</v>
      </c>
      <c r="P135" s="183" t="s">
        <v>73</v>
      </c>
    </row>
    <row r="136" spans="1:16" x14ac:dyDescent="0.2">
      <c r="A136" s="150">
        <v>20</v>
      </c>
      <c r="B136" s="89" t="s">
        <v>92</v>
      </c>
      <c r="C136" s="191">
        <v>6.7849367097301494E-2</v>
      </c>
      <c r="D136" s="191">
        <v>8.8380559356609906E-3</v>
      </c>
      <c r="E136" s="191">
        <v>0.15949379072550604</v>
      </c>
      <c r="F136" s="191">
        <v>5.9170958557319499E-2</v>
      </c>
      <c r="G136" s="191">
        <v>0.12684834253205624</v>
      </c>
      <c r="H136" s="191">
        <v>4.3093091373161259E-2</v>
      </c>
      <c r="I136" s="191">
        <v>9.349873511138225E-2</v>
      </c>
      <c r="J136" s="191">
        <v>6.7431922377850034E-2</v>
      </c>
      <c r="K136" s="191">
        <v>7.3531206049425563E-2</v>
      </c>
      <c r="L136" s="191">
        <v>0.11747555191840559</v>
      </c>
      <c r="M136" s="191">
        <v>5.9386369525084477E-2</v>
      </c>
      <c r="N136" s="192">
        <v>0.14196665696199967</v>
      </c>
      <c r="O136" s="193" t="s">
        <v>73</v>
      </c>
      <c r="P136" s="194">
        <v>8.4882004013762766E-2</v>
      </c>
    </row>
    <row r="137" spans="1:16" x14ac:dyDescent="0.2">
      <c r="A137" s="150">
        <v>21</v>
      </c>
      <c r="B137" s="89" t="s">
        <v>30</v>
      </c>
      <c r="C137" s="80">
        <v>7387</v>
      </c>
      <c r="D137" s="80">
        <v>7655</v>
      </c>
      <c r="E137" s="80">
        <v>8110</v>
      </c>
      <c r="F137" s="80">
        <v>7826</v>
      </c>
      <c r="G137" s="80">
        <v>6785</v>
      </c>
      <c r="H137" s="80">
        <v>6042</v>
      </c>
      <c r="I137" s="80">
        <v>6017</v>
      </c>
      <c r="J137" s="80">
        <v>5906</v>
      </c>
      <c r="K137" s="80">
        <v>5749</v>
      </c>
      <c r="L137" s="80">
        <v>5790</v>
      </c>
      <c r="M137" s="80">
        <v>6226</v>
      </c>
      <c r="N137" s="81">
        <v>7260</v>
      </c>
      <c r="O137" s="82">
        <v>8110</v>
      </c>
      <c r="P137" s="181" t="s">
        <v>73</v>
      </c>
    </row>
    <row r="138" spans="1:16" x14ac:dyDescent="0.2">
      <c r="A138" s="150">
        <v>22</v>
      </c>
      <c r="B138" s="89" t="s">
        <v>31</v>
      </c>
      <c r="C138" s="80">
        <v>264790</v>
      </c>
      <c r="D138" s="80">
        <v>259785</v>
      </c>
      <c r="E138" s="80">
        <v>302416.8</v>
      </c>
      <c r="F138" s="80">
        <v>280674</v>
      </c>
      <c r="G138" s="80">
        <v>227849</v>
      </c>
      <c r="H138" s="80">
        <v>181739</v>
      </c>
      <c r="I138" s="80">
        <v>188341.5</v>
      </c>
      <c r="J138" s="80">
        <v>176493.5</v>
      </c>
      <c r="K138" s="80">
        <v>174037</v>
      </c>
      <c r="L138" s="80">
        <v>187905.75</v>
      </c>
      <c r="M138" s="80">
        <v>193858.25</v>
      </c>
      <c r="N138" s="81">
        <v>231762.5</v>
      </c>
      <c r="O138" s="82">
        <v>2669652.2999999998</v>
      </c>
      <c r="P138" s="181" t="s">
        <v>73</v>
      </c>
    </row>
    <row r="139" spans="1:16" x14ac:dyDescent="0.2">
      <c r="A139" s="150">
        <v>23</v>
      </c>
      <c r="B139" s="89" t="s">
        <v>110</v>
      </c>
      <c r="C139" s="117">
        <v>13.2382227425507</v>
      </c>
      <c r="D139" s="117">
        <v>13.223719614296437</v>
      </c>
      <c r="E139" s="117">
        <v>13.174095156089214</v>
      </c>
      <c r="F139" s="117">
        <v>13.894112030326999</v>
      </c>
      <c r="G139" s="117">
        <v>13.869676847385769</v>
      </c>
      <c r="H139" s="117">
        <v>14.167465431195286</v>
      </c>
      <c r="I139" s="117">
        <v>14.185362758606043</v>
      </c>
      <c r="J139" s="117">
        <v>14.349061013578403</v>
      </c>
      <c r="K139" s="117">
        <v>14.124012422645759</v>
      </c>
      <c r="L139" s="117">
        <v>14.200275936207381</v>
      </c>
      <c r="M139" s="117">
        <v>13.941792521081769</v>
      </c>
      <c r="N139" s="118">
        <v>14.086719162936195</v>
      </c>
      <c r="O139" s="158" t="s">
        <v>73</v>
      </c>
      <c r="P139" s="119">
        <v>13.871209636408331</v>
      </c>
    </row>
    <row r="140" spans="1:16" x14ac:dyDescent="0.2">
      <c r="A140" s="150">
        <v>24</v>
      </c>
      <c r="B140" s="89" t="s">
        <v>111</v>
      </c>
      <c r="C140" s="80">
        <v>0</v>
      </c>
      <c r="D140" s="80">
        <v>0</v>
      </c>
      <c r="E140" s="80">
        <v>1317.1999999999998</v>
      </c>
      <c r="F140" s="80">
        <v>1286</v>
      </c>
      <c r="G140" s="80">
        <v>1266</v>
      </c>
      <c r="H140" s="80">
        <v>1164</v>
      </c>
      <c r="I140" s="80">
        <v>1221.5</v>
      </c>
      <c r="J140" s="80">
        <v>1864.5</v>
      </c>
      <c r="K140" s="80">
        <v>1845</v>
      </c>
      <c r="L140" s="80">
        <v>1925.75</v>
      </c>
      <c r="M140" s="80">
        <v>1851.75</v>
      </c>
      <c r="N140" s="81">
        <v>1885.5</v>
      </c>
      <c r="O140" s="82">
        <v>15627.2</v>
      </c>
      <c r="P140" s="181" t="s">
        <v>73</v>
      </c>
    </row>
    <row r="141" spans="1:16" x14ac:dyDescent="0.2">
      <c r="A141" s="150">
        <v>25</v>
      </c>
      <c r="B141" s="89" t="s">
        <v>112</v>
      </c>
      <c r="C141" s="117">
        <v>0</v>
      </c>
      <c r="D141" s="117">
        <v>0</v>
      </c>
      <c r="E141" s="117">
        <v>11.67726996659581</v>
      </c>
      <c r="F141" s="117">
        <v>12.123639191290824</v>
      </c>
      <c r="G141" s="117">
        <v>11.708530805687204</v>
      </c>
      <c r="H141" s="117">
        <v>11.445876288659793</v>
      </c>
      <c r="I141" s="117">
        <v>11.501841997544004</v>
      </c>
      <c r="J141" s="117">
        <v>11.25824617860016</v>
      </c>
      <c r="K141" s="117">
        <v>11.102032520325203</v>
      </c>
      <c r="L141" s="117">
        <v>11.06646761002207</v>
      </c>
      <c r="M141" s="117">
        <v>11.113001215066829</v>
      </c>
      <c r="N141" s="118">
        <v>11.163749668522938</v>
      </c>
      <c r="O141" s="158" t="s">
        <v>73</v>
      </c>
      <c r="P141" s="119">
        <v>9.5133879535262373</v>
      </c>
    </row>
    <row r="142" spans="1:16" ht="13.5" thickBot="1" x14ac:dyDescent="0.25">
      <c r="A142" s="150">
        <v>26</v>
      </c>
      <c r="B142" s="120" t="s">
        <v>33</v>
      </c>
      <c r="C142" s="121">
        <v>9257</v>
      </c>
      <c r="D142" s="121">
        <v>9282</v>
      </c>
      <c r="E142" s="121">
        <v>9334</v>
      </c>
      <c r="F142" s="121">
        <v>9388</v>
      </c>
      <c r="G142" s="121">
        <v>9410</v>
      </c>
      <c r="H142" s="121">
        <v>9456</v>
      </c>
      <c r="I142" s="121">
        <v>9500</v>
      </c>
      <c r="J142" s="121">
        <v>9540</v>
      </c>
      <c r="K142" s="121">
        <v>9587</v>
      </c>
      <c r="L142" s="121">
        <v>9628</v>
      </c>
      <c r="M142" s="121">
        <v>9671</v>
      </c>
      <c r="N142" s="122">
        <v>9697</v>
      </c>
      <c r="O142" s="123" t="s">
        <v>73</v>
      </c>
      <c r="P142" s="195" t="s">
        <v>73</v>
      </c>
    </row>
    <row r="143" spans="1:16" x14ac:dyDescent="0.2">
      <c r="B143" s="124" t="s">
        <v>113</v>
      </c>
    </row>
    <row r="145" spans="2:2" x14ac:dyDescent="0.2">
      <c r="B145" s="124"/>
    </row>
  </sheetData>
  <mergeCells count="11">
    <mergeCell ref="B60:P60"/>
    <mergeCell ref="B83:P83"/>
    <mergeCell ref="B112:O112"/>
    <mergeCell ref="B113:O113"/>
    <mergeCell ref="B115:P115"/>
    <mergeCell ref="B58:O58"/>
    <mergeCell ref="B1:O1"/>
    <mergeCell ref="B2:O2"/>
    <mergeCell ref="B4:P4"/>
    <mergeCell ref="B32:P32"/>
    <mergeCell ref="B57:O5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55"/>
  <sheetViews>
    <sheetView showGridLines="0" topLeftCell="A4" zoomScale="90" zoomScaleNormal="90" workbookViewId="0">
      <selection activeCell="B27" sqref="B27:G27"/>
    </sheetView>
  </sheetViews>
  <sheetFormatPr baseColWidth="10" defaultRowHeight="15" x14ac:dyDescent="0.25"/>
  <cols>
    <col min="1" max="1" width="4" style="286" customWidth="1"/>
    <col min="2" max="2" width="38.28515625" style="367" customWidth="1"/>
    <col min="3" max="8" width="13.140625" style="413" customWidth="1"/>
    <col min="9" max="10" width="13.140625" style="414" customWidth="1"/>
    <col min="11" max="11" width="13.140625" style="415" customWidth="1"/>
    <col min="12" max="12" width="13.140625" style="370" customWidth="1"/>
    <col min="13" max="14" width="13.140625" style="415" customWidth="1"/>
    <col min="15" max="15" width="13.5703125" style="415" bestFit="1" customWidth="1"/>
    <col min="16" max="16" width="12.7109375" customWidth="1"/>
    <col min="17" max="17" width="14.28515625" bestFit="1" customWidth="1"/>
  </cols>
  <sheetData>
    <row r="1" spans="1:16" x14ac:dyDescent="0.25">
      <c r="B1" s="743" t="s">
        <v>54</v>
      </c>
      <c r="C1" s="743"/>
      <c r="D1" s="743"/>
      <c r="E1" s="743"/>
      <c r="F1" s="743"/>
      <c r="G1" s="743"/>
      <c r="H1" s="743"/>
      <c r="I1" s="743"/>
      <c r="J1" s="743"/>
      <c r="K1" s="743"/>
      <c r="L1" s="743"/>
      <c r="M1" s="743"/>
      <c r="N1" s="743"/>
      <c r="O1" s="743"/>
    </row>
    <row r="2" spans="1:16" x14ac:dyDescent="0.25">
      <c r="B2" s="743" t="s">
        <v>161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</row>
    <row r="3" spans="1:16" ht="12.75" customHeight="1" thickBot="1" x14ac:dyDescent="0.3">
      <c r="B3" s="288"/>
      <c r="C3" s="289"/>
      <c r="D3" s="289"/>
      <c r="E3" s="289"/>
      <c r="F3" s="289"/>
      <c r="G3" s="289"/>
      <c r="H3" s="289"/>
      <c r="I3" s="290"/>
      <c r="J3" s="290"/>
      <c r="K3" s="291"/>
      <c r="L3" s="291"/>
      <c r="M3" s="291"/>
      <c r="N3" s="291"/>
      <c r="O3" s="291"/>
    </row>
    <row r="4" spans="1:16" ht="15.75" thickBot="1" x14ac:dyDescent="0.3">
      <c r="B4" s="744" t="s">
        <v>2</v>
      </c>
      <c r="C4" s="745"/>
      <c r="D4" s="745"/>
      <c r="E4" s="745"/>
      <c r="F4" s="745"/>
      <c r="G4" s="745"/>
      <c r="H4" s="745"/>
      <c r="I4" s="745"/>
      <c r="J4" s="745"/>
      <c r="K4" s="745"/>
      <c r="L4" s="745"/>
      <c r="M4" s="745"/>
      <c r="N4" s="745"/>
      <c r="O4" s="745"/>
      <c r="P4" s="746"/>
    </row>
    <row r="5" spans="1:16" ht="18" customHeight="1" thickBot="1" x14ac:dyDescent="0.3">
      <c r="A5" s="292" t="s">
        <v>56</v>
      </c>
      <c r="B5" s="293" t="s">
        <v>57</v>
      </c>
      <c r="C5" s="294" t="s">
        <v>58</v>
      </c>
      <c r="D5" s="294" t="s">
        <v>59</v>
      </c>
      <c r="E5" s="294" t="s">
        <v>60</v>
      </c>
      <c r="F5" s="294" t="s">
        <v>61</v>
      </c>
      <c r="G5" s="294" t="s">
        <v>62</v>
      </c>
      <c r="H5" s="294" t="s">
        <v>63</v>
      </c>
      <c r="I5" s="295" t="s">
        <v>64</v>
      </c>
      <c r="J5" s="295" t="s">
        <v>65</v>
      </c>
      <c r="K5" s="294" t="s">
        <v>66</v>
      </c>
      <c r="L5" s="294" t="s">
        <v>67</v>
      </c>
      <c r="M5" s="294" t="s">
        <v>68</v>
      </c>
      <c r="N5" s="296" t="s">
        <v>69</v>
      </c>
      <c r="O5" s="297" t="s">
        <v>70</v>
      </c>
      <c r="P5" s="297" t="s">
        <v>71</v>
      </c>
    </row>
    <row r="6" spans="1:16" x14ac:dyDescent="0.25">
      <c r="A6" s="292">
        <v>1</v>
      </c>
      <c r="B6" s="299" t="s">
        <v>72</v>
      </c>
      <c r="C6" s="300">
        <f t="shared" ref="C6:N6" si="0">C7+C9+C11</f>
        <v>1157636.234375</v>
      </c>
      <c r="D6" s="300">
        <f t="shared" si="0"/>
        <v>1175540.703125</v>
      </c>
      <c r="E6" s="300">
        <f t="shared" si="0"/>
        <v>1328808</v>
      </c>
      <c r="F6" s="300">
        <f t="shared" si="0"/>
        <v>1145578.5</v>
      </c>
      <c r="G6" s="300">
        <f t="shared" si="0"/>
        <v>1262204</v>
      </c>
      <c r="H6" s="300">
        <f t="shared" si="0"/>
        <v>1147406</v>
      </c>
      <c r="I6" s="300">
        <f t="shared" si="0"/>
        <v>1129822</v>
      </c>
      <c r="J6" s="300">
        <f t="shared" si="0"/>
        <v>1020210</v>
      </c>
      <c r="K6" s="300">
        <f t="shared" si="0"/>
        <v>984622</v>
      </c>
      <c r="L6" s="300">
        <f t="shared" si="0"/>
        <v>1058975</v>
      </c>
      <c r="M6" s="300">
        <f t="shared" si="0"/>
        <v>1124044</v>
      </c>
      <c r="N6" s="301">
        <f t="shared" si="0"/>
        <v>1271130</v>
      </c>
      <c r="O6" s="302">
        <f>SUM(C6:N6)</f>
        <v>13805976.4375</v>
      </c>
      <c r="P6" s="420" t="s">
        <v>73</v>
      </c>
    </row>
    <row r="7" spans="1:16" x14ac:dyDescent="0.25">
      <c r="A7" s="292">
        <v>2</v>
      </c>
      <c r="B7" s="304" t="s">
        <v>74</v>
      </c>
      <c r="C7" s="305">
        <f>'[6]SAN CRISTÓBAL'!D12</f>
        <v>889519</v>
      </c>
      <c r="D7" s="305">
        <f>'[6]SAN CRISTÓBAL'!E12</f>
        <v>967287</v>
      </c>
      <c r="E7" s="305">
        <f>'[6]SAN CRISTÓBAL'!F12</f>
        <v>1262791</v>
      </c>
      <c r="F7" s="305">
        <f>'[6]SAN CRISTÓBAL'!G12</f>
        <v>987586.5</v>
      </c>
      <c r="G7" s="305">
        <f>'[6]SAN CRISTÓBAL'!H12</f>
        <v>878566</v>
      </c>
      <c r="H7" s="305">
        <f>'[6]SAN CRISTÓBAL'!I12</f>
        <v>736228</v>
      </c>
      <c r="I7" s="305">
        <f>'[6]SAN CRISTÓBAL'!J12</f>
        <v>641683</v>
      </c>
      <c r="J7" s="305">
        <f>'[6]SAN CRISTÓBAL'!K12</f>
        <v>706460</v>
      </c>
      <c r="K7" s="305">
        <f>'[6]SAN CRISTÓBAL'!L12</f>
        <v>488772</v>
      </c>
      <c r="L7" s="305">
        <f>'[6]SAN CRISTÓBAL'!M12</f>
        <v>632074</v>
      </c>
      <c r="M7" s="305">
        <f>'[6]SAN CRISTÓBAL'!N12</f>
        <v>790888</v>
      </c>
      <c r="N7" s="306">
        <f>'[6]SAN CRISTÓBAL'!O12</f>
        <v>942479</v>
      </c>
      <c r="O7" s="307">
        <f>SUM(C7:N7)</f>
        <v>9924333.5</v>
      </c>
      <c r="P7" s="421" t="s">
        <v>73</v>
      </c>
    </row>
    <row r="8" spans="1:16" x14ac:dyDescent="0.25">
      <c r="A8" s="292">
        <v>3</v>
      </c>
      <c r="B8" s="309" t="s">
        <v>75</v>
      </c>
      <c r="C8" s="85">
        <f t="shared" ref="C8:N8" si="1">C7/C6</f>
        <v>0.76839249980823665</v>
      </c>
      <c r="D8" s="85">
        <f t="shared" si="1"/>
        <v>0.82284432808546015</v>
      </c>
      <c r="E8" s="85">
        <f t="shared" si="1"/>
        <v>0.95031863143509065</v>
      </c>
      <c r="F8" s="85">
        <f t="shared" si="1"/>
        <v>0.86208540052034843</v>
      </c>
      <c r="G8" s="85">
        <f t="shared" si="1"/>
        <v>0.6960570557532697</v>
      </c>
      <c r="H8" s="85">
        <f t="shared" si="1"/>
        <v>0.6416455901398459</v>
      </c>
      <c r="I8" s="85">
        <f t="shared" si="1"/>
        <v>0.56795052672013824</v>
      </c>
      <c r="J8" s="85">
        <f t="shared" si="1"/>
        <v>0.69246527675674618</v>
      </c>
      <c r="K8" s="85">
        <f t="shared" si="1"/>
        <v>0.49640572727401988</v>
      </c>
      <c r="L8" s="85">
        <f t="shared" si="1"/>
        <v>0.59687339172312848</v>
      </c>
      <c r="M8" s="85">
        <f t="shared" si="1"/>
        <v>0.70360946724505447</v>
      </c>
      <c r="N8" s="86">
        <f t="shared" si="1"/>
        <v>0.74144973370150968</v>
      </c>
      <c r="O8" s="310" t="s">
        <v>73</v>
      </c>
      <c r="P8" s="88">
        <f>AVERAGE(C8:N8)</f>
        <v>0.71167480243023729</v>
      </c>
    </row>
    <row r="9" spans="1:16" x14ac:dyDescent="0.25">
      <c r="A9" s="292">
        <v>4</v>
      </c>
      <c r="B9" s="311" t="s">
        <v>76</v>
      </c>
      <c r="C9" s="312">
        <f>+'[6]SAN CRISTÓBAL'!D45</f>
        <v>266583.234375</v>
      </c>
      <c r="D9" s="312">
        <f>+'[6]SAN CRISTÓBAL'!E45</f>
        <v>206789.703125</v>
      </c>
      <c r="E9" s="312">
        <f>+'[6]SAN CRISTÓBAL'!F45</f>
        <v>64602</v>
      </c>
      <c r="F9" s="312">
        <f>+'[6]SAN CRISTÓBAL'!G45</f>
        <v>156558</v>
      </c>
      <c r="G9" s="312">
        <f>+'[6]SAN CRISTÓBAL'!H45</f>
        <v>382341</v>
      </c>
      <c r="H9" s="312">
        <f>+'[6]SAN CRISTÓBAL'!I45</f>
        <v>409877</v>
      </c>
      <c r="I9" s="312">
        <f>+'[6]SAN CRISTÓBAL'!J45</f>
        <v>486786</v>
      </c>
      <c r="J9" s="312">
        <f>+'[6]SAN CRISTÓBAL'!K45</f>
        <v>312229</v>
      </c>
      <c r="K9" s="312">
        <f>+'[6]SAN CRISTÓBAL'!L45</f>
        <v>494311</v>
      </c>
      <c r="L9" s="312">
        <f>+'[6]SAN CRISTÓBAL'!M45</f>
        <v>425371</v>
      </c>
      <c r="M9" s="312">
        <f>+'[6]SAN CRISTÓBAL'!N45</f>
        <v>331738</v>
      </c>
      <c r="N9" s="313">
        <f>+'[6]SAN CRISTÓBAL'!O45</f>
        <v>327207</v>
      </c>
      <c r="O9" s="314">
        <f>SUM(C9:N9)</f>
        <v>3864392.9375</v>
      </c>
      <c r="P9" s="422" t="s">
        <v>73</v>
      </c>
    </row>
    <row r="10" spans="1:16" x14ac:dyDescent="0.25">
      <c r="A10" s="292">
        <v>5</v>
      </c>
      <c r="B10" s="311" t="s">
        <v>77</v>
      </c>
      <c r="C10" s="94">
        <f t="shared" ref="C10:N10" si="2">IF(C6=0,0,C9/C6)</f>
        <v>0.2302823861754176</v>
      </c>
      <c r="D10" s="94">
        <f t="shared" si="2"/>
        <v>0.17591028755982702</v>
      </c>
      <c r="E10" s="94">
        <f t="shared" si="2"/>
        <v>4.861650441598786E-2</v>
      </c>
      <c r="F10" s="94">
        <f t="shared" si="2"/>
        <v>0.13666283017706773</v>
      </c>
      <c r="G10" s="94">
        <f t="shared" si="2"/>
        <v>0.30291537659522549</v>
      </c>
      <c r="H10" s="94">
        <f t="shared" si="2"/>
        <v>0.35722054791416463</v>
      </c>
      <c r="I10" s="94">
        <f t="shared" si="2"/>
        <v>0.43085193950905543</v>
      </c>
      <c r="J10" s="94">
        <f t="shared" si="2"/>
        <v>0.3060438537163917</v>
      </c>
      <c r="K10" s="94">
        <f t="shared" si="2"/>
        <v>0.50203123635263081</v>
      </c>
      <c r="L10" s="94">
        <f t="shared" si="2"/>
        <v>0.40168181496258176</v>
      </c>
      <c r="M10" s="94">
        <f t="shared" si="2"/>
        <v>0.29512901630185295</v>
      </c>
      <c r="N10" s="95">
        <f t="shared" si="2"/>
        <v>0.2574142691935522</v>
      </c>
      <c r="O10" s="310" t="s">
        <v>73</v>
      </c>
      <c r="P10" s="96">
        <f>AVERAGE(C10:N10)</f>
        <v>0.28706333857281291</v>
      </c>
    </row>
    <row r="11" spans="1:16" x14ac:dyDescent="0.25">
      <c r="A11" s="292">
        <v>6</v>
      </c>
      <c r="B11" s="311" t="s">
        <v>78</v>
      </c>
      <c r="C11" s="312">
        <f>+SUM('[6]SAN CRISTÓBAL'!D46:D47)</f>
        <v>1534</v>
      </c>
      <c r="D11" s="312">
        <f>+SUM('[6]SAN CRISTÓBAL'!E46:E47)</f>
        <v>1464</v>
      </c>
      <c r="E11" s="312">
        <f>+SUM('[6]SAN CRISTÓBAL'!F46:F47)</f>
        <v>1415</v>
      </c>
      <c r="F11" s="312">
        <f>+SUM('[6]SAN CRISTÓBAL'!G46:G47)</f>
        <v>1434</v>
      </c>
      <c r="G11" s="312">
        <f>+SUM('[6]SAN CRISTÓBAL'!H46:H47)</f>
        <v>1297</v>
      </c>
      <c r="H11" s="312">
        <f>+SUM('[6]SAN CRISTÓBAL'!I46:I47)</f>
        <v>1301</v>
      </c>
      <c r="I11" s="312">
        <f>+SUM('[6]SAN CRISTÓBAL'!J46:J47)</f>
        <v>1353</v>
      </c>
      <c r="J11" s="312">
        <f>+SUM('[6]SAN CRISTÓBAL'!K46:K47)</f>
        <v>1521</v>
      </c>
      <c r="K11" s="312">
        <f>+SUM('[6]SAN CRISTÓBAL'!L46:L47)</f>
        <v>1539</v>
      </c>
      <c r="L11" s="312">
        <f>+SUM('[6]SAN CRISTÓBAL'!M46:M47)</f>
        <v>1530</v>
      </c>
      <c r="M11" s="312">
        <f>+SUM('[6]SAN CRISTÓBAL'!N46:N47)</f>
        <v>1418</v>
      </c>
      <c r="N11" s="313">
        <f>+SUM('[6]SAN CRISTÓBAL'!O46:O47)</f>
        <v>1444</v>
      </c>
      <c r="O11" s="314">
        <f>SUM(C11:N11)</f>
        <v>17250</v>
      </c>
      <c r="P11" s="422" t="s">
        <v>73</v>
      </c>
    </row>
    <row r="12" spans="1:16" x14ac:dyDescent="0.25">
      <c r="A12" s="292">
        <v>7</v>
      </c>
      <c r="B12" s="315" t="s">
        <v>79</v>
      </c>
      <c r="C12" s="98">
        <f t="shared" ref="C12:N12" si="3">+C11/C6</f>
        <v>1.3251140163457274E-3</v>
      </c>
      <c r="D12" s="98">
        <f t="shared" si="3"/>
        <v>1.2453843547128346E-3</v>
      </c>
      <c r="E12" s="98">
        <f t="shared" si="3"/>
        <v>1.0648641489214394E-3</v>
      </c>
      <c r="F12" s="98">
        <f t="shared" si="3"/>
        <v>1.2517693025838037E-3</v>
      </c>
      <c r="G12" s="98">
        <f t="shared" si="3"/>
        <v>1.027567651504828E-3</v>
      </c>
      <c r="H12" s="98">
        <f t="shared" si="3"/>
        <v>1.1338619459894755E-3</v>
      </c>
      <c r="I12" s="98">
        <f t="shared" si="3"/>
        <v>1.1975337708063749E-3</v>
      </c>
      <c r="J12" s="98">
        <f t="shared" si="3"/>
        <v>1.4908695268621166E-3</v>
      </c>
      <c r="K12" s="98">
        <f t="shared" si="3"/>
        <v>1.5630363733493665E-3</v>
      </c>
      <c r="L12" s="98">
        <f t="shared" si="3"/>
        <v>1.4447933142897613E-3</v>
      </c>
      <c r="M12" s="98">
        <f t="shared" si="3"/>
        <v>1.2615164530925835E-3</v>
      </c>
      <c r="N12" s="99">
        <f t="shared" si="3"/>
        <v>1.1359971049381258E-3</v>
      </c>
      <c r="O12" s="310" t="s">
        <v>73</v>
      </c>
      <c r="P12" s="100">
        <f>AVERAGE(C12:N12)</f>
        <v>1.2618589969497029E-3</v>
      </c>
    </row>
    <row r="13" spans="1:16" x14ac:dyDescent="0.25">
      <c r="A13" s="292">
        <v>8</v>
      </c>
      <c r="B13" s="311" t="s">
        <v>151</v>
      </c>
      <c r="C13" s="317">
        <f>'[6]POTENCIA MAXIMA SISTEMA'!E72</f>
        <v>5423.3019999999997</v>
      </c>
      <c r="D13" s="317">
        <f>'[6]POTENCIA MAXIMA SISTEMA'!F72</f>
        <v>6298</v>
      </c>
      <c r="E13" s="317">
        <f>'[6]POTENCIA MAXIMA SISTEMA'!G72</f>
        <v>9357</v>
      </c>
      <c r="F13" s="317">
        <f>'[6]POTENCIA MAXIMA SISTEMA'!H72</f>
        <v>7937</v>
      </c>
      <c r="G13" s="317">
        <f>'[6]POTENCIA MAXIMA SISTEMA'!I72</f>
        <v>4060</v>
      </c>
      <c r="H13" s="317">
        <f>'[6]POTENCIA MAXIMA SISTEMA'!J72</f>
        <v>7581</v>
      </c>
      <c r="I13" s="317">
        <f>'[6]POTENCIA MAXIMA SISTEMA'!K72</f>
        <v>7920</v>
      </c>
      <c r="J13" s="317">
        <f>'[6]POTENCIA MAXIMA SISTEMA'!L72</f>
        <v>5863</v>
      </c>
      <c r="K13" s="317">
        <f>'[6]POTENCIA MAXIMA SISTEMA'!M72</f>
        <v>8366</v>
      </c>
      <c r="L13" s="317">
        <f>'[6]POTENCIA MAXIMA SISTEMA'!N72</f>
        <v>7269</v>
      </c>
      <c r="M13" s="317">
        <f>'[6]POTENCIA MAXIMA SISTEMA'!O72</f>
        <v>5779</v>
      </c>
      <c r="N13" s="317">
        <f>'[6]POTENCIA MAXIMA SISTEMA'!P72</f>
        <v>7171</v>
      </c>
      <c r="O13" s="318">
        <f t="shared" ref="O13:O19" si="4">SUM(C13:N13)</f>
        <v>83024.301999999996</v>
      </c>
      <c r="P13" s="423" t="s">
        <v>73</v>
      </c>
    </row>
    <row r="14" spans="1:16" x14ac:dyDescent="0.25">
      <c r="A14" s="292">
        <v>9</v>
      </c>
      <c r="B14" s="311" t="s">
        <v>81</v>
      </c>
      <c r="C14" s="320">
        <f t="shared" ref="C14:N14" si="5">C6-C13</f>
        <v>1152212.9323750001</v>
      </c>
      <c r="D14" s="320">
        <f t="shared" si="5"/>
        <v>1169242.703125</v>
      </c>
      <c r="E14" s="320">
        <f t="shared" si="5"/>
        <v>1319451</v>
      </c>
      <c r="F14" s="320">
        <f t="shared" si="5"/>
        <v>1137641.5</v>
      </c>
      <c r="G14" s="320">
        <f t="shared" si="5"/>
        <v>1258144</v>
      </c>
      <c r="H14" s="320">
        <f t="shared" si="5"/>
        <v>1139825</v>
      </c>
      <c r="I14" s="320">
        <f t="shared" si="5"/>
        <v>1121902</v>
      </c>
      <c r="J14" s="320">
        <f t="shared" si="5"/>
        <v>1014347</v>
      </c>
      <c r="K14" s="320">
        <f t="shared" si="5"/>
        <v>976256</v>
      </c>
      <c r="L14" s="320">
        <f t="shared" si="5"/>
        <v>1051706</v>
      </c>
      <c r="M14" s="320">
        <f t="shared" si="5"/>
        <v>1118265</v>
      </c>
      <c r="N14" s="321">
        <f t="shared" si="5"/>
        <v>1263959</v>
      </c>
      <c r="O14" s="322">
        <f t="shared" si="4"/>
        <v>13722952.135499999</v>
      </c>
      <c r="P14" s="424" t="s">
        <v>73</v>
      </c>
    </row>
    <row r="15" spans="1:16" x14ac:dyDescent="0.25">
      <c r="A15" s="292">
        <v>10</v>
      </c>
      <c r="B15" s="309" t="s">
        <v>82</v>
      </c>
      <c r="C15" s="323">
        <f t="shared" ref="C15:N15" si="6">SUM(C16:C18)</f>
        <v>1102416</v>
      </c>
      <c r="D15" s="323">
        <f t="shared" si="6"/>
        <v>1119091.4041875</v>
      </c>
      <c r="E15" s="323">
        <f t="shared" si="6"/>
        <v>1260075.7049999998</v>
      </c>
      <c r="F15" s="323">
        <f t="shared" si="6"/>
        <v>1132204.1839999999</v>
      </c>
      <c r="G15" s="323">
        <f t="shared" si="6"/>
        <v>1204142.6159999999</v>
      </c>
      <c r="H15" s="323">
        <f t="shared" si="6"/>
        <v>1087393.05</v>
      </c>
      <c r="I15" s="323">
        <f t="shared" si="6"/>
        <v>1073661</v>
      </c>
      <c r="J15" s="323">
        <f t="shared" si="6"/>
        <v>960587</v>
      </c>
      <c r="K15" s="323">
        <f t="shared" si="6"/>
        <v>940315</v>
      </c>
      <c r="L15" s="323">
        <f t="shared" si="6"/>
        <v>1009204</v>
      </c>
      <c r="M15" s="323">
        <f t="shared" si="6"/>
        <v>1072751.6145000001</v>
      </c>
      <c r="N15" s="324">
        <f t="shared" si="6"/>
        <v>1212136.6809999999</v>
      </c>
      <c r="O15" s="325">
        <f t="shared" si="4"/>
        <v>13173978.254687501</v>
      </c>
      <c r="P15" s="424" t="s">
        <v>73</v>
      </c>
    </row>
    <row r="16" spans="1:16" x14ac:dyDescent="0.25">
      <c r="A16" s="292">
        <v>11</v>
      </c>
      <c r="B16" s="311" t="s">
        <v>83</v>
      </c>
      <c r="C16" s="312">
        <f>+[6]TÉCNICO!D6</f>
        <v>416935</v>
      </c>
      <c r="D16" s="312">
        <f>+[6]TÉCNICO!E6</f>
        <v>423241.65705588029</v>
      </c>
      <c r="E16" s="312">
        <f>+[6]TÉCNICO!F6</f>
        <v>476562.08188576269</v>
      </c>
      <c r="F16" s="312">
        <f>+[6]TÉCNICO!G6</f>
        <v>428200.92547281604</v>
      </c>
      <c r="G16" s="312">
        <f>+[6]TÉCNICO!H6</f>
        <v>455408.1232510776</v>
      </c>
      <c r="H16" s="312">
        <f>+[6]TÉCNICO!I6</f>
        <v>411253.3030196859</v>
      </c>
      <c r="I16" s="312">
        <f>+[6]TÉCNICO!J6</f>
        <v>406060</v>
      </c>
      <c r="J16" s="312">
        <f>+[6]TÉCNICO!K6</f>
        <v>363295</v>
      </c>
      <c r="K16" s="312">
        <f>+[6]TÉCNICO!L6</f>
        <v>355628</v>
      </c>
      <c r="L16" s="312">
        <f>+[6]TÉCNICO!M6</f>
        <v>381682</v>
      </c>
      <c r="M16" s="312">
        <f>+[6]TÉCNICO!N6</f>
        <v>405715.77374404878</v>
      </c>
      <c r="N16" s="312">
        <f>+[6]TÉCNICO!O6</f>
        <v>458431.35052718967</v>
      </c>
      <c r="O16" s="314">
        <f t="shared" si="4"/>
        <v>4982413.2149564605</v>
      </c>
      <c r="P16" s="422" t="s">
        <v>73</v>
      </c>
    </row>
    <row r="17" spans="1:16" x14ac:dyDescent="0.25">
      <c r="A17" s="292">
        <v>12</v>
      </c>
      <c r="B17" s="311" t="s">
        <v>84</v>
      </c>
      <c r="C17" s="312">
        <f>+[6]TÉCNICO!D7</f>
        <v>530061</v>
      </c>
      <c r="D17" s="312">
        <f>+[6]TÉCNICO!E7</f>
        <v>538078.82758870558</v>
      </c>
      <c r="E17" s="312">
        <f>+[6]TÉCNICO!F7</f>
        <v>605866.55878362153</v>
      </c>
      <c r="F17" s="312">
        <f>+[6]TÉCNICO!G7</f>
        <v>544383.68272523617</v>
      </c>
      <c r="G17" s="312">
        <f>+[6]TÉCNICO!H7</f>
        <v>578972.94594742451</v>
      </c>
      <c r="H17" s="312">
        <f>+[6]TÉCNICO!I7</f>
        <v>522837.70144487196</v>
      </c>
      <c r="I17" s="312">
        <f>+[6]TÉCNICO!J7</f>
        <v>516235</v>
      </c>
      <c r="J17" s="312">
        <f>+[6]TÉCNICO!K7</f>
        <v>461867</v>
      </c>
      <c r="K17" s="312">
        <f>+[6]TÉCNICO!L7</f>
        <v>452120</v>
      </c>
      <c r="L17" s="312">
        <f>+[6]TÉCNICO!M7</f>
        <v>485243</v>
      </c>
      <c r="M17" s="312">
        <f>+[6]TÉCNICO!N7</f>
        <v>515797.80864406365</v>
      </c>
      <c r="N17" s="312">
        <f>+[6]TÉCNICO!O7</f>
        <v>582816.59555301303</v>
      </c>
      <c r="O17" s="314">
        <f t="shared" si="4"/>
        <v>6334280.1206869371</v>
      </c>
      <c r="P17" s="422" t="s">
        <v>73</v>
      </c>
    </row>
    <row r="18" spans="1:16" x14ac:dyDescent="0.25">
      <c r="A18" s="292">
        <v>13</v>
      </c>
      <c r="B18" s="311" t="s">
        <v>85</v>
      </c>
      <c r="C18" s="312">
        <f>+[6]TÉCNICO!D8</f>
        <v>155420</v>
      </c>
      <c r="D18" s="312">
        <f>+[6]TÉCNICO!E8</f>
        <v>157770.91954291414</v>
      </c>
      <c r="E18" s="312">
        <f>+[6]TÉCNICO!F8</f>
        <v>177647.06433061563</v>
      </c>
      <c r="F18" s="312">
        <f>+[6]TÉCNICO!G8</f>
        <v>159619.57580194771</v>
      </c>
      <c r="G18" s="312">
        <f>+[6]TÉCNICO!H8</f>
        <v>169761.54680149778</v>
      </c>
      <c r="H18" s="312">
        <f>+[6]TÉCNICO!I8</f>
        <v>153302.04553544216</v>
      </c>
      <c r="I18" s="312">
        <f>+[6]TÉCNICO!J8</f>
        <v>151366</v>
      </c>
      <c r="J18" s="312">
        <f>+[6]TÉCNICO!K8</f>
        <v>135425</v>
      </c>
      <c r="K18" s="312">
        <f>+[6]TÉCNICO!L8</f>
        <v>132567</v>
      </c>
      <c r="L18" s="312">
        <f>+[6]TÉCNICO!M8</f>
        <v>142279</v>
      </c>
      <c r="M18" s="312">
        <f>+[6]TÉCNICO!N8</f>
        <v>151238.0321118877</v>
      </c>
      <c r="N18" s="312">
        <f>+[6]TÉCNICO!O8</f>
        <v>170888.73491979716</v>
      </c>
      <c r="O18" s="314">
        <f t="shared" si="4"/>
        <v>1857284.9190441025</v>
      </c>
      <c r="P18" s="422" t="s">
        <v>73</v>
      </c>
    </row>
    <row r="19" spans="1:16" x14ac:dyDescent="0.25">
      <c r="A19" s="292">
        <v>14</v>
      </c>
      <c r="B19" s="311" t="s">
        <v>86</v>
      </c>
      <c r="C19" s="320">
        <f t="shared" ref="C19:N19" si="7">+C14-C15</f>
        <v>49796.932375000091</v>
      </c>
      <c r="D19" s="320">
        <f t="shared" si="7"/>
        <v>50151.298937499989</v>
      </c>
      <c r="E19" s="320">
        <f t="shared" si="7"/>
        <v>59375.295000000158</v>
      </c>
      <c r="F19" s="320">
        <f t="shared" si="7"/>
        <v>5437.316000000108</v>
      </c>
      <c r="G19" s="320">
        <f t="shared" si="7"/>
        <v>54001.384000000078</v>
      </c>
      <c r="H19" s="320">
        <f t="shared" si="7"/>
        <v>52431.949999999953</v>
      </c>
      <c r="I19" s="320">
        <f t="shared" si="7"/>
        <v>48241</v>
      </c>
      <c r="J19" s="320">
        <f t="shared" si="7"/>
        <v>53760</v>
      </c>
      <c r="K19" s="320">
        <f t="shared" si="7"/>
        <v>35941</v>
      </c>
      <c r="L19" s="320">
        <f t="shared" si="7"/>
        <v>42502</v>
      </c>
      <c r="M19" s="320">
        <f t="shared" si="7"/>
        <v>45513.385499999858</v>
      </c>
      <c r="N19" s="321">
        <f t="shared" si="7"/>
        <v>51822.319000000134</v>
      </c>
      <c r="O19" s="322">
        <f t="shared" si="4"/>
        <v>548973.88081250037</v>
      </c>
      <c r="P19" s="424" t="s">
        <v>73</v>
      </c>
    </row>
    <row r="20" spans="1:16" x14ac:dyDescent="0.25">
      <c r="A20" s="292">
        <v>15</v>
      </c>
      <c r="B20" s="311" t="s">
        <v>87</v>
      </c>
      <c r="C20" s="112">
        <f t="shared" ref="C20:N20" si="8">C19/C14</f>
        <v>4.3218515411345117E-2</v>
      </c>
      <c r="D20" s="112">
        <f t="shared" si="8"/>
        <v>4.2892120518231255E-2</v>
      </c>
      <c r="E20" s="112">
        <f t="shared" si="8"/>
        <v>4.5000000000000123E-2</v>
      </c>
      <c r="F20" s="112">
        <f t="shared" si="8"/>
        <v>4.7794634777301179E-3</v>
      </c>
      <c r="G20" s="112">
        <f t="shared" si="8"/>
        <v>4.2921465269476371E-2</v>
      </c>
      <c r="H20" s="112">
        <f t="shared" si="8"/>
        <v>4.5999999999999958E-2</v>
      </c>
      <c r="I20" s="112">
        <f t="shared" si="8"/>
        <v>4.2999299404047772E-2</v>
      </c>
      <c r="J20" s="112">
        <f t="shared" si="8"/>
        <v>5.2999614530333305E-2</v>
      </c>
      <c r="K20" s="112">
        <f t="shared" si="8"/>
        <v>3.6815138652156812E-2</v>
      </c>
      <c r="L20" s="112">
        <f t="shared" si="8"/>
        <v>4.0412434653791081E-2</v>
      </c>
      <c r="M20" s="112">
        <f t="shared" si="8"/>
        <v>4.0699999999999875E-2</v>
      </c>
      <c r="N20" s="113">
        <f t="shared" si="8"/>
        <v>4.1000000000000106E-2</v>
      </c>
      <c r="O20" s="310" t="s">
        <v>73</v>
      </c>
      <c r="P20" s="100">
        <f>AVERAGE(C20:N20)</f>
        <v>3.9978170993092657E-2</v>
      </c>
    </row>
    <row r="21" spans="1:16" x14ac:dyDescent="0.25">
      <c r="A21" s="292">
        <v>16</v>
      </c>
      <c r="B21" s="311" t="s">
        <v>88</v>
      </c>
      <c r="C21" s="317">
        <f>+[6]COMERCIAL!D6</f>
        <v>1013923</v>
      </c>
      <c r="D21" s="317">
        <f>+[6]COMERCIAL!E6</f>
        <v>1004097</v>
      </c>
      <c r="E21" s="317">
        <f>+[6]COMERCIAL!F6</f>
        <v>1206848</v>
      </c>
      <c r="F21" s="317">
        <f>+[6]COMERCIAL!G6</f>
        <v>1049182</v>
      </c>
      <c r="G21" s="317">
        <f>+[6]COMERCIAL!H6</f>
        <v>1119382</v>
      </c>
      <c r="H21" s="317">
        <f>+[6]COMERCIAL!I6</f>
        <v>1015854</v>
      </c>
      <c r="I21" s="317">
        <f>+[6]COMERCIAL!J6</f>
        <v>1063442</v>
      </c>
      <c r="J21" s="317">
        <f>+[6]COMERCIAL!K6</f>
        <v>1045079</v>
      </c>
      <c r="K21" s="317">
        <f>+[6]COMERCIAL!L6</f>
        <v>909081</v>
      </c>
      <c r="L21" s="317">
        <f>+[6]COMERCIAL!M6</f>
        <v>953364</v>
      </c>
      <c r="M21" s="317">
        <f>+[6]COMERCIAL!N6</f>
        <v>1000369</v>
      </c>
      <c r="N21" s="317">
        <f>+[6]COMERCIAL!O6</f>
        <v>1179534</v>
      </c>
      <c r="O21" s="547">
        <f>+SUM(C21:N21)</f>
        <v>12560155</v>
      </c>
      <c r="P21" s="423" t="s">
        <v>73</v>
      </c>
    </row>
    <row r="22" spans="1:16" x14ac:dyDescent="0.25">
      <c r="A22" s="292">
        <v>17</v>
      </c>
      <c r="B22" s="311" t="s">
        <v>89</v>
      </c>
      <c r="C22" s="320">
        <f t="shared" ref="C22:N22" si="9">C15-C21</f>
        <v>88493</v>
      </c>
      <c r="D22" s="320">
        <f t="shared" si="9"/>
        <v>114994.40418750001</v>
      </c>
      <c r="E22" s="320">
        <f t="shared" si="9"/>
        <v>53227.704999999842</v>
      </c>
      <c r="F22" s="320">
        <f t="shared" si="9"/>
        <v>83022.183999999892</v>
      </c>
      <c r="G22" s="320">
        <f t="shared" si="9"/>
        <v>84760.615999999922</v>
      </c>
      <c r="H22" s="320">
        <f t="shared" si="9"/>
        <v>71539.050000000047</v>
      </c>
      <c r="I22" s="320">
        <f t="shared" si="9"/>
        <v>10219</v>
      </c>
      <c r="J22" s="320">
        <f t="shared" si="9"/>
        <v>-84492</v>
      </c>
      <c r="K22" s="320">
        <f t="shared" si="9"/>
        <v>31234</v>
      </c>
      <c r="L22" s="320">
        <f t="shared" si="9"/>
        <v>55840</v>
      </c>
      <c r="M22" s="320">
        <f t="shared" si="9"/>
        <v>72382.614500000142</v>
      </c>
      <c r="N22" s="321">
        <f t="shared" si="9"/>
        <v>32602.680999999866</v>
      </c>
      <c r="O22" s="322">
        <f>SUM(C22:N22)</f>
        <v>613823.25468749972</v>
      </c>
      <c r="P22" s="424" t="s">
        <v>73</v>
      </c>
    </row>
    <row r="23" spans="1:16" x14ac:dyDescent="0.25">
      <c r="A23" s="292">
        <v>18</v>
      </c>
      <c r="B23" s="311" t="s">
        <v>90</v>
      </c>
      <c r="C23" s="112">
        <f t="shared" ref="C23:N23" si="10">C22/C15</f>
        <v>8.0271875589614086E-2</v>
      </c>
      <c r="D23" s="112">
        <f t="shared" si="10"/>
        <v>0.10275693634783123</v>
      </c>
      <c r="E23" s="112">
        <f t="shared" si="10"/>
        <v>4.2241672296983022E-2</v>
      </c>
      <c r="F23" s="112">
        <f t="shared" si="10"/>
        <v>7.3327925451298195E-2</v>
      </c>
      <c r="G23" s="112">
        <f t="shared" si="10"/>
        <v>7.0390844800064717E-2</v>
      </c>
      <c r="H23" s="112">
        <f t="shared" si="10"/>
        <v>6.5789504540239657E-2</v>
      </c>
      <c r="I23" s="112">
        <f t="shared" si="10"/>
        <v>9.5179018330739402E-3</v>
      </c>
      <c r="J23" s="112">
        <f t="shared" si="10"/>
        <v>-8.7958716909556339E-2</v>
      </c>
      <c r="K23" s="112">
        <f t="shared" si="10"/>
        <v>3.3216528503746082E-2</v>
      </c>
      <c r="L23" s="112">
        <f t="shared" si="10"/>
        <v>5.5330735906714598E-2</v>
      </c>
      <c r="M23" s="112">
        <f>M22/M15</f>
        <v>6.747378752138912E-2</v>
      </c>
      <c r="N23" s="113">
        <f t="shared" si="10"/>
        <v>2.6896868571870129E-2</v>
      </c>
      <c r="O23" s="310" t="s">
        <v>73</v>
      </c>
      <c r="P23" s="100">
        <f>AVERAGE(C23:N23)</f>
        <v>4.493798870443904E-2</v>
      </c>
    </row>
    <row r="24" spans="1:16" x14ac:dyDescent="0.25">
      <c r="A24" s="292">
        <v>19</v>
      </c>
      <c r="B24" s="311" t="s">
        <v>91</v>
      </c>
      <c r="C24" s="320">
        <f t="shared" ref="C24:N24" si="11">C14-C21</f>
        <v>138289.93237500009</v>
      </c>
      <c r="D24" s="320">
        <f t="shared" si="11"/>
        <v>165145.703125</v>
      </c>
      <c r="E24" s="320">
        <f t="shared" si="11"/>
        <v>112603</v>
      </c>
      <c r="F24" s="320">
        <f t="shared" si="11"/>
        <v>88459.5</v>
      </c>
      <c r="G24" s="320">
        <f t="shared" si="11"/>
        <v>138762</v>
      </c>
      <c r="H24" s="320">
        <f t="shared" si="11"/>
        <v>123971</v>
      </c>
      <c r="I24" s="320">
        <f t="shared" si="11"/>
        <v>58460</v>
      </c>
      <c r="J24" s="320">
        <f t="shared" si="11"/>
        <v>-30732</v>
      </c>
      <c r="K24" s="320">
        <f t="shared" si="11"/>
        <v>67175</v>
      </c>
      <c r="L24" s="320">
        <f t="shared" si="11"/>
        <v>98342</v>
      </c>
      <c r="M24" s="320">
        <f>M14-M21</f>
        <v>117896</v>
      </c>
      <c r="N24" s="321">
        <f t="shared" si="11"/>
        <v>84425</v>
      </c>
      <c r="O24" s="322">
        <f>SUM(C24:N24)</f>
        <v>1162797.1355000001</v>
      </c>
      <c r="P24" s="424" t="s">
        <v>73</v>
      </c>
    </row>
    <row r="25" spans="1:16" x14ac:dyDescent="0.25">
      <c r="A25" s="292">
        <v>20</v>
      </c>
      <c r="B25" s="311" t="s">
        <v>92</v>
      </c>
      <c r="C25" s="425">
        <f t="shared" ref="C25:N25" si="12">C24/C14</f>
        <v>0.12002115970869189</v>
      </c>
      <c r="D25" s="425">
        <f t="shared" si="12"/>
        <v>0.14124159396814709</v>
      </c>
      <c r="E25" s="425">
        <f t="shared" si="12"/>
        <v>8.5340797043618896E-2</v>
      </c>
      <c r="F25" s="425">
        <f t="shared" si="12"/>
        <v>7.775692078743611E-2</v>
      </c>
      <c r="G25" s="425">
        <f t="shared" si="12"/>
        <v>0.11029103186916601</v>
      </c>
      <c r="H25" s="425">
        <f t="shared" si="12"/>
        <v>0.10876318733138859</v>
      </c>
      <c r="I25" s="425">
        <f t="shared" si="12"/>
        <v>5.210793812650303E-2</v>
      </c>
      <c r="J25" s="425">
        <f t="shared" si="12"/>
        <v>-3.029732428843384E-2</v>
      </c>
      <c r="K25" s="425">
        <f t="shared" si="12"/>
        <v>6.8808796053494159E-2</v>
      </c>
      <c r="L25" s="425">
        <f t="shared" si="12"/>
        <v>9.3507120811329406E-2</v>
      </c>
      <c r="M25" s="425">
        <f t="shared" si="12"/>
        <v>0.10542760436926847</v>
      </c>
      <c r="N25" s="426">
        <f t="shared" si="12"/>
        <v>6.6794096960423557E-2</v>
      </c>
      <c r="O25" s="330" t="s">
        <v>73</v>
      </c>
      <c r="P25" s="427">
        <f>AVERAGE(C25:N25)</f>
        <v>8.3313576895086117E-2</v>
      </c>
    </row>
    <row r="26" spans="1:16" x14ac:dyDescent="0.25">
      <c r="A26" s="292">
        <v>21</v>
      </c>
      <c r="B26" s="311" t="s">
        <v>93</v>
      </c>
      <c r="C26" s="312">
        <f>+'[6]SAN CRISTÓBAL'!D40</f>
        <v>2347</v>
      </c>
      <c r="D26" s="312">
        <f>+'[6]SAN CRISTÓBAL'!E40</f>
        <v>2527</v>
      </c>
      <c r="E26" s="312">
        <f>+'[6]SAN CRISTÓBAL'!F40</f>
        <v>2575</v>
      </c>
      <c r="F26" s="312">
        <f>+'[6]SAN CRISTÓBAL'!G40</f>
        <v>2495</v>
      </c>
      <c r="G26" s="312">
        <f>+'[6]SAN CRISTÓBAL'!H40</f>
        <v>2371</v>
      </c>
      <c r="H26" s="312">
        <f>+'[6]SAN CRISTÓBAL'!I40</f>
        <v>2224</v>
      </c>
      <c r="I26" s="312">
        <f>+'[6]SAN CRISTÓBAL'!J40</f>
        <v>2135</v>
      </c>
      <c r="J26" s="312">
        <f>+'[6]SAN CRISTÓBAL'!K40</f>
        <v>2117</v>
      </c>
      <c r="K26" s="312">
        <f>+'[6]SAN CRISTÓBAL'!L40</f>
        <v>1988</v>
      </c>
      <c r="L26" s="312">
        <f>+'[6]SAN CRISTÓBAL'!M40</f>
        <v>2140</v>
      </c>
      <c r="M26" s="312">
        <f>+'[6]SAN CRISTÓBAL'!N40</f>
        <v>2474</v>
      </c>
      <c r="N26" s="313">
        <f>+'[6]SAN CRISTÓBAL'!O40</f>
        <v>2513</v>
      </c>
      <c r="O26" s="307">
        <f>+MAX(C26:N26)</f>
        <v>2575</v>
      </c>
      <c r="P26" s="421" t="s">
        <v>73</v>
      </c>
    </row>
    <row r="27" spans="1:16" x14ac:dyDescent="0.25">
      <c r="A27" s="292">
        <v>22</v>
      </c>
      <c r="B27" s="311" t="s">
        <v>31</v>
      </c>
      <c r="C27" s="312">
        <f>+'[6]SAN CRISTÓBAL'!D21</f>
        <v>63417</v>
      </c>
      <c r="D27" s="312">
        <f>+'[6]SAN CRISTÓBAL'!E21</f>
        <v>81111</v>
      </c>
      <c r="E27" s="312">
        <f>+'[6]SAN CRISTÓBAL'!F21</f>
        <v>98608</v>
      </c>
      <c r="F27" s="312">
        <f>+'[6]SAN CRISTÓBAL'!G21</f>
        <v>72463.5</v>
      </c>
      <c r="G27" s="312">
        <f>+'[6]SAN CRISTÓBAL'!H21</f>
        <v>68373</v>
      </c>
      <c r="H27" s="312">
        <f>+'[6]SAN CRISTÓBAL'!I21</f>
        <v>56543</v>
      </c>
      <c r="I27" s="312">
        <f>+'[6]SAN CRISTÓBAL'!J21</f>
        <v>51966</v>
      </c>
      <c r="J27" s="312">
        <f>+'[6]SAN CRISTÓBAL'!K21</f>
        <v>56068</v>
      </c>
      <c r="K27" s="312">
        <f>+'[6]SAN CRISTÓBAL'!L21</f>
        <v>39339</v>
      </c>
      <c r="L27" s="312">
        <f>+'[6]SAN CRISTÓBAL'!M21</f>
        <v>50334</v>
      </c>
      <c r="M27" s="312">
        <f>+'[6]SAN CRISTÓBAL'!N21</f>
        <v>62248</v>
      </c>
      <c r="N27" s="313">
        <f>+'[6]SAN CRISTÓBAL'!O21</f>
        <v>73507</v>
      </c>
      <c r="O27" s="314">
        <f>SUM(C27:N27)</f>
        <v>773977.5</v>
      </c>
      <c r="P27" s="422" t="s">
        <v>73</v>
      </c>
    </row>
    <row r="28" spans="1:16" x14ac:dyDescent="0.25">
      <c r="A28" s="292">
        <v>23</v>
      </c>
      <c r="B28" s="311" t="s">
        <v>94</v>
      </c>
      <c r="C28" s="331">
        <f t="shared" ref="C28:N28" si="13">C7/C27</f>
        <v>14.026507088004793</v>
      </c>
      <c r="D28" s="331">
        <f t="shared" si="13"/>
        <v>11.925472500647261</v>
      </c>
      <c r="E28" s="331">
        <f t="shared" si="13"/>
        <v>12.806171913029369</v>
      </c>
      <c r="F28" s="331">
        <f t="shared" si="13"/>
        <v>13.628744126353267</v>
      </c>
      <c r="G28" s="331">
        <f t="shared" si="13"/>
        <v>12.849604375996373</v>
      </c>
      <c r="H28" s="331">
        <f t="shared" si="13"/>
        <v>13.020674530887996</v>
      </c>
      <c r="I28" s="331">
        <f t="shared" si="13"/>
        <v>12.348131470576917</v>
      </c>
      <c r="J28" s="331">
        <f t="shared" si="13"/>
        <v>12.600057073553542</v>
      </c>
      <c r="K28" s="331">
        <f t="shared" si="13"/>
        <v>12.424616792495996</v>
      </c>
      <c r="L28" s="331">
        <f t="shared" si="13"/>
        <v>12.557595263638893</v>
      </c>
      <c r="M28" s="331">
        <f t="shared" si="13"/>
        <v>12.705436319239173</v>
      </c>
      <c r="N28" s="332">
        <f t="shared" si="13"/>
        <v>12.821622430516822</v>
      </c>
      <c r="O28" s="310" t="s">
        <v>73</v>
      </c>
      <c r="P28" s="428">
        <f>AVERAGE(C28:N28)</f>
        <v>12.809552823745035</v>
      </c>
    </row>
    <row r="29" spans="1:16" ht="15.75" thickBot="1" x14ac:dyDescent="0.3">
      <c r="A29" s="292">
        <v>24</v>
      </c>
      <c r="B29" s="334" t="s">
        <v>33</v>
      </c>
      <c r="C29" s="335">
        <f>+[6]COMERCIAL!D13</f>
        <v>2904</v>
      </c>
      <c r="D29" s="335">
        <f>+[6]COMERCIAL!E13</f>
        <v>2913</v>
      </c>
      <c r="E29" s="335">
        <f>+[6]COMERCIAL!F13</f>
        <v>2921</v>
      </c>
      <c r="F29" s="335">
        <f>+[6]COMERCIAL!G13</f>
        <v>2928</v>
      </c>
      <c r="G29" s="335">
        <f>+[6]COMERCIAL!H13</f>
        <v>2938</v>
      </c>
      <c r="H29" s="335">
        <f>+[6]COMERCIAL!I13</f>
        <v>2953</v>
      </c>
      <c r="I29" s="335">
        <f>+[6]COMERCIAL!J13</f>
        <v>2966</v>
      </c>
      <c r="J29" s="335">
        <f>+[6]COMERCIAL!K13</f>
        <v>2992</v>
      </c>
      <c r="K29" s="335">
        <f>+[6]COMERCIAL!L13</f>
        <v>3002</v>
      </c>
      <c r="L29" s="335">
        <f>+[6]COMERCIAL!M13</f>
        <v>3008</v>
      </c>
      <c r="M29" s="335">
        <f>+[6]COMERCIAL!N13</f>
        <v>3023</v>
      </c>
      <c r="N29" s="336">
        <f>+[6]COMERCIAL!O13</f>
        <v>3028</v>
      </c>
      <c r="O29" s="337" t="s">
        <v>73</v>
      </c>
      <c r="P29" s="337" t="s">
        <v>73</v>
      </c>
    </row>
    <row r="30" spans="1:16" ht="10.5" customHeight="1" x14ac:dyDescent="0.25">
      <c r="A30" s="292"/>
      <c r="B30" s="339"/>
      <c r="C30" s="340"/>
      <c r="D30" s="340"/>
      <c r="E30" s="340"/>
      <c r="F30" s="340"/>
      <c r="G30" s="340"/>
      <c r="H30" s="340"/>
      <c r="I30" s="341"/>
      <c r="J30" s="341"/>
      <c r="K30" s="342"/>
      <c r="L30" s="342"/>
      <c r="M30" s="342"/>
      <c r="N30" s="342"/>
      <c r="O30" s="342"/>
    </row>
    <row r="31" spans="1:16" ht="12.75" customHeight="1" thickBot="1" x14ac:dyDescent="0.3">
      <c r="A31" s="343"/>
      <c r="B31" s="344"/>
      <c r="C31" s="345"/>
      <c r="D31" s="345"/>
      <c r="E31" s="345"/>
      <c r="F31" s="345"/>
      <c r="G31" s="345"/>
      <c r="H31" s="345"/>
      <c r="I31" s="341"/>
      <c r="J31" s="341"/>
      <c r="K31" s="341"/>
      <c r="L31" s="341"/>
      <c r="M31" s="341"/>
      <c r="N31" s="341"/>
      <c r="O31" s="341"/>
    </row>
    <row r="32" spans="1:16" ht="15.75" thickBot="1" x14ac:dyDescent="0.3">
      <c r="B32" s="744" t="s">
        <v>34</v>
      </c>
      <c r="C32" s="745"/>
      <c r="D32" s="745"/>
      <c r="E32" s="745"/>
      <c r="F32" s="745"/>
      <c r="G32" s="745"/>
      <c r="H32" s="745"/>
      <c r="I32" s="745"/>
      <c r="J32" s="745"/>
      <c r="K32" s="745"/>
      <c r="L32" s="745"/>
      <c r="M32" s="745"/>
      <c r="N32" s="745"/>
      <c r="O32" s="745"/>
      <c r="P32" s="746"/>
    </row>
    <row r="33" spans="1:17" ht="15.75" thickBot="1" x14ac:dyDescent="0.3">
      <c r="B33" s="346" t="s">
        <v>57</v>
      </c>
      <c r="C33" s="347" t="s">
        <v>58</v>
      </c>
      <c r="D33" s="347" t="s">
        <v>59</v>
      </c>
      <c r="E33" s="347" t="s">
        <v>60</v>
      </c>
      <c r="F33" s="347" t="s">
        <v>61</v>
      </c>
      <c r="G33" s="347" t="s">
        <v>62</v>
      </c>
      <c r="H33" s="347" t="s">
        <v>63</v>
      </c>
      <c r="I33" s="348" t="s">
        <v>64</v>
      </c>
      <c r="J33" s="348" t="s">
        <v>65</v>
      </c>
      <c r="K33" s="347" t="s">
        <v>66</v>
      </c>
      <c r="L33" s="347" t="s">
        <v>67</v>
      </c>
      <c r="M33" s="347" t="s">
        <v>68</v>
      </c>
      <c r="N33" s="349" t="s">
        <v>69</v>
      </c>
      <c r="O33" s="350" t="s">
        <v>70</v>
      </c>
      <c r="P33" s="429" t="s">
        <v>71</v>
      </c>
    </row>
    <row r="34" spans="1:17" x14ac:dyDescent="0.25">
      <c r="A34" s="286">
        <v>1</v>
      </c>
      <c r="B34" s="309" t="s">
        <v>72</v>
      </c>
      <c r="C34" s="320">
        <f t="shared" ref="C34:M34" si="14">C35+C39</f>
        <v>2516701</v>
      </c>
      <c r="D34" s="320">
        <f t="shared" si="14"/>
        <v>2530929</v>
      </c>
      <c r="E34" s="320">
        <f t="shared" si="14"/>
        <v>2849603</v>
      </c>
      <c r="F34" s="320">
        <f t="shared" si="14"/>
        <v>2727906</v>
      </c>
      <c r="G34" s="320">
        <f t="shared" si="14"/>
        <v>2639845</v>
      </c>
      <c r="H34" s="320">
        <f t="shared" si="14"/>
        <v>2370414</v>
      </c>
      <c r="I34" s="320">
        <f t="shared" si="14"/>
        <v>2298901.2000000002</v>
      </c>
      <c r="J34" s="320">
        <f t="shared" si="14"/>
        <v>2200846.7000000002</v>
      </c>
      <c r="K34" s="320">
        <f t="shared" si="14"/>
        <v>2012552.9</v>
      </c>
      <c r="L34" s="320">
        <f t="shared" si="14"/>
        <v>2145451.1</v>
      </c>
      <c r="M34" s="320">
        <f t="shared" si="14"/>
        <v>2216037.98</v>
      </c>
      <c r="N34" s="320">
        <f>N35+N39+N37</f>
        <v>2469066.7000000002</v>
      </c>
      <c r="O34" s="352">
        <f>SUM(C34:N34)</f>
        <v>28978254.579999998</v>
      </c>
      <c r="P34" s="430" t="s">
        <v>73</v>
      </c>
      <c r="Q34" s="431"/>
    </row>
    <row r="35" spans="1:17" x14ac:dyDescent="0.25">
      <c r="A35" s="286">
        <v>2</v>
      </c>
      <c r="B35" s="304" t="s">
        <v>74</v>
      </c>
      <c r="C35" s="305">
        <f>+'[6]SANTA CRUZ'!D12</f>
        <v>2516701</v>
      </c>
      <c r="D35" s="305">
        <f>+'[6]SANTA CRUZ'!E12</f>
        <v>2530929</v>
      </c>
      <c r="E35" s="305">
        <f>+'[6]SANTA CRUZ'!F12</f>
        <v>2849603</v>
      </c>
      <c r="F35" s="305">
        <f>+'[6]SANTA CRUZ'!G12</f>
        <v>2727906</v>
      </c>
      <c r="G35" s="305">
        <f>+'[6]SANTA CRUZ'!H12</f>
        <v>2585665</v>
      </c>
      <c r="H35" s="305">
        <f>+'[6]SANTA CRUZ'!I12</f>
        <v>2225548</v>
      </c>
      <c r="I35" s="305">
        <f>+'[6]SANTA CRUZ'!J12</f>
        <v>2155410</v>
      </c>
      <c r="J35" s="305">
        <f>+'[6]SANTA CRUZ'!K12</f>
        <v>2026399</v>
      </c>
      <c r="K35" s="305">
        <f>+'[6]SANTA CRUZ'!L12</f>
        <v>1839590</v>
      </c>
      <c r="L35" s="305">
        <f>+'[6]SANTA CRUZ'!M12</f>
        <v>1963830</v>
      </c>
      <c r="M35" s="305">
        <f>+'[6]SANTA CRUZ'!N12</f>
        <v>2038010</v>
      </c>
      <c r="N35" s="306">
        <f>+'[6]SANTA CRUZ'!O12</f>
        <v>2272463</v>
      </c>
      <c r="O35" s="307">
        <f>SUM(C35:N35)</f>
        <v>27732054</v>
      </c>
      <c r="P35" s="421" t="s">
        <v>73</v>
      </c>
      <c r="Q35" s="431"/>
    </row>
    <row r="36" spans="1:17" x14ac:dyDescent="0.25">
      <c r="A36" s="286">
        <v>3</v>
      </c>
      <c r="B36" s="309" t="s">
        <v>75</v>
      </c>
      <c r="C36" s="94">
        <f t="shared" ref="C36:N36" si="15">C35/C34</f>
        <v>1</v>
      </c>
      <c r="D36" s="94">
        <f t="shared" si="15"/>
        <v>1</v>
      </c>
      <c r="E36" s="94">
        <f t="shared" si="15"/>
        <v>1</v>
      </c>
      <c r="F36" s="94">
        <f t="shared" si="15"/>
        <v>1</v>
      </c>
      <c r="G36" s="112">
        <f t="shared" si="15"/>
        <v>0.97947606772367313</v>
      </c>
      <c r="H36" s="94">
        <f t="shared" si="15"/>
        <v>0.938885781133591</v>
      </c>
      <c r="I36" s="94">
        <f t="shared" si="15"/>
        <v>0.93758270255372433</v>
      </c>
      <c r="J36" s="94">
        <f t="shared" si="15"/>
        <v>0.92073609670314605</v>
      </c>
      <c r="K36" s="94">
        <f t="shared" si="15"/>
        <v>0.9140579609112387</v>
      </c>
      <c r="L36" s="94">
        <f t="shared" si="15"/>
        <v>0.91534596150898051</v>
      </c>
      <c r="M36" s="94">
        <f t="shared" si="15"/>
        <v>0.91966384077947982</v>
      </c>
      <c r="N36" s="95">
        <f t="shared" si="15"/>
        <v>0.92037327302660554</v>
      </c>
      <c r="O36" s="355" t="s">
        <v>73</v>
      </c>
      <c r="P36" s="139">
        <f>AVERAGE(C36:N36)</f>
        <v>0.95384347369503653</v>
      </c>
      <c r="Q36" s="431"/>
    </row>
    <row r="37" spans="1:17" x14ac:dyDescent="0.25">
      <c r="A37" s="286">
        <v>4</v>
      </c>
      <c r="B37" s="304" t="s">
        <v>76</v>
      </c>
      <c r="C37" s="305">
        <f>+'[6]SANTA CRUZ'!D55</f>
        <v>0</v>
      </c>
      <c r="D37" s="305">
        <f>+'[6]SANTA CRUZ'!E55</f>
        <v>0</v>
      </c>
      <c r="E37" s="305">
        <f>+'[6]SANTA CRUZ'!F55</f>
        <v>0</v>
      </c>
      <c r="F37" s="305">
        <f>+'[6]SANTA CRUZ'!G55</f>
        <v>0</v>
      </c>
      <c r="G37" s="305">
        <v>0</v>
      </c>
      <c r="H37" s="305">
        <v>0</v>
      </c>
      <c r="I37" s="305">
        <v>0</v>
      </c>
      <c r="J37" s="305">
        <v>0</v>
      </c>
      <c r="K37" s="305">
        <v>0</v>
      </c>
      <c r="L37" s="305">
        <v>0</v>
      </c>
      <c r="M37" s="305">
        <v>0</v>
      </c>
      <c r="N37" s="305">
        <f>+'[6]SANTA CRUZ'!O68</f>
        <v>38267</v>
      </c>
      <c r="O37" s="307">
        <f>SUM(C37:N37)</f>
        <v>38267</v>
      </c>
      <c r="P37" s="421" t="s">
        <v>73</v>
      </c>
      <c r="Q37" s="431"/>
    </row>
    <row r="38" spans="1:17" x14ac:dyDescent="0.25">
      <c r="A38" s="286">
        <v>5</v>
      </c>
      <c r="B38" s="309" t="s">
        <v>152</v>
      </c>
      <c r="C38" s="94">
        <f>C37/C34</f>
        <v>0</v>
      </c>
      <c r="D38" s="94">
        <f t="shared" ref="D38:N38" si="16">D37/D34</f>
        <v>0</v>
      </c>
      <c r="E38" s="94">
        <f t="shared" si="16"/>
        <v>0</v>
      </c>
      <c r="F38" s="94">
        <f t="shared" si="16"/>
        <v>0</v>
      </c>
      <c r="G38" s="94">
        <f t="shared" si="16"/>
        <v>0</v>
      </c>
      <c r="H38" s="94">
        <f t="shared" si="16"/>
        <v>0</v>
      </c>
      <c r="I38" s="94">
        <f t="shared" si="16"/>
        <v>0</v>
      </c>
      <c r="J38" s="94">
        <f t="shared" si="16"/>
        <v>0</v>
      </c>
      <c r="K38" s="94">
        <f t="shared" si="16"/>
        <v>0</v>
      </c>
      <c r="L38" s="94">
        <f t="shared" si="16"/>
        <v>0</v>
      </c>
      <c r="M38" s="94">
        <f t="shared" si="16"/>
        <v>0</v>
      </c>
      <c r="N38" s="94">
        <f t="shared" si="16"/>
        <v>1.5498568750694341E-2</v>
      </c>
      <c r="O38" s="355" t="s">
        <v>73</v>
      </c>
      <c r="P38" s="139">
        <f>AVERAGE(N38)</f>
        <v>1.5498568750694341E-2</v>
      </c>
      <c r="Q38" s="431"/>
    </row>
    <row r="39" spans="1:17" x14ac:dyDescent="0.25">
      <c r="A39" s="286">
        <v>6</v>
      </c>
      <c r="B39" s="304" t="s">
        <v>153</v>
      </c>
      <c r="C39" s="305">
        <f>+'[6]SANTA CRUZ'!D57</f>
        <v>0</v>
      </c>
      <c r="D39" s="305">
        <f>+'[6]SANTA CRUZ'!E57</f>
        <v>0</v>
      </c>
      <c r="E39" s="305">
        <f>+'[6]SANTA CRUZ'!F57</f>
        <v>0</v>
      </c>
      <c r="F39" s="305">
        <f>+'[6]SANTA CRUZ'!G57</f>
        <v>0</v>
      </c>
      <c r="G39" s="305">
        <f>+'[6]SANTA CRUZ'!H57</f>
        <v>54180</v>
      </c>
      <c r="H39" s="305">
        <f>+'[6]SANTA CRUZ'!I57</f>
        <v>144866</v>
      </c>
      <c r="I39" s="305">
        <f>+'[6]SANTA CRUZ'!J57</f>
        <v>143491.20000000001</v>
      </c>
      <c r="J39" s="305">
        <f>+'[6]SANTA CRUZ'!K57</f>
        <v>174447.7</v>
      </c>
      <c r="K39" s="305">
        <f>+'[6]SANTA CRUZ'!L57</f>
        <v>172962.9</v>
      </c>
      <c r="L39" s="305">
        <f>+'[6]SANTA CRUZ'!M57</f>
        <v>181621.1</v>
      </c>
      <c r="M39" s="305">
        <f>+'[6]SANTA CRUZ'!N57</f>
        <v>178027.97999999998</v>
      </c>
      <c r="N39" s="305">
        <f>+'[6]SANTA CRUZ'!O57</f>
        <v>158336.70000000001</v>
      </c>
      <c r="O39" s="307">
        <f>SUM(C39:N39)</f>
        <v>1207933.5799999998</v>
      </c>
      <c r="P39" s="421" t="s">
        <v>73</v>
      </c>
      <c r="Q39" s="431"/>
    </row>
    <row r="40" spans="1:17" x14ac:dyDescent="0.25">
      <c r="A40" s="286">
        <v>7</v>
      </c>
      <c r="B40" s="309" t="s">
        <v>154</v>
      </c>
      <c r="C40" s="94">
        <f t="shared" ref="C40:N40" si="17">C39/C34</f>
        <v>0</v>
      </c>
      <c r="D40" s="94">
        <f t="shared" si="17"/>
        <v>0</v>
      </c>
      <c r="E40" s="94">
        <f t="shared" si="17"/>
        <v>0</v>
      </c>
      <c r="F40" s="94">
        <f t="shared" si="17"/>
        <v>0</v>
      </c>
      <c r="G40" s="112">
        <f t="shared" si="17"/>
        <v>2.0523932276326831E-2</v>
      </c>
      <c r="H40" s="112">
        <f t="shared" si="17"/>
        <v>6.1114218866408991E-2</v>
      </c>
      <c r="I40" s="112">
        <f t="shared" si="17"/>
        <v>6.2417297446275638E-2</v>
      </c>
      <c r="J40" s="94">
        <f t="shared" si="17"/>
        <v>7.9263903296853885E-2</v>
      </c>
      <c r="K40" s="94">
        <f t="shared" si="17"/>
        <v>8.5942039088761343E-2</v>
      </c>
      <c r="L40" s="94">
        <f t="shared" si="17"/>
        <v>8.4654038491019434E-2</v>
      </c>
      <c r="M40" s="94">
        <f t="shared" si="17"/>
        <v>8.0336159220520217E-2</v>
      </c>
      <c r="N40" s="94">
        <f t="shared" si="17"/>
        <v>6.4128158222700099E-2</v>
      </c>
      <c r="O40" s="355" t="s">
        <v>73</v>
      </c>
      <c r="P40" s="139">
        <f>AVERAGE(G40:N40)</f>
        <v>6.7297468363608309E-2</v>
      </c>
      <c r="Q40" s="431"/>
    </row>
    <row r="41" spans="1:17" x14ac:dyDescent="0.25">
      <c r="A41" s="286">
        <v>8</v>
      </c>
      <c r="B41" s="311" t="s">
        <v>156</v>
      </c>
      <c r="C41" s="317">
        <f>'[6]POTENCIA MAXIMA SISTEMA'!E74+'[6]POTENCIA MAXIMA SISTEMA'!E75+'[6]POTENCIA MAXIMA SISTEMA'!E76</f>
        <v>5818</v>
      </c>
      <c r="D41" s="317">
        <f>'[6]POTENCIA MAXIMA SISTEMA'!F74+'[6]POTENCIA MAXIMA SISTEMA'!F75+'[6]POTENCIA MAXIMA SISTEMA'!F76</f>
        <v>3710</v>
      </c>
      <c r="E41" s="317">
        <f>'[6]POTENCIA MAXIMA SISTEMA'!G74+'[6]POTENCIA MAXIMA SISTEMA'!G75+'[6]POTENCIA MAXIMA SISTEMA'!G76</f>
        <v>6170</v>
      </c>
      <c r="F41" s="317">
        <f>'[6]POTENCIA MAXIMA SISTEMA'!H74+'[6]POTENCIA MAXIMA SISTEMA'!H75+'[6]POTENCIA MAXIMA SISTEMA'!H76</f>
        <v>1772</v>
      </c>
      <c r="G41" s="317">
        <f>'[6]POTENCIA MAXIMA SISTEMA'!I74+'[6]POTENCIA MAXIMA SISTEMA'!I75+'[6]POTENCIA MAXIMA SISTEMA'!I76</f>
        <v>4016</v>
      </c>
      <c r="H41" s="317">
        <f>'[6]POTENCIA MAXIMA SISTEMA'!J74+'[6]POTENCIA MAXIMA SISTEMA'!J75+'[6]POTENCIA MAXIMA SISTEMA'!J76</f>
        <v>6655.4</v>
      </c>
      <c r="I41" s="317">
        <f>'[6]POTENCIA MAXIMA SISTEMA'!K74+'[6]POTENCIA MAXIMA SISTEMA'!K75+'[6]POTENCIA MAXIMA SISTEMA'!K76</f>
        <v>8118.6</v>
      </c>
      <c r="J41" s="317">
        <f>'[6]POTENCIA MAXIMA SISTEMA'!L74+'[6]POTENCIA MAXIMA SISTEMA'!L75+'[6]POTENCIA MAXIMA SISTEMA'!L76</f>
        <v>9937</v>
      </c>
      <c r="K41" s="317">
        <f>'[6]POTENCIA MAXIMA SISTEMA'!M74+'[6]POTENCIA MAXIMA SISTEMA'!M75+'[6]POTENCIA MAXIMA SISTEMA'!M76</f>
        <v>6841</v>
      </c>
      <c r="L41" s="317">
        <f>'[6]POTENCIA MAXIMA SISTEMA'!N74+'[6]POTENCIA MAXIMA SISTEMA'!N75+'[6]POTENCIA MAXIMA SISTEMA'!N76</f>
        <v>6298</v>
      </c>
      <c r="M41" s="317">
        <f>'[6]POTENCIA MAXIMA SISTEMA'!O74+'[6]POTENCIA MAXIMA SISTEMA'!O75+'[6]POTENCIA MAXIMA SISTEMA'!O76</f>
        <v>109915.7591493197</v>
      </c>
      <c r="N41" s="317">
        <f>'[6]POTENCIA MAXIMA SISTEMA'!P74+'[6]POTENCIA MAXIMA SISTEMA'!P75+'[6]POTENCIA MAXIMA SISTEMA'!P76</f>
        <v>40816</v>
      </c>
      <c r="O41" s="318">
        <f t="shared" ref="O41:O48" si="18">SUM(C41:N41)</f>
        <v>210067.7591493197</v>
      </c>
      <c r="P41" s="423" t="s">
        <v>73</v>
      </c>
      <c r="Q41" s="431"/>
    </row>
    <row r="42" spans="1:17" x14ac:dyDescent="0.25">
      <c r="A42" s="286">
        <v>9</v>
      </c>
      <c r="B42" s="311" t="s">
        <v>162</v>
      </c>
      <c r="C42" s="317">
        <f>+'[6]SANTA CRUZ'!D51+'[6]SANTA CRUZ'!D63</f>
        <v>112646</v>
      </c>
      <c r="D42" s="317">
        <f>+'[6]SANTA CRUZ'!E51+'[6]SANTA CRUZ'!E63</f>
        <v>99567</v>
      </c>
      <c r="E42" s="317">
        <f>+'[6]SANTA CRUZ'!F51+'[6]SANTA CRUZ'!F63</f>
        <v>125572</v>
      </c>
      <c r="F42" s="317">
        <f>+'[6]SANTA CRUZ'!G51+'[6]SANTA CRUZ'!G63</f>
        <v>120746</v>
      </c>
      <c r="G42" s="317">
        <f>+'[6]SANTA CRUZ'!H51+'[6]SANTA CRUZ'!H63</f>
        <v>116268</v>
      </c>
      <c r="H42" s="317">
        <f>+'[6]SANTA CRUZ'!I51+'[6]SANTA CRUZ'!I63</f>
        <v>119166.5</v>
      </c>
      <c r="I42" s="317">
        <f>+'[6]SANTA CRUZ'!J51+'[6]SANTA CRUZ'!J63</f>
        <v>80647.5</v>
      </c>
      <c r="J42" s="317">
        <f>+'[6]SANTA CRUZ'!K51+'[6]SANTA CRUZ'!K63</f>
        <v>105840</v>
      </c>
      <c r="K42" s="317">
        <f>+'[6]SANTA CRUZ'!L51+'[6]SANTA CRUZ'!L63</f>
        <v>95878</v>
      </c>
      <c r="L42" s="317">
        <f>+'[6]SANTA CRUZ'!M51+'[6]SANTA CRUZ'!M63</f>
        <v>89969</v>
      </c>
      <c r="M42" s="317">
        <f>+'[6]SANTA CRUZ'!N51+'[6]SANTA CRUZ'!N63</f>
        <v>53871</v>
      </c>
      <c r="N42" s="317">
        <f>+'[6]SANTA CRUZ'!O51+'[6]SANTA CRUZ'!O63</f>
        <v>56339.1</v>
      </c>
      <c r="O42" s="318">
        <f t="shared" si="18"/>
        <v>1176510.1000000001</v>
      </c>
      <c r="P42" s="423" t="s">
        <v>73</v>
      </c>
      <c r="Q42" s="431"/>
    </row>
    <row r="43" spans="1:17" x14ac:dyDescent="0.25">
      <c r="A43" s="286">
        <v>11</v>
      </c>
      <c r="B43" s="311" t="s">
        <v>81</v>
      </c>
      <c r="C43" s="320">
        <f t="shared" ref="C43:N43" si="19">C34-C41-C42</f>
        <v>2398237</v>
      </c>
      <c r="D43" s="320">
        <f t="shared" si="19"/>
        <v>2427652</v>
      </c>
      <c r="E43" s="320">
        <f t="shared" si="19"/>
        <v>2717861</v>
      </c>
      <c r="F43" s="320">
        <f t="shared" si="19"/>
        <v>2605388</v>
      </c>
      <c r="G43" s="320">
        <f t="shared" si="19"/>
        <v>2519561</v>
      </c>
      <c r="H43" s="320">
        <f t="shared" si="19"/>
        <v>2244592.1</v>
      </c>
      <c r="I43" s="320">
        <f t="shared" si="19"/>
        <v>2210135.1</v>
      </c>
      <c r="J43" s="320">
        <f t="shared" si="19"/>
        <v>2085069.7000000002</v>
      </c>
      <c r="K43" s="320">
        <f t="shared" si="19"/>
        <v>1909833.9</v>
      </c>
      <c r="L43" s="320">
        <f t="shared" si="19"/>
        <v>2049184.1</v>
      </c>
      <c r="M43" s="320">
        <f t="shared" si="19"/>
        <v>2052251.2208506805</v>
      </c>
      <c r="N43" s="320">
        <f t="shared" si="19"/>
        <v>2371911.6</v>
      </c>
      <c r="O43" s="322">
        <f t="shared" si="18"/>
        <v>27591676.72085068</v>
      </c>
      <c r="P43" s="432" t="s">
        <v>73</v>
      </c>
      <c r="Q43" s="431"/>
    </row>
    <row r="44" spans="1:17" x14ac:dyDescent="0.25">
      <c r="A44" s="286">
        <v>12</v>
      </c>
      <c r="B44" s="311" t="s">
        <v>82</v>
      </c>
      <c r="C44" s="320">
        <f t="shared" ref="C44:N44" si="20">SUM(C45:C47)</f>
        <v>2415350</v>
      </c>
      <c r="D44" s="320">
        <f t="shared" si="20"/>
        <v>2423603.0209999997</v>
      </c>
      <c r="E44" s="320">
        <f t="shared" si="20"/>
        <v>2744350</v>
      </c>
      <c r="F44" s="320">
        <f t="shared" si="20"/>
        <v>2630816.91</v>
      </c>
      <c r="G44" s="320">
        <f t="shared" si="20"/>
        <v>2539600</v>
      </c>
      <c r="H44" s="320">
        <f t="shared" si="20"/>
        <v>2279900</v>
      </c>
      <c r="I44" s="320">
        <f t="shared" si="20"/>
        <v>2219700</v>
      </c>
      <c r="J44" s="320">
        <f t="shared" si="20"/>
        <v>2108400</v>
      </c>
      <c r="K44" s="320">
        <f t="shared" si="20"/>
        <v>1906100</v>
      </c>
      <c r="L44" s="320">
        <f t="shared" si="20"/>
        <v>2042950</v>
      </c>
      <c r="M44" s="320">
        <f t="shared" si="20"/>
        <v>2073400</v>
      </c>
      <c r="N44" s="321">
        <f t="shared" si="20"/>
        <v>2318085.2557499995</v>
      </c>
      <c r="O44" s="322">
        <f t="shared" si="18"/>
        <v>27702255.186750002</v>
      </c>
      <c r="P44" s="432" t="s">
        <v>73</v>
      </c>
      <c r="Q44" s="431"/>
    </row>
    <row r="45" spans="1:17" x14ac:dyDescent="0.25">
      <c r="A45" s="286">
        <v>13</v>
      </c>
      <c r="B45" s="311" t="s">
        <v>96</v>
      </c>
      <c r="C45" s="305">
        <f>+[6]TÉCNICO!D9</f>
        <v>861000</v>
      </c>
      <c r="D45" s="305">
        <f>+[6]TÉCNICO!E9</f>
        <v>863941.95502970577</v>
      </c>
      <c r="E45" s="305">
        <f>+[6]TÉCNICO!F9</f>
        <v>1055250</v>
      </c>
      <c r="F45" s="305">
        <v>888962.86</v>
      </c>
      <c r="G45" s="305">
        <f>+[6]TÉCNICO!H9</f>
        <v>913500</v>
      </c>
      <c r="H45" s="305">
        <f>+[6]TÉCNICO!I9</f>
        <v>852600</v>
      </c>
      <c r="I45" s="305">
        <f>+[6]TÉCNICO!J9</f>
        <v>823200</v>
      </c>
      <c r="J45" s="305">
        <f>+[6]TÉCNICO!K9</f>
        <v>768600</v>
      </c>
      <c r="K45" s="305">
        <f>+[6]TÉCNICO!L9</f>
        <v>685650</v>
      </c>
      <c r="L45" s="305">
        <f>+[6]TÉCNICO!M9</f>
        <v>735000</v>
      </c>
      <c r="M45" s="305">
        <f>+[6]TÉCNICO!N9</f>
        <v>754950</v>
      </c>
      <c r="N45" s="305">
        <f>+[6]TÉCNICO!O9</f>
        <v>833986.47200188448</v>
      </c>
      <c r="O45" s="307">
        <f t="shared" si="18"/>
        <v>10036641.287031589</v>
      </c>
      <c r="P45" s="421" t="s">
        <v>73</v>
      </c>
      <c r="Q45" s="431"/>
    </row>
    <row r="46" spans="1:17" x14ac:dyDescent="0.25">
      <c r="A46" s="286">
        <v>14</v>
      </c>
      <c r="B46" s="311" t="s">
        <v>97</v>
      </c>
      <c r="C46" s="305">
        <f>+[6]TÉCNICO!D10</f>
        <v>1130850</v>
      </c>
      <c r="D46" s="305">
        <f>+[6]TÉCNICO!E10</f>
        <v>1134714.0067890158</v>
      </c>
      <c r="E46" s="305">
        <f>+[6]TÉCNICO!F10</f>
        <v>1222200</v>
      </c>
      <c r="F46" s="305">
        <v>1297354.05</v>
      </c>
      <c r="G46" s="305">
        <f>+[6]TÉCNICO!H10</f>
        <v>1189650</v>
      </c>
      <c r="H46" s="305">
        <f>+[6]TÉCNICO!I10</f>
        <v>1001700</v>
      </c>
      <c r="I46" s="305">
        <f>+[6]TÉCNICO!J10</f>
        <v>952350</v>
      </c>
      <c r="J46" s="305">
        <f>+[6]TÉCNICO!K10</f>
        <v>903000</v>
      </c>
      <c r="K46" s="305">
        <f>+[6]TÉCNICO!L10</f>
        <v>803250</v>
      </c>
      <c r="L46" s="305">
        <f>+[6]TÉCNICO!M10</f>
        <v>878850</v>
      </c>
      <c r="M46" s="305">
        <f>+[6]TÉCNICO!N10</f>
        <v>889350</v>
      </c>
      <c r="N46" s="305">
        <f>+[6]TÉCNICO!O10</f>
        <v>997209.53866511048</v>
      </c>
      <c r="O46" s="307">
        <f t="shared" si="18"/>
        <v>12400477.595454125</v>
      </c>
      <c r="P46" s="421" t="s">
        <v>73</v>
      </c>
      <c r="Q46" s="431"/>
    </row>
    <row r="47" spans="1:17" x14ac:dyDescent="0.25">
      <c r="A47" s="286">
        <v>15</v>
      </c>
      <c r="B47" s="311" t="s">
        <v>98</v>
      </c>
      <c r="C47" s="305">
        <f>+[6]TÉCNICO!D11</f>
        <v>423500</v>
      </c>
      <c r="D47" s="305">
        <f>+[6]TÉCNICO!E11</f>
        <v>424947.05918127805</v>
      </c>
      <c r="E47" s="305">
        <f>+[6]TÉCNICO!F11</f>
        <v>466900</v>
      </c>
      <c r="F47" s="305">
        <f>+[6]TÉCNICO!G11</f>
        <v>444500</v>
      </c>
      <c r="G47" s="305">
        <f>+[6]TÉCNICO!H11</f>
        <v>436450</v>
      </c>
      <c r="H47" s="305">
        <f>+[6]TÉCNICO!I11</f>
        <v>425600</v>
      </c>
      <c r="I47" s="305">
        <f>+[6]TÉCNICO!J11</f>
        <v>444150</v>
      </c>
      <c r="J47" s="305">
        <f>+[6]TÉCNICO!K11</f>
        <v>436800</v>
      </c>
      <c r="K47" s="305">
        <f>+[6]TÉCNICO!L11</f>
        <v>417200</v>
      </c>
      <c r="L47" s="305">
        <f>+[6]TÉCNICO!M11</f>
        <v>429100</v>
      </c>
      <c r="M47" s="305">
        <f>+[6]TÉCNICO!N11</f>
        <v>429100</v>
      </c>
      <c r="N47" s="305">
        <f>+[6]TÉCNICO!O11</f>
        <v>486889.24508300493</v>
      </c>
      <c r="O47" s="307">
        <f t="shared" si="18"/>
        <v>5265136.3042642837</v>
      </c>
      <c r="P47" s="421" t="s">
        <v>73</v>
      </c>
      <c r="Q47" s="431"/>
    </row>
    <row r="48" spans="1:17" x14ac:dyDescent="0.25">
      <c r="A48" s="286">
        <v>16</v>
      </c>
      <c r="B48" s="311" t="s">
        <v>86</v>
      </c>
      <c r="C48" s="320">
        <f t="shared" ref="C48:N48" si="21">C43-C44</f>
        <v>-17113</v>
      </c>
      <c r="D48" s="320">
        <f t="shared" si="21"/>
        <v>4048.9790000002831</v>
      </c>
      <c r="E48" s="320">
        <f t="shared" si="21"/>
        <v>-26489</v>
      </c>
      <c r="F48" s="320">
        <f t="shared" si="21"/>
        <v>-25428.910000000149</v>
      </c>
      <c r="G48" s="320">
        <f t="shared" si="21"/>
        <v>-20039</v>
      </c>
      <c r="H48" s="320">
        <f t="shared" si="21"/>
        <v>-35307.899999999907</v>
      </c>
      <c r="I48" s="320">
        <f t="shared" si="21"/>
        <v>-9564.8999999999069</v>
      </c>
      <c r="J48" s="320">
        <f t="shared" si="21"/>
        <v>-23330.299999999814</v>
      </c>
      <c r="K48" s="320">
        <f t="shared" si="21"/>
        <v>3733.8999999999069</v>
      </c>
      <c r="L48" s="320">
        <f t="shared" si="21"/>
        <v>6234.1000000000931</v>
      </c>
      <c r="M48" s="320">
        <f t="shared" si="21"/>
        <v>-21148.779149319511</v>
      </c>
      <c r="N48" s="321">
        <f t="shared" si="21"/>
        <v>53826.344250000548</v>
      </c>
      <c r="O48" s="322">
        <f t="shared" si="18"/>
        <v>-110578.46589931846</v>
      </c>
      <c r="P48" s="432" t="s">
        <v>73</v>
      </c>
      <c r="Q48" s="431"/>
    </row>
    <row r="49" spans="1:17" x14ac:dyDescent="0.25">
      <c r="A49" s="286">
        <v>17</v>
      </c>
      <c r="B49" s="311" t="s">
        <v>87</v>
      </c>
      <c r="C49" s="388">
        <f t="shared" ref="C49:N49" si="22">C48/C43</f>
        <v>-7.1356584024014303E-3</v>
      </c>
      <c r="D49" s="388">
        <f t="shared" si="22"/>
        <v>1.6678580785056026E-3</v>
      </c>
      <c r="E49" s="388">
        <f t="shared" si="22"/>
        <v>-9.7462673771763902E-3</v>
      </c>
      <c r="F49" s="388">
        <f t="shared" si="22"/>
        <v>-9.7601240199157082E-3</v>
      </c>
      <c r="G49" s="388">
        <f t="shared" si="22"/>
        <v>-7.9533696544755225E-3</v>
      </c>
      <c r="H49" s="388">
        <f t="shared" si="22"/>
        <v>-1.5730207729056832E-2</v>
      </c>
      <c r="I49" s="388">
        <f t="shared" si="22"/>
        <v>-4.3277444894657827E-3</v>
      </c>
      <c r="J49" s="388">
        <f t="shared" si="22"/>
        <v>-1.1189218278890059E-2</v>
      </c>
      <c r="K49" s="388">
        <f t="shared" si="22"/>
        <v>1.9550914872753632E-3</v>
      </c>
      <c r="L49" s="388">
        <f t="shared" si="22"/>
        <v>3.0422351998534896E-3</v>
      </c>
      <c r="M49" s="388">
        <f t="shared" si="22"/>
        <v>-1.0305160954199902E-2</v>
      </c>
      <c r="N49" s="433">
        <f t="shared" si="22"/>
        <v>2.2693233698085773E-2</v>
      </c>
      <c r="O49" s="355" t="s">
        <v>73</v>
      </c>
      <c r="P49" s="434">
        <f>AVERAGE(C49:N49)</f>
        <v>-3.8991110368217833E-3</v>
      </c>
      <c r="Q49" s="431"/>
    </row>
    <row r="50" spans="1:17" x14ac:dyDescent="0.25">
      <c r="A50" s="286">
        <v>18</v>
      </c>
      <c r="B50" s="311" t="s">
        <v>88</v>
      </c>
      <c r="C50" s="317">
        <f>+[6]COMERCIAL!D7</f>
        <v>2108352</v>
      </c>
      <c r="D50" s="317">
        <f>+[6]COMERCIAL!E7</f>
        <v>2272451</v>
      </c>
      <c r="E50" s="317">
        <f>+[6]COMERCIAL!F7</f>
        <v>2527693</v>
      </c>
      <c r="F50" s="317">
        <f>+[6]COMERCIAL!G7</f>
        <v>2370983</v>
      </c>
      <c r="G50" s="317">
        <f>+[6]COMERCIAL!H7</f>
        <v>2461327</v>
      </c>
      <c r="H50" s="317">
        <f>+[6]COMERCIAL!I7</f>
        <v>2146312</v>
      </c>
      <c r="I50" s="317">
        <f>+[6]COMERCIAL!J7</f>
        <v>2074698</v>
      </c>
      <c r="J50" s="317">
        <f>+[6]COMERCIAL!K7</f>
        <v>1912071</v>
      </c>
      <c r="K50" s="317">
        <f>+[6]COMERCIAL!L7</f>
        <v>1766686</v>
      </c>
      <c r="L50" s="317">
        <f>+[6]COMERCIAL!M7</f>
        <v>1802336</v>
      </c>
      <c r="M50" s="317">
        <f>+[6]COMERCIAL!N7</f>
        <v>1856076</v>
      </c>
      <c r="N50" s="317">
        <f>+[6]COMERCIAL!O7</f>
        <v>2094698</v>
      </c>
      <c r="O50" s="318">
        <f>SUM(C50:N50)</f>
        <v>25393683</v>
      </c>
      <c r="P50" s="423" t="s">
        <v>73</v>
      </c>
      <c r="Q50" s="431"/>
    </row>
    <row r="51" spans="1:17" x14ac:dyDescent="0.25">
      <c r="A51" s="286">
        <v>19</v>
      </c>
      <c r="B51" s="311" t="s">
        <v>89</v>
      </c>
      <c r="C51" s="320">
        <f t="shared" ref="C51:N51" si="23">C44-C50</f>
        <v>306998</v>
      </c>
      <c r="D51" s="320">
        <f t="shared" si="23"/>
        <v>151152.02099999972</v>
      </c>
      <c r="E51" s="320">
        <f t="shared" si="23"/>
        <v>216657</v>
      </c>
      <c r="F51" s="320">
        <f t="shared" si="23"/>
        <v>259833.91000000015</v>
      </c>
      <c r="G51" s="320">
        <f t="shared" si="23"/>
        <v>78273</v>
      </c>
      <c r="H51" s="320">
        <f t="shared" si="23"/>
        <v>133588</v>
      </c>
      <c r="I51" s="320">
        <f t="shared" si="23"/>
        <v>145002</v>
      </c>
      <c r="J51" s="320">
        <f t="shared" si="23"/>
        <v>196329</v>
      </c>
      <c r="K51" s="320">
        <f t="shared" si="23"/>
        <v>139414</v>
      </c>
      <c r="L51" s="320">
        <f t="shared" si="23"/>
        <v>240614</v>
      </c>
      <c r="M51" s="320">
        <f t="shared" si="23"/>
        <v>217324</v>
      </c>
      <c r="N51" s="321">
        <f t="shared" si="23"/>
        <v>223387.25574999955</v>
      </c>
      <c r="O51" s="322">
        <f>SUM(C51:N51)</f>
        <v>2308572.1867499994</v>
      </c>
      <c r="P51" s="432" t="s">
        <v>73</v>
      </c>
      <c r="Q51" s="431"/>
    </row>
    <row r="52" spans="1:17" x14ac:dyDescent="0.25">
      <c r="A52" s="286">
        <v>20</v>
      </c>
      <c r="B52" s="311" t="s">
        <v>90</v>
      </c>
      <c r="C52" s="388">
        <f t="shared" ref="C52:N52" si="24">C51/C44</f>
        <v>0.12710290434098578</v>
      </c>
      <c r="D52" s="388">
        <f t="shared" si="24"/>
        <v>6.2366658107907903E-2</v>
      </c>
      <c r="E52" s="388">
        <f t="shared" si="24"/>
        <v>7.8946562938400716E-2</v>
      </c>
      <c r="F52" s="388">
        <f t="shared" si="24"/>
        <v>9.8765485736519817E-2</v>
      </c>
      <c r="G52" s="388">
        <f t="shared" si="24"/>
        <v>3.0820995432351551E-2</v>
      </c>
      <c r="H52" s="388">
        <f t="shared" si="24"/>
        <v>5.8593797973595332E-2</v>
      </c>
      <c r="I52" s="388">
        <f t="shared" si="24"/>
        <v>6.5325043924854706E-2</v>
      </c>
      <c r="J52" s="388">
        <f t="shared" si="24"/>
        <v>9.3117529880478084E-2</v>
      </c>
      <c r="K52" s="388">
        <f t="shared" si="24"/>
        <v>7.3140968469650069E-2</v>
      </c>
      <c r="L52" s="388">
        <f t="shared" si="24"/>
        <v>0.11777772339019556</v>
      </c>
      <c r="M52" s="388">
        <f t="shared" si="24"/>
        <v>0.10481527925147101</v>
      </c>
      <c r="N52" s="433">
        <f t="shared" si="24"/>
        <v>9.6367144045236691E-2</v>
      </c>
      <c r="O52" s="355" t="s">
        <v>73</v>
      </c>
      <c r="P52" s="434">
        <f>AVERAGE(C52:N52)</f>
        <v>8.3928341124303932E-2</v>
      </c>
      <c r="Q52" s="431"/>
    </row>
    <row r="53" spans="1:17" x14ac:dyDescent="0.25">
      <c r="A53" s="286">
        <v>21</v>
      </c>
      <c r="B53" s="311" t="s">
        <v>91</v>
      </c>
      <c r="C53" s="320">
        <f t="shared" ref="C53:N53" si="25">C43-C50</f>
        <v>289885</v>
      </c>
      <c r="D53" s="320">
        <f t="shared" si="25"/>
        <v>155201</v>
      </c>
      <c r="E53" s="320">
        <f t="shared" si="25"/>
        <v>190168</v>
      </c>
      <c r="F53" s="320">
        <f t="shared" si="25"/>
        <v>234405</v>
      </c>
      <c r="G53" s="320">
        <f t="shared" si="25"/>
        <v>58234</v>
      </c>
      <c r="H53" s="320">
        <f t="shared" si="25"/>
        <v>98280.100000000093</v>
      </c>
      <c r="I53" s="320">
        <f t="shared" si="25"/>
        <v>135437.10000000009</v>
      </c>
      <c r="J53" s="320">
        <f t="shared" si="25"/>
        <v>172998.70000000019</v>
      </c>
      <c r="K53" s="320">
        <f t="shared" si="25"/>
        <v>143147.89999999991</v>
      </c>
      <c r="L53" s="320">
        <f t="shared" si="25"/>
        <v>246848.10000000009</v>
      </c>
      <c r="M53" s="320">
        <f t="shared" si="25"/>
        <v>196175.22085068049</v>
      </c>
      <c r="N53" s="321">
        <f t="shared" si="25"/>
        <v>277213.60000000009</v>
      </c>
      <c r="O53" s="322">
        <f>SUM(C53:N53)</f>
        <v>2197993.720850681</v>
      </c>
      <c r="P53" s="432" t="s">
        <v>73</v>
      </c>
      <c r="Q53" s="431"/>
    </row>
    <row r="54" spans="1:17" x14ac:dyDescent="0.25">
      <c r="A54" s="286">
        <v>22</v>
      </c>
      <c r="B54" s="311" t="s">
        <v>92</v>
      </c>
      <c r="C54" s="425">
        <f t="shared" ref="C54:N54" si="26">C53/C43</f>
        <v>0.12087420884591472</v>
      </c>
      <c r="D54" s="425">
        <f t="shared" si="26"/>
        <v>6.3930497451858831E-2</v>
      </c>
      <c r="E54" s="425">
        <f t="shared" si="26"/>
        <v>6.9969729872131056E-2</v>
      </c>
      <c r="F54" s="425">
        <f t="shared" si="26"/>
        <v>8.9969325106279752E-2</v>
      </c>
      <c r="G54" s="425">
        <f>G53/G43</f>
        <v>2.3112756547668423E-2</v>
      </c>
      <c r="H54" s="425">
        <f t="shared" si="26"/>
        <v>4.3785282858297546E-2</v>
      </c>
      <c r="I54" s="425">
        <f t="shared" si="26"/>
        <v>6.1280009534258828E-2</v>
      </c>
      <c r="J54" s="425">
        <f t="shared" si="26"/>
        <v>8.2970223969011769E-2</v>
      </c>
      <c r="K54" s="425">
        <f t="shared" si="26"/>
        <v>7.4953062672099349E-2</v>
      </c>
      <c r="L54" s="425">
        <f t="shared" si="26"/>
        <v>0.12046165105419278</v>
      </c>
      <c r="M54" s="425">
        <f t="shared" si="26"/>
        <v>9.5590256620416925E-2</v>
      </c>
      <c r="N54" s="426">
        <f t="shared" si="26"/>
        <v>0.11687349562268681</v>
      </c>
      <c r="O54" s="364" t="s">
        <v>73</v>
      </c>
      <c r="P54" s="435">
        <f>AVERAGE(C54:N54)</f>
        <v>8.0314208346234733E-2</v>
      </c>
      <c r="Q54" s="431"/>
    </row>
    <row r="55" spans="1:17" x14ac:dyDescent="0.25">
      <c r="A55" s="286">
        <v>23</v>
      </c>
      <c r="B55" s="311" t="s">
        <v>93</v>
      </c>
      <c r="C55" s="305">
        <f>+'[6]SANTA CRUZ'!D43</f>
        <v>4742</v>
      </c>
      <c r="D55" s="305">
        <f>+'[6]SANTA CRUZ'!E43</f>
        <v>5154</v>
      </c>
      <c r="E55" s="305">
        <f>+'[6]SANTA CRUZ'!F43</f>
        <v>5300</v>
      </c>
      <c r="F55" s="305">
        <f>+'[6]SANTA CRUZ'!G43</f>
        <v>5131</v>
      </c>
      <c r="G55" s="305">
        <f>+'[6]SANTA CRUZ'!H43</f>
        <v>4949</v>
      </c>
      <c r="H55" s="305">
        <f>+'[6]SANTA CRUZ'!I43</f>
        <v>4816</v>
      </c>
      <c r="I55" s="305">
        <f>+'[6]SANTA CRUZ'!J43</f>
        <v>4615</v>
      </c>
      <c r="J55" s="305">
        <f>+'[6]SANTA CRUZ'!K43</f>
        <v>4233</v>
      </c>
      <c r="K55" s="305">
        <f>+'[6]SANTA CRUZ'!L43</f>
        <v>3862</v>
      </c>
      <c r="L55" s="305">
        <f>+'[6]SANTA CRUZ'!M43</f>
        <v>4210</v>
      </c>
      <c r="M55" s="305">
        <f>+'[6]SANTA CRUZ'!N43</f>
        <v>4569</v>
      </c>
      <c r="N55" s="306">
        <f>+'[6]SANTA CRUZ'!O43</f>
        <v>4755</v>
      </c>
      <c r="O55" s="307">
        <f>+MAX(C55:N55)</f>
        <v>5300</v>
      </c>
      <c r="P55" s="421" t="s">
        <v>73</v>
      </c>
      <c r="Q55" s="431"/>
    </row>
    <row r="56" spans="1:17" x14ac:dyDescent="0.25">
      <c r="A56" s="286">
        <v>24</v>
      </c>
      <c r="B56" s="311" t="s">
        <v>31</v>
      </c>
      <c r="C56" s="305">
        <f>+'[6]SANTA CRUZ'!D22</f>
        <v>177190</v>
      </c>
      <c r="D56" s="305">
        <f>+'[6]SANTA CRUZ'!E22</f>
        <v>179944</v>
      </c>
      <c r="E56" s="305">
        <f>+'[6]SANTA CRUZ'!F22</f>
        <v>207830</v>
      </c>
      <c r="F56" s="305">
        <f>+'[6]SANTA CRUZ'!G22</f>
        <v>200081</v>
      </c>
      <c r="G56" s="305">
        <f>+'[6]SANTA CRUZ'!H22</f>
        <v>195614</v>
      </c>
      <c r="H56" s="305">
        <f>+'[6]SANTA CRUZ'!I22</f>
        <v>169057</v>
      </c>
      <c r="I56" s="305">
        <f>+'[6]SANTA CRUZ'!J22</f>
        <v>158238</v>
      </c>
      <c r="J56" s="305">
        <f>+'[6]SANTA CRUZ'!K22</f>
        <v>138471</v>
      </c>
      <c r="K56" s="305">
        <f>+'[6]SANTA CRUZ'!L22</f>
        <v>125141</v>
      </c>
      <c r="L56" s="305">
        <f>+'[6]SANTA CRUZ'!M22</f>
        <v>135377</v>
      </c>
      <c r="M56" s="305">
        <f>+'[6]SANTA CRUZ'!N22</f>
        <v>141856</v>
      </c>
      <c r="N56" s="306">
        <f>+'[6]SANTA CRUZ'!O22</f>
        <v>161209</v>
      </c>
      <c r="O56" s="308" t="s">
        <v>73</v>
      </c>
      <c r="P56" s="307">
        <f>AVERAGE(C56:N56)</f>
        <v>165834</v>
      </c>
      <c r="Q56" s="431"/>
    </row>
    <row r="57" spans="1:17" x14ac:dyDescent="0.25">
      <c r="A57" s="286">
        <v>25</v>
      </c>
      <c r="B57" s="311" t="s">
        <v>94</v>
      </c>
      <c r="C57" s="331">
        <f t="shared" ref="C57:N57" si="27">C35/C56</f>
        <v>14.203403126587279</v>
      </c>
      <c r="D57" s="331">
        <f t="shared" si="27"/>
        <v>14.065092473213889</v>
      </c>
      <c r="E57" s="331">
        <f t="shared" si="27"/>
        <v>13.711220709233508</v>
      </c>
      <c r="F57" s="331">
        <f t="shared" si="27"/>
        <v>13.634008226668199</v>
      </c>
      <c r="G57" s="331">
        <f t="shared" si="27"/>
        <v>13.218200128825135</v>
      </c>
      <c r="H57" s="331">
        <f t="shared" si="27"/>
        <v>13.164482985028718</v>
      </c>
      <c r="I57" s="331">
        <f t="shared" si="27"/>
        <v>13.621317256284836</v>
      </c>
      <c r="J57" s="331">
        <f t="shared" si="27"/>
        <v>14.634103891789616</v>
      </c>
      <c r="K57" s="331">
        <f t="shared" si="27"/>
        <v>14.7001382440607</v>
      </c>
      <c r="L57" s="331">
        <f t="shared" si="27"/>
        <v>14.506378483789714</v>
      </c>
      <c r="M57" s="331">
        <f t="shared" si="27"/>
        <v>14.36675219941349</v>
      </c>
      <c r="N57" s="332">
        <f t="shared" si="27"/>
        <v>14.096377993784467</v>
      </c>
      <c r="O57" s="355" t="s">
        <v>73</v>
      </c>
      <c r="P57" s="436">
        <f>AVERAGE(C57:N57)</f>
        <v>13.993456309889964</v>
      </c>
      <c r="Q57" s="431"/>
    </row>
    <row r="58" spans="1:17" ht="15.75" thickBot="1" x14ac:dyDescent="0.3">
      <c r="A58" s="286">
        <v>26</v>
      </c>
      <c r="B58" s="334" t="s">
        <v>33</v>
      </c>
      <c r="C58" s="335">
        <f>+[6]COMERCIAL!D14</f>
        <v>5665</v>
      </c>
      <c r="D58" s="335">
        <f>+[6]COMERCIAL!E14</f>
        <v>5694</v>
      </c>
      <c r="E58" s="335">
        <f>+[6]COMERCIAL!F14</f>
        <v>5733</v>
      </c>
      <c r="F58" s="335">
        <f>+[6]COMERCIAL!G14</f>
        <v>5759</v>
      </c>
      <c r="G58" s="335">
        <f>+[6]COMERCIAL!H14</f>
        <v>5790</v>
      </c>
      <c r="H58" s="335">
        <f>+[6]COMERCIAL!I14</f>
        <v>5805</v>
      </c>
      <c r="I58" s="335">
        <f>+[6]COMERCIAL!J14</f>
        <v>5846</v>
      </c>
      <c r="J58" s="335">
        <f>+[6]COMERCIAL!K14</f>
        <v>5914</v>
      </c>
      <c r="K58" s="335">
        <f>+[6]COMERCIAL!L14</f>
        <v>5946</v>
      </c>
      <c r="L58" s="335">
        <f>+[6]COMERCIAL!M14</f>
        <v>5974</v>
      </c>
      <c r="M58" s="335">
        <f>+[6]COMERCIAL!N14</f>
        <v>5999</v>
      </c>
      <c r="N58" s="336">
        <f>+[6]COMERCIAL!O14</f>
        <v>6014</v>
      </c>
      <c r="O58" s="337" t="s">
        <v>73</v>
      </c>
      <c r="P58" s="337" t="s">
        <v>73</v>
      </c>
      <c r="Q58" s="431"/>
    </row>
    <row r="59" spans="1:17" ht="20.25" customHeight="1" x14ac:dyDescent="0.25">
      <c r="C59" s="368"/>
      <c r="D59" s="368"/>
      <c r="E59" s="368"/>
      <c r="F59" s="368"/>
      <c r="G59" s="368"/>
      <c r="H59" s="368"/>
      <c r="I59" s="369"/>
      <c r="J59" s="369"/>
      <c r="K59" s="370"/>
      <c r="M59" s="370"/>
      <c r="N59" s="370"/>
      <c r="O59" s="370"/>
    </row>
    <row r="60" spans="1:17" ht="20.25" customHeight="1" x14ac:dyDescent="0.25">
      <c r="C60" s="368"/>
      <c r="D60" s="368"/>
      <c r="E60" s="368"/>
      <c r="F60" s="368"/>
      <c r="G60" s="368"/>
      <c r="H60" s="368"/>
      <c r="I60" s="369"/>
      <c r="J60" s="369"/>
      <c r="K60" s="370"/>
      <c r="M60" s="370"/>
      <c r="N60" s="370"/>
      <c r="O60" s="370"/>
    </row>
    <row r="61" spans="1:17" x14ac:dyDescent="0.25">
      <c r="B61" s="743" t="s">
        <v>54</v>
      </c>
      <c r="C61" s="743"/>
      <c r="D61" s="743"/>
      <c r="E61" s="743"/>
      <c r="F61" s="743"/>
      <c r="G61" s="743"/>
      <c r="H61" s="743"/>
      <c r="I61" s="743"/>
      <c r="J61" s="743"/>
      <c r="K61" s="743"/>
      <c r="L61" s="743"/>
      <c r="M61" s="743"/>
      <c r="N61" s="743"/>
      <c r="O61" s="743"/>
    </row>
    <row r="62" spans="1:17" x14ac:dyDescent="0.25">
      <c r="B62" s="743" t="s">
        <v>161</v>
      </c>
      <c r="C62" s="743"/>
      <c r="D62" s="743"/>
      <c r="E62" s="743"/>
      <c r="F62" s="743"/>
      <c r="G62" s="743"/>
      <c r="H62" s="743"/>
      <c r="I62" s="743"/>
      <c r="J62" s="743"/>
      <c r="K62" s="743"/>
      <c r="L62" s="743"/>
      <c r="M62" s="743"/>
      <c r="N62" s="743"/>
      <c r="O62" s="743"/>
    </row>
    <row r="63" spans="1:17" ht="15.75" thickBot="1" x14ac:dyDescent="0.3">
      <c r="B63" s="288"/>
      <c r="C63" s="288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88"/>
    </row>
    <row r="64" spans="1:17" ht="15.75" thickBot="1" x14ac:dyDescent="0.3">
      <c r="B64" s="744" t="s">
        <v>40</v>
      </c>
      <c r="C64" s="745"/>
      <c r="D64" s="745"/>
      <c r="E64" s="745"/>
      <c r="F64" s="745"/>
      <c r="G64" s="745"/>
      <c r="H64" s="745"/>
      <c r="I64" s="745"/>
      <c r="J64" s="745"/>
      <c r="K64" s="745"/>
      <c r="L64" s="745"/>
      <c r="M64" s="745"/>
      <c r="N64" s="745"/>
      <c r="O64" s="745"/>
      <c r="P64" s="746"/>
    </row>
    <row r="65" spans="1:16" ht="15.75" thickBot="1" x14ac:dyDescent="0.3">
      <c r="B65" s="346" t="s">
        <v>57</v>
      </c>
      <c r="C65" s="347" t="s">
        <v>58</v>
      </c>
      <c r="D65" s="347" t="s">
        <v>59</v>
      </c>
      <c r="E65" s="347" t="s">
        <v>60</v>
      </c>
      <c r="F65" s="347" t="s">
        <v>61</v>
      </c>
      <c r="G65" s="347" t="s">
        <v>62</v>
      </c>
      <c r="H65" s="347" t="s">
        <v>63</v>
      </c>
      <c r="I65" s="348" t="s">
        <v>64</v>
      </c>
      <c r="J65" s="348" t="s">
        <v>65</v>
      </c>
      <c r="K65" s="347" t="s">
        <v>66</v>
      </c>
      <c r="L65" s="347" t="s">
        <v>67</v>
      </c>
      <c r="M65" s="347" t="s">
        <v>68</v>
      </c>
      <c r="N65" s="349" t="s">
        <v>69</v>
      </c>
      <c r="O65" s="350" t="s">
        <v>70</v>
      </c>
      <c r="P65" s="429" t="s">
        <v>71</v>
      </c>
    </row>
    <row r="66" spans="1:16" x14ac:dyDescent="0.25">
      <c r="A66" s="371">
        <v>1</v>
      </c>
      <c r="B66" s="372" t="s">
        <v>72</v>
      </c>
      <c r="C66" s="373">
        <f t="shared" ref="C66:N66" si="28">C67</f>
        <v>383229</v>
      </c>
      <c r="D66" s="373">
        <f t="shared" si="28"/>
        <v>392555</v>
      </c>
      <c r="E66" s="373">
        <f t="shared" si="28"/>
        <v>450197</v>
      </c>
      <c r="F66" s="373">
        <f t="shared" si="28"/>
        <v>418605</v>
      </c>
      <c r="G66" s="373">
        <f t="shared" si="28"/>
        <v>396396</v>
      </c>
      <c r="H66" s="373">
        <f t="shared" si="28"/>
        <v>352103</v>
      </c>
      <c r="I66" s="373">
        <f t="shared" si="28"/>
        <v>353364</v>
      </c>
      <c r="J66" s="373">
        <f t="shared" si="28"/>
        <v>330040</v>
      </c>
      <c r="K66" s="373">
        <f t="shared" si="28"/>
        <v>299682</v>
      </c>
      <c r="L66" s="373">
        <f t="shared" si="28"/>
        <v>325447</v>
      </c>
      <c r="M66" s="373">
        <f t="shared" si="28"/>
        <v>335442</v>
      </c>
      <c r="N66" s="437">
        <f t="shared" si="28"/>
        <v>374775</v>
      </c>
      <c r="O66" s="352">
        <f>SUM(C66:N66)</f>
        <v>4411835</v>
      </c>
      <c r="P66" s="438" t="s">
        <v>73</v>
      </c>
    </row>
    <row r="67" spans="1:16" x14ac:dyDescent="0.25">
      <c r="A67" s="371">
        <v>2</v>
      </c>
      <c r="B67" s="375" t="s">
        <v>99</v>
      </c>
      <c r="C67" s="305">
        <f>+[6]ISABELA!D9</f>
        <v>383229</v>
      </c>
      <c r="D67" s="305">
        <f>+[6]ISABELA!E9</f>
        <v>392555</v>
      </c>
      <c r="E67" s="305">
        <f>+[6]ISABELA!F9</f>
        <v>450197</v>
      </c>
      <c r="F67" s="305">
        <f>+[6]ISABELA!G9</f>
        <v>418605</v>
      </c>
      <c r="G67" s="305">
        <f>+[6]ISABELA!H9</f>
        <v>396396</v>
      </c>
      <c r="H67" s="305">
        <f>+[6]ISABELA!I9</f>
        <v>352103</v>
      </c>
      <c r="I67" s="305">
        <f>+[6]ISABELA!J9</f>
        <v>353364</v>
      </c>
      <c r="J67" s="305">
        <f>+[6]ISABELA!K9</f>
        <v>330040</v>
      </c>
      <c r="K67" s="305">
        <f>+[6]ISABELA!L9</f>
        <v>299682</v>
      </c>
      <c r="L67" s="305">
        <f>+[6]ISABELA!M9</f>
        <v>325447</v>
      </c>
      <c r="M67" s="305">
        <f>+[6]ISABELA!N9</f>
        <v>335442</v>
      </c>
      <c r="N67" s="306">
        <f>+[6]ISABELA!O9</f>
        <v>374775</v>
      </c>
      <c r="O67" s="307">
        <f>SUM(C67:N67)</f>
        <v>4411835</v>
      </c>
      <c r="P67" s="421" t="s">
        <v>73</v>
      </c>
    </row>
    <row r="68" spans="1:16" x14ac:dyDescent="0.25">
      <c r="A68" s="371">
        <v>3</v>
      </c>
      <c r="B68" s="309" t="s">
        <v>75</v>
      </c>
      <c r="C68" s="439">
        <f t="shared" ref="C68:N68" si="29">C67/C66</f>
        <v>1</v>
      </c>
      <c r="D68" s="439">
        <f t="shared" si="29"/>
        <v>1</v>
      </c>
      <c r="E68" s="439">
        <f t="shared" si="29"/>
        <v>1</v>
      </c>
      <c r="F68" s="439">
        <f t="shared" si="29"/>
        <v>1</v>
      </c>
      <c r="G68" s="439">
        <f t="shared" si="29"/>
        <v>1</v>
      </c>
      <c r="H68" s="439">
        <f t="shared" si="29"/>
        <v>1</v>
      </c>
      <c r="I68" s="439">
        <f t="shared" si="29"/>
        <v>1</v>
      </c>
      <c r="J68" s="439">
        <f t="shared" si="29"/>
        <v>1</v>
      </c>
      <c r="K68" s="439">
        <f t="shared" si="29"/>
        <v>1</v>
      </c>
      <c r="L68" s="439">
        <f t="shared" si="29"/>
        <v>1</v>
      </c>
      <c r="M68" s="439">
        <f t="shared" si="29"/>
        <v>1</v>
      </c>
      <c r="N68" s="440">
        <f t="shared" si="29"/>
        <v>1</v>
      </c>
      <c r="O68" s="377" t="s">
        <v>73</v>
      </c>
      <c r="P68" s="441">
        <f>AVERAGE(C68:N68)</f>
        <v>1</v>
      </c>
    </row>
    <row r="69" spans="1:16" x14ac:dyDescent="0.25">
      <c r="A69" s="371">
        <v>4</v>
      </c>
      <c r="B69" s="311" t="s">
        <v>151</v>
      </c>
      <c r="C69" s="317">
        <f>'[6]POTENCIA MAXIMA SISTEMA'!E77</f>
        <v>1105</v>
      </c>
      <c r="D69" s="317">
        <f>'[6]POTENCIA MAXIMA SISTEMA'!F77</f>
        <v>1330</v>
      </c>
      <c r="E69" s="317">
        <f>'[6]POTENCIA MAXIMA SISTEMA'!G77</f>
        <v>1071</v>
      </c>
      <c r="F69" s="317">
        <f>'[6]POTENCIA MAXIMA SISTEMA'!H77</f>
        <v>1446</v>
      </c>
      <c r="G69" s="317">
        <f>'[6]POTENCIA MAXIMA SISTEMA'!I77</f>
        <v>1319</v>
      </c>
      <c r="H69" s="317">
        <f>'[6]POTENCIA MAXIMA SISTEMA'!J77</f>
        <v>1253</v>
      </c>
      <c r="I69" s="317">
        <f>'[6]POTENCIA MAXIMA SISTEMA'!K77</f>
        <v>2722</v>
      </c>
      <c r="J69" s="317">
        <f>'[6]POTENCIA MAXIMA SISTEMA'!L77</f>
        <v>652</v>
      </c>
      <c r="K69" s="317">
        <f>'[6]POTENCIA MAXIMA SISTEMA'!M77</f>
        <v>809</v>
      </c>
      <c r="L69" s="317">
        <f>'[6]POTENCIA MAXIMA SISTEMA'!N77</f>
        <v>1015</v>
      </c>
      <c r="M69" s="317">
        <f>'[6]POTENCIA MAXIMA SISTEMA'!O77</f>
        <v>1085</v>
      </c>
      <c r="N69" s="317">
        <f>'[6]POTENCIA MAXIMA SISTEMA'!P77</f>
        <v>2502</v>
      </c>
      <c r="O69" s="318">
        <f t="shared" ref="O69:O74" si="30">SUM(C69:N69)</f>
        <v>16309</v>
      </c>
      <c r="P69" s="423" t="s">
        <v>73</v>
      </c>
    </row>
    <row r="70" spans="1:16" x14ac:dyDescent="0.25">
      <c r="A70" s="371">
        <v>5</v>
      </c>
      <c r="B70" s="311" t="s">
        <v>81</v>
      </c>
      <c r="C70" s="320">
        <f t="shared" ref="C70:N70" si="31">C66-C69</f>
        <v>382124</v>
      </c>
      <c r="D70" s="320">
        <f t="shared" si="31"/>
        <v>391225</v>
      </c>
      <c r="E70" s="320">
        <f t="shared" si="31"/>
        <v>449126</v>
      </c>
      <c r="F70" s="320">
        <f t="shared" si="31"/>
        <v>417159</v>
      </c>
      <c r="G70" s="320">
        <f t="shared" si="31"/>
        <v>395077</v>
      </c>
      <c r="H70" s="320">
        <f t="shared" si="31"/>
        <v>350850</v>
      </c>
      <c r="I70" s="320">
        <f t="shared" si="31"/>
        <v>350642</v>
      </c>
      <c r="J70" s="320">
        <f t="shared" si="31"/>
        <v>329388</v>
      </c>
      <c r="K70" s="320">
        <f t="shared" si="31"/>
        <v>298873</v>
      </c>
      <c r="L70" s="320">
        <f t="shared" si="31"/>
        <v>324432</v>
      </c>
      <c r="M70" s="320">
        <f t="shared" si="31"/>
        <v>334357</v>
      </c>
      <c r="N70" s="321">
        <f t="shared" si="31"/>
        <v>372273</v>
      </c>
      <c r="O70" s="322">
        <f t="shared" si="30"/>
        <v>4395526</v>
      </c>
      <c r="P70" s="442" t="s">
        <v>73</v>
      </c>
    </row>
    <row r="71" spans="1:16" x14ac:dyDescent="0.25">
      <c r="A71" s="371">
        <v>6</v>
      </c>
      <c r="B71" s="311" t="s">
        <v>82</v>
      </c>
      <c r="C71" s="320">
        <f t="shared" ref="C71:N71" si="32">C72+C73</f>
        <v>364451</v>
      </c>
      <c r="D71" s="320">
        <f t="shared" si="32"/>
        <v>372837.42499999999</v>
      </c>
      <c r="E71" s="320">
        <f t="shared" si="32"/>
        <v>427567.95199999999</v>
      </c>
      <c r="F71" s="320">
        <f t="shared" si="32"/>
        <v>397343.94750000001</v>
      </c>
      <c r="G71" s="320">
        <f t="shared" si="32"/>
        <v>378161.78399999999</v>
      </c>
      <c r="H71" s="320">
        <f t="shared" si="32"/>
        <v>331202.39999999997</v>
      </c>
      <c r="I71" s="320">
        <f t="shared" si="32"/>
        <v>335916</v>
      </c>
      <c r="J71" s="320">
        <f t="shared" si="32"/>
        <v>312260</v>
      </c>
      <c r="K71" s="320">
        <f t="shared" si="32"/>
        <v>287994</v>
      </c>
      <c r="L71" s="320">
        <f t="shared" si="32"/>
        <v>312104</v>
      </c>
      <c r="M71" s="320">
        <f t="shared" si="32"/>
        <v>317405.10010000004</v>
      </c>
      <c r="N71" s="321">
        <f t="shared" si="32"/>
        <v>353287.07699999999</v>
      </c>
      <c r="O71" s="322">
        <f t="shared" si="30"/>
        <v>4190530.6856</v>
      </c>
      <c r="P71" s="442" t="s">
        <v>73</v>
      </c>
    </row>
    <row r="72" spans="1:16" x14ac:dyDescent="0.25">
      <c r="A72" s="371">
        <v>7</v>
      </c>
      <c r="B72" s="311" t="s">
        <v>83</v>
      </c>
      <c r="C72" s="305">
        <f>+[6]TÉCNICO!D12</f>
        <v>255116</v>
      </c>
      <c r="D72" s="305">
        <f>+[6]TÉCNICO!E12</f>
        <v>260986.50440333542</v>
      </c>
      <c r="E72" s="305">
        <f>+[6]TÉCNICO!F12</f>
        <v>299297.91835509299</v>
      </c>
      <c r="F72" s="305">
        <f>+[6]TÉCNICO!G12</f>
        <v>278141.09032602463</v>
      </c>
      <c r="G72" s="305">
        <f>+[6]TÉCNICO!H12</f>
        <v>264713.2488</v>
      </c>
      <c r="H72" s="305">
        <f>+[6]TÉCNICO!I12</f>
        <v>231841.67999999996</v>
      </c>
      <c r="I72" s="305">
        <f>+[6]TÉCNICO!J12</f>
        <v>235141</v>
      </c>
      <c r="J72" s="305">
        <f>+[6]TÉCNICO!K12</f>
        <v>218582</v>
      </c>
      <c r="K72" s="305">
        <f>+[6]TÉCNICO!L12</f>
        <v>201596</v>
      </c>
      <c r="L72" s="305">
        <f>+[6]TÉCNICO!M12</f>
        <v>218473</v>
      </c>
      <c r="M72" s="305">
        <f>+[6]TÉCNICO!N12</f>
        <v>222183.77346700878</v>
      </c>
      <c r="N72" s="305">
        <f>+[6]TÉCNICO!O12</f>
        <v>247301.18029061146</v>
      </c>
      <c r="O72" s="307">
        <f t="shared" si="30"/>
        <v>2933373.3956420734</v>
      </c>
      <c r="P72" s="421" t="s">
        <v>73</v>
      </c>
    </row>
    <row r="73" spans="1:16" x14ac:dyDescent="0.25">
      <c r="A73" s="371">
        <v>8</v>
      </c>
      <c r="B73" s="311" t="s">
        <v>84</v>
      </c>
      <c r="C73" s="305">
        <f>+[6]TÉCNICO!D13</f>
        <v>109335</v>
      </c>
      <c r="D73" s="305">
        <f>+[6]TÉCNICO!E13</f>
        <v>111850.92059666457</v>
      </c>
      <c r="E73" s="305">
        <f>+[6]TÉCNICO!F13</f>
        <v>128270.033644907</v>
      </c>
      <c r="F73" s="305">
        <f>+[6]TÉCNICO!G13</f>
        <v>119202.85717397538</v>
      </c>
      <c r="G73" s="305">
        <f>+[6]TÉCNICO!H13</f>
        <v>113448.5352</v>
      </c>
      <c r="H73" s="305">
        <f>+[6]TÉCNICO!I13</f>
        <v>99360.719999999987</v>
      </c>
      <c r="I73" s="305">
        <f>+[6]TÉCNICO!J13</f>
        <v>100775</v>
      </c>
      <c r="J73" s="305">
        <f>+[6]TÉCNICO!K13</f>
        <v>93678</v>
      </c>
      <c r="K73" s="305">
        <f>+[6]TÉCNICO!L13</f>
        <v>86398</v>
      </c>
      <c r="L73" s="305">
        <f>+[6]TÉCNICO!M13</f>
        <v>93631</v>
      </c>
      <c r="M73" s="305">
        <f>+[6]TÉCNICO!N13</f>
        <v>95221.326632991259</v>
      </c>
      <c r="N73" s="305">
        <f>+[6]TÉCNICO!O13</f>
        <v>105985.89670938854</v>
      </c>
      <c r="O73" s="307">
        <f t="shared" si="30"/>
        <v>1257157.2899579268</v>
      </c>
      <c r="P73" s="421" t="s">
        <v>73</v>
      </c>
    </row>
    <row r="74" spans="1:16" x14ac:dyDescent="0.25">
      <c r="A74" s="371">
        <v>9</v>
      </c>
      <c r="B74" s="311" t="s">
        <v>86</v>
      </c>
      <c r="C74" s="320">
        <f>C70-C71</f>
        <v>17673</v>
      </c>
      <c r="D74" s="320">
        <f t="shared" ref="D74:N74" si="33">D70-D71</f>
        <v>18387.575000000012</v>
      </c>
      <c r="E74" s="320">
        <f t="shared" si="33"/>
        <v>21558.04800000001</v>
      </c>
      <c r="F74" s="320">
        <f t="shared" si="33"/>
        <v>19815.052499999991</v>
      </c>
      <c r="G74" s="320">
        <f t="shared" si="33"/>
        <v>16915.216000000015</v>
      </c>
      <c r="H74" s="320">
        <f t="shared" si="33"/>
        <v>19647.600000000035</v>
      </c>
      <c r="I74" s="320">
        <f t="shared" si="33"/>
        <v>14726</v>
      </c>
      <c r="J74" s="320">
        <f t="shared" si="33"/>
        <v>17128</v>
      </c>
      <c r="K74" s="320">
        <f t="shared" si="33"/>
        <v>10879</v>
      </c>
      <c r="L74" s="320">
        <f t="shared" si="33"/>
        <v>12328</v>
      </c>
      <c r="M74" s="320">
        <f t="shared" si="33"/>
        <v>16951.89989999996</v>
      </c>
      <c r="N74" s="321">
        <f t="shared" si="33"/>
        <v>18985.92300000001</v>
      </c>
      <c r="O74" s="322">
        <f t="shared" si="30"/>
        <v>204995.31440000003</v>
      </c>
      <c r="P74" s="442" t="s">
        <v>73</v>
      </c>
    </row>
    <row r="75" spans="1:16" x14ac:dyDescent="0.25">
      <c r="A75" s="371">
        <v>10</v>
      </c>
      <c r="B75" s="311" t="s">
        <v>87</v>
      </c>
      <c r="C75" s="112">
        <f>C74/C70</f>
        <v>4.6249385016382115E-2</v>
      </c>
      <c r="D75" s="112">
        <f t="shared" ref="D75:N75" si="34">D74/D70</f>
        <v>4.7000000000000028E-2</v>
      </c>
      <c r="E75" s="112">
        <f t="shared" si="34"/>
        <v>4.8000000000000022E-2</v>
      </c>
      <c r="F75" s="112">
        <f t="shared" si="34"/>
        <v>4.749999999999998E-2</v>
      </c>
      <c r="G75" s="112">
        <f t="shared" si="34"/>
        <v>4.2814985433219384E-2</v>
      </c>
      <c r="H75" s="112">
        <f t="shared" si="34"/>
        <v>5.6000000000000098E-2</v>
      </c>
      <c r="I75" s="112">
        <f t="shared" si="34"/>
        <v>4.1997250757182539E-2</v>
      </c>
      <c r="J75" s="112">
        <f t="shared" si="34"/>
        <v>5.1999465675738037E-2</v>
      </c>
      <c r="K75" s="112">
        <f t="shared" si="34"/>
        <v>3.6400076286583267E-2</v>
      </c>
      <c r="L75" s="112">
        <f t="shared" si="34"/>
        <v>3.7998717759037334E-2</v>
      </c>
      <c r="M75" s="112">
        <f t="shared" si="34"/>
        <v>5.0699999999999884E-2</v>
      </c>
      <c r="N75" s="113">
        <f t="shared" si="34"/>
        <v>5.1000000000000024E-2</v>
      </c>
      <c r="O75" s="377" t="s">
        <v>73</v>
      </c>
      <c r="P75" s="161">
        <f>AVERAGE(C75:N75)</f>
        <v>4.6471656744011887E-2</v>
      </c>
    </row>
    <row r="76" spans="1:16" x14ac:dyDescent="0.25">
      <c r="A76" s="371">
        <v>11</v>
      </c>
      <c r="B76" s="311" t="s">
        <v>88</v>
      </c>
      <c r="C76" s="317">
        <f>+[6]COMERCIAL!D8</f>
        <v>333919</v>
      </c>
      <c r="D76" s="317">
        <f>+[6]COMERCIAL!E8</f>
        <v>373651</v>
      </c>
      <c r="E76" s="317">
        <f>+[6]COMERCIAL!F8</f>
        <v>353323</v>
      </c>
      <c r="F76" s="317">
        <f>+[6]COMERCIAL!G8</f>
        <v>398084</v>
      </c>
      <c r="G76" s="317">
        <f>+[6]COMERCIAL!H8</f>
        <v>367324</v>
      </c>
      <c r="H76" s="317">
        <f>+[6]COMERCIAL!I8</f>
        <v>358180</v>
      </c>
      <c r="I76" s="317">
        <f>+[6]COMERCIAL!J8</f>
        <v>301320</v>
      </c>
      <c r="J76" s="317">
        <f>+[6]COMERCIAL!K8</f>
        <v>289578</v>
      </c>
      <c r="K76" s="317">
        <f>+[6]COMERCIAL!L8</f>
        <v>286028</v>
      </c>
      <c r="L76" s="317">
        <f>+[6]COMERCIAL!M8</f>
        <v>285818</v>
      </c>
      <c r="M76" s="317">
        <f>+[6]COMERCIAL!N8</f>
        <v>304178</v>
      </c>
      <c r="N76" s="317">
        <f>+[6]COMERCIAL!O8</f>
        <v>331358</v>
      </c>
      <c r="O76" s="318">
        <f>SUM(C76:N76)</f>
        <v>3982761</v>
      </c>
      <c r="P76" s="423" t="s">
        <v>73</v>
      </c>
    </row>
    <row r="77" spans="1:16" x14ac:dyDescent="0.25">
      <c r="A77" s="371">
        <v>12</v>
      </c>
      <c r="B77" s="311" t="s">
        <v>89</v>
      </c>
      <c r="C77" s="320">
        <f t="shared" ref="C77:N77" si="35">C71-C76</f>
        <v>30532</v>
      </c>
      <c r="D77" s="320">
        <f t="shared" si="35"/>
        <v>-813.57500000001164</v>
      </c>
      <c r="E77" s="320">
        <f t="shared" si="35"/>
        <v>74244.95199999999</v>
      </c>
      <c r="F77" s="320">
        <f t="shared" si="35"/>
        <v>-740.05249999999069</v>
      </c>
      <c r="G77" s="320">
        <f t="shared" si="35"/>
        <v>10837.783999999985</v>
      </c>
      <c r="H77" s="320">
        <f t="shared" si="35"/>
        <v>-26977.600000000035</v>
      </c>
      <c r="I77" s="320">
        <f t="shared" si="35"/>
        <v>34596</v>
      </c>
      <c r="J77" s="320">
        <f t="shared" si="35"/>
        <v>22682</v>
      </c>
      <c r="K77" s="320">
        <f t="shared" si="35"/>
        <v>1966</v>
      </c>
      <c r="L77" s="320">
        <f t="shared" si="35"/>
        <v>26286</v>
      </c>
      <c r="M77" s="320">
        <f t="shared" si="35"/>
        <v>13227.10010000004</v>
      </c>
      <c r="N77" s="321">
        <f t="shared" si="35"/>
        <v>21929.07699999999</v>
      </c>
      <c r="O77" s="322">
        <f>SUM(C77:N77)</f>
        <v>207769.68559999997</v>
      </c>
      <c r="P77" s="442" t="s">
        <v>73</v>
      </c>
    </row>
    <row r="78" spans="1:16" x14ac:dyDescent="0.25">
      <c r="A78" s="371">
        <v>13</v>
      </c>
      <c r="B78" s="311" t="s">
        <v>90</v>
      </c>
      <c r="C78" s="388">
        <f t="shared" ref="C78:N78" si="36">C77/C71</f>
        <v>8.3775322334140936E-2</v>
      </c>
      <c r="D78" s="388">
        <f t="shared" si="36"/>
        <v>-2.1821173129280454E-3</v>
      </c>
      <c r="E78" s="388">
        <f t="shared" si="36"/>
        <v>0.17364480114262631</v>
      </c>
      <c r="F78" s="388">
        <f t="shared" si="36"/>
        <v>-1.8624984843892474E-3</v>
      </c>
      <c r="G78" s="388">
        <f t="shared" si="36"/>
        <v>2.8659120139966299E-2</v>
      </c>
      <c r="H78" s="388">
        <f t="shared" si="36"/>
        <v>-8.1453516037323509E-2</v>
      </c>
      <c r="I78" s="388">
        <f t="shared" si="36"/>
        <v>0.10299003322259136</v>
      </c>
      <c r="J78" s="388">
        <f t="shared" si="36"/>
        <v>7.2638186126945489E-2</v>
      </c>
      <c r="K78" s="388">
        <f t="shared" si="36"/>
        <v>6.8265311082869786E-3</v>
      </c>
      <c r="L78" s="388">
        <f t="shared" si="36"/>
        <v>8.4221926024658444E-2</v>
      </c>
      <c r="M78" s="388">
        <f t="shared" si="36"/>
        <v>4.1672613627924619E-2</v>
      </c>
      <c r="N78" s="433">
        <f t="shared" si="36"/>
        <v>6.2071551516162567E-2</v>
      </c>
      <c r="O78" s="377" t="s">
        <v>73</v>
      </c>
      <c r="P78" s="434">
        <f>+AVERAGE(C78:N78)</f>
        <v>4.7583496117388518E-2</v>
      </c>
    </row>
    <row r="79" spans="1:16" x14ac:dyDescent="0.25">
      <c r="A79" s="371">
        <v>14</v>
      </c>
      <c r="B79" s="311" t="s">
        <v>91</v>
      </c>
      <c r="C79" s="320">
        <f t="shared" ref="C79:N79" si="37">C70-C76</f>
        <v>48205</v>
      </c>
      <c r="D79" s="320">
        <f t="shared" si="37"/>
        <v>17574</v>
      </c>
      <c r="E79" s="320">
        <f t="shared" si="37"/>
        <v>95803</v>
      </c>
      <c r="F79" s="320">
        <f t="shared" si="37"/>
        <v>19075</v>
      </c>
      <c r="G79" s="320">
        <f t="shared" si="37"/>
        <v>27753</v>
      </c>
      <c r="H79" s="320">
        <f t="shared" si="37"/>
        <v>-7330</v>
      </c>
      <c r="I79" s="320">
        <f t="shared" si="37"/>
        <v>49322</v>
      </c>
      <c r="J79" s="320">
        <f t="shared" si="37"/>
        <v>39810</v>
      </c>
      <c r="K79" s="320">
        <f t="shared" si="37"/>
        <v>12845</v>
      </c>
      <c r="L79" s="320">
        <f t="shared" si="37"/>
        <v>38614</v>
      </c>
      <c r="M79" s="320">
        <f t="shared" si="37"/>
        <v>30179</v>
      </c>
      <c r="N79" s="321">
        <f t="shared" si="37"/>
        <v>40915</v>
      </c>
      <c r="O79" s="322">
        <f>SUM(C79:N79)</f>
        <v>412765</v>
      </c>
      <c r="P79" s="442" t="s">
        <v>73</v>
      </c>
    </row>
    <row r="80" spans="1:16" x14ac:dyDescent="0.25">
      <c r="A80" s="371">
        <v>15</v>
      </c>
      <c r="B80" s="311" t="s">
        <v>92</v>
      </c>
      <c r="C80" s="425">
        <f t="shared" ref="C80:N80" si="38">C79/C70</f>
        <v>0.12615015021301987</v>
      </c>
      <c r="D80" s="425">
        <f t="shared" si="38"/>
        <v>4.4920442200779599E-2</v>
      </c>
      <c r="E80" s="425">
        <f t="shared" si="38"/>
        <v>0.21330985068778027</v>
      </c>
      <c r="F80" s="425">
        <f t="shared" si="38"/>
        <v>4.5725970193619223E-2</v>
      </c>
      <c r="G80" s="425">
        <f t="shared" si="38"/>
        <v>7.0247065761864139E-2</v>
      </c>
      <c r="H80" s="425">
        <f t="shared" si="38"/>
        <v>-2.0892119139233292E-2</v>
      </c>
      <c r="I80" s="425">
        <f t="shared" si="38"/>
        <v>0.14066198572903418</v>
      </c>
      <c r="J80" s="425">
        <f t="shared" si="38"/>
        <v>0.12086050493642755</v>
      </c>
      <c r="K80" s="425">
        <f t="shared" si="38"/>
        <v>4.2978121141755865E-2</v>
      </c>
      <c r="L80" s="425">
        <f t="shared" si="38"/>
        <v>0.11902031858756226</v>
      </c>
      <c r="M80" s="425">
        <f t="shared" si="38"/>
        <v>9.0259812116988733E-2</v>
      </c>
      <c r="N80" s="426">
        <f t="shared" si="38"/>
        <v>0.10990590238883829</v>
      </c>
      <c r="O80" s="380" t="s">
        <v>73</v>
      </c>
      <c r="P80" s="435">
        <f>AVERAGE(C80:N80)</f>
        <v>9.1929000401536398E-2</v>
      </c>
    </row>
    <row r="81" spans="1:16" x14ac:dyDescent="0.25">
      <c r="A81" s="371">
        <v>16</v>
      </c>
      <c r="B81" s="311" t="s">
        <v>30</v>
      </c>
      <c r="C81" s="305">
        <f>+[6]ISABELA!D31</f>
        <v>862</v>
      </c>
      <c r="D81" s="305">
        <f>+[6]ISABELA!E31</f>
        <v>977</v>
      </c>
      <c r="E81" s="305">
        <f>+[6]ISABELA!F31</f>
        <v>878</v>
      </c>
      <c r="F81" s="305">
        <f>+[6]ISABELA!G31</f>
        <v>825</v>
      </c>
      <c r="G81" s="305">
        <f>+[6]ISABELA!H31</f>
        <v>804</v>
      </c>
      <c r="H81" s="305">
        <f>+[6]ISABELA!I31</f>
        <v>693</v>
      </c>
      <c r="I81" s="305">
        <f>+[6]ISABELA!J31</f>
        <v>709</v>
      </c>
      <c r="J81" s="305">
        <f>+[6]ISABELA!K31</f>
        <v>698</v>
      </c>
      <c r="K81" s="305">
        <f>+[6]ISABELA!L31</f>
        <v>610</v>
      </c>
      <c r="L81" s="305">
        <f>+[6]ISABELA!M31</f>
        <v>650</v>
      </c>
      <c r="M81" s="305">
        <f>+[6]ISABELA!N31</f>
        <v>721</v>
      </c>
      <c r="N81" s="306">
        <f>+[6]ISABELA!O31</f>
        <v>790</v>
      </c>
      <c r="O81" s="307">
        <f>+MAX(C81:N81)</f>
        <v>977</v>
      </c>
      <c r="P81" s="421" t="s">
        <v>73</v>
      </c>
    </row>
    <row r="82" spans="1:16" x14ac:dyDescent="0.25">
      <c r="A82" s="371">
        <v>17</v>
      </c>
      <c r="B82" s="311" t="s">
        <v>31</v>
      </c>
      <c r="C82" s="305">
        <f>+[6]ISABELA!D16</f>
        <v>28605</v>
      </c>
      <c r="D82" s="305">
        <f>+[6]ISABELA!E16</f>
        <v>29564</v>
      </c>
      <c r="E82" s="305">
        <f>+[6]ISABELA!F16</f>
        <v>36030</v>
      </c>
      <c r="F82" s="305">
        <f>+[6]ISABELA!G16</f>
        <v>32577</v>
      </c>
      <c r="G82" s="305">
        <f>+[6]ISABELA!H16</f>
        <v>31621</v>
      </c>
      <c r="H82" s="305">
        <f>+[6]ISABELA!I16</f>
        <v>27634</v>
      </c>
      <c r="I82" s="305">
        <f>+[6]ISABELA!J16</f>
        <v>29340</v>
      </c>
      <c r="J82" s="305">
        <f>+[6]ISABELA!K16</f>
        <v>27420</v>
      </c>
      <c r="K82" s="305">
        <f>+[6]ISABELA!L16</f>
        <v>24682</v>
      </c>
      <c r="L82" s="305">
        <f>+[6]ISABELA!M16</f>
        <v>27029</v>
      </c>
      <c r="M82" s="305">
        <f>+[6]ISABELA!N16</f>
        <v>28004</v>
      </c>
      <c r="N82" s="306">
        <f>+[6]ISABELA!O16</f>
        <v>31489</v>
      </c>
      <c r="O82" s="307">
        <f>SUM(C82:N82)</f>
        <v>353995</v>
      </c>
      <c r="P82" s="421" t="s">
        <v>73</v>
      </c>
    </row>
    <row r="83" spans="1:16" x14ac:dyDescent="0.25">
      <c r="A83" s="371">
        <v>18</v>
      </c>
      <c r="B83" s="311" t="s">
        <v>94</v>
      </c>
      <c r="C83" s="331">
        <f t="shared" ref="C83:N83" si="39">C67/C82</f>
        <v>13.397273203985318</v>
      </c>
      <c r="D83" s="331">
        <f t="shared" si="39"/>
        <v>13.278142335272628</v>
      </c>
      <c r="E83" s="331">
        <f t="shared" si="39"/>
        <v>12.495059672495143</v>
      </c>
      <c r="F83" s="331">
        <f t="shared" si="39"/>
        <v>12.849709918040336</v>
      </c>
      <c r="G83" s="331">
        <f t="shared" si="39"/>
        <v>12.53584643116916</v>
      </c>
      <c r="H83" s="331">
        <f t="shared" si="39"/>
        <v>12.74165882608381</v>
      </c>
      <c r="I83" s="331">
        <f t="shared" si="39"/>
        <v>12.043762781186095</v>
      </c>
      <c r="J83" s="331">
        <f t="shared" si="39"/>
        <v>12.036469730123997</v>
      </c>
      <c r="K83" s="331">
        <f t="shared" si="39"/>
        <v>12.141722712908193</v>
      </c>
      <c r="L83" s="331">
        <f t="shared" si="39"/>
        <v>12.040660031817678</v>
      </c>
      <c r="M83" s="331">
        <f t="shared" si="39"/>
        <v>11.97836023425225</v>
      </c>
      <c r="N83" s="332">
        <f t="shared" si="39"/>
        <v>11.901775223093779</v>
      </c>
      <c r="O83" s="377" t="s">
        <v>73</v>
      </c>
      <c r="P83" s="436">
        <f>AVERAGE(C83:N83)</f>
        <v>12.453370091702366</v>
      </c>
    </row>
    <row r="84" spans="1:16" ht="15.75" thickBot="1" x14ac:dyDescent="0.3">
      <c r="A84" s="371">
        <v>19</v>
      </c>
      <c r="B84" s="334" t="s">
        <v>33</v>
      </c>
      <c r="C84" s="335">
        <f>+[6]COMERCIAL!D15</f>
        <v>1099</v>
      </c>
      <c r="D84" s="335">
        <f>+[6]COMERCIAL!E15</f>
        <v>1118</v>
      </c>
      <c r="E84" s="335">
        <f>+[6]COMERCIAL!F15</f>
        <v>1120</v>
      </c>
      <c r="F84" s="335">
        <f>+[6]COMERCIAL!G15</f>
        <v>1123</v>
      </c>
      <c r="G84" s="335">
        <f>+[6]COMERCIAL!H15</f>
        <v>1122</v>
      </c>
      <c r="H84" s="335">
        <f>+[6]COMERCIAL!I15</f>
        <v>1131</v>
      </c>
      <c r="I84" s="335">
        <f>+[6]COMERCIAL!J15</f>
        <v>1140</v>
      </c>
      <c r="J84" s="335">
        <f>+[6]COMERCIAL!K15</f>
        <v>1141</v>
      </c>
      <c r="K84" s="335">
        <f>+[6]COMERCIAL!L15</f>
        <v>1140</v>
      </c>
      <c r="L84" s="335">
        <f>+[6]COMERCIAL!M15</f>
        <v>1147</v>
      </c>
      <c r="M84" s="335">
        <f>+[6]COMERCIAL!N15</f>
        <v>1154</v>
      </c>
      <c r="N84" s="336">
        <f>+[6]COMERCIAL!O15</f>
        <v>1150</v>
      </c>
      <c r="O84" s="337" t="s">
        <v>73</v>
      </c>
      <c r="P84" s="337" t="s">
        <v>73</v>
      </c>
    </row>
    <row r="85" spans="1:16" x14ac:dyDescent="0.25">
      <c r="A85" s="371"/>
      <c r="B85" s="339"/>
      <c r="C85" s="340"/>
      <c r="D85" s="340"/>
      <c r="E85" s="340"/>
      <c r="F85" s="340"/>
      <c r="G85" s="340"/>
      <c r="H85" s="340"/>
      <c r="I85" s="341"/>
      <c r="J85" s="341"/>
      <c r="K85" s="342"/>
      <c r="L85" s="342"/>
      <c r="M85" s="342"/>
      <c r="N85" s="342"/>
      <c r="O85" s="342"/>
    </row>
    <row r="86" spans="1:16" ht="15.75" thickBot="1" x14ac:dyDescent="0.3">
      <c r="A86" s="371"/>
      <c r="C86" s="289"/>
      <c r="D86" s="368"/>
      <c r="E86" s="368"/>
      <c r="F86" s="368"/>
      <c r="G86" s="368"/>
      <c r="H86" s="368"/>
      <c r="I86" s="369"/>
      <c r="J86" s="369"/>
      <c r="K86" s="370"/>
      <c r="M86" s="370"/>
      <c r="N86" s="370"/>
      <c r="O86" s="370"/>
    </row>
    <row r="87" spans="1:16" ht="15.75" thickBot="1" x14ac:dyDescent="0.3">
      <c r="A87" s="371"/>
      <c r="B87" s="744" t="s">
        <v>45</v>
      </c>
      <c r="C87" s="745"/>
      <c r="D87" s="745"/>
      <c r="E87" s="745"/>
      <c r="F87" s="745"/>
      <c r="G87" s="745"/>
      <c r="H87" s="745"/>
      <c r="I87" s="745"/>
      <c r="J87" s="745"/>
      <c r="K87" s="745"/>
      <c r="L87" s="745"/>
      <c r="M87" s="745"/>
      <c r="N87" s="745"/>
      <c r="O87" s="745"/>
      <c r="P87" s="746"/>
    </row>
    <row r="88" spans="1:16" ht="15.75" thickBot="1" x14ac:dyDescent="0.3">
      <c r="A88" s="371"/>
      <c r="B88" s="346" t="s">
        <v>57</v>
      </c>
      <c r="C88" s="347" t="s">
        <v>58</v>
      </c>
      <c r="D88" s="347" t="s">
        <v>59</v>
      </c>
      <c r="E88" s="347" t="s">
        <v>60</v>
      </c>
      <c r="F88" s="347" t="s">
        <v>61</v>
      </c>
      <c r="G88" s="347" t="s">
        <v>62</v>
      </c>
      <c r="H88" s="347" t="s">
        <v>63</v>
      </c>
      <c r="I88" s="348" t="s">
        <v>64</v>
      </c>
      <c r="J88" s="348" t="s">
        <v>65</v>
      </c>
      <c r="K88" s="347" t="s">
        <v>66</v>
      </c>
      <c r="L88" s="347" t="s">
        <v>67</v>
      </c>
      <c r="M88" s="347" t="s">
        <v>68</v>
      </c>
      <c r="N88" s="349" t="s">
        <v>69</v>
      </c>
      <c r="O88" s="350" t="s">
        <v>70</v>
      </c>
      <c r="P88" s="429" t="s">
        <v>71</v>
      </c>
    </row>
    <row r="89" spans="1:16" x14ac:dyDescent="0.25">
      <c r="A89" s="371">
        <v>1</v>
      </c>
      <c r="B89" s="382" t="s">
        <v>100</v>
      </c>
      <c r="C89" s="383">
        <f>C90+C92+C94</f>
        <v>27338</v>
      </c>
      <c r="D89" s="383">
        <f t="shared" ref="D89:N89" si="40">D90+D92+D94</f>
        <v>23961</v>
      </c>
      <c r="E89" s="383">
        <f t="shared" si="40"/>
        <v>25427</v>
      </c>
      <c r="F89" s="383">
        <f t="shared" si="40"/>
        <v>26111</v>
      </c>
      <c r="G89" s="383">
        <f t="shared" si="40"/>
        <v>27042</v>
      </c>
      <c r="H89" s="383">
        <f t="shared" si="40"/>
        <v>23273.3</v>
      </c>
      <c r="I89" s="383">
        <f t="shared" si="40"/>
        <v>19383.53</v>
      </c>
      <c r="J89" s="383">
        <f t="shared" si="40"/>
        <v>18932.101999999999</v>
      </c>
      <c r="K89" s="383">
        <f t="shared" si="40"/>
        <v>16163</v>
      </c>
      <c r="L89" s="383">
        <f t="shared" si="40"/>
        <v>15831.65</v>
      </c>
      <c r="M89" s="383">
        <f t="shared" si="40"/>
        <v>16870.005000000001</v>
      </c>
      <c r="N89" s="383">
        <f t="shared" si="40"/>
        <v>19492.21</v>
      </c>
      <c r="O89" s="352">
        <f>SUM(C89:N89)</f>
        <v>259824.79699999996</v>
      </c>
      <c r="P89" s="443" t="s">
        <v>73</v>
      </c>
    </row>
    <row r="90" spans="1:16" x14ac:dyDescent="0.25">
      <c r="A90" s="371">
        <v>2</v>
      </c>
      <c r="B90" s="375" t="s">
        <v>99</v>
      </c>
      <c r="C90" s="305">
        <f>+SUM([6]FLOREANA!E7:E9)</f>
        <v>6834.5</v>
      </c>
      <c r="D90" s="305">
        <f>+SUM([6]FLOREANA!F7:F9)</f>
        <v>22613.25</v>
      </c>
      <c r="E90" s="305">
        <f>+SUM([6]FLOREANA!G7:G9)</f>
        <v>25427</v>
      </c>
      <c r="F90" s="305">
        <f>+SUM([6]FLOREANA!H7:H9)</f>
        <v>26111</v>
      </c>
      <c r="G90" s="305">
        <f>+SUM([6]FLOREANA!I7:I9)</f>
        <v>27042</v>
      </c>
      <c r="H90" s="305">
        <f>+SUM([6]FLOREANA!J7:J9)</f>
        <v>23216</v>
      </c>
      <c r="I90" s="305">
        <f>+SUM([6]FLOREANA!K7:K9)</f>
        <v>19050</v>
      </c>
      <c r="J90" s="305">
        <f>+SUM([6]FLOREANA!L7:L9)</f>
        <v>18419</v>
      </c>
      <c r="K90" s="305">
        <f>+SUM([6]FLOREANA!M7:M9)</f>
        <v>11707.5</v>
      </c>
      <c r="L90" s="305">
        <f>+SUM([6]FLOREANA!N7:N9)</f>
        <v>10266.75</v>
      </c>
      <c r="M90" s="305">
        <f>+SUM([6]FLOREANA!O7:O9)</f>
        <v>7845.75</v>
      </c>
      <c r="N90" s="305">
        <f>+SUM([6]FLOREANA!P7:P9)</f>
        <v>9482</v>
      </c>
      <c r="O90" s="307">
        <f>SUM(C90:N90)</f>
        <v>208014.75</v>
      </c>
      <c r="P90" s="421" t="s">
        <v>73</v>
      </c>
    </row>
    <row r="91" spans="1:16" x14ac:dyDescent="0.25">
      <c r="A91" s="371">
        <v>3</v>
      </c>
      <c r="B91" s="309" t="s">
        <v>75</v>
      </c>
      <c r="C91" s="444">
        <f t="shared" ref="C91:N91" si="41">C90/C89</f>
        <v>0.25</v>
      </c>
      <c r="D91" s="444">
        <f t="shared" si="41"/>
        <v>0.94375234756479276</v>
      </c>
      <c r="E91" s="444">
        <f t="shared" si="41"/>
        <v>1</v>
      </c>
      <c r="F91" s="444">
        <f t="shared" si="41"/>
        <v>1</v>
      </c>
      <c r="G91" s="444">
        <f t="shared" si="41"/>
        <v>1</v>
      </c>
      <c r="H91" s="444">
        <f t="shared" si="41"/>
        <v>0.99753795121448186</v>
      </c>
      <c r="I91" s="444">
        <f t="shared" si="41"/>
        <v>0.98279312385308559</v>
      </c>
      <c r="J91" s="444">
        <f t="shared" si="41"/>
        <v>0.97289777965489521</v>
      </c>
      <c r="K91" s="444">
        <f t="shared" si="41"/>
        <v>0.72433954092680819</v>
      </c>
      <c r="L91" s="444">
        <f t="shared" si="41"/>
        <v>0.6484952610751249</v>
      </c>
      <c r="M91" s="444">
        <f t="shared" si="41"/>
        <v>0.46507099434766019</v>
      </c>
      <c r="N91" s="445">
        <f t="shared" si="41"/>
        <v>0.48645074109092812</v>
      </c>
      <c r="O91" s="377" t="s">
        <v>73</v>
      </c>
      <c r="P91" s="434">
        <f>AVERAGE(C91:N91)</f>
        <v>0.78927814497731485</v>
      </c>
    </row>
    <row r="92" spans="1:16" x14ac:dyDescent="0.25">
      <c r="A92" s="371">
        <v>4</v>
      </c>
      <c r="B92" s="375" t="s">
        <v>101</v>
      </c>
      <c r="C92" s="305">
        <f>+SUM([6]FLOREANA!E5:E6)</f>
        <v>20503.5</v>
      </c>
      <c r="D92" s="305">
        <f>+SUM([6]FLOREANA!F5:F6)</f>
        <v>1347.75</v>
      </c>
      <c r="E92" s="305">
        <f>+SUM([6]FLOREANA!G5:G6)</f>
        <v>0</v>
      </c>
      <c r="F92" s="305">
        <f>+SUM([6]FLOREANA!H5:H6)</f>
        <v>0</v>
      </c>
      <c r="G92" s="305">
        <f>+SUM([6]FLOREANA!I5:I6)</f>
        <v>0</v>
      </c>
      <c r="H92" s="305">
        <f>+SUM([6]FLOREANA!J5:J6)</f>
        <v>0</v>
      </c>
      <c r="I92" s="305">
        <f>+SUM([6]FLOREANA!K5:K6)</f>
        <v>0</v>
      </c>
      <c r="J92" s="305">
        <f>+SUM([6]FLOREANA!L5:L6)</f>
        <v>0</v>
      </c>
      <c r="K92" s="305">
        <f>+SUM([6]FLOREANA!M5:M6)</f>
        <v>3902.5</v>
      </c>
      <c r="L92" s="305">
        <f>+SUM([6]FLOREANA!N5:N6)</f>
        <v>4980.25</v>
      </c>
      <c r="M92" s="305">
        <f>+SUM([6]FLOREANA!O5:O6)</f>
        <v>8482.25</v>
      </c>
      <c r="N92" s="306">
        <f>+SUM([6]FLOREANA!P5:P6)</f>
        <v>9482</v>
      </c>
      <c r="O92" s="307">
        <f>SUM(C92:N92)</f>
        <v>48698.25</v>
      </c>
      <c r="P92" s="446" t="s">
        <v>73</v>
      </c>
    </row>
    <row r="93" spans="1:16" x14ac:dyDescent="0.25">
      <c r="A93" s="371">
        <v>5</v>
      </c>
      <c r="B93" s="309" t="s">
        <v>102</v>
      </c>
      <c r="C93" s="94">
        <f t="shared" ref="C93:J93" si="42">C92/C89</f>
        <v>0.75</v>
      </c>
      <c r="D93" s="94">
        <f t="shared" si="42"/>
        <v>5.6247652435207213E-2</v>
      </c>
      <c r="E93" s="94">
        <f t="shared" si="42"/>
        <v>0</v>
      </c>
      <c r="F93" s="94">
        <f t="shared" si="42"/>
        <v>0</v>
      </c>
      <c r="G93" s="94">
        <f t="shared" si="42"/>
        <v>0</v>
      </c>
      <c r="H93" s="94">
        <f t="shared" si="42"/>
        <v>0</v>
      </c>
      <c r="I93" s="94">
        <f t="shared" si="42"/>
        <v>0</v>
      </c>
      <c r="J93" s="94">
        <f t="shared" si="42"/>
        <v>0</v>
      </c>
      <c r="K93" s="94">
        <f>K92/K89</f>
        <v>0.24144651364226938</v>
      </c>
      <c r="L93" s="94">
        <f>L92/L89</f>
        <v>0.31457554961106393</v>
      </c>
      <c r="M93" s="94">
        <f>M92/M89</f>
        <v>0.50280068085338447</v>
      </c>
      <c r="N93" s="95">
        <f>N92/N89</f>
        <v>0.48645074109092812</v>
      </c>
      <c r="O93" s="377" t="s">
        <v>73</v>
      </c>
      <c r="P93" s="139">
        <f>AVERAGE(C93:N93)</f>
        <v>0.19596009480273777</v>
      </c>
    </row>
    <row r="94" spans="1:16" x14ac:dyDescent="0.25">
      <c r="A94" s="371">
        <v>6</v>
      </c>
      <c r="B94" s="375" t="s">
        <v>108</v>
      </c>
      <c r="C94" s="305">
        <f>+[6]FLOREANA!E56</f>
        <v>0</v>
      </c>
      <c r="D94" s="305">
        <f>+[6]FLOREANA!F56</f>
        <v>0</v>
      </c>
      <c r="E94" s="305">
        <f>+[6]FLOREANA!G56</f>
        <v>0</v>
      </c>
      <c r="F94" s="305">
        <f>+[6]FLOREANA!H56</f>
        <v>0</v>
      </c>
      <c r="G94" s="305">
        <f>+[6]FLOREANA!I56</f>
        <v>0</v>
      </c>
      <c r="H94" s="305">
        <f>+[6]FLOREANA!J56</f>
        <v>57.3</v>
      </c>
      <c r="I94" s="305">
        <f>+[6]FLOREANA!K56</f>
        <v>333.53</v>
      </c>
      <c r="J94" s="305">
        <f>+[6]FLOREANA!L56</f>
        <v>513.10200000000009</v>
      </c>
      <c r="K94" s="305">
        <f>+[6]FLOREANA!M56</f>
        <v>553</v>
      </c>
      <c r="L94" s="305">
        <f>+[6]FLOREANA!N56</f>
        <v>584.65000000000009</v>
      </c>
      <c r="M94" s="305">
        <f>+[6]FLOREANA!O56</f>
        <v>542.005</v>
      </c>
      <c r="N94" s="305">
        <f>+[6]FLOREANA!P56</f>
        <v>528.21</v>
      </c>
      <c r="O94" s="307">
        <v>131243.75</v>
      </c>
      <c r="P94" s="421" t="s">
        <v>73</v>
      </c>
    </row>
    <row r="95" spans="1:16" x14ac:dyDescent="0.25">
      <c r="A95" s="371">
        <v>7</v>
      </c>
      <c r="B95" s="309" t="s">
        <v>158</v>
      </c>
      <c r="C95" s="388">
        <f>+C94/C89</f>
        <v>0</v>
      </c>
      <c r="D95" s="388">
        <f t="shared" ref="D95:N95" si="43">+D94/D89</f>
        <v>0</v>
      </c>
      <c r="E95" s="388">
        <f t="shared" si="43"/>
        <v>0</v>
      </c>
      <c r="F95" s="388">
        <f t="shared" si="43"/>
        <v>0</v>
      </c>
      <c r="G95" s="388">
        <f t="shared" si="43"/>
        <v>0</v>
      </c>
      <c r="H95" s="388">
        <f t="shared" si="43"/>
        <v>2.4620487855181688E-3</v>
      </c>
      <c r="I95" s="388">
        <f t="shared" si="43"/>
        <v>1.7206876146914418E-2</v>
      </c>
      <c r="J95" s="388">
        <f t="shared" si="43"/>
        <v>2.7102220345104844E-2</v>
      </c>
      <c r="K95" s="388">
        <f t="shared" si="43"/>
        <v>3.4213945430922474E-2</v>
      </c>
      <c r="L95" s="388">
        <f t="shared" si="43"/>
        <v>3.6929189313811263E-2</v>
      </c>
      <c r="M95" s="388">
        <f t="shared" si="43"/>
        <v>3.2128324798955304E-2</v>
      </c>
      <c r="N95" s="388">
        <f t="shared" si="43"/>
        <v>2.7098517818143764E-2</v>
      </c>
      <c r="O95" s="377" t="s">
        <v>73</v>
      </c>
      <c r="P95" s="139">
        <f>AVERAGE(H95:N95)</f>
        <v>2.5305874662767177E-2</v>
      </c>
    </row>
    <row r="96" spans="1:16" x14ac:dyDescent="0.25">
      <c r="A96" s="371">
        <v>8</v>
      </c>
      <c r="B96" s="311" t="s">
        <v>151</v>
      </c>
      <c r="C96" s="317">
        <f>'[6]POTENCIA MAXIMA SISTEMA'!E78</f>
        <v>9189</v>
      </c>
      <c r="D96" s="317">
        <f>'[6]POTENCIA MAXIMA SISTEMA'!F78</f>
        <v>8379</v>
      </c>
      <c r="E96" s="317">
        <f>'[6]POTENCIA MAXIMA SISTEMA'!G78</f>
        <v>8676</v>
      </c>
      <c r="F96" s="317">
        <f>'[6]POTENCIA MAXIMA SISTEMA'!H78</f>
        <v>8834</v>
      </c>
      <c r="G96" s="317">
        <f>'[6]POTENCIA MAXIMA SISTEMA'!I78</f>
        <v>10015</v>
      </c>
      <c r="H96" s="317">
        <f>'[6]POTENCIA MAXIMA SISTEMA'!J78</f>
        <v>6334</v>
      </c>
      <c r="I96" s="317">
        <f>'[6]POTENCIA MAXIMA SISTEMA'!K78</f>
        <v>1513</v>
      </c>
      <c r="J96" s="317">
        <f>'[6]POTENCIA MAXIMA SISTEMA'!L78</f>
        <v>448</v>
      </c>
      <c r="K96" s="317">
        <f>'[6]POTENCIA MAXIMA SISTEMA'!M78</f>
        <v>373</v>
      </c>
      <c r="L96" s="317">
        <f>'[6]POTENCIA MAXIMA SISTEMA'!N78</f>
        <v>468</v>
      </c>
      <c r="M96" s="317">
        <f>'[6]POTENCIA MAXIMA SISTEMA'!O78</f>
        <v>518</v>
      </c>
      <c r="N96" s="317">
        <f>'[6]POTENCIA MAXIMA SISTEMA'!P78</f>
        <v>563</v>
      </c>
      <c r="O96" s="318">
        <f>SUM(C96:N96)</f>
        <v>55310</v>
      </c>
      <c r="P96" s="423" t="s">
        <v>73</v>
      </c>
    </row>
    <row r="97" spans="1:16" x14ac:dyDescent="0.25">
      <c r="A97" s="371">
        <v>9</v>
      </c>
      <c r="B97" s="311" t="s">
        <v>81</v>
      </c>
      <c r="C97" s="320">
        <f t="shared" ref="C97:N97" si="44">C89-C96</f>
        <v>18149</v>
      </c>
      <c r="D97" s="320">
        <f t="shared" si="44"/>
        <v>15582</v>
      </c>
      <c r="E97" s="320">
        <f t="shared" si="44"/>
        <v>16751</v>
      </c>
      <c r="F97" s="320">
        <f t="shared" si="44"/>
        <v>17277</v>
      </c>
      <c r="G97" s="320">
        <f t="shared" si="44"/>
        <v>17027</v>
      </c>
      <c r="H97" s="320">
        <f t="shared" si="44"/>
        <v>16939.3</v>
      </c>
      <c r="I97" s="320">
        <f t="shared" si="44"/>
        <v>17870.53</v>
      </c>
      <c r="J97" s="320">
        <f t="shared" si="44"/>
        <v>18484.101999999999</v>
      </c>
      <c r="K97" s="320">
        <f t="shared" si="44"/>
        <v>15790</v>
      </c>
      <c r="L97" s="320">
        <f t="shared" si="44"/>
        <v>15363.65</v>
      </c>
      <c r="M97" s="320">
        <f t="shared" si="44"/>
        <v>16352.005000000001</v>
      </c>
      <c r="N97" s="321">
        <f t="shared" si="44"/>
        <v>18929.21</v>
      </c>
      <c r="O97" s="322">
        <f>SUM(C97:N97)</f>
        <v>204514.79699999999</v>
      </c>
      <c r="P97" s="432" t="s">
        <v>73</v>
      </c>
    </row>
    <row r="98" spans="1:16" x14ac:dyDescent="0.25">
      <c r="A98" s="371">
        <v>10</v>
      </c>
      <c r="B98" s="311" t="s">
        <v>82</v>
      </c>
      <c r="C98" s="323">
        <f>C99</f>
        <v>18149</v>
      </c>
      <c r="D98" s="323">
        <f t="shared" ref="D98:N98" si="45">D99</f>
        <v>14865.227999999999</v>
      </c>
      <c r="E98" s="323">
        <f t="shared" si="45"/>
        <v>16181.466</v>
      </c>
      <c r="F98" s="323">
        <f t="shared" si="45"/>
        <v>16447.703999999998</v>
      </c>
      <c r="G98" s="323">
        <f t="shared" si="45"/>
        <v>15457.661999999998</v>
      </c>
      <c r="H98" s="323">
        <f t="shared" si="45"/>
        <v>15919.725999999999</v>
      </c>
      <c r="I98" s="323">
        <f t="shared" si="45"/>
        <v>16394</v>
      </c>
      <c r="J98" s="323">
        <f t="shared" si="45"/>
        <v>17403</v>
      </c>
      <c r="K98" s="323">
        <f t="shared" si="45"/>
        <v>14551</v>
      </c>
      <c r="L98" s="323">
        <f t="shared" si="45"/>
        <v>15088</v>
      </c>
      <c r="M98" s="323">
        <f t="shared" si="45"/>
        <v>15424.846316500001</v>
      </c>
      <c r="N98" s="324">
        <f t="shared" si="45"/>
        <v>17827.529977999999</v>
      </c>
      <c r="O98" s="325">
        <f>SUM(C98:N98)</f>
        <v>193709.16229450001</v>
      </c>
      <c r="P98" s="447" t="s">
        <v>73</v>
      </c>
    </row>
    <row r="99" spans="1:16" x14ac:dyDescent="0.25">
      <c r="A99" s="371">
        <v>11</v>
      </c>
      <c r="B99" s="311" t="s">
        <v>83</v>
      </c>
      <c r="C99" s="305">
        <f>+[6]TÉCNICO!D14</f>
        <v>18149</v>
      </c>
      <c r="D99" s="305">
        <f>+[6]TÉCNICO!E14</f>
        <v>14865.227999999999</v>
      </c>
      <c r="E99" s="305">
        <f>+[6]TÉCNICO!F14</f>
        <v>16181.466</v>
      </c>
      <c r="F99" s="305">
        <f>+[6]TÉCNICO!G14</f>
        <v>16447.703999999998</v>
      </c>
      <c r="G99" s="305">
        <f>+[6]TÉCNICO!H14</f>
        <v>15457.661999999998</v>
      </c>
      <c r="H99" s="305">
        <f>+[6]TÉCNICO!I14</f>
        <v>15919.725999999999</v>
      </c>
      <c r="I99" s="305">
        <f>+[6]TÉCNICO!J14</f>
        <v>16394</v>
      </c>
      <c r="J99" s="305">
        <f>+[6]TÉCNICO!K14</f>
        <v>17403</v>
      </c>
      <c r="K99" s="305">
        <f>+[6]TÉCNICO!L14</f>
        <v>14551</v>
      </c>
      <c r="L99" s="305">
        <f>+[6]TÉCNICO!M14</f>
        <v>15088</v>
      </c>
      <c r="M99" s="305">
        <f>+[6]TÉCNICO!N14</f>
        <v>15424.846316500001</v>
      </c>
      <c r="N99" s="305">
        <f>+[6]TÉCNICO!O14</f>
        <v>17827.529977999999</v>
      </c>
      <c r="O99" s="307">
        <f>SUM(C99:N99)</f>
        <v>193709.16229450001</v>
      </c>
      <c r="P99" s="421" t="s">
        <v>73</v>
      </c>
    </row>
    <row r="100" spans="1:16" x14ac:dyDescent="0.25">
      <c r="A100" s="371">
        <v>12</v>
      </c>
      <c r="B100" s="311" t="s">
        <v>86</v>
      </c>
      <c r="C100" s="320">
        <f>C97-C98</f>
        <v>0</v>
      </c>
      <c r="D100" s="320">
        <f t="shared" ref="D100:N100" si="46">D97-D98</f>
        <v>716.77200000000084</v>
      </c>
      <c r="E100" s="320">
        <f t="shared" si="46"/>
        <v>569.53399999999965</v>
      </c>
      <c r="F100" s="320">
        <f t="shared" si="46"/>
        <v>829.2960000000021</v>
      </c>
      <c r="G100" s="320">
        <f t="shared" si="46"/>
        <v>1569.3380000000016</v>
      </c>
      <c r="H100" s="320">
        <f t="shared" si="46"/>
        <v>1019.5740000000005</v>
      </c>
      <c r="I100" s="320">
        <f t="shared" si="46"/>
        <v>1476.5299999999988</v>
      </c>
      <c r="J100" s="320">
        <f t="shared" si="46"/>
        <v>1081.101999999999</v>
      </c>
      <c r="K100" s="320">
        <f t="shared" si="46"/>
        <v>1239</v>
      </c>
      <c r="L100" s="320">
        <f t="shared" si="46"/>
        <v>275.64999999999964</v>
      </c>
      <c r="M100" s="320">
        <f t="shared" si="46"/>
        <v>927.15868349999982</v>
      </c>
      <c r="N100" s="321">
        <f t="shared" si="46"/>
        <v>1101.6800220000005</v>
      </c>
      <c r="O100" s="322">
        <f>SUM(C100:N100)</f>
        <v>10805.634705500002</v>
      </c>
      <c r="P100" s="432" t="s">
        <v>73</v>
      </c>
    </row>
    <row r="101" spans="1:16" x14ac:dyDescent="0.25">
      <c r="A101" s="371">
        <v>13</v>
      </c>
      <c r="B101" s="311" t="s">
        <v>87</v>
      </c>
      <c r="C101" s="112">
        <f>C100/C97</f>
        <v>0</v>
      </c>
      <c r="D101" s="112">
        <f t="shared" ref="D101:N101" si="47">D100/D97</f>
        <v>4.6000000000000055E-2</v>
      </c>
      <c r="E101" s="112">
        <f t="shared" si="47"/>
        <v>3.3999999999999982E-2</v>
      </c>
      <c r="F101" s="112">
        <f t="shared" si="47"/>
        <v>4.8000000000000119E-2</v>
      </c>
      <c r="G101" s="112">
        <f t="shared" si="47"/>
        <v>9.216761613907333E-2</v>
      </c>
      <c r="H101" s="112">
        <f t="shared" si="47"/>
        <v>6.018985436234086E-2</v>
      </c>
      <c r="I101" s="112">
        <f t="shared" si="47"/>
        <v>8.2623738635619587E-2</v>
      </c>
      <c r="J101" s="112">
        <f t="shared" si="47"/>
        <v>5.8488207866414017E-2</v>
      </c>
      <c r="K101" s="112">
        <f t="shared" si="47"/>
        <v>7.8467384420519315E-2</v>
      </c>
      <c r="L101" s="112">
        <f t="shared" si="47"/>
        <v>1.7941700051745491E-2</v>
      </c>
      <c r="M101" s="112">
        <f t="shared" si="47"/>
        <v>5.6699999999999987E-2</v>
      </c>
      <c r="N101" s="113">
        <f t="shared" si="47"/>
        <v>5.8200000000000029E-2</v>
      </c>
      <c r="O101" s="377" t="s">
        <v>73</v>
      </c>
      <c r="P101" s="161">
        <f>AVERAGE(C101:N101)</f>
        <v>5.2731541789642726E-2</v>
      </c>
    </row>
    <row r="102" spans="1:16" x14ac:dyDescent="0.25">
      <c r="A102" s="371">
        <v>14</v>
      </c>
      <c r="B102" s="311" t="s">
        <v>88</v>
      </c>
      <c r="C102" s="317">
        <f>+[6]COMERCIAL!D9</f>
        <v>13035</v>
      </c>
      <c r="D102" s="317">
        <f>+[6]COMERCIAL!E9</f>
        <v>13045</v>
      </c>
      <c r="E102" s="317">
        <f>+[6]COMERCIAL!F9</f>
        <v>13675</v>
      </c>
      <c r="F102" s="317">
        <f>+[6]COMERCIAL!G9</f>
        <v>11214</v>
      </c>
      <c r="G102" s="317">
        <f>+[6]COMERCIAL!H9</f>
        <v>12879</v>
      </c>
      <c r="H102" s="317">
        <f>+[6]COMERCIAL!I9</f>
        <v>13216</v>
      </c>
      <c r="I102" s="317">
        <f>+[6]COMERCIAL!J9</f>
        <v>11859</v>
      </c>
      <c r="J102" s="317">
        <f>+[6]COMERCIAL!K9</f>
        <v>14192</v>
      </c>
      <c r="K102" s="317">
        <f>+[6]COMERCIAL!L9</f>
        <v>12415</v>
      </c>
      <c r="L102" s="317">
        <f>+[6]COMERCIAL!M9</f>
        <v>10932</v>
      </c>
      <c r="M102" s="317">
        <f>+[6]COMERCIAL!N9</f>
        <v>11861</v>
      </c>
      <c r="N102" s="317">
        <f>+[6]COMERCIAL!O9</f>
        <v>14180</v>
      </c>
      <c r="O102" s="318">
        <f>SUM(C102:N102)</f>
        <v>152503</v>
      </c>
      <c r="P102" s="423" t="s">
        <v>73</v>
      </c>
    </row>
    <row r="103" spans="1:16" x14ac:dyDescent="0.25">
      <c r="A103" s="371">
        <v>15</v>
      </c>
      <c r="B103" s="311" t="s">
        <v>89</v>
      </c>
      <c r="C103" s="320">
        <f t="shared" ref="C103:N103" si="48">C98-C102</f>
        <v>5114</v>
      </c>
      <c r="D103" s="320">
        <f t="shared" si="48"/>
        <v>1820.2279999999992</v>
      </c>
      <c r="E103" s="320">
        <f t="shared" si="48"/>
        <v>2506.4660000000003</v>
      </c>
      <c r="F103" s="320">
        <f t="shared" si="48"/>
        <v>5233.7039999999979</v>
      </c>
      <c r="G103" s="320">
        <f t="shared" si="48"/>
        <v>2578.6619999999984</v>
      </c>
      <c r="H103" s="320">
        <f t="shared" si="48"/>
        <v>2703.7259999999987</v>
      </c>
      <c r="I103" s="320">
        <f t="shared" si="48"/>
        <v>4535</v>
      </c>
      <c r="J103" s="320">
        <f t="shared" si="48"/>
        <v>3211</v>
      </c>
      <c r="K103" s="320">
        <f t="shared" si="48"/>
        <v>2136</v>
      </c>
      <c r="L103" s="320">
        <f t="shared" si="48"/>
        <v>4156</v>
      </c>
      <c r="M103" s="320">
        <f t="shared" si="48"/>
        <v>3563.8463165000012</v>
      </c>
      <c r="N103" s="321">
        <f t="shared" si="48"/>
        <v>3647.5299779999987</v>
      </c>
      <c r="O103" s="322">
        <f>SUM(C103:N103)</f>
        <v>41206.162294499991</v>
      </c>
      <c r="P103" s="432" t="s">
        <v>73</v>
      </c>
    </row>
    <row r="104" spans="1:16" x14ac:dyDescent="0.25">
      <c r="A104" s="371">
        <v>16</v>
      </c>
      <c r="B104" s="311" t="s">
        <v>90</v>
      </c>
      <c r="C104" s="112">
        <f t="shared" ref="C104:N104" si="49">C103/C98</f>
        <v>0.28177861039175711</v>
      </c>
      <c r="D104" s="112">
        <f t="shared" si="49"/>
        <v>0.12244871050750109</v>
      </c>
      <c r="E104" s="112">
        <f t="shared" si="49"/>
        <v>0.15489733748474954</v>
      </c>
      <c r="F104" s="112">
        <f t="shared" si="49"/>
        <v>0.31820271084644997</v>
      </c>
      <c r="G104" s="112">
        <f t="shared" si="49"/>
        <v>0.16682095908165145</v>
      </c>
      <c r="H104" s="112">
        <f t="shared" si="49"/>
        <v>0.16983495821473302</v>
      </c>
      <c r="I104" s="112">
        <f t="shared" si="49"/>
        <v>0.27662559472977921</v>
      </c>
      <c r="J104" s="112">
        <f t="shared" si="49"/>
        <v>0.18450841808883525</v>
      </c>
      <c r="K104" s="112">
        <f t="shared" si="49"/>
        <v>0.14679403477424233</v>
      </c>
      <c r="L104" s="112">
        <f t="shared" si="49"/>
        <v>0.27545068928950162</v>
      </c>
      <c r="M104" s="112">
        <f t="shared" si="49"/>
        <v>0.23104582330183379</v>
      </c>
      <c r="N104" s="113">
        <f t="shared" si="49"/>
        <v>0.20460097290545692</v>
      </c>
      <c r="O104" s="377" t="s">
        <v>73</v>
      </c>
      <c r="P104" s="161">
        <f>AVERAGE(C104:N104)</f>
        <v>0.21108406830137424</v>
      </c>
    </row>
    <row r="105" spans="1:16" x14ac:dyDescent="0.25">
      <c r="A105" s="371">
        <v>17</v>
      </c>
      <c r="B105" s="311" t="s">
        <v>91</v>
      </c>
      <c r="C105" s="320">
        <f t="shared" ref="C105:N105" si="50">C97-C102</f>
        <v>5114</v>
      </c>
      <c r="D105" s="320">
        <f t="shared" si="50"/>
        <v>2537</v>
      </c>
      <c r="E105" s="320">
        <f t="shared" si="50"/>
        <v>3076</v>
      </c>
      <c r="F105" s="320">
        <f t="shared" si="50"/>
        <v>6063</v>
      </c>
      <c r="G105" s="320">
        <f t="shared" si="50"/>
        <v>4148</v>
      </c>
      <c r="H105" s="320">
        <f t="shared" si="50"/>
        <v>3723.2999999999993</v>
      </c>
      <c r="I105" s="320">
        <f t="shared" si="50"/>
        <v>6011.5299999999988</v>
      </c>
      <c r="J105" s="320">
        <f t="shared" si="50"/>
        <v>4292.101999999999</v>
      </c>
      <c r="K105" s="320">
        <f t="shared" si="50"/>
        <v>3375</v>
      </c>
      <c r="L105" s="320">
        <f t="shared" si="50"/>
        <v>4431.6499999999996</v>
      </c>
      <c r="M105" s="320">
        <f t="shared" si="50"/>
        <v>4491.005000000001</v>
      </c>
      <c r="N105" s="321">
        <f t="shared" si="50"/>
        <v>4749.2099999999991</v>
      </c>
      <c r="O105" s="322">
        <f>SUM(C105:N105)</f>
        <v>52011.796999999999</v>
      </c>
      <c r="P105" s="432" t="s">
        <v>73</v>
      </c>
    </row>
    <row r="106" spans="1:16" x14ac:dyDescent="0.25">
      <c r="A106" s="371">
        <v>18</v>
      </c>
      <c r="B106" s="311" t="s">
        <v>92</v>
      </c>
      <c r="C106" s="425">
        <f t="shared" ref="C106:N106" si="51">(C105/C97)</f>
        <v>0.28177861039175711</v>
      </c>
      <c r="D106" s="425">
        <f t="shared" si="51"/>
        <v>0.16281606982415608</v>
      </c>
      <c r="E106" s="425">
        <f t="shared" si="51"/>
        <v>0.18363082801026803</v>
      </c>
      <c r="F106" s="425">
        <f t="shared" si="51"/>
        <v>0.35092898072582046</v>
      </c>
      <c r="G106" s="425">
        <f t="shared" si="51"/>
        <v>0.24361308510013507</v>
      </c>
      <c r="H106" s="425">
        <f t="shared" si="51"/>
        <v>0.21980247117649487</v>
      </c>
      <c r="I106" s="425">
        <f t="shared" si="51"/>
        <v>0.33639349252652267</v>
      </c>
      <c r="J106" s="425">
        <f t="shared" si="51"/>
        <v>0.23220505924496626</v>
      </c>
      <c r="K106" s="425">
        <f t="shared" si="51"/>
        <v>0.21374287523749208</v>
      </c>
      <c r="L106" s="425">
        <f t="shared" si="51"/>
        <v>0.28845033569496831</v>
      </c>
      <c r="M106" s="425">
        <f t="shared" si="51"/>
        <v>0.27464552512061979</v>
      </c>
      <c r="N106" s="426">
        <f t="shared" si="51"/>
        <v>0.25089319628235934</v>
      </c>
      <c r="O106" s="380" t="s">
        <v>73</v>
      </c>
      <c r="P106" s="435">
        <f>AVERAGE(C106:N106)</f>
        <v>0.25324171077796331</v>
      </c>
    </row>
    <row r="107" spans="1:16" x14ac:dyDescent="0.25">
      <c r="A107" s="371">
        <v>19</v>
      </c>
      <c r="B107" s="311" t="s">
        <v>30</v>
      </c>
      <c r="C107" s="305">
        <f>+[6]FLOREANA!E34</f>
        <v>58</v>
      </c>
      <c r="D107" s="305">
        <f>+[6]FLOREANA!F34</f>
        <v>48</v>
      </c>
      <c r="E107" s="305">
        <f>+[6]FLOREANA!G34</f>
        <v>50</v>
      </c>
      <c r="F107" s="305">
        <f>+[6]FLOREANA!H34</f>
        <v>53</v>
      </c>
      <c r="G107" s="305">
        <f>+[6]FLOREANA!I34</f>
        <v>47</v>
      </c>
      <c r="H107" s="305">
        <f>+[6]FLOREANA!J34</f>
        <v>48</v>
      </c>
      <c r="I107" s="305">
        <f>+[6]FLOREANA!K34</f>
        <v>39</v>
      </c>
      <c r="J107" s="305">
        <f>+[6]FLOREANA!L34</f>
        <v>40</v>
      </c>
      <c r="K107" s="305">
        <f>+[6]FLOREANA!M34</f>
        <v>42</v>
      </c>
      <c r="L107" s="305">
        <f>+[6]FLOREANA!N34</f>
        <v>40</v>
      </c>
      <c r="M107" s="305">
        <f>+[6]FLOREANA!O34</f>
        <v>44</v>
      </c>
      <c r="N107" s="306">
        <f>+[6]FLOREANA!P34</f>
        <v>49</v>
      </c>
      <c r="O107" s="307">
        <f>+MAX(C107:N107)</f>
        <v>58</v>
      </c>
      <c r="P107" s="421" t="s">
        <v>73</v>
      </c>
    </row>
    <row r="108" spans="1:16" x14ac:dyDescent="0.25">
      <c r="A108" s="371">
        <v>20</v>
      </c>
      <c r="B108" s="311" t="s">
        <v>31</v>
      </c>
      <c r="C108" s="305">
        <f>+SUM([6]FLOREANA!E14:E16)</f>
        <v>613</v>
      </c>
      <c r="D108" s="305">
        <f>+SUM([6]FLOREANA!F14:F16)</f>
        <v>1984</v>
      </c>
      <c r="E108" s="305">
        <f>+SUM([6]FLOREANA!G14:G16)</f>
        <v>2278</v>
      </c>
      <c r="F108" s="305">
        <f>+SUM([6]FLOREANA!H14:H16)</f>
        <v>2341.5</v>
      </c>
      <c r="G108" s="305">
        <f>+SUM([6]FLOREANA!I14:I16)</f>
        <v>2479</v>
      </c>
      <c r="H108" s="305">
        <f>+SUM([6]FLOREANA!J14:J16)</f>
        <v>2063</v>
      </c>
      <c r="I108" s="305">
        <f>+SUM([6]FLOREANA!K14:K16)</f>
        <v>1893</v>
      </c>
      <c r="J108" s="305">
        <f>+SUM([6]FLOREANA!L14:L16)</f>
        <v>1884</v>
      </c>
      <c r="K108" s="305">
        <f>+SUM([6]FLOREANA!M14:M16)</f>
        <v>1285.5</v>
      </c>
      <c r="L108" s="305">
        <f>+SUM([6]FLOREANA!N14:N16)</f>
        <v>1156.25</v>
      </c>
      <c r="M108" s="305">
        <f>+SUM([6]FLOREANA!O14:O16)</f>
        <v>843.5</v>
      </c>
      <c r="N108" s="305">
        <f>+SUM([6]FLOREANA!P14:P16)</f>
        <v>977</v>
      </c>
      <c r="O108" s="307">
        <f>SUM(C108:N108)</f>
        <v>19797.75</v>
      </c>
      <c r="P108" s="421" t="s">
        <v>73</v>
      </c>
    </row>
    <row r="109" spans="1:16" x14ac:dyDescent="0.25">
      <c r="A109" s="371">
        <v>21</v>
      </c>
      <c r="B109" s="311" t="s">
        <v>103</v>
      </c>
      <c r="C109" s="172">
        <f t="shared" ref="C109:N109" si="52">C90/C108</f>
        <v>11.149265905383361</v>
      </c>
      <c r="D109" s="172">
        <f t="shared" si="52"/>
        <v>11.39780745967742</v>
      </c>
      <c r="E109" s="172">
        <f t="shared" si="52"/>
        <v>11.16198419666374</v>
      </c>
      <c r="F109" s="172">
        <f t="shared" si="52"/>
        <v>11.151398676062353</v>
      </c>
      <c r="G109" s="172">
        <f t="shared" si="52"/>
        <v>10.90843081887858</v>
      </c>
      <c r="H109" s="172">
        <f t="shared" si="52"/>
        <v>11.253514299563742</v>
      </c>
      <c r="I109" s="172">
        <f t="shared" si="52"/>
        <v>10.063391442155309</v>
      </c>
      <c r="J109" s="172">
        <f t="shared" si="52"/>
        <v>9.7765392781316347</v>
      </c>
      <c r="K109" s="172">
        <f t="shared" si="52"/>
        <v>9.1073512252042015</v>
      </c>
      <c r="L109" s="172">
        <f t="shared" si="52"/>
        <v>8.8793513513513513</v>
      </c>
      <c r="M109" s="172">
        <f t="shared" si="52"/>
        <v>9.3014226437462959</v>
      </c>
      <c r="N109" s="173">
        <f t="shared" si="52"/>
        <v>9.7052200614124864</v>
      </c>
      <c r="O109" s="377" t="s">
        <v>73</v>
      </c>
      <c r="P109" s="174">
        <f>AVERAGE(C109:N109)</f>
        <v>10.321306446519205</v>
      </c>
    </row>
    <row r="110" spans="1:16" x14ac:dyDescent="0.25">
      <c r="A110" s="371">
        <v>22</v>
      </c>
      <c r="B110" s="311" t="s">
        <v>104</v>
      </c>
      <c r="C110" s="305">
        <f>+SUM([6]FLOREANA!E12:E13)</f>
        <v>1839</v>
      </c>
      <c r="D110" s="305">
        <f>+SUM([6]FLOREANA!F12:F13)</f>
        <v>123</v>
      </c>
      <c r="E110" s="305">
        <f>+SUM([6]FLOREANA!G12:G13)</f>
        <v>0</v>
      </c>
      <c r="F110" s="305">
        <f>+SUM([6]FLOREANA!H12:H13)</f>
        <v>0</v>
      </c>
      <c r="G110" s="305">
        <f>+SUM([6]FLOREANA!I12:I13)</f>
        <v>0</v>
      </c>
      <c r="H110" s="305">
        <f>+SUM([6]FLOREANA!J12:J13)</f>
        <v>0</v>
      </c>
      <c r="I110" s="305">
        <f>+SUM([6]FLOREANA!K12:K13)</f>
        <v>0</v>
      </c>
      <c r="J110" s="305">
        <f>+SUM([6]FLOREANA!L12:L13)</f>
        <v>0</v>
      </c>
      <c r="K110" s="305">
        <f>+SUM([6]FLOREANA!M12:M13)</f>
        <v>428.5</v>
      </c>
      <c r="L110" s="305">
        <f>+SUM([6]FLOREANA!N12:N13)</f>
        <v>563.75</v>
      </c>
      <c r="M110" s="305">
        <f>+SUM([6]FLOREANA!O12:O13)</f>
        <v>920.5</v>
      </c>
      <c r="N110" s="306">
        <f>+SUM([6]FLOREANA!P12:P13)</f>
        <v>977</v>
      </c>
      <c r="O110" s="307">
        <f>SUM(C110:N110)</f>
        <v>4851.75</v>
      </c>
      <c r="P110" s="421" t="s">
        <v>73</v>
      </c>
    </row>
    <row r="111" spans="1:16" x14ac:dyDescent="0.25">
      <c r="A111" s="371">
        <v>23</v>
      </c>
      <c r="B111" s="311" t="s">
        <v>105</v>
      </c>
      <c r="C111" s="172">
        <f>C92/C110</f>
        <v>11.149265905383361</v>
      </c>
      <c r="D111" s="172">
        <f>D92/D110</f>
        <v>10.957317073170731</v>
      </c>
      <c r="E111" s="172">
        <v>0</v>
      </c>
      <c r="F111" s="172">
        <v>0</v>
      </c>
      <c r="G111" s="172">
        <v>0</v>
      </c>
      <c r="H111" s="172">
        <v>0</v>
      </c>
      <c r="I111" s="172">
        <v>0</v>
      </c>
      <c r="J111" s="172">
        <v>0</v>
      </c>
      <c r="K111" s="172">
        <f>K92/K110</f>
        <v>9.1073512252042015</v>
      </c>
      <c r="L111" s="172">
        <f>L92/L110</f>
        <v>8.8341463414634145</v>
      </c>
      <c r="M111" s="172">
        <f>M92/M110</f>
        <v>9.2148288973384034</v>
      </c>
      <c r="N111" s="172">
        <f>N92/N110</f>
        <v>9.7052200614124864</v>
      </c>
      <c r="O111" s="377" t="s">
        <v>73</v>
      </c>
      <c r="P111" s="436">
        <f>AVERAGE(C111:N111)</f>
        <v>4.9140107919977174</v>
      </c>
    </row>
    <row r="112" spans="1:16" ht="15.75" thickBot="1" x14ac:dyDescent="0.3">
      <c r="A112" s="371">
        <v>24</v>
      </c>
      <c r="B112" s="334" t="s">
        <v>33</v>
      </c>
      <c r="C112" s="391">
        <f>+[6]COMERCIAL!D16</f>
        <v>69</v>
      </c>
      <c r="D112" s="391">
        <f>+[6]COMERCIAL!E16</f>
        <v>69</v>
      </c>
      <c r="E112" s="391">
        <f>+[6]COMERCIAL!F16</f>
        <v>69</v>
      </c>
      <c r="F112" s="391">
        <f>+[6]COMERCIAL!G16</f>
        <v>66</v>
      </c>
      <c r="G112" s="391">
        <f>+[6]COMERCIAL!H16</f>
        <v>68</v>
      </c>
      <c r="H112" s="391">
        <f>+[6]COMERCIAL!I16</f>
        <v>68</v>
      </c>
      <c r="I112" s="391">
        <f>+[6]COMERCIAL!J16</f>
        <v>68</v>
      </c>
      <c r="J112" s="391">
        <f>+[6]COMERCIAL!K16</f>
        <v>68</v>
      </c>
      <c r="K112" s="391">
        <f>+[6]COMERCIAL!L16</f>
        <v>68</v>
      </c>
      <c r="L112" s="391">
        <f>+[6]COMERCIAL!M16</f>
        <v>76</v>
      </c>
      <c r="M112" s="391">
        <f>+[6]COMERCIAL!N16</f>
        <v>76</v>
      </c>
      <c r="N112" s="392">
        <f>+[6]COMERCIAL!O16</f>
        <v>76</v>
      </c>
      <c r="O112" s="393" t="s">
        <v>73</v>
      </c>
      <c r="P112" s="393" t="s">
        <v>73</v>
      </c>
    </row>
    <row r="113" spans="1:17" x14ac:dyDescent="0.25">
      <c r="A113" s="371"/>
      <c r="B113" s="339"/>
      <c r="C113" s="340"/>
      <c r="D113" s="340"/>
      <c r="E113" s="340"/>
      <c r="F113" s="340"/>
      <c r="G113" s="340"/>
      <c r="H113" s="340"/>
      <c r="I113" s="341"/>
      <c r="J113" s="341"/>
      <c r="K113" s="342"/>
      <c r="L113" s="342"/>
      <c r="M113" s="342"/>
      <c r="N113" s="342"/>
      <c r="O113" s="342"/>
    </row>
    <row r="114" spans="1:17" x14ac:dyDescent="0.25">
      <c r="A114" s="371"/>
      <c r="B114" s="339"/>
      <c r="C114" s="340">
        <f>+C108+C110</f>
        <v>2452</v>
      </c>
      <c r="D114" s="340">
        <f t="shared" ref="D114:N114" si="53">+D108+D110</f>
        <v>2107</v>
      </c>
      <c r="E114" s="340">
        <f t="shared" si="53"/>
        <v>2278</v>
      </c>
      <c r="F114" s="340">
        <f t="shared" si="53"/>
        <v>2341.5</v>
      </c>
      <c r="G114" s="340">
        <f t="shared" si="53"/>
        <v>2479</v>
      </c>
      <c r="H114" s="340">
        <f t="shared" si="53"/>
        <v>2063</v>
      </c>
      <c r="I114" s="340">
        <f t="shared" si="53"/>
        <v>1893</v>
      </c>
      <c r="J114" s="340">
        <f t="shared" si="53"/>
        <v>1884</v>
      </c>
      <c r="K114" s="340">
        <f t="shared" si="53"/>
        <v>1714</v>
      </c>
      <c r="L114" s="340">
        <f t="shared" si="53"/>
        <v>1720</v>
      </c>
      <c r="M114" s="340">
        <f t="shared" si="53"/>
        <v>1764</v>
      </c>
      <c r="N114" s="340">
        <f t="shared" si="53"/>
        <v>1954</v>
      </c>
      <c r="O114" s="342"/>
    </row>
    <row r="115" spans="1:17" x14ac:dyDescent="0.25">
      <c r="A115" s="371"/>
      <c r="B115" s="339"/>
      <c r="C115" s="340"/>
      <c r="D115" s="340"/>
      <c r="E115" s="340"/>
      <c r="F115" s="340"/>
      <c r="G115" s="340"/>
      <c r="H115" s="340"/>
      <c r="I115" s="341"/>
      <c r="J115" s="341"/>
      <c r="K115" s="342"/>
      <c r="L115" s="342"/>
      <c r="M115" s="342"/>
      <c r="N115" s="342"/>
      <c r="O115" s="342"/>
    </row>
    <row r="116" spans="1:17" x14ac:dyDescent="0.25">
      <c r="A116" s="371"/>
      <c r="B116" s="339"/>
      <c r="C116" s="340"/>
      <c r="D116" s="340"/>
      <c r="E116" s="340"/>
      <c r="F116" s="340"/>
      <c r="G116" s="340"/>
      <c r="H116" s="340"/>
      <c r="I116" s="341"/>
      <c r="J116" s="341"/>
      <c r="K116" s="342"/>
      <c r="L116" s="342"/>
      <c r="M116" s="342"/>
      <c r="N116" s="342"/>
      <c r="O116" s="342"/>
    </row>
    <row r="117" spans="1:17" x14ac:dyDescent="0.25">
      <c r="A117" s="371"/>
      <c r="B117" s="339"/>
      <c r="C117" s="178"/>
      <c r="D117" s="340"/>
      <c r="E117" s="340"/>
      <c r="F117" s="340"/>
      <c r="G117" s="340"/>
      <c r="H117" s="340"/>
      <c r="I117" s="341"/>
      <c r="J117" s="341"/>
      <c r="K117" s="342"/>
      <c r="L117" s="342"/>
      <c r="M117" s="342"/>
      <c r="N117" s="342"/>
      <c r="O117" s="342"/>
    </row>
    <row r="118" spans="1:17" x14ac:dyDescent="0.25">
      <c r="A118" s="371"/>
      <c r="B118" s="743" t="s">
        <v>0</v>
      </c>
      <c r="C118" s="743"/>
      <c r="D118" s="743"/>
      <c r="E118" s="743"/>
      <c r="F118" s="743"/>
      <c r="G118" s="743"/>
      <c r="H118" s="743"/>
      <c r="I118" s="743"/>
      <c r="J118" s="743"/>
      <c r="K118" s="743"/>
      <c r="L118" s="743"/>
      <c r="M118" s="743"/>
      <c r="N118" s="743"/>
      <c r="O118" s="743"/>
    </row>
    <row r="119" spans="1:17" x14ac:dyDescent="0.25">
      <c r="A119" s="371"/>
      <c r="B119" s="743" t="s">
        <v>163</v>
      </c>
      <c r="C119" s="743"/>
      <c r="D119" s="743"/>
      <c r="E119" s="743"/>
      <c r="F119" s="743"/>
      <c r="G119" s="743"/>
      <c r="H119" s="743"/>
      <c r="I119" s="743"/>
      <c r="J119" s="743"/>
      <c r="K119" s="743"/>
      <c r="L119" s="743"/>
      <c r="M119" s="743"/>
      <c r="N119" s="743"/>
      <c r="O119" s="743"/>
    </row>
    <row r="120" spans="1:17" ht="15.75" thickBot="1" x14ac:dyDescent="0.3">
      <c r="A120" s="371"/>
      <c r="C120" s="368"/>
      <c r="D120" s="368"/>
      <c r="E120" s="368"/>
      <c r="F120" s="368"/>
      <c r="G120" s="368"/>
      <c r="H120" s="368"/>
      <c r="I120" s="369"/>
      <c r="J120" s="369"/>
      <c r="K120" s="370"/>
      <c r="M120" s="370"/>
      <c r="N120" s="370"/>
      <c r="O120" s="370"/>
    </row>
    <row r="121" spans="1:17" ht="15.75" thickBot="1" x14ac:dyDescent="0.3">
      <c r="A121" s="371"/>
      <c r="B121" s="747" t="s">
        <v>52</v>
      </c>
      <c r="C121" s="748"/>
      <c r="D121" s="748"/>
      <c r="E121" s="748"/>
      <c r="F121" s="748"/>
      <c r="G121" s="748"/>
      <c r="H121" s="748"/>
      <c r="I121" s="748"/>
      <c r="J121" s="748"/>
      <c r="K121" s="748"/>
      <c r="L121" s="748"/>
      <c r="M121" s="748"/>
      <c r="N121" s="748"/>
      <c r="O121" s="748"/>
      <c r="P121" s="749"/>
    </row>
    <row r="122" spans="1:17" ht="15.75" thickBot="1" x14ac:dyDescent="0.3">
      <c r="A122" s="371"/>
      <c r="B122" s="346" t="s">
        <v>57</v>
      </c>
      <c r="C122" s="347" t="s">
        <v>58</v>
      </c>
      <c r="D122" s="347" t="s">
        <v>59</v>
      </c>
      <c r="E122" s="347" t="s">
        <v>60</v>
      </c>
      <c r="F122" s="347" t="s">
        <v>61</v>
      </c>
      <c r="G122" s="347" t="s">
        <v>62</v>
      </c>
      <c r="H122" s="347" t="s">
        <v>63</v>
      </c>
      <c r="I122" s="348" t="s">
        <v>64</v>
      </c>
      <c r="J122" s="348" t="s">
        <v>65</v>
      </c>
      <c r="K122" s="347" t="s">
        <v>66</v>
      </c>
      <c r="L122" s="347" t="s">
        <v>67</v>
      </c>
      <c r="M122" s="347" t="s">
        <v>68</v>
      </c>
      <c r="N122" s="349" t="s">
        <v>69</v>
      </c>
      <c r="O122" s="350" t="s">
        <v>70</v>
      </c>
      <c r="P122" s="350" t="s">
        <v>71</v>
      </c>
      <c r="Q122" s="210"/>
    </row>
    <row r="123" spans="1:17" x14ac:dyDescent="0.25">
      <c r="A123" s="371">
        <v>1</v>
      </c>
      <c r="B123" s="311" t="s">
        <v>100</v>
      </c>
      <c r="C123" s="320">
        <f t="shared" ref="C123:N123" si="54">C124+C126+C128+C130</f>
        <v>4084904.234375</v>
      </c>
      <c r="D123" s="320">
        <f t="shared" si="54"/>
        <v>4122985.703125</v>
      </c>
      <c r="E123" s="320">
        <f t="shared" si="54"/>
        <v>4654035</v>
      </c>
      <c r="F123" s="320">
        <f t="shared" si="54"/>
        <v>4318200.5</v>
      </c>
      <c r="G123" s="320">
        <f t="shared" si="54"/>
        <v>4325487</v>
      </c>
      <c r="H123" s="320">
        <f t="shared" si="54"/>
        <v>3893196.3</v>
      </c>
      <c r="I123" s="320">
        <f t="shared" si="54"/>
        <v>3801470.73</v>
      </c>
      <c r="J123" s="320">
        <f t="shared" si="54"/>
        <v>3570028.8020000001</v>
      </c>
      <c r="K123" s="320">
        <f t="shared" si="54"/>
        <v>3313019.9</v>
      </c>
      <c r="L123" s="320">
        <f t="shared" si="54"/>
        <v>3545704.75</v>
      </c>
      <c r="M123" s="320">
        <f t="shared" si="54"/>
        <v>3692393.9849999999</v>
      </c>
      <c r="N123" s="320">
        <f t="shared" si="54"/>
        <v>4134463.91</v>
      </c>
      <c r="O123" s="352">
        <f>SUM(C123:N123)</f>
        <v>47455890.814500004</v>
      </c>
      <c r="P123" s="448" t="s">
        <v>73</v>
      </c>
      <c r="Q123" s="210"/>
    </row>
    <row r="124" spans="1:17" x14ac:dyDescent="0.25">
      <c r="A124" s="371">
        <v>2</v>
      </c>
      <c r="B124" s="375" t="s">
        <v>99</v>
      </c>
      <c r="C124" s="305">
        <f t="shared" ref="C124:N124" si="55">C7+C35+C67+C90</f>
        <v>3796283.5</v>
      </c>
      <c r="D124" s="305">
        <f t="shared" si="55"/>
        <v>3913384.25</v>
      </c>
      <c r="E124" s="305">
        <f t="shared" si="55"/>
        <v>4588018</v>
      </c>
      <c r="F124" s="305">
        <f t="shared" si="55"/>
        <v>4160208.5</v>
      </c>
      <c r="G124" s="305">
        <f t="shared" si="55"/>
        <v>3887669</v>
      </c>
      <c r="H124" s="305">
        <f t="shared" si="55"/>
        <v>3337095</v>
      </c>
      <c r="I124" s="305">
        <f t="shared" si="55"/>
        <v>3169507</v>
      </c>
      <c r="J124" s="305">
        <f t="shared" si="55"/>
        <v>3081318</v>
      </c>
      <c r="K124" s="305">
        <f t="shared" si="55"/>
        <v>2639751.5</v>
      </c>
      <c r="L124" s="305">
        <f t="shared" si="55"/>
        <v>2931617.75</v>
      </c>
      <c r="M124" s="305">
        <f t="shared" si="55"/>
        <v>3172185.75</v>
      </c>
      <c r="N124" s="306">
        <f t="shared" si="55"/>
        <v>3599199</v>
      </c>
      <c r="O124" s="307">
        <f>SUM(C124:N124)</f>
        <v>42276237.25</v>
      </c>
      <c r="P124" s="449" t="s">
        <v>73</v>
      </c>
      <c r="Q124" s="210"/>
    </row>
    <row r="125" spans="1:17" x14ac:dyDescent="0.25">
      <c r="A125" s="371">
        <v>3</v>
      </c>
      <c r="B125" s="309" t="s">
        <v>75</v>
      </c>
      <c r="C125" s="112">
        <f t="shared" ref="C125:N125" si="56">C124/C123</f>
        <v>0.92934455306290442</v>
      </c>
      <c r="D125" s="112">
        <f t="shared" si="56"/>
        <v>0.94916270193075536</v>
      </c>
      <c r="E125" s="112">
        <f t="shared" si="56"/>
        <v>0.98581510452757659</v>
      </c>
      <c r="F125" s="112">
        <f t="shared" si="56"/>
        <v>0.96341253723628628</v>
      </c>
      <c r="G125" s="112">
        <f t="shared" si="56"/>
        <v>0.89878180191039758</v>
      </c>
      <c r="H125" s="112">
        <f t="shared" si="56"/>
        <v>0.85716073448441332</v>
      </c>
      <c r="I125" s="112">
        <f t="shared" si="56"/>
        <v>0.8337580965670095</v>
      </c>
      <c r="J125" s="112">
        <f t="shared" si="56"/>
        <v>0.86310732234815168</v>
      </c>
      <c r="K125" s="112">
        <f t="shared" si="56"/>
        <v>0.79678105766886587</v>
      </c>
      <c r="L125" s="112">
        <f t="shared" si="56"/>
        <v>0.82680819659335703</v>
      </c>
      <c r="M125" s="112">
        <f t="shared" si="56"/>
        <v>0.8591135623356293</v>
      </c>
      <c r="N125" s="113">
        <f t="shared" si="56"/>
        <v>0.87053583689402669</v>
      </c>
      <c r="O125" s="377" t="s">
        <v>73</v>
      </c>
      <c r="P125" s="100">
        <f>AVERAGE(C125:N125)</f>
        <v>0.88614845879661441</v>
      </c>
      <c r="Q125" s="210"/>
    </row>
    <row r="126" spans="1:17" x14ac:dyDescent="0.25">
      <c r="A126" s="371">
        <v>4</v>
      </c>
      <c r="B126" s="375" t="s">
        <v>107</v>
      </c>
      <c r="C126" s="305">
        <f t="shared" ref="C126:N126" si="57">C92</f>
        <v>20503.5</v>
      </c>
      <c r="D126" s="305">
        <f t="shared" si="57"/>
        <v>1347.75</v>
      </c>
      <c r="E126" s="305">
        <f t="shared" si="57"/>
        <v>0</v>
      </c>
      <c r="F126" s="305">
        <f t="shared" si="57"/>
        <v>0</v>
      </c>
      <c r="G126" s="305">
        <f t="shared" si="57"/>
        <v>0</v>
      </c>
      <c r="H126" s="305">
        <f t="shared" si="57"/>
        <v>0</v>
      </c>
      <c r="I126" s="305">
        <f t="shared" si="57"/>
        <v>0</v>
      </c>
      <c r="J126" s="305">
        <f t="shared" si="57"/>
        <v>0</v>
      </c>
      <c r="K126" s="305">
        <f t="shared" si="57"/>
        <v>3902.5</v>
      </c>
      <c r="L126" s="305">
        <f t="shared" si="57"/>
        <v>4980.25</v>
      </c>
      <c r="M126" s="305">
        <f t="shared" si="57"/>
        <v>8482.25</v>
      </c>
      <c r="N126" s="306">
        <f t="shared" si="57"/>
        <v>9482</v>
      </c>
      <c r="O126" s="307">
        <f>SUM(C126:N126)</f>
        <v>48698.25</v>
      </c>
      <c r="P126" s="449" t="s">
        <v>73</v>
      </c>
      <c r="Q126" s="210"/>
    </row>
    <row r="127" spans="1:17" x14ac:dyDescent="0.25">
      <c r="A127" s="371">
        <v>5</v>
      </c>
      <c r="B127" s="375" t="s">
        <v>101</v>
      </c>
      <c r="C127" s="112">
        <f t="shared" ref="C127:N127" si="58">C126/C123</f>
        <v>5.019334315713055E-3</v>
      </c>
      <c r="D127" s="112">
        <f t="shared" si="58"/>
        <v>3.2688689630392813E-4</v>
      </c>
      <c r="E127" s="112">
        <f t="shared" si="58"/>
        <v>0</v>
      </c>
      <c r="F127" s="112">
        <f t="shared" si="58"/>
        <v>0</v>
      </c>
      <c r="G127" s="112">
        <f t="shared" si="58"/>
        <v>0</v>
      </c>
      <c r="H127" s="112">
        <f t="shared" si="58"/>
        <v>0</v>
      </c>
      <c r="I127" s="112">
        <f t="shared" si="58"/>
        <v>0</v>
      </c>
      <c r="J127" s="112">
        <f t="shared" si="58"/>
        <v>0</v>
      </c>
      <c r="K127" s="112">
        <f t="shared" si="58"/>
        <v>1.1779283305844315E-3</v>
      </c>
      <c r="L127" s="112">
        <f t="shared" si="58"/>
        <v>1.4045867750268829E-3</v>
      </c>
      <c r="M127" s="112">
        <f t="shared" si="58"/>
        <v>2.2972223534266211E-3</v>
      </c>
      <c r="N127" s="113">
        <f t="shared" si="58"/>
        <v>2.2934049507763146E-3</v>
      </c>
      <c r="O127" s="377" t="s">
        <v>73</v>
      </c>
      <c r="P127" s="100">
        <f>AVERAGE(C127:N127)</f>
        <v>1.0432803018192694E-3</v>
      </c>
    </row>
    <row r="128" spans="1:17" x14ac:dyDescent="0.25">
      <c r="A128" s="371">
        <v>6</v>
      </c>
      <c r="B128" s="311" t="s">
        <v>76</v>
      </c>
      <c r="C128" s="305">
        <f t="shared" ref="C128:N128" si="59">C9+C37</f>
        <v>266583.234375</v>
      </c>
      <c r="D128" s="305">
        <f t="shared" si="59"/>
        <v>206789.703125</v>
      </c>
      <c r="E128" s="305">
        <f t="shared" si="59"/>
        <v>64602</v>
      </c>
      <c r="F128" s="305">
        <f t="shared" si="59"/>
        <v>156558</v>
      </c>
      <c r="G128" s="305">
        <f t="shared" si="59"/>
        <v>382341</v>
      </c>
      <c r="H128" s="305">
        <f t="shared" si="59"/>
        <v>409877</v>
      </c>
      <c r="I128" s="305">
        <f t="shared" si="59"/>
        <v>486786</v>
      </c>
      <c r="J128" s="305">
        <f t="shared" si="59"/>
        <v>312229</v>
      </c>
      <c r="K128" s="305">
        <f t="shared" si="59"/>
        <v>494311</v>
      </c>
      <c r="L128" s="305">
        <f t="shared" si="59"/>
        <v>425371</v>
      </c>
      <c r="M128" s="305">
        <f t="shared" si="59"/>
        <v>331738</v>
      </c>
      <c r="N128" s="305">
        <f t="shared" si="59"/>
        <v>365474</v>
      </c>
      <c r="O128" s="307">
        <f>SUM(C128:N128)</f>
        <v>3902659.9375</v>
      </c>
      <c r="P128" s="449" t="s">
        <v>73</v>
      </c>
    </row>
    <row r="129" spans="1:16" x14ac:dyDescent="0.25">
      <c r="A129" s="371">
        <v>7</v>
      </c>
      <c r="B129" s="311" t="s">
        <v>77</v>
      </c>
      <c r="C129" s="112">
        <f t="shared" ref="C129:N129" si="60">C128/C123</f>
        <v>6.5260583621928617E-2</v>
      </c>
      <c r="D129" s="112">
        <f t="shared" si="60"/>
        <v>5.0155328690144281E-2</v>
      </c>
      <c r="E129" s="112">
        <f t="shared" si="60"/>
        <v>1.3880858223025826E-2</v>
      </c>
      <c r="F129" s="112">
        <f t="shared" si="60"/>
        <v>3.6255379989882361E-2</v>
      </c>
      <c r="G129" s="112">
        <f t="shared" si="60"/>
        <v>8.8392590244751629E-2</v>
      </c>
      <c r="H129" s="112">
        <f t="shared" si="60"/>
        <v>0.10528033225552999</v>
      </c>
      <c r="I129" s="112">
        <f t="shared" si="60"/>
        <v>0.12805201843550693</v>
      </c>
      <c r="J129" s="112">
        <f t="shared" si="60"/>
        <v>8.745839804571974E-2</v>
      </c>
      <c r="K129" s="112">
        <f t="shared" si="60"/>
        <v>0.14920254478398998</v>
      </c>
      <c r="L129" s="112">
        <f t="shared" si="60"/>
        <v>0.11996796969629239</v>
      </c>
      <c r="M129" s="112">
        <f t="shared" si="60"/>
        <v>8.9843608603971878E-2</v>
      </c>
      <c r="N129" s="113">
        <f t="shared" si="60"/>
        <v>8.8396950113902431E-2</v>
      </c>
      <c r="O129" s="377" t="s">
        <v>73</v>
      </c>
      <c r="P129" s="100">
        <f>AVERAGE(C129:N129)</f>
        <v>8.517888022538718E-2</v>
      </c>
    </row>
    <row r="130" spans="1:16" x14ac:dyDescent="0.25">
      <c r="A130" s="371">
        <v>8</v>
      </c>
      <c r="B130" s="311" t="s">
        <v>108</v>
      </c>
      <c r="C130" s="305">
        <f t="shared" ref="C130:N130" si="61">C11+C39+C94</f>
        <v>1534</v>
      </c>
      <c r="D130" s="305">
        <f t="shared" si="61"/>
        <v>1464</v>
      </c>
      <c r="E130" s="305">
        <f t="shared" si="61"/>
        <v>1415</v>
      </c>
      <c r="F130" s="305">
        <f t="shared" si="61"/>
        <v>1434</v>
      </c>
      <c r="G130" s="305">
        <f t="shared" si="61"/>
        <v>55477</v>
      </c>
      <c r="H130" s="305">
        <f t="shared" si="61"/>
        <v>146224.29999999999</v>
      </c>
      <c r="I130" s="305">
        <f t="shared" si="61"/>
        <v>145177.73000000001</v>
      </c>
      <c r="J130" s="305">
        <f t="shared" si="61"/>
        <v>176481.80200000003</v>
      </c>
      <c r="K130" s="305">
        <f t="shared" si="61"/>
        <v>175054.9</v>
      </c>
      <c r="L130" s="305">
        <f t="shared" si="61"/>
        <v>183735.75</v>
      </c>
      <c r="M130" s="305">
        <f t="shared" si="61"/>
        <v>179987.98499999999</v>
      </c>
      <c r="N130" s="305">
        <f t="shared" si="61"/>
        <v>160308.91</v>
      </c>
      <c r="O130" s="307">
        <f>SUM(C130:N130)</f>
        <v>1228295.3770000001</v>
      </c>
      <c r="P130" s="449" t="s">
        <v>73</v>
      </c>
    </row>
    <row r="131" spans="1:16" x14ac:dyDescent="0.25">
      <c r="A131" s="371">
        <v>9</v>
      </c>
      <c r="B131" s="315" t="s">
        <v>109</v>
      </c>
      <c r="C131" s="112">
        <f t="shared" ref="C131:N131" si="62">C130/C123</f>
        <v>3.7552899945393837E-4</v>
      </c>
      <c r="D131" s="112">
        <f t="shared" si="62"/>
        <v>3.5508248279647619E-4</v>
      </c>
      <c r="E131" s="112">
        <f t="shared" si="62"/>
        <v>3.0403724939756575E-4</v>
      </c>
      <c r="F131" s="112">
        <f t="shared" si="62"/>
        <v>3.3208277383136794E-4</v>
      </c>
      <c r="G131" s="112">
        <f t="shared" si="62"/>
        <v>1.2825607844850765E-2</v>
      </c>
      <c r="H131" s="112">
        <f t="shared" si="62"/>
        <v>3.7558933260056777E-2</v>
      </c>
      <c r="I131" s="112">
        <f t="shared" si="62"/>
        <v>3.8189884997483596E-2</v>
      </c>
      <c r="J131" s="112">
        <f t="shared" si="62"/>
        <v>4.9434279606128513E-2</v>
      </c>
      <c r="K131" s="112">
        <f t="shared" si="62"/>
        <v>5.283846921655979E-2</v>
      </c>
      <c r="L131" s="112">
        <f t="shared" si="62"/>
        <v>5.1819246935323644E-2</v>
      </c>
      <c r="M131" s="112">
        <f t="shared" si="62"/>
        <v>4.8745606706972248E-2</v>
      </c>
      <c r="N131" s="113">
        <f t="shared" si="62"/>
        <v>3.8773808041294523E-2</v>
      </c>
      <c r="O131" s="377" t="s">
        <v>73</v>
      </c>
      <c r="P131" s="100">
        <f>AVERAGE(C131:N131)</f>
        <v>2.7629380676179104E-2</v>
      </c>
    </row>
    <row r="132" spans="1:16" x14ac:dyDescent="0.25">
      <c r="A132" s="371">
        <v>10</v>
      </c>
      <c r="B132" s="311" t="s">
        <v>151</v>
      </c>
      <c r="C132" s="317">
        <f t="shared" ref="C132:N132" si="63">C13+C41+C69+C96</f>
        <v>21535.302</v>
      </c>
      <c r="D132" s="317">
        <f t="shared" si="63"/>
        <v>19717</v>
      </c>
      <c r="E132" s="317">
        <f t="shared" si="63"/>
        <v>25274</v>
      </c>
      <c r="F132" s="317">
        <f t="shared" si="63"/>
        <v>19989</v>
      </c>
      <c r="G132" s="317">
        <f t="shared" si="63"/>
        <v>19410</v>
      </c>
      <c r="H132" s="317">
        <f t="shared" si="63"/>
        <v>21823.4</v>
      </c>
      <c r="I132" s="317">
        <f t="shared" si="63"/>
        <v>20273.599999999999</v>
      </c>
      <c r="J132" s="317">
        <f t="shared" si="63"/>
        <v>16900</v>
      </c>
      <c r="K132" s="317">
        <f t="shared" si="63"/>
        <v>16389</v>
      </c>
      <c r="L132" s="317">
        <f t="shared" si="63"/>
        <v>15050</v>
      </c>
      <c r="M132" s="317">
        <f t="shared" si="63"/>
        <v>117297.7591493197</v>
      </c>
      <c r="N132" s="359">
        <f t="shared" si="63"/>
        <v>51052</v>
      </c>
      <c r="O132" s="318">
        <f>SUM(C132:N132)</f>
        <v>364711.06114931969</v>
      </c>
      <c r="P132" s="450" t="s">
        <v>73</v>
      </c>
    </row>
    <row r="133" spans="1:16" x14ac:dyDescent="0.25">
      <c r="A133" s="371">
        <v>11</v>
      </c>
      <c r="B133" s="311" t="s">
        <v>160</v>
      </c>
      <c r="C133" s="317">
        <f t="shared" ref="C133:N133" si="64">C42</f>
        <v>112646</v>
      </c>
      <c r="D133" s="317">
        <f t="shared" si="64"/>
        <v>99567</v>
      </c>
      <c r="E133" s="317">
        <f t="shared" si="64"/>
        <v>125572</v>
      </c>
      <c r="F133" s="317">
        <f t="shared" si="64"/>
        <v>120746</v>
      </c>
      <c r="G133" s="317">
        <f t="shared" si="64"/>
        <v>116268</v>
      </c>
      <c r="H133" s="317">
        <f t="shared" si="64"/>
        <v>119166.5</v>
      </c>
      <c r="I133" s="317">
        <f t="shared" si="64"/>
        <v>80647.5</v>
      </c>
      <c r="J133" s="317">
        <f t="shared" si="64"/>
        <v>105840</v>
      </c>
      <c r="K133" s="317">
        <f t="shared" si="64"/>
        <v>95878</v>
      </c>
      <c r="L133" s="317">
        <f t="shared" si="64"/>
        <v>89969</v>
      </c>
      <c r="M133" s="317">
        <f t="shared" si="64"/>
        <v>53871</v>
      </c>
      <c r="N133" s="317">
        <f t="shared" si="64"/>
        <v>56339.1</v>
      </c>
      <c r="O133" s="318">
        <f>SUM(C133:N133)</f>
        <v>1176510.1000000001</v>
      </c>
      <c r="P133" s="450" t="s">
        <v>73</v>
      </c>
    </row>
    <row r="134" spans="1:16" x14ac:dyDescent="0.25">
      <c r="A134" s="371">
        <v>12</v>
      </c>
      <c r="B134" s="311" t="s">
        <v>81</v>
      </c>
      <c r="C134" s="320">
        <f>C123-C132-C133</f>
        <v>3950722.9323749999</v>
      </c>
      <c r="D134" s="320">
        <f t="shared" ref="D134:N134" si="65">D123-D132-D133</f>
        <v>4003701.703125</v>
      </c>
      <c r="E134" s="320">
        <f t="shared" si="65"/>
        <v>4503189</v>
      </c>
      <c r="F134" s="320">
        <f t="shared" si="65"/>
        <v>4177465.5</v>
      </c>
      <c r="G134" s="320">
        <f t="shared" si="65"/>
        <v>4189809</v>
      </c>
      <c r="H134" s="320">
        <f t="shared" si="65"/>
        <v>3752206.4</v>
      </c>
      <c r="I134" s="320">
        <f t="shared" si="65"/>
        <v>3700549.63</v>
      </c>
      <c r="J134" s="320">
        <f t="shared" si="65"/>
        <v>3447288.8020000001</v>
      </c>
      <c r="K134" s="320">
        <f t="shared" si="65"/>
        <v>3200752.9</v>
      </c>
      <c r="L134" s="320">
        <f t="shared" si="65"/>
        <v>3440685.75</v>
      </c>
      <c r="M134" s="320">
        <f t="shared" si="65"/>
        <v>3521225.2258506804</v>
      </c>
      <c r="N134" s="320">
        <f t="shared" si="65"/>
        <v>4027072.81</v>
      </c>
      <c r="O134" s="322">
        <f>SUM(C134:N134)</f>
        <v>45914669.653350681</v>
      </c>
      <c r="P134" s="451" t="s">
        <v>73</v>
      </c>
    </row>
    <row r="135" spans="1:16" x14ac:dyDescent="0.25">
      <c r="A135" s="371">
        <v>13</v>
      </c>
      <c r="B135" s="311" t="s">
        <v>82</v>
      </c>
      <c r="C135" s="400">
        <f t="shared" ref="C135:N135" si="66">+C15+C44+C71+C98</f>
        <v>3900366</v>
      </c>
      <c r="D135" s="400">
        <f t="shared" si="66"/>
        <v>3930397.0781874997</v>
      </c>
      <c r="E135" s="400">
        <f t="shared" si="66"/>
        <v>4448175.1229999997</v>
      </c>
      <c r="F135" s="400">
        <f t="shared" si="66"/>
        <v>4176812.7455000002</v>
      </c>
      <c r="G135" s="400">
        <f t="shared" si="66"/>
        <v>4137362.0619999999</v>
      </c>
      <c r="H135" s="400">
        <f t="shared" si="66"/>
        <v>3714415.1759999995</v>
      </c>
      <c r="I135" s="400">
        <f t="shared" si="66"/>
        <v>3645671</v>
      </c>
      <c r="J135" s="400">
        <f t="shared" si="66"/>
        <v>3398650</v>
      </c>
      <c r="K135" s="400">
        <f t="shared" si="66"/>
        <v>3148960</v>
      </c>
      <c r="L135" s="400">
        <f t="shared" si="66"/>
        <v>3379346</v>
      </c>
      <c r="M135" s="400">
        <f t="shared" si="66"/>
        <v>3478981.5609165002</v>
      </c>
      <c r="N135" s="401">
        <f t="shared" si="66"/>
        <v>3901336.5437279996</v>
      </c>
      <c r="O135" s="402">
        <f>SUM(C135:N135)</f>
        <v>45260473.289331995</v>
      </c>
      <c r="P135" s="452" t="s">
        <v>73</v>
      </c>
    </row>
    <row r="136" spans="1:16" x14ac:dyDescent="0.25">
      <c r="A136" s="371">
        <v>14</v>
      </c>
      <c r="B136" s="311" t="s">
        <v>86</v>
      </c>
      <c r="C136" s="320">
        <f t="shared" ref="C136:N136" si="67">+C19+C48+C74+C100</f>
        <v>50356.932375000091</v>
      </c>
      <c r="D136" s="320">
        <f t="shared" si="67"/>
        <v>73304.624937500281</v>
      </c>
      <c r="E136" s="320">
        <f t="shared" si="67"/>
        <v>55013.877000000168</v>
      </c>
      <c r="F136" s="320">
        <f t="shared" si="67"/>
        <v>652.7544999999518</v>
      </c>
      <c r="G136" s="320">
        <f t="shared" si="67"/>
        <v>52446.938000000097</v>
      </c>
      <c r="H136" s="320">
        <f t="shared" si="67"/>
        <v>37791.224000000082</v>
      </c>
      <c r="I136" s="320">
        <f t="shared" si="67"/>
        <v>54878.630000000092</v>
      </c>
      <c r="J136" s="320">
        <f t="shared" si="67"/>
        <v>48638.802000000185</v>
      </c>
      <c r="K136" s="320">
        <f t="shared" si="67"/>
        <v>51792.899999999907</v>
      </c>
      <c r="L136" s="320">
        <f t="shared" si="67"/>
        <v>61339.750000000095</v>
      </c>
      <c r="M136" s="320">
        <f t="shared" si="67"/>
        <v>42243.664934180306</v>
      </c>
      <c r="N136" s="321">
        <f t="shared" si="67"/>
        <v>125736.26627200069</v>
      </c>
      <c r="O136" s="402">
        <f>SUM(C136:N136)</f>
        <v>654196.36401868204</v>
      </c>
      <c r="P136" s="452" t="s">
        <v>73</v>
      </c>
    </row>
    <row r="137" spans="1:16" x14ac:dyDescent="0.25">
      <c r="A137" s="371">
        <v>15</v>
      </c>
      <c r="B137" s="311" t="s">
        <v>87</v>
      </c>
      <c r="C137" s="388">
        <f t="shared" ref="C137:N137" si="68">+C136/C134</f>
        <v>1.2746257643718825E-2</v>
      </c>
      <c r="D137" s="388">
        <f t="shared" si="68"/>
        <v>1.8309212417169839E-2</v>
      </c>
      <c r="E137" s="388">
        <f t="shared" si="68"/>
        <v>1.221664846845206E-2</v>
      </c>
      <c r="F137" s="388">
        <f t="shared" si="68"/>
        <v>1.562561079199701E-4</v>
      </c>
      <c r="G137" s="388">
        <f t="shared" si="68"/>
        <v>1.2517739591470661E-2</v>
      </c>
      <c r="H137" s="388">
        <f t="shared" si="68"/>
        <v>1.0071733793748681E-2</v>
      </c>
      <c r="I137" s="388">
        <f t="shared" si="68"/>
        <v>1.4829859206617394E-2</v>
      </c>
      <c r="J137" s="388">
        <f t="shared" si="68"/>
        <v>1.410929132824079E-2</v>
      </c>
      <c r="K137" s="388">
        <f t="shared" si="68"/>
        <v>1.6181474052558042E-2</v>
      </c>
      <c r="L137" s="388">
        <f t="shared" si="68"/>
        <v>1.7827768781266958E-2</v>
      </c>
      <c r="M137" s="388">
        <f t="shared" si="68"/>
        <v>1.1996865359265625E-2</v>
      </c>
      <c r="N137" s="433">
        <f t="shared" si="68"/>
        <v>3.1222744709202485E-2</v>
      </c>
      <c r="O137" s="404" t="s">
        <v>73</v>
      </c>
      <c r="P137" s="453">
        <f>+AVERAGE(C137:N137)</f>
        <v>1.4348820954969277E-2</v>
      </c>
    </row>
    <row r="138" spans="1:16" x14ac:dyDescent="0.25">
      <c r="A138" s="371">
        <v>16</v>
      </c>
      <c r="B138" s="311" t="s">
        <v>88</v>
      </c>
      <c r="C138" s="317">
        <f t="shared" ref="C138:N138" si="69">C21+C50+C76+C102</f>
        <v>3469229</v>
      </c>
      <c r="D138" s="317">
        <f t="shared" si="69"/>
        <v>3663244</v>
      </c>
      <c r="E138" s="317">
        <f t="shared" si="69"/>
        <v>4101539</v>
      </c>
      <c r="F138" s="317">
        <f t="shared" si="69"/>
        <v>3829463</v>
      </c>
      <c r="G138" s="317">
        <f t="shared" si="69"/>
        <v>3960912</v>
      </c>
      <c r="H138" s="317">
        <f t="shared" si="69"/>
        <v>3533562</v>
      </c>
      <c r="I138" s="317">
        <f t="shared" si="69"/>
        <v>3451319</v>
      </c>
      <c r="J138" s="317">
        <f t="shared" si="69"/>
        <v>3260920</v>
      </c>
      <c r="K138" s="317">
        <f t="shared" si="69"/>
        <v>2974210</v>
      </c>
      <c r="L138" s="317">
        <f t="shared" si="69"/>
        <v>3052450</v>
      </c>
      <c r="M138" s="317">
        <f t="shared" si="69"/>
        <v>3172484</v>
      </c>
      <c r="N138" s="359">
        <f t="shared" si="69"/>
        <v>3619770</v>
      </c>
      <c r="O138" s="318">
        <f>SUM(C138:N138)</f>
        <v>42089102</v>
      </c>
      <c r="P138" s="450" t="s">
        <v>73</v>
      </c>
    </row>
    <row r="139" spans="1:16" x14ac:dyDescent="0.25">
      <c r="A139" s="371">
        <v>17</v>
      </c>
      <c r="B139" s="311" t="s">
        <v>89</v>
      </c>
      <c r="C139" s="320">
        <f t="shared" ref="C139:N139" si="70">+C22+C51+C77+C103</f>
        <v>431137</v>
      </c>
      <c r="D139" s="320">
        <f t="shared" si="70"/>
        <v>267153.07818749972</v>
      </c>
      <c r="E139" s="320">
        <f t="shared" si="70"/>
        <v>346636.12299999985</v>
      </c>
      <c r="F139" s="320">
        <f t="shared" si="70"/>
        <v>347349.74550000008</v>
      </c>
      <c r="G139" s="320">
        <f t="shared" si="70"/>
        <v>176450.06199999992</v>
      </c>
      <c r="H139" s="320">
        <f t="shared" si="70"/>
        <v>180853.17600000001</v>
      </c>
      <c r="I139" s="320">
        <f t="shared" si="70"/>
        <v>194352</v>
      </c>
      <c r="J139" s="320">
        <f t="shared" si="70"/>
        <v>137730</v>
      </c>
      <c r="K139" s="320">
        <f t="shared" si="70"/>
        <v>174750</v>
      </c>
      <c r="L139" s="320">
        <f t="shared" si="70"/>
        <v>326896</v>
      </c>
      <c r="M139" s="320">
        <f t="shared" si="70"/>
        <v>306497.56091650017</v>
      </c>
      <c r="N139" s="321">
        <f t="shared" si="70"/>
        <v>281566.54372799938</v>
      </c>
      <c r="O139" s="402">
        <f>SUM(C139:N139)</f>
        <v>3171371.2893319991</v>
      </c>
      <c r="P139" s="452" t="s">
        <v>73</v>
      </c>
    </row>
    <row r="140" spans="1:16" x14ac:dyDescent="0.25">
      <c r="A140" s="371">
        <v>18</v>
      </c>
      <c r="B140" s="311" t="s">
        <v>90</v>
      </c>
      <c r="C140" s="388">
        <f t="shared" ref="C140:N140" si="71">+C139/C135</f>
        <v>0.11053757519166151</v>
      </c>
      <c r="D140" s="388">
        <f t="shared" si="71"/>
        <v>6.7971014854992004E-2</v>
      </c>
      <c r="E140" s="388">
        <f t="shared" si="71"/>
        <v>7.7927714942620505E-2</v>
      </c>
      <c r="F140" s="388">
        <f t="shared" si="71"/>
        <v>8.3161435923654117E-2</v>
      </c>
      <c r="G140" s="388">
        <f t="shared" si="71"/>
        <v>4.2647962483298836E-2</v>
      </c>
      <c r="H140" s="388">
        <f t="shared" si="71"/>
        <v>4.8689542614554521E-2</v>
      </c>
      <c r="I140" s="388">
        <f t="shared" si="71"/>
        <v>5.3310350824306414E-2</v>
      </c>
      <c r="J140" s="388">
        <f t="shared" si="71"/>
        <v>4.0524914304209021E-2</v>
      </c>
      <c r="K140" s="388">
        <f t="shared" si="71"/>
        <v>5.5494512473959659E-2</v>
      </c>
      <c r="L140" s="388">
        <f t="shared" si="71"/>
        <v>9.6733509975007001E-2</v>
      </c>
      <c r="M140" s="388">
        <f t="shared" si="71"/>
        <v>8.8099794594989664E-2</v>
      </c>
      <c r="N140" s="433">
        <f t="shared" si="71"/>
        <v>7.2171816138410574E-2</v>
      </c>
      <c r="O140" s="404" t="s">
        <v>73</v>
      </c>
      <c r="P140" s="454">
        <f>+AVERAGE(C140:N140)</f>
        <v>6.9772512026805317E-2</v>
      </c>
    </row>
    <row r="141" spans="1:16" x14ac:dyDescent="0.25">
      <c r="A141" s="371">
        <v>19</v>
      </c>
      <c r="B141" s="311" t="s">
        <v>91</v>
      </c>
      <c r="C141" s="320">
        <f t="shared" ref="C141:N141" si="72">C134-C138</f>
        <v>481493.93237499986</v>
      </c>
      <c r="D141" s="320">
        <f t="shared" si="72"/>
        <v>340457.703125</v>
      </c>
      <c r="E141" s="320">
        <f t="shared" si="72"/>
        <v>401650</v>
      </c>
      <c r="F141" s="320">
        <f t="shared" si="72"/>
        <v>348002.5</v>
      </c>
      <c r="G141" s="320">
        <f t="shared" si="72"/>
        <v>228897</v>
      </c>
      <c r="H141" s="320">
        <f>H134-H138</f>
        <v>218644.39999999991</v>
      </c>
      <c r="I141" s="320">
        <f t="shared" si="72"/>
        <v>249230.62999999989</v>
      </c>
      <c r="J141" s="320">
        <f t="shared" si="72"/>
        <v>186368.80200000014</v>
      </c>
      <c r="K141" s="320">
        <f t="shared" si="72"/>
        <v>226542.89999999991</v>
      </c>
      <c r="L141" s="320">
        <f t="shared" si="72"/>
        <v>388235.75</v>
      </c>
      <c r="M141" s="320">
        <f t="shared" si="72"/>
        <v>348741.22585068038</v>
      </c>
      <c r="N141" s="321">
        <f t="shared" si="72"/>
        <v>407302.81000000006</v>
      </c>
      <c r="O141" s="322">
        <f>SUM(C141:N141)</f>
        <v>3825567.6533506801</v>
      </c>
      <c r="P141" s="451" t="s">
        <v>73</v>
      </c>
    </row>
    <row r="142" spans="1:16" x14ac:dyDescent="0.25">
      <c r="A142" s="371">
        <v>20</v>
      </c>
      <c r="B142" s="311" t="s">
        <v>92</v>
      </c>
      <c r="C142" s="455">
        <f t="shared" ref="C142:M142" si="73">(C141/C134)</f>
        <v>0.12187489242267541</v>
      </c>
      <c r="D142" s="455">
        <f t="shared" si="73"/>
        <v>8.5035731522971184E-2</v>
      </c>
      <c r="E142" s="455">
        <f t="shared" si="73"/>
        <v>8.9192347911668815E-2</v>
      </c>
      <c r="F142" s="455">
        <f t="shared" si="73"/>
        <v>8.3304697549267614E-2</v>
      </c>
      <c r="G142" s="455">
        <f t="shared" si="73"/>
        <v>5.4631845986296751E-2</v>
      </c>
      <c r="H142" s="455">
        <f t="shared" si="73"/>
        <v>5.8270888296549972E-2</v>
      </c>
      <c r="I142" s="455">
        <f t="shared" si="73"/>
        <v>6.7349625033943913E-2</v>
      </c>
      <c r="J142" s="455">
        <f t="shared" si="73"/>
        <v>5.4062427810479728E-2</v>
      </c>
      <c r="K142" s="455">
        <f t="shared" si="73"/>
        <v>7.0778003512860968E-2</v>
      </c>
      <c r="L142" s="455">
        <f t="shared" si="73"/>
        <v>0.11283673610703912</v>
      </c>
      <c r="M142" s="455">
        <f t="shared" si="73"/>
        <v>9.9039738580320211E-2</v>
      </c>
      <c r="N142" s="455">
        <f>(N141/N134)</f>
        <v>0.10114115865712398</v>
      </c>
      <c r="O142" s="456" t="s">
        <v>73</v>
      </c>
      <c r="P142" s="457">
        <f>AVERAGE(C142:N142)</f>
        <v>8.3126507782599821E-2</v>
      </c>
    </row>
    <row r="143" spans="1:16" x14ac:dyDescent="0.25">
      <c r="A143" s="371">
        <v>21</v>
      </c>
      <c r="B143" s="311" t="s">
        <v>30</v>
      </c>
      <c r="C143" s="305">
        <f t="shared" ref="C143:N144" si="74">C26+C55+C81+C107</f>
        <v>8009</v>
      </c>
      <c r="D143" s="305">
        <f t="shared" si="74"/>
        <v>8706</v>
      </c>
      <c r="E143" s="305">
        <f t="shared" si="74"/>
        <v>8803</v>
      </c>
      <c r="F143" s="305">
        <f t="shared" si="74"/>
        <v>8504</v>
      </c>
      <c r="G143" s="305">
        <f t="shared" si="74"/>
        <v>8171</v>
      </c>
      <c r="H143" s="305">
        <f t="shared" si="74"/>
        <v>7781</v>
      </c>
      <c r="I143" s="305">
        <f t="shared" si="74"/>
        <v>7498</v>
      </c>
      <c r="J143" s="305">
        <f t="shared" si="74"/>
        <v>7088</v>
      </c>
      <c r="K143" s="305">
        <f t="shared" si="74"/>
        <v>6502</v>
      </c>
      <c r="L143" s="305">
        <f t="shared" si="74"/>
        <v>7040</v>
      </c>
      <c r="M143" s="305">
        <f t="shared" si="74"/>
        <v>7808</v>
      </c>
      <c r="N143" s="306">
        <f t="shared" si="74"/>
        <v>8107</v>
      </c>
      <c r="O143" s="307">
        <f>+MAX(C143:N143)</f>
        <v>8803</v>
      </c>
      <c r="P143" s="449" t="s">
        <v>73</v>
      </c>
    </row>
    <row r="144" spans="1:16" s="464" customFormat="1" x14ac:dyDescent="0.25">
      <c r="A144" s="458">
        <v>22</v>
      </c>
      <c r="B144" s="459" t="s">
        <v>31</v>
      </c>
      <c r="C144" s="460">
        <f t="shared" si="74"/>
        <v>269825</v>
      </c>
      <c r="D144" s="460">
        <f t="shared" si="74"/>
        <v>292603</v>
      </c>
      <c r="E144" s="460">
        <f t="shared" si="74"/>
        <v>344746</v>
      </c>
      <c r="F144" s="460">
        <f t="shared" si="74"/>
        <v>307463</v>
      </c>
      <c r="G144" s="460">
        <f t="shared" si="74"/>
        <v>298087</v>
      </c>
      <c r="H144" s="460">
        <f t="shared" si="74"/>
        <v>255297</v>
      </c>
      <c r="I144" s="460">
        <f t="shared" si="74"/>
        <v>241437</v>
      </c>
      <c r="J144" s="460">
        <f t="shared" si="74"/>
        <v>223843</v>
      </c>
      <c r="K144" s="460">
        <f t="shared" si="74"/>
        <v>190447.5</v>
      </c>
      <c r="L144" s="460">
        <f t="shared" si="74"/>
        <v>213896.25</v>
      </c>
      <c r="M144" s="460">
        <f t="shared" si="74"/>
        <v>232951.5</v>
      </c>
      <c r="N144" s="461">
        <f t="shared" si="74"/>
        <v>267182</v>
      </c>
      <c r="O144" s="462">
        <f>SUM(C144:N144)</f>
        <v>3137778.25</v>
      </c>
      <c r="P144" s="463" t="s">
        <v>73</v>
      </c>
    </row>
    <row r="145" spans="1:16" x14ac:dyDescent="0.25">
      <c r="A145" s="371">
        <v>23</v>
      </c>
      <c r="B145" s="311" t="s">
        <v>110</v>
      </c>
      <c r="C145" s="331">
        <f t="shared" ref="C145:N145" si="75">C124/C144</f>
        <v>14.069428333178912</v>
      </c>
      <c r="D145" s="331">
        <f t="shared" si="75"/>
        <v>13.374381841607912</v>
      </c>
      <c r="E145" s="331">
        <f t="shared" si="75"/>
        <v>13.30840096766895</v>
      </c>
      <c r="F145" s="331">
        <f t="shared" si="75"/>
        <v>13.530761424951946</v>
      </c>
      <c r="G145" s="331">
        <f t="shared" si="75"/>
        <v>13.042061545790324</v>
      </c>
      <c r="H145" s="331">
        <f t="shared" si="75"/>
        <v>13.071422695918871</v>
      </c>
      <c r="I145" s="331">
        <f t="shared" si="75"/>
        <v>13.12767719943505</v>
      </c>
      <c r="J145" s="331">
        <f t="shared" si="75"/>
        <v>13.765532091689265</v>
      </c>
      <c r="K145" s="331">
        <f t="shared" si="75"/>
        <v>13.860783155462791</v>
      </c>
      <c r="L145" s="331">
        <f t="shared" si="75"/>
        <v>13.705793112314966</v>
      </c>
      <c r="M145" s="331">
        <f t="shared" si="75"/>
        <v>13.617365631901919</v>
      </c>
      <c r="N145" s="332">
        <f t="shared" si="75"/>
        <v>13.470963612818229</v>
      </c>
      <c r="O145" s="377" t="s">
        <v>73</v>
      </c>
      <c r="P145" s="428">
        <f>AVERAGE(C145:N145)</f>
        <v>13.495380967728261</v>
      </c>
    </row>
    <row r="146" spans="1:16" s="464" customFormat="1" x14ac:dyDescent="0.25">
      <c r="A146" s="458">
        <v>24</v>
      </c>
      <c r="B146" s="459" t="s">
        <v>111</v>
      </c>
      <c r="C146" s="460">
        <f t="shared" ref="C146:N146" si="76">C110</f>
        <v>1839</v>
      </c>
      <c r="D146" s="460">
        <f t="shared" si="76"/>
        <v>123</v>
      </c>
      <c r="E146" s="460">
        <f t="shared" si="76"/>
        <v>0</v>
      </c>
      <c r="F146" s="460">
        <f t="shared" si="76"/>
        <v>0</v>
      </c>
      <c r="G146" s="460">
        <f t="shared" si="76"/>
        <v>0</v>
      </c>
      <c r="H146" s="460">
        <f t="shared" si="76"/>
        <v>0</v>
      </c>
      <c r="I146" s="460">
        <f t="shared" si="76"/>
        <v>0</v>
      </c>
      <c r="J146" s="460">
        <f t="shared" si="76"/>
        <v>0</v>
      </c>
      <c r="K146" s="460">
        <f t="shared" si="76"/>
        <v>428.5</v>
      </c>
      <c r="L146" s="460">
        <f t="shared" si="76"/>
        <v>563.75</v>
      </c>
      <c r="M146" s="460">
        <f t="shared" si="76"/>
        <v>920.5</v>
      </c>
      <c r="N146" s="461">
        <f t="shared" si="76"/>
        <v>977</v>
      </c>
      <c r="O146" s="462">
        <f>SUM(C146:N146)</f>
        <v>4851.75</v>
      </c>
      <c r="P146" s="463" t="s">
        <v>73</v>
      </c>
    </row>
    <row r="147" spans="1:16" x14ac:dyDescent="0.25">
      <c r="A147" s="371">
        <v>25</v>
      </c>
      <c r="B147" s="311" t="s">
        <v>112</v>
      </c>
      <c r="C147" s="331">
        <f>C126/C146</f>
        <v>11.149265905383361</v>
      </c>
      <c r="D147" s="331">
        <f>D126/D146</f>
        <v>10.957317073170731</v>
      </c>
      <c r="E147" s="331">
        <v>0</v>
      </c>
      <c r="F147" s="331">
        <v>0</v>
      </c>
      <c r="G147" s="331">
        <v>0</v>
      </c>
      <c r="H147" s="331">
        <v>0</v>
      </c>
      <c r="I147" s="331">
        <v>0</v>
      </c>
      <c r="J147" s="331">
        <v>0</v>
      </c>
      <c r="K147" s="331">
        <f>K126/K146</f>
        <v>9.1073512252042015</v>
      </c>
      <c r="L147" s="331">
        <f>L126/L146</f>
        <v>8.8341463414634145</v>
      </c>
      <c r="M147" s="331">
        <f>M126/M146</f>
        <v>9.2148288973384034</v>
      </c>
      <c r="N147" s="332">
        <f>N126/N146</f>
        <v>9.7052200614124864</v>
      </c>
      <c r="O147" s="377" t="s">
        <v>73</v>
      </c>
      <c r="P147" s="428">
        <f>+AVERAGE(C147:D147,K147:N147)</f>
        <v>9.8280215839954348</v>
      </c>
    </row>
    <row r="148" spans="1:16" ht="15.75" thickBot="1" x14ac:dyDescent="0.3">
      <c r="A148" s="371">
        <v>26</v>
      </c>
      <c r="B148" s="334" t="s">
        <v>33</v>
      </c>
      <c r="C148" s="335">
        <f>C29+C58+C84+C112</f>
        <v>9737</v>
      </c>
      <c r="D148" s="335">
        <f>D29+D58+D84+D112</f>
        <v>9794</v>
      </c>
      <c r="E148" s="335">
        <f>E29+E58+E84+E112</f>
        <v>9843</v>
      </c>
      <c r="F148" s="335">
        <f t="shared" ref="F148:N148" si="77">F84+F58+F29+F112</f>
        <v>9876</v>
      </c>
      <c r="G148" s="335">
        <f t="shared" si="77"/>
        <v>9918</v>
      </c>
      <c r="H148" s="335">
        <f t="shared" si="77"/>
        <v>9957</v>
      </c>
      <c r="I148" s="335">
        <f t="shared" si="77"/>
        <v>10020</v>
      </c>
      <c r="J148" s="335">
        <f t="shared" si="77"/>
        <v>10115</v>
      </c>
      <c r="K148" s="335">
        <f t="shared" si="77"/>
        <v>10156</v>
      </c>
      <c r="L148" s="335">
        <f t="shared" si="77"/>
        <v>10205</v>
      </c>
      <c r="M148" s="335">
        <f t="shared" si="77"/>
        <v>10252</v>
      </c>
      <c r="N148" s="336">
        <f t="shared" si="77"/>
        <v>10268</v>
      </c>
      <c r="O148" s="337" t="s">
        <v>73</v>
      </c>
      <c r="P148" s="465" t="s">
        <v>73</v>
      </c>
    </row>
    <row r="149" spans="1:16" x14ac:dyDescent="0.25">
      <c r="B149" s="339"/>
      <c r="C149" s="412"/>
      <c r="D149" s="412"/>
      <c r="E149" s="412"/>
      <c r="F149" s="412"/>
      <c r="G149" s="412"/>
    </row>
    <row r="150" spans="1:16" x14ac:dyDescent="0.25">
      <c r="B150" s="339"/>
      <c r="I150" s="413"/>
      <c r="J150" s="413"/>
      <c r="K150" s="413"/>
      <c r="L150" s="413"/>
      <c r="M150" s="413"/>
      <c r="N150" s="413"/>
    </row>
    <row r="151" spans="1:16" x14ac:dyDescent="0.25"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6"/>
      <c r="N151" s="466"/>
      <c r="O151" s="466"/>
    </row>
    <row r="152" spans="1:16" x14ac:dyDescent="0.25">
      <c r="C152" s="467"/>
    </row>
    <row r="154" spans="1:16" x14ac:dyDescent="0.25">
      <c r="N154" s="468"/>
    </row>
    <row r="155" spans="1:16" x14ac:dyDescent="0.25">
      <c r="N155" s="419"/>
    </row>
  </sheetData>
  <mergeCells count="11">
    <mergeCell ref="B64:P64"/>
    <mergeCell ref="B87:P87"/>
    <mergeCell ref="B118:O118"/>
    <mergeCell ref="B119:O119"/>
    <mergeCell ref="B121:P121"/>
    <mergeCell ref="B62:O62"/>
    <mergeCell ref="B1:O1"/>
    <mergeCell ref="B2:O2"/>
    <mergeCell ref="B4:P4"/>
    <mergeCell ref="B32:P32"/>
    <mergeCell ref="B61:O61"/>
  </mergeCells>
  <pageMargins left="0.70866141732283472" right="0.70866141732283472" top="0.39370078740157483" bottom="0.74803149606299213" header="0.31496062992125984" footer="0.31496062992125984"/>
  <pageSetup paperSize="9" scale="64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P45"/>
  <sheetViews>
    <sheetView tabSelected="1" topLeftCell="G7" workbookViewId="0">
      <selection activeCell="Q7" sqref="Q7"/>
    </sheetView>
  </sheetViews>
  <sheetFormatPr baseColWidth="10" defaultRowHeight="15" x14ac:dyDescent="0.25"/>
  <cols>
    <col min="3" max="3" width="28.28515625" bestFit="1" customWidth="1"/>
    <col min="6" max="6" width="34.42578125" bestFit="1" customWidth="1"/>
    <col min="7" max="11" width="13.140625" bestFit="1" customWidth="1"/>
  </cols>
  <sheetData>
    <row r="4" spans="3:16" x14ac:dyDescent="0.25">
      <c r="D4" t="s">
        <v>168</v>
      </c>
      <c r="E4" t="s">
        <v>169</v>
      </c>
      <c r="F4" t="s">
        <v>170</v>
      </c>
      <c r="G4" t="s">
        <v>171</v>
      </c>
      <c r="H4" t="s">
        <v>172</v>
      </c>
      <c r="I4" t="s">
        <v>173</v>
      </c>
      <c r="J4" t="s">
        <v>174</v>
      </c>
      <c r="K4" t="s">
        <v>175</v>
      </c>
      <c r="L4" t="s">
        <v>176</v>
      </c>
      <c r="M4" t="s">
        <v>177</v>
      </c>
      <c r="N4" t="s">
        <v>178</v>
      </c>
      <c r="O4" t="s">
        <v>179</v>
      </c>
    </row>
    <row r="5" spans="3:16" x14ac:dyDescent="0.25">
      <c r="C5" t="s">
        <v>74</v>
      </c>
      <c r="D5">
        <v>889519</v>
      </c>
      <c r="E5">
        <v>967287</v>
      </c>
      <c r="F5">
        <v>1262791</v>
      </c>
      <c r="G5">
        <v>987586.5</v>
      </c>
      <c r="H5">
        <v>878566</v>
      </c>
      <c r="I5">
        <v>736228</v>
      </c>
      <c r="J5">
        <v>641683</v>
      </c>
      <c r="K5">
        <v>706460</v>
      </c>
      <c r="L5">
        <v>488772</v>
      </c>
      <c r="M5">
        <v>632074</v>
      </c>
      <c r="N5">
        <v>790888</v>
      </c>
      <c r="O5">
        <v>942479</v>
      </c>
    </row>
    <row r="6" spans="3:16" x14ac:dyDescent="0.25">
      <c r="C6" t="s">
        <v>76</v>
      </c>
      <c r="D6">
        <v>266583.234375</v>
      </c>
      <c r="E6">
        <v>206789.703125</v>
      </c>
      <c r="F6">
        <v>64602</v>
      </c>
      <c r="G6">
        <v>156558</v>
      </c>
      <c r="H6">
        <v>382341</v>
      </c>
      <c r="I6">
        <v>409877</v>
      </c>
      <c r="J6">
        <v>486786</v>
      </c>
      <c r="K6">
        <v>312229</v>
      </c>
      <c r="L6">
        <v>494311</v>
      </c>
      <c r="M6">
        <v>425371</v>
      </c>
      <c r="N6">
        <v>331738</v>
      </c>
      <c r="O6">
        <v>327207</v>
      </c>
    </row>
    <row r="7" spans="3:16" x14ac:dyDescent="0.25">
      <c r="C7" t="s">
        <v>246</v>
      </c>
      <c r="D7">
        <v>1157636.234375</v>
      </c>
      <c r="E7">
        <v>1175540.703125</v>
      </c>
      <c r="F7">
        <v>1328808</v>
      </c>
      <c r="G7">
        <v>1145578.5</v>
      </c>
      <c r="H7">
        <v>1262204</v>
      </c>
      <c r="I7">
        <v>1147406</v>
      </c>
      <c r="J7">
        <v>1129822</v>
      </c>
      <c r="K7">
        <v>1020210</v>
      </c>
      <c r="L7">
        <v>984622</v>
      </c>
      <c r="M7">
        <v>1058975</v>
      </c>
      <c r="N7">
        <v>1124044</v>
      </c>
      <c r="O7">
        <v>1271130</v>
      </c>
    </row>
    <row r="8" spans="3:16" x14ac:dyDescent="0.25">
      <c r="D8" t="s">
        <v>168</v>
      </c>
      <c r="E8" t="s">
        <v>169</v>
      </c>
      <c r="F8" t="s">
        <v>170</v>
      </c>
      <c r="G8" t="s">
        <v>171</v>
      </c>
      <c r="H8" t="s">
        <v>172</v>
      </c>
      <c r="I8" t="s">
        <v>173</v>
      </c>
      <c r="J8" t="s">
        <v>174</v>
      </c>
      <c r="K8" t="s">
        <v>175</v>
      </c>
      <c r="L8" t="s">
        <v>176</v>
      </c>
      <c r="M8" t="s">
        <v>177</v>
      </c>
      <c r="N8" t="s">
        <v>178</v>
      </c>
      <c r="O8" t="s">
        <v>179</v>
      </c>
    </row>
    <row r="9" spans="3:16" x14ac:dyDescent="0.25">
      <c r="C9" t="s">
        <v>245</v>
      </c>
      <c r="D9">
        <v>2347</v>
      </c>
      <c r="E9">
        <v>2527</v>
      </c>
      <c r="F9">
        <v>2575</v>
      </c>
      <c r="G9">
        <v>2495</v>
      </c>
      <c r="H9">
        <v>2371</v>
      </c>
      <c r="I9">
        <v>2224</v>
      </c>
      <c r="J9">
        <v>2135</v>
      </c>
      <c r="K9">
        <v>2117</v>
      </c>
      <c r="L9">
        <v>1988</v>
      </c>
      <c r="M9">
        <v>2140</v>
      </c>
      <c r="N9">
        <v>2474</v>
      </c>
      <c r="O9">
        <v>2513</v>
      </c>
    </row>
    <row r="10" spans="3:16" x14ac:dyDescent="0.25">
      <c r="C10" t="s">
        <v>238</v>
      </c>
      <c r="D10" s="728">
        <f>D6/(19.5*24)</f>
        <v>569.62229567307691</v>
      </c>
      <c r="E10" s="728">
        <f t="shared" ref="E10:O10" si="0">E6/(19.5*24)</f>
        <v>441.85834001068378</v>
      </c>
      <c r="F10" s="728">
        <f t="shared" si="0"/>
        <v>138.03846153846155</v>
      </c>
      <c r="G10" s="728">
        <f t="shared" si="0"/>
        <v>334.52564102564105</v>
      </c>
      <c r="H10" s="728">
        <f t="shared" si="0"/>
        <v>816.96794871794873</v>
      </c>
      <c r="I10" s="728">
        <f t="shared" si="0"/>
        <v>875.80555555555554</v>
      </c>
      <c r="J10" s="728">
        <f t="shared" si="0"/>
        <v>1040.1410256410256</v>
      </c>
      <c r="K10" s="728">
        <f t="shared" si="0"/>
        <v>667.15598290598291</v>
      </c>
      <c r="L10" s="728">
        <f t="shared" si="0"/>
        <v>1056.2200854700855</v>
      </c>
      <c r="M10" s="728">
        <f t="shared" si="0"/>
        <v>908.91239316239319</v>
      </c>
      <c r="N10" s="728">
        <f t="shared" si="0"/>
        <v>708.84188034188037</v>
      </c>
      <c r="O10" s="728">
        <f t="shared" si="0"/>
        <v>699.16025641025647</v>
      </c>
    </row>
    <row r="11" spans="3:16" x14ac:dyDescent="0.25">
      <c r="C11" t="s">
        <v>237</v>
      </c>
      <c r="D11" s="553">
        <f>D10/D9</f>
        <v>0.24270229896594669</v>
      </c>
      <c r="E11" s="553">
        <f t="shared" ref="E11:O11" si="1">E10/E9</f>
        <v>0.17485490305131926</v>
      </c>
      <c r="F11" s="553">
        <f t="shared" si="1"/>
        <v>5.3607169529499628E-2</v>
      </c>
      <c r="G11" s="553">
        <f t="shared" si="1"/>
        <v>0.13407841323672989</v>
      </c>
      <c r="H11" s="553">
        <f t="shared" si="1"/>
        <v>0.3445668278017498</v>
      </c>
      <c r="I11" s="553">
        <f t="shared" si="1"/>
        <v>0.39379746203037569</v>
      </c>
      <c r="J11" s="553">
        <f t="shared" si="1"/>
        <v>0.48718549210352491</v>
      </c>
      <c r="K11" s="553">
        <f t="shared" si="1"/>
        <v>0.31514217425884877</v>
      </c>
      <c r="L11" s="553">
        <f t="shared" si="1"/>
        <v>0.53129782971332262</v>
      </c>
      <c r="M11" s="553">
        <f t="shared" si="1"/>
        <v>0.42472541736560432</v>
      </c>
      <c r="N11" s="553">
        <f t="shared" si="1"/>
        <v>0.28651652398620869</v>
      </c>
      <c r="O11" s="553">
        <f t="shared" si="1"/>
        <v>0.27821737222851434</v>
      </c>
      <c r="P11" s="545">
        <f>AVERAGE(D11:O11)</f>
        <v>0.3055576570226371</v>
      </c>
    </row>
    <row r="13" spans="3:16" x14ac:dyDescent="0.25">
      <c r="D13">
        <f>MAX(D9:O9)</f>
        <v>2575</v>
      </c>
    </row>
    <row r="14" spans="3:16" x14ac:dyDescent="0.25">
      <c r="D14">
        <f>C19-D13</f>
        <v>1075</v>
      </c>
    </row>
    <row r="15" spans="3:16" x14ac:dyDescent="0.25">
      <c r="D15" s="727">
        <f>D14/D13</f>
        <v>0.41747572815533979</v>
      </c>
    </row>
    <row r="18" spans="3:11" x14ac:dyDescent="0.25">
      <c r="C18">
        <f>650*3</f>
        <v>1950</v>
      </c>
    </row>
    <row r="19" spans="3:11" x14ac:dyDescent="0.25">
      <c r="C19">
        <f>800+900+C18</f>
        <v>3650</v>
      </c>
    </row>
    <row r="32" spans="3:11" x14ac:dyDescent="0.25">
      <c r="F32" s="774" t="s">
        <v>57</v>
      </c>
      <c r="G32" s="774" t="s">
        <v>58</v>
      </c>
      <c r="H32" s="774" t="s">
        <v>59</v>
      </c>
      <c r="I32" s="774" t="s">
        <v>60</v>
      </c>
      <c r="J32" s="774" t="s">
        <v>61</v>
      </c>
      <c r="K32" s="774" t="s">
        <v>62</v>
      </c>
    </row>
    <row r="33" spans="6:11" x14ac:dyDescent="0.25">
      <c r="F33" s="773" t="s">
        <v>239</v>
      </c>
      <c r="G33" s="773">
        <v>1157636.234375</v>
      </c>
      <c r="H33" s="773">
        <v>1175540.703125</v>
      </c>
      <c r="I33" s="773">
        <v>1328808</v>
      </c>
      <c r="J33" s="773">
        <v>1145578.5</v>
      </c>
      <c r="K33" s="773">
        <v>1262204</v>
      </c>
    </row>
    <row r="34" spans="6:11" x14ac:dyDescent="0.25">
      <c r="F34" s="773" t="s">
        <v>241</v>
      </c>
      <c r="G34" s="773">
        <v>63417</v>
      </c>
      <c r="H34" s="773">
        <v>81111</v>
      </c>
      <c r="I34" s="773">
        <v>98608</v>
      </c>
      <c r="J34" s="773">
        <v>72463.5</v>
      </c>
      <c r="K34" s="773">
        <v>68373</v>
      </c>
    </row>
    <row r="35" spans="6:11" x14ac:dyDescent="0.25">
      <c r="F35" s="773" t="s">
        <v>240</v>
      </c>
      <c r="G35" s="773">
        <v>1371006.9649999999</v>
      </c>
      <c r="H35" s="773">
        <v>1360259.475357143</v>
      </c>
      <c r="I35" s="773">
        <v>1506159.281642857</v>
      </c>
      <c r="J35" s="773">
        <v>1471968.1569999999</v>
      </c>
      <c r="K35" s="773">
        <v>1442948.071</v>
      </c>
    </row>
    <row r="36" spans="6:11" x14ac:dyDescent="0.25">
      <c r="F36" s="773" t="s">
        <v>242</v>
      </c>
      <c r="G36" s="773">
        <v>98438</v>
      </c>
      <c r="H36" s="773">
        <v>97515</v>
      </c>
      <c r="I36" s="773">
        <v>105987</v>
      </c>
      <c r="J36" s="773">
        <v>108116.23504674839</v>
      </c>
      <c r="K36" s="773">
        <v>92547.029609258054</v>
      </c>
    </row>
    <row r="38" spans="6:11" x14ac:dyDescent="0.25">
      <c r="G38">
        <f>G35-G33</f>
        <v>213370.73062499985</v>
      </c>
      <c r="H38">
        <f t="shared" ref="H38:K38" si="2">H35-H33</f>
        <v>184718.77223214298</v>
      </c>
      <c r="I38">
        <f t="shared" si="2"/>
        <v>177351.28164285701</v>
      </c>
      <c r="J38">
        <f t="shared" si="2"/>
        <v>326389.65699999989</v>
      </c>
      <c r="K38">
        <f t="shared" si="2"/>
        <v>180744.071</v>
      </c>
    </row>
    <row r="41" spans="6:11" x14ac:dyDescent="0.25">
      <c r="G41">
        <f>G36-G34</f>
        <v>35021</v>
      </c>
      <c r="H41">
        <f t="shared" ref="H41:K41" si="3">H36-H34</f>
        <v>16404</v>
      </c>
      <c r="I41">
        <f t="shared" si="3"/>
        <v>7379</v>
      </c>
      <c r="J41">
        <f t="shared" si="3"/>
        <v>35652.735046748392</v>
      </c>
      <c r="K41">
        <f t="shared" si="3"/>
        <v>24174.029609258054</v>
      </c>
    </row>
    <row r="43" spans="6:11" x14ac:dyDescent="0.25">
      <c r="G43" t="s">
        <v>58</v>
      </c>
      <c r="H43" t="s">
        <v>59</v>
      </c>
      <c r="I43" t="s">
        <v>60</v>
      </c>
      <c r="J43" t="s">
        <v>61</v>
      </c>
      <c r="K43" t="s">
        <v>62</v>
      </c>
    </row>
    <row r="44" spans="6:11" x14ac:dyDescent="0.25">
      <c r="F44" t="s">
        <v>244</v>
      </c>
      <c r="G44" s="553">
        <f>G38/G33</f>
        <v>0.18431587081428671</v>
      </c>
      <c r="H44" s="553">
        <f>H38/H33</f>
        <v>0.15713515639322026</v>
      </c>
      <c r="I44" s="553">
        <f>I38/I33</f>
        <v>0.13346644635105825</v>
      </c>
      <c r="J44" s="553">
        <f>J38/J33</f>
        <v>0.28491251974439108</v>
      </c>
      <c r="K44" s="553">
        <f>K38/K33</f>
        <v>0.14319719395596908</v>
      </c>
    </row>
    <row r="45" spans="6:11" x14ac:dyDescent="0.25">
      <c r="F45" t="s">
        <v>243</v>
      </c>
      <c r="G45" s="553">
        <f>G41/G34</f>
        <v>0.55223362820694766</v>
      </c>
      <c r="H45" s="553">
        <f>H41/H34</f>
        <v>0.20224137293338759</v>
      </c>
      <c r="I45" s="553">
        <f>I41/I34</f>
        <v>7.4831656660717186E-2</v>
      </c>
      <c r="J45" s="553">
        <f>J41/J34</f>
        <v>0.49200956408051488</v>
      </c>
      <c r="K45" s="553">
        <f>K41/K34</f>
        <v>0.35356104908747682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64"/>
  <sheetViews>
    <sheetView showGridLines="0" topLeftCell="A19" zoomScale="70" zoomScaleNormal="70" workbookViewId="0">
      <selection activeCell="S41" sqref="S41"/>
    </sheetView>
  </sheetViews>
  <sheetFormatPr baseColWidth="10" defaultRowHeight="15" x14ac:dyDescent="0.25"/>
  <cols>
    <col min="1" max="1" width="4" style="286" customWidth="1"/>
    <col min="2" max="2" width="47.42578125" style="367" customWidth="1"/>
    <col min="3" max="5" width="13.140625" style="413" customWidth="1"/>
    <col min="6" max="6" width="9.85546875" style="413" bestFit="1" customWidth="1"/>
    <col min="7" max="8" width="13.140625" style="413" customWidth="1"/>
    <col min="9" max="10" width="13.140625" style="414" customWidth="1"/>
    <col min="11" max="11" width="13.140625" style="415" customWidth="1"/>
    <col min="12" max="12" width="13.140625" style="370" customWidth="1"/>
    <col min="13" max="14" width="13.140625" style="415" customWidth="1"/>
    <col min="15" max="15" width="13" style="415" customWidth="1"/>
    <col min="16" max="16" width="11" customWidth="1"/>
    <col min="17" max="17" width="15.28515625" style="287" bestFit="1" customWidth="1"/>
    <col min="18" max="18" width="12.5703125" style="287" bestFit="1" customWidth="1"/>
    <col min="19" max="19" width="11.42578125" style="287"/>
    <col min="20" max="20" width="47.140625" style="287" customWidth="1"/>
    <col min="21" max="22" width="11.42578125" style="287"/>
  </cols>
  <sheetData>
    <row r="1" spans="1:21" x14ac:dyDescent="0.25">
      <c r="B1" s="743" t="s">
        <v>54</v>
      </c>
      <c r="C1" s="743"/>
      <c r="D1" s="743"/>
      <c r="E1" s="743"/>
      <c r="F1" s="743"/>
      <c r="G1" s="743"/>
      <c r="H1" s="743"/>
      <c r="I1" s="743"/>
      <c r="J1" s="743"/>
      <c r="K1" s="743"/>
      <c r="L1" s="743"/>
      <c r="M1" s="743"/>
      <c r="N1" s="743"/>
      <c r="O1" s="743"/>
    </row>
    <row r="2" spans="1:21" x14ac:dyDescent="0.25">
      <c r="B2" s="743" t="s">
        <v>150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</row>
    <row r="3" spans="1:21" ht="12.75" customHeight="1" thickBot="1" x14ac:dyDescent="0.3">
      <c r="B3" s="288"/>
      <c r="C3" s="289"/>
      <c r="D3" s="289"/>
      <c r="E3" s="289"/>
      <c r="F3" s="289"/>
      <c r="G3" s="289"/>
      <c r="H3" s="289"/>
      <c r="I3" s="290"/>
      <c r="J3" s="290"/>
      <c r="K3" s="291"/>
      <c r="L3" s="291"/>
      <c r="M3" s="291"/>
      <c r="N3" s="291"/>
      <c r="O3" s="291"/>
    </row>
    <row r="4" spans="1:21" ht="15.75" thickBot="1" x14ac:dyDescent="0.3">
      <c r="B4" s="744" t="s">
        <v>2</v>
      </c>
      <c r="C4" s="745"/>
      <c r="D4" s="745"/>
      <c r="E4" s="745"/>
      <c r="F4" s="745"/>
      <c r="G4" s="745"/>
      <c r="H4" s="745"/>
      <c r="I4" s="745"/>
      <c r="J4" s="745"/>
      <c r="K4" s="745"/>
      <c r="L4" s="745"/>
      <c r="M4" s="745"/>
      <c r="N4" s="745"/>
      <c r="O4" s="745"/>
      <c r="P4" s="746"/>
    </row>
    <row r="5" spans="1:21" ht="18" customHeight="1" thickBot="1" x14ac:dyDescent="0.3">
      <c r="A5" s="292" t="s">
        <v>56</v>
      </c>
      <c r="B5" s="293" t="s">
        <v>57</v>
      </c>
      <c r="C5" s="294" t="s">
        <v>58</v>
      </c>
      <c r="D5" s="294" t="s">
        <v>59</v>
      </c>
      <c r="E5" s="294" t="s">
        <v>60</v>
      </c>
      <c r="F5" s="294" t="s">
        <v>61</v>
      </c>
      <c r="G5" s="294" t="s">
        <v>62</v>
      </c>
      <c r="H5" s="294" t="s">
        <v>63</v>
      </c>
      <c r="I5" s="295" t="s">
        <v>64</v>
      </c>
      <c r="J5" s="295" t="s">
        <v>65</v>
      </c>
      <c r="K5" s="294" t="s">
        <v>66</v>
      </c>
      <c r="L5" s="294" t="s">
        <v>67</v>
      </c>
      <c r="M5" s="294" t="s">
        <v>68</v>
      </c>
      <c r="N5" s="296" t="s">
        <v>69</v>
      </c>
      <c r="O5" s="297" t="s">
        <v>70</v>
      </c>
      <c r="P5" s="298" t="s">
        <v>71</v>
      </c>
    </row>
    <row r="6" spans="1:21" x14ac:dyDescent="0.25">
      <c r="A6" s="292">
        <v>1</v>
      </c>
      <c r="B6" s="299" t="s">
        <v>72</v>
      </c>
      <c r="C6" s="585">
        <v>1281509</v>
      </c>
      <c r="D6" s="585">
        <v>1286611.1000000001</v>
      </c>
      <c r="E6" s="585">
        <v>1456363</v>
      </c>
      <c r="F6" s="585">
        <v>1404445</v>
      </c>
      <c r="G6" s="585">
        <v>1487739</v>
      </c>
      <c r="H6" s="585">
        <v>1439270</v>
      </c>
      <c r="I6" s="585">
        <v>1369922</v>
      </c>
      <c r="J6" s="585">
        <v>1170764</v>
      </c>
      <c r="K6" s="585">
        <v>1133186</v>
      </c>
      <c r="L6" s="585">
        <v>1223128</v>
      </c>
      <c r="M6" s="585">
        <v>1236783</v>
      </c>
      <c r="N6" s="586">
        <v>1377375</v>
      </c>
      <c r="O6" s="587">
        <v>15867095.1</v>
      </c>
      <c r="P6" s="420" t="s">
        <v>73</v>
      </c>
      <c r="U6" s="303"/>
    </row>
    <row r="7" spans="1:21" x14ac:dyDescent="0.25">
      <c r="A7" s="292">
        <v>2</v>
      </c>
      <c r="B7" s="469" t="s">
        <v>74</v>
      </c>
      <c r="C7" s="305">
        <v>1033882</v>
      </c>
      <c r="D7" s="305">
        <v>1141812.1000000001</v>
      </c>
      <c r="E7" s="305">
        <v>1381384</v>
      </c>
      <c r="F7" s="305">
        <v>1327885</v>
      </c>
      <c r="G7" s="305">
        <v>1395521</v>
      </c>
      <c r="H7" s="305">
        <v>1143503</v>
      </c>
      <c r="I7" s="305">
        <v>927310</v>
      </c>
      <c r="J7" s="305">
        <v>646710</v>
      </c>
      <c r="K7" s="305">
        <v>742248.00000000012</v>
      </c>
      <c r="L7" s="305">
        <v>737572</v>
      </c>
      <c r="M7" s="305">
        <v>853822</v>
      </c>
      <c r="N7" s="306">
        <v>1123212</v>
      </c>
      <c r="O7" s="307">
        <v>12454861.1</v>
      </c>
      <c r="P7" s="421" t="s">
        <v>73</v>
      </c>
      <c r="U7" s="303"/>
    </row>
    <row r="8" spans="1:21" x14ac:dyDescent="0.25">
      <c r="A8" s="292">
        <v>3</v>
      </c>
      <c r="B8" s="309" t="s">
        <v>75</v>
      </c>
      <c r="C8" s="591">
        <v>0.80676920723927803</v>
      </c>
      <c r="D8" s="591">
        <v>0.88745705675942022</v>
      </c>
      <c r="E8" s="591">
        <v>0.94851626963881941</v>
      </c>
      <c r="F8" s="591">
        <v>0.94548736333569483</v>
      </c>
      <c r="G8" s="591">
        <v>0.93801466520673316</v>
      </c>
      <c r="H8" s="591">
        <v>0.79450207396805328</v>
      </c>
      <c r="I8" s="591">
        <v>0.67690715237801857</v>
      </c>
      <c r="J8" s="591">
        <v>0.55238288843866057</v>
      </c>
      <c r="K8" s="591">
        <v>0.65500985716378435</v>
      </c>
      <c r="L8" s="591">
        <v>0.60302110653995333</v>
      </c>
      <c r="M8" s="591">
        <v>0.69035716047196638</v>
      </c>
      <c r="N8" s="592">
        <v>0.81547291042744352</v>
      </c>
      <c r="O8" s="310" t="s">
        <v>73</v>
      </c>
      <c r="P8" s="593">
        <v>0.77615814263065219</v>
      </c>
      <c r="U8" s="303"/>
    </row>
    <row r="9" spans="1:21" x14ac:dyDescent="0.25">
      <c r="A9" s="292">
        <v>4</v>
      </c>
      <c r="B9" s="459" t="s">
        <v>76</v>
      </c>
      <c r="C9" s="312">
        <v>246347</v>
      </c>
      <c r="D9" s="312">
        <v>143360</v>
      </c>
      <c r="E9" s="312">
        <v>73705</v>
      </c>
      <c r="F9" s="312">
        <v>75127</v>
      </c>
      <c r="G9" s="312">
        <v>91130</v>
      </c>
      <c r="H9" s="312">
        <v>294439</v>
      </c>
      <c r="I9" s="312">
        <v>441249</v>
      </c>
      <c r="J9" s="312">
        <v>522849</v>
      </c>
      <c r="K9" s="312">
        <v>389469</v>
      </c>
      <c r="L9" s="312">
        <v>484197</v>
      </c>
      <c r="M9" s="312">
        <v>381672</v>
      </c>
      <c r="N9" s="313">
        <v>252821</v>
      </c>
      <c r="O9" s="314">
        <v>3396365</v>
      </c>
      <c r="P9" s="422" t="s">
        <v>73</v>
      </c>
      <c r="U9" s="303"/>
    </row>
    <row r="10" spans="1:21" x14ac:dyDescent="0.25">
      <c r="A10" s="292">
        <v>5</v>
      </c>
      <c r="B10" s="311" t="s">
        <v>77</v>
      </c>
      <c r="C10" s="595">
        <v>0.19223197027878852</v>
      </c>
      <c r="D10" s="595">
        <v>0.11142450115656548</v>
      </c>
      <c r="E10" s="595">
        <v>5.060894845584514E-2</v>
      </c>
      <c r="F10" s="595">
        <v>5.3492304789436396E-2</v>
      </c>
      <c r="G10" s="595">
        <v>6.1254023723247154E-2</v>
      </c>
      <c r="H10" s="595">
        <v>0.20457523605716788</v>
      </c>
      <c r="I10" s="595">
        <v>0.32209790046440601</v>
      </c>
      <c r="J10" s="595">
        <v>0.44658786911794351</v>
      </c>
      <c r="K10" s="595">
        <v>0.34369379784077814</v>
      </c>
      <c r="L10" s="595">
        <v>0.39586780778463088</v>
      </c>
      <c r="M10" s="595">
        <v>0.30860061951045575</v>
      </c>
      <c r="N10" s="596">
        <v>0.18355277248389146</v>
      </c>
      <c r="O10" s="310" t="s">
        <v>73</v>
      </c>
      <c r="P10" s="593">
        <v>0.22283231263859635</v>
      </c>
      <c r="U10" s="303"/>
    </row>
    <row r="11" spans="1:21" x14ac:dyDescent="0.25">
      <c r="A11" s="292">
        <v>6</v>
      </c>
      <c r="B11" s="459" t="s">
        <v>78</v>
      </c>
      <c r="C11" s="312">
        <v>1280</v>
      </c>
      <c r="D11" s="312">
        <v>1439</v>
      </c>
      <c r="E11" s="312">
        <v>1274</v>
      </c>
      <c r="F11" s="312">
        <v>1433</v>
      </c>
      <c r="G11" s="312">
        <v>1088</v>
      </c>
      <c r="H11" s="312">
        <v>1328</v>
      </c>
      <c r="I11" s="312">
        <v>1363</v>
      </c>
      <c r="J11" s="312">
        <v>1205</v>
      </c>
      <c r="K11" s="312">
        <v>1469</v>
      </c>
      <c r="L11" s="312">
        <v>1359</v>
      </c>
      <c r="M11" s="312">
        <v>1289</v>
      </c>
      <c r="N11" s="313">
        <v>1342</v>
      </c>
      <c r="O11" s="314">
        <v>15869</v>
      </c>
      <c r="P11" s="422" t="s">
        <v>73</v>
      </c>
      <c r="U11" s="303"/>
    </row>
    <row r="12" spans="1:21" x14ac:dyDescent="0.25">
      <c r="A12" s="292">
        <v>7</v>
      </c>
      <c r="B12" s="315" t="s">
        <v>79</v>
      </c>
      <c r="C12" s="598">
        <v>9.9882248193340823E-4</v>
      </c>
      <c r="D12" s="598">
        <v>1.1184420840143535E-3</v>
      </c>
      <c r="E12" s="598">
        <v>8.7478190533541431E-4</v>
      </c>
      <c r="F12" s="598">
        <v>1.0203318748687204E-3</v>
      </c>
      <c r="G12" s="598">
        <v>7.313110700196742E-4</v>
      </c>
      <c r="H12" s="598">
        <v>9.2268997477888096E-4</v>
      </c>
      <c r="I12" s="598">
        <v>9.9494715757539472E-4</v>
      </c>
      <c r="J12" s="598">
        <v>1.0292424433959364E-3</v>
      </c>
      <c r="K12" s="598">
        <v>1.2963449954376421E-3</v>
      </c>
      <c r="L12" s="598">
        <v>1.1110856754158191E-3</v>
      </c>
      <c r="M12" s="598">
        <v>1.0422200175778612E-3</v>
      </c>
      <c r="N12" s="599">
        <v>9.7431708866503315E-4</v>
      </c>
      <c r="O12" s="310" t="s">
        <v>73</v>
      </c>
      <c r="P12" s="707">
        <v>1.0095447307515114E-3</v>
      </c>
      <c r="U12" s="303"/>
    </row>
    <row r="13" spans="1:21" x14ac:dyDescent="0.25">
      <c r="A13" s="292">
        <v>8</v>
      </c>
      <c r="B13" s="311" t="s">
        <v>151</v>
      </c>
      <c r="C13" s="317">
        <v>5268</v>
      </c>
      <c r="D13" s="317">
        <v>5840</v>
      </c>
      <c r="E13" s="317">
        <v>6503</v>
      </c>
      <c r="F13" s="317">
        <v>6523</v>
      </c>
      <c r="G13" s="317">
        <v>6308</v>
      </c>
      <c r="H13" s="317">
        <v>4759</v>
      </c>
      <c r="I13" s="317">
        <v>6406</v>
      </c>
      <c r="J13" s="317">
        <v>6281</v>
      </c>
      <c r="K13" s="317">
        <v>6435</v>
      </c>
      <c r="L13" s="317">
        <v>6091</v>
      </c>
      <c r="M13" s="317">
        <v>6201</v>
      </c>
      <c r="N13" s="317">
        <v>6372</v>
      </c>
      <c r="O13" s="318">
        <v>72987</v>
      </c>
      <c r="P13" s="423" t="s">
        <v>73</v>
      </c>
      <c r="U13" s="303"/>
    </row>
    <row r="14" spans="1:21" x14ac:dyDescent="0.25">
      <c r="A14" s="292">
        <v>9</v>
      </c>
      <c r="B14" s="311" t="s">
        <v>81</v>
      </c>
      <c r="C14" s="600">
        <v>1276241</v>
      </c>
      <c r="D14" s="600">
        <v>1280771.1000000001</v>
      </c>
      <c r="E14" s="600">
        <v>1449860</v>
      </c>
      <c r="F14" s="600">
        <v>1397922</v>
      </c>
      <c r="G14" s="600">
        <v>1481431</v>
      </c>
      <c r="H14" s="600">
        <v>1434511</v>
      </c>
      <c r="I14" s="600">
        <v>1363516</v>
      </c>
      <c r="J14" s="600">
        <v>1164483</v>
      </c>
      <c r="K14" s="600">
        <v>1126751</v>
      </c>
      <c r="L14" s="600">
        <v>1217037</v>
      </c>
      <c r="M14" s="600">
        <v>1230582</v>
      </c>
      <c r="N14" s="601">
        <v>1371003</v>
      </c>
      <c r="O14" s="602">
        <v>15794108.1</v>
      </c>
      <c r="P14" s="424" t="s">
        <v>73</v>
      </c>
      <c r="U14" s="303"/>
    </row>
    <row r="15" spans="1:21" x14ac:dyDescent="0.25">
      <c r="A15" s="292">
        <v>10</v>
      </c>
      <c r="B15" s="309" t="s">
        <v>82</v>
      </c>
      <c r="C15" s="603">
        <v>1248670.3656769998</v>
      </c>
      <c r="D15" s="603">
        <v>1252838.44</v>
      </c>
      <c r="E15" s="603">
        <v>1398280.28</v>
      </c>
      <c r="F15" s="603">
        <v>1367722.58</v>
      </c>
      <c r="G15" s="603">
        <v>1448665.1300000001</v>
      </c>
      <c r="H15" s="603">
        <v>1403521.2599999998</v>
      </c>
      <c r="I15" s="603">
        <v>1336093.3400000001</v>
      </c>
      <c r="J15" s="603">
        <v>1159197.4075499999</v>
      </c>
      <c r="K15" s="603">
        <v>1114432.0876500015</v>
      </c>
      <c r="L15" s="603">
        <v>1209612.9718207489</v>
      </c>
      <c r="M15" s="603">
        <v>1175205.81</v>
      </c>
      <c r="N15" s="604">
        <v>1339355.4029999992</v>
      </c>
      <c r="O15" s="605">
        <v>15453595.07569775</v>
      </c>
      <c r="P15" s="424" t="s">
        <v>73</v>
      </c>
      <c r="U15" s="326"/>
    </row>
    <row r="16" spans="1:21" x14ac:dyDescent="0.25">
      <c r="A16" s="292">
        <v>11</v>
      </c>
      <c r="B16" s="311" t="s">
        <v>83</v>
      </c>
      <c r="C16" s="312">
        <v>472248.4279811898</v>
      </c>
      <c r="D16" s="312">
        <v>473824.72000000003</v>
      </c>
      <c r="E16" s="312">
        <v>528831.45000000007</v>
      </c>
      <c r="F16" s="312">
        <v>517274.24</v>
      </c>
      <c r="G16" s="312">
        <v>547886.87</v>
      </c>
      <c r="H16" s="312">
        <v>530813.59</v>
      </c>
      <c r="I16" s="312">
        <v>505311.82</v>
      </c>
      <c r="J16" s="312">
        <v>497889.16905000038</v>
      </c>
      <c r="K16" s="312">
        <v>475091.95020000078</v>
      </c>
      <c r="L16" s="312">
        <v>526814.01793649979</v>
      </c>
      <c r="M16" s="312">
        <v>511828.91477801109</v>
      </c>
      <c r="N16" s="312">
        <v>584380.47299999895</v>
      </c>
      <c r="O16" s="314">
        <v>6172195.6429457003</v>
      </c>
      <c r="P16" s="422" t="s">
        <v>73</v>
      </c>
    </row>
    <row r="17" spans="1:16" x14ac:dyDescent="0.25">
      <c r="A17" s="292">
        <v>12</v>
      </c>
      <c r="B17" s="311" t="s">
        <v>84</v>
      </c>
      <c r="C17" s="312">
        <v>600382.63250265014</v>
      </c>
      <c r="D17" s="312">
        <v>602387.26</v>
      </c>
      <c r="E17" s="312">
        <v>672317.38</v>
      </c>
      <c r="F17" s="312">
        <v>657625.13</v>
      </c>
      <c r="G17" s="312">
        <v>696543.68</v>
      </c>
      <c r="H17" s="312">
        <v>674837.46</v>
      </c>
      <c r="I17" s="312">
        <v>642417.18000000005</v>
      </c>
      <c r="J17" s="312">
        <v>494045.09699999931</v>
      </c>
      <c r="K17" s="312">
        <v>480926.50095000031</v>
      </c>
      <c r="L17" s="312">
        <v>506726.45659912395</v>
      </c>
      <c r="M17" s="312">
        <v>492312.73948693316</v>
      </c>
      <c r="N17" s="312">
        <v>572079.03750000009</v>
      </c>
      <c r="O17" s="314">
        <v>7092600.5540387053</v>
      </c>
      <c r="P17" s="422" t="s">
        <v>73</v>
      </c>
    </row>
    <row r="18" spans="1:16" x14ac:dyDescent="0.25">
      <c r="A18" s="292">
        <v>13</v>
      </c>
      <c r="B18" s="311" t="s">
        <v>85</v>
      </c>
      <c r="C18" s="312">
        <v>176039.30519316005</v>
      </c>
      <c r="D18" s="312">
        <v>176626.46</v>
      </c>
      <c r="E18" s="312">
        <v>197131.45</v>
      </c>
      <c r="F18" s="312">
        <v>192823.21</v>
      </c>
      <c r="G18" s="312">
        <v>204234.58000000002</v>
      </c>
      <c r="H18" s="312">
        <v>197870.21</v>
      </c>
      <c r="I18" s="312">
        <v>188364.34</v>
      </c>
      <c r="J18" s="312">
        <v>167263.14150000009</v>
      </c>
      <c r="K18" s="312">
        <v>158413.63650000037</v>
      </c>
      <c r="L18" s="312">
        <v>176072.49728512502</v>
      </c>
      <c r="M18" s="312">
        <v>171064.15573505571</v>
      </c>
      <c r="N18" s="312">
        <v>182895.89250000025</v>
      </c>
      <c r="O18" s="314">
        <v>2188798.8787133414</v>
      </c>
      <c r="P18" s="422" t="s">
        <v>73</v>
      </c>
    </row>
    <row r="19" spans="1:16" x14ac:dyDescent="0.25">
      <c r="A19" s="292">
        <v>14</v>
      </c>
      <c r="B19" s="311" t="s">
        <v>86</v>
      </c>
      <c r="C19" s="600">
        <v>27570.634323000209</v>
      </c>
      <c r="D19" s="600">
        <v>27932.660000000149</v>
      </c>
      <c r="E19" s="600">
        <v>51579.719999999972</v>
      </c>
      <c r="F19" s="600">
        <v>30199.419999999925</v>
      </c>
      <c r="G19" s="600">
        <v>32765.869999999879</v>
      </c>
      <c r="H19" s="600">
        <v>30989.740000000224</v>
      </c>
      <c r="I19" s="600">
        <v>27422.659999999916</v>
      </c>
      <c r="J19" s="600">
        <v>5285.5924500001129</v>
      </c>
      <c r="K19" s="600">
        <v>12318.912349998485</v>
      </c>
      <c r="L19" s="600">
        <v>7424.0281792511232</v>
      </c>
      <c r="M19" s="600">
        <v>55376.189999999944</v>
      </c>
      <c r="N19" s="601">
        <v>31647.597000000766</v>
      </c>
      <c r="O19" s="602">
        <v>340513.02430225071</v>
      </c>
      <c r="P19" s="424" t="s">
        <v>73</v>
      </c>
    </row>
    <row r="20" spans="1:16" x14ac:dyDescent="0.25">
      <c r="A20" s="292">
        <v>15</v>
      </c>
      <c r="B20" s="311" t="s">
        <v>87</v>
      </c>
      <c r="C20" s="608">
        <v>2.1603000000000164E-2</v>
      </c>
      <c r="D20" s="608">
        <v>2.1809252254364694E-2</v>
      </c>
      <c r="E20" s="608">
        <v>3.5575655580538788E-2</v>
      </c>
      <c r="F20" s="608">
        <v>2.1603079427893634E-2</v>
      </c>
      <c r="G20" s="608">
        <v>2.2117715911169591E-2</v>
      </c>
      <c r="H20" s="608">
        <v>2.1602999210183976E-2</v>
      </c>
      <c r="I20" s="608">
        <v>2.011172586166933E-2</v>
      </c>
      <c r="J20" s="608">
        <v>4.539003532039637E-3</v>
      </c>
      <c r="K20" s="608">
        <v>1.093312750554336E-2</v>
      </c>
      <c r="L20" s="608">
        <v>6.1000842038911908E-3</v>
      </c>
      <c r="M20" s="608">
        <v>4.4999999999999957E-2</v>
      </c>
      <c r="N20" s="609">
        <v>2.3083535922241428E-2</v>
      </c>
      <c r="O20" s="310" t="s">
        <v>73</v>
      </c>
      <c r="P20" s="593">
        <v>2.1173264950794649E-2</v>
      </c>
    </row>
    <row r="21" spans="1:16" x14ac:dyDescent="0.25">
      <c r="A21" s="292">
        <v>16</v>
      </c>
      <c r="B21" s="311" t="s">
        <v>88</v>
      </c>
      <c r="C21" s="317">
        <v>1227018</v>
      </c>
      <c r="D21" s="317">
        <v>1239101</v>
      </c>
      <c r="E21" s="317">
        <v>1473738</v>
      </c>
      <c r="F21" s="317">
        <v>1348611</v>
      </c>
      <c r="G21" s="317">
        <v>1439704</v>
      </c>
      <c r="H21" s="317">
        <v>1370522</v>
      </c>
      <c r="I21" s="317">
        <v>1310213</v>
      </c>
      <c r="J21" s="317">
        <v>1155508</v>
      </c>
      <c r="K21" s="317">
        <v>1099507</v>
      </c>
      <c r="L21" s="317">
        <v>1203670</v>
      </c>
      <c r="M21" s="317">
        <v>1152687</v>
      </c>
      <c r="N21" s="317">
        <v>1329072</v>
      </c>
      <c r="O21" s="318">
        <v>15349351</v>
      </c>
      <c r="P21" s="423" t="s">
        <v>73</v>
      </c>
    </row>
    <row r="22" spans="1:16" x14ac:dyDescent="0.25">
      <c r="A22" s="292"/>
      <c r="B22" s="311"/>
      <c r="C22" s="610">
        <v>0</v>
      </c>
      <c r="D22" s="610">
        <v>-1826</v>
      </c>
      <c r="E22" s="610">
        <v>0</v>
      </c>
      <c r="F22" s="610">
        <v>-500</v>
      </c>
      <c r="G22" s="610">
        <v>0</v>
      </c>
      <c r="H22" s="610">
        <v>-5223</v>
      </c>
      <c r="I22" s="610">
        <v>432</v>
      </c>
      <c r="J22" s="610">
        <v>197</v>
      </c>
      <c r="K22" s="610">
        <v>3860</v>
      </c>
      <c r="L22" s="610">
        <v>-2598</v>
      </c>
      <c r="M22" s="610"/>
      <c r="N22" s="610"/>
      <c r="O22" s="611">
        <v>-5658</v>
      </c>
      <c r="P22" s="612"/>
    </row>
    <row r="23" spans="1:16" x14ac:dyDescent="0.25">
      <c r="A23" s="292">
        <v>17</v>
      </c>
      <c r="B23" s="311" t="s">
        <v>89</v>
      </c>
      <c r="C23" s="600">
        <v>21652.365676999791</v>
      </c>
      <c r="D23" s="600">
        <v>13737.439999999944</v>
      </c>
      <c r="E23" s="600">
        <v>-75457.719999999972</v>
      </c>
      <c r="F23" s="600">
        <v>19111.580000000075</v>
      </c>
      <c r="G23" s="600">
        <v>8961.1300000001211</v>
      </c>
      <c r="H23" s="600">
        <v>32999.259999999776</v>
      </c>
      <c r="I23" s="600">
        <v>25880.340000000084</v>
      </c>
      <c r="J23" s="600">
        <v>3689.4075499998871</v>
      </c>
      <c r="K23" s="600">
        <v>14925.087650001515</v>
      </c>
      <c r="L23" s="600">
        <v>5942.9718207488768</v>
      </c>
      <c r="M23" s="600">
        <v>22518.810000000056</v>
      </c>
      <c r="N23" s="600">
        <v>10283.402999999234</v>
      </c>
      <c r="O23" s="602">
        <v>104244.07569774939</v>
      </c>
      <c r="P23" s="424" t="s">
        <v>73</v>
      </c>
    </row>
    <row r="24" spans="1:16" x14ac:dyDescent="0.25">
      <c r="A24" s="292">
        <v>18</v>
      </c>
      <c r="B24" s="311" t="s">
        <v>90</v>
      </c>
      <c r="C24" s="608">
        <v>1.7340337588023391E-2</v>
      </c>
      <c r="D24" s="608">
        <v>1.0965053083779857E-2</v>
      </c>
      <c r="E24" s="608">
        <v>-5.3964660075160306E-2</v>
      </c>
      <c r="F24" s="608">
        <v>1.3973286892726502E-2</v>
      </c>
      <c r="G24" s="608">
        <v>6.1857842881882031E-3</v>
      </c>
      <c r="H24" s="608">
        <v>2.3511763548205732E-2</v>
      </c>
      <c r="I24" s="608">
        <v>1.9370158674692654E-2</v>
      </c>
      <c r="J24" s="608">
        <v>3.1827258463229019E-3</v>
      </c>
      <c r="K24" s="608">
        <v>1.3392550174568274E-2</v>
      </c>
      <c r="L24" s="608">
        <v>4.9131184595377821E-3</v>
      </c>
      <c r="M24" s="608">
        <v>1.9161588385952631E-2</v>
      </c>
      <c r="N24" s="609">
        <v>7.677874727623166E-3</v>
      </c>
      <c r="O24" s="310" t="s">
        <v>73</v>
      </c>
      <c r="P24" s="707">
        <v>7.1424651328717325E-3</v>
      </c>
    </row>
    <row r="25" spans="1:16" x14ac:dyDescent="0.25">
      <c r="A25" s="292">
        <v>19</v>
      </c>
      <c r="B25" s="311" t="s">
        <v>91</v>
      </c>
      <c r="C25" s="600">
        <v>49223</v>
      </c>
      <c r="D25" s="600">
        <v>41670.100000000093</v>
      </c>
      <c r="E25" s="600">
        <v>-23878</v>
      </c>
      <c r="F25" s="600">
        <v>49311</v>
      </c>
      <c r="G25" s="600">
        <v>41727</v>
      </c>
      <c r="H25" s="600">
        <v>63989</v>
      </c>
      <c r="I25" s="600">
        <v>53303</v>
      </c>
      <c r="J25" s="600">
        <v>8975</v>
      </c>
      <c r="K25" s="600">
        <v>27244</v>
      </c>
      <c r="L25" s="600">
        <v>13367</v>
      </c>
      <c r="M25" s="600">
        <v>77895</v>
      </c>
      <c r="N25" s="601">
        <v>41931</v>
      </c>
      <c r="O25" s="602">
        <v>444757.10000000009</v>
      </c>
      <c r="P25" s="424" t="s">
        <v>73</v>
      </c>
    </row>
    <row r="26" spans="1:16" x14ac:dyDescent="0.25">
      <c r="A26" s="292">
        <v>20</v>
      </c>
      <c r="B26" s="311" t="s">
        <v>92</v>
      </c>
      <c r="C26" s="708">
        <v>3.8568734275109484E-2</v>
      </c>
      <c r="D26" s="708">
        <v>3.2535165729457895E-2</v>
      </c>
      <c r="E26" s="708">
        <v>-1.6469176334266755E-2</v>
      </c>
      <c r="F26" s="708">
        <v>3.5274500294007818E-2</v>
      </c>
      <c r="G26" s="708">
        <v>2.816668477978387E-2</v>
      </c>
      <c r="H26" s="708">
        <v>4.4606838149027786E-2</v>
      </c>
      <c r="I26" s="708">
        <v>3.9092317215199526E-2</v>
      </c>
      <c r="J26" s="708">
        <v>7.7072829745045658E-3</v>
      </c>
      <c r="K26" s="708">
        <v>2.4179255221428692E-2</v>
      </c>
      <c r="L26" s="708">
        <v>1.0983232227122101E-2</v>
      </c>
      <c r="M26" s="708">
        <v>6.3299316908584716E-2</v>
      </c>
      <c r="N26" s="708">
        <v>3.0584178152783036E-2</v>
      </c>
      <c r="O26" s="330" t="s">
        <v>73</v>
      </c>
      <c r="P26" s="709">
        <v>2.8210694132728562E-2</v>
      </c>
    </row>
    <row r="27" spans="1:16" x14ac:dyDescent="0.25">
      <c r="A27" s="292">
        <v>21</v>
      </c>
      <c r="B27" s="311" t="s">
        <v>93</v>
      </c>
      <c r="C27" s="312">
        <v>2488</v>
      </c>
      <c r="D27" s="312">
        <v>2895</v>
      </c>
      <c r="E27" s="312">
        <v>3061</v>
      </c>
      <c r="F27" s="312">
        <v>2942</v>
      </c>
      <c r="G27" s="312">
        <v>2614</v>
      </c>
      <c r="H27" s="312">
        <v>2608</v>
      </c>
      <c r="I27" s="312">
        <v>2395</v>
      </c>
      <c r="J27" s="312">
        <v>2110</v>
      </c>
      <c r="K27" s="312">
        <v>2260</v>
      </c>
      <c r="L27" s="312">
        <v>2241</v>
      </c>
      <c r="M27" s="312">
        <v>2540</v>
      </c>
      <c r="N27" s="312">
        <v>2662</v>
      </c>
      <c r="O27" s="307">
        <v>3061</v>
      </c>
      <c r="P27" s="421" t="s">
        <v>73</v>
      </c>
    </row>
    <row r="28" spans="1:16" x14ac:dyDescent="0.25">
      <c r="A28" s="292">
        <v>22</v>
      </c>
      <c r="B28" s="311" t="s">
        <v>31</v>
      </c>
      <c r="C28" s="312">
        <v>81556</v>
      </c>
      <c r="D28" s="312">
        <v>88573</v>
      </c>
      <c r="E28" s="312">
        <v>107663</v>
      </c>
      <c r="F28" s="312">
        <v>104500</v>
      </c>
      <c r="G28" s="312">
        <v>105434</v>
      </c>
      <c r="H28" s="312">
        <v>88964</v>
      </c>
      <c r="I28" s="312">
        <v>74347</v>
      </c>
      <c r="J28" s="312">
        <v>55517</v>
      </c>
      <c r="K28" s="312">
        <v>62727</v>
      </c>
      <c r="L28" s="312">
        <v>61965</v>
      </c>
      <c r="M28" s="312">
        <v>71153</v>
      </c>
      <c r="N28" s="313">
        <v>92676</v>
      </c>
      <c r="O28" s="314">
        <v>995075</v>
      </c>
      <c r="P28" s="422" t="s">
        <v>73</v>
      </c>
    </row>
    <row r="29" spans="1:16" x14ac:dyDescent="0.25">
      <c r="A29" s="292">
        <v>23</v>
      </c>
      <c r="B29" s="311" t="s">
        <v>94</v>
      </c>
      <c r="C29" s="613">
        <v>12.67695816371573</v>
      </c>
      <c r="D29" s="613">
        <v>12.891198220676731</v>
      </c>
      <c r="E29" s="613">
        <v>12.830628906866798</v>
      </c>
      <c r="F29" s="613">
        <v>12.707033492822967</v>
      </c>
      <c r="G29" s="613">
        <v>13.2359675247074</v>
      </c>
      <c r="H29" s="613">
        <v>12.853547502360506</v>
      </c>
      <c r="I29" s="613">
        <v>12.472729229155178</v>
      </c>
      <c r="J29" s="613">
        <v>11.648864311832412</v>
      </c>
      <c r="K29" s="613">
        <v>11.832990578219906</v>
      </c>
      <c r="L29" s="613">
        <v>11.903042039861212</v>
      </c>
      <c r="M29" s="613">
        <v>11.999803240903406</v>
      </c>
      <c r="N29" s="614">
        <v>12.119772109283957</v>
      </c>
      <c r="O29" s="310" t="s">
        <v>73</v>
      </c>
      <c r="P29" s="615">
        <v>12.431044610033851</v>
      </c>
    </row>
    <row r="30" spans="1:16" ht="15.75" thickBot="1" x14ac:dyDescent="0.3">
      <c r="A30" s="292">
        <v>24</v>
      </c>
      <c r="B30" s="334" t="s">
        <v>33</v>
      </c>
      <c r="C30" s="335">
        <v>3047</v>
      </c>
      <c r="D30" s="335">
        <v>3055</v>
      </c>
      <c r="E30" s="335">
        <v>3066</v>
      </c>
      <c r="F30" s="335">
        <v>3069</v>
      </c>
      <c r="G30" s="335">
        <v>3092</v>
      </c>
      <c r="H30" s="335">
        <v>3093</v>
      </c>
      <c r="I30" s="335">
        <v>3113</v>
      </c>
      <c r="J30" s="335">
        <v>3134</v>
      </c>
      <c r="K30" s="335">
        <v>3135</v>
      </c>
      <c r="L30" s="335">
        <v>3150</v>
      </c>
      <c r="M30" s="335">
        <v>3169</v>
      </c>
      <c r="N30" s="336">
        <v>3163</v>
      </c>
      <c r="O30" s="337" t="s">
        <v>73</v>
      </c>
      <c r="P30" s="337" t="s">
        <v>73</v>
      </c>
    </row>
    <row r="31" spans="1:16" ht="10.5" customHeight="1" x14ac:dyDescent="0.25">
      <c r="A31" s="292"/>
      <c r="B31" s="339"/>
      <c r="C31" s="340"/>
      <c r="D31" s="340"/>
      <c r="E31" s="340"/>
      <c r="F31" s="340"/>
      <c r="G31" s="340"/>
      <c r="H31" s="340"/>
      <c r="I31" s="341"/>
      <c r="J31" s="341"/>
      <c r="K31" s="342"/>
      <c r="L31" s="342"/>
      <c r="M31" s="342"/>
      <c r="N31" s="342"/>
      <c r="O31" s="342"/>
    </row>
    <row r="32" spans="1:16" ht="12.75" customHeight="1" thickBot="1" x14ac:dyDescent="0.3">
      <c r="A32" s="343"/>
      <c r="B32" s="344"/>
      <c r="C32" s="345"/>
      <c r="D32" s="345"/>
      <c r="E32" s="345"/>
      <c r="F32" s="345"/>
      <c r="G32" s="345"/>
      <c r="H32" s="345"/>
      <c r="I32" s="341"/>
      <c r="J32" s="341"/>
      <c r="K32" s="341"/>
      <c r="L32" s="341"/>
      <c r="M32" s="341"/>
      <c r="N32" s="341"/>
      <c r="O32" s="341"/>
    </row>
    <row r="33" spans="1:21" ht="15.75" thickBot="1" x14ac:dyDescent="0.3">
      <c r="B33" s="744" t="s">
        <v>34</v>
      </c>
      <c r="C33" s="745"/>
      <c r="D33" s="745"/>
      <c r="E33" s="745"/>
      <c r="F33" s="745"/>
      <c r="G33" s="745"/>
      <c r="H33" s="745"/>
      <c r="I33" s="745"/>
      <c r="J33" s="745"/>
      <c r="K33" s="745"/>
      <c r="L33" s="745"/>
      <c r="M33" s="745"/>
      <c r="N33" s="745"/>
      <c r="O33" s="745"/>
      <c r="P33" s="746"/>
    </row>
    <row r="34" spans="1:21" ht="15.75" thickBot="1" x14ac:dyDescent="0.3">
      <c r="B34" s="346" t="s">
        <v>57</v>
      </c>
      <c r="C34" s="347" t="s">
        <v>58</v>
      </c>
      <c r="D34" s="347" t="s">
        <v>59</v>
      </c>
      <c r="E34" s="347" t="s">
        <v>60</v>
      </c>
      <c r="F34" s="347" t="s">
        <v>61</v>
      </c>
      <c r="G34" s="347" t="s">
        <v>62</v>
      </c>
      <c r="H34" s="347" t="s">
        <v>63</v>
      </c>
      <c r="I34" s="348" t="s">
        <v>64</v>
      </c>
      <c r="J34" s="348" t="s">
        <v>65</v>
      </c>
      <c r="K34" s="347" t="s">
        <v>66</v>
      </c>
      <c r="L34" s="347" t="s">
        <v>67</v>
      </c>
      <c r="M34" s="347" t="s">
        <v>68</v>
      </c>
      <c r="N34" s="349" t="s">
        <v>69</v>
      </c>
      <c r="O34" s="350" t="s">
        <v>70</v>
      </c>
      <c r="P34" s="351" t="s">
        <v>71</v>
      </c>
      <c r="R34" s="287">
        <f>(O38/14)</f>
        <v>210511.6782487444</v>
      </c>
    </row>
    <row r="35" spans="1:21" x14ac:dyDescent="0.25">
      <c r="A35" s="286">
        <v>1</v>
      </c>
      <c r="B35" s="309" t="s">
        <v>72</v>
      </c>
      <c r="C35" s="600">
        <v>2652798</v>
      </c>
      <c r="D35" s="600">
        <v>2672951.15</v>
      </c>
      <c r="E35" s="600">
        <v>3074631.37</v>
      </c>
      <c r="F35" s="600">
        <v>2960423.7710000002</v>
      </c>
      <c r="G35" s="600">
        <v>2859805.6</v>
      </c>
      <c r="H35" s="600">
        <v>2835069.8699999996</v>
      </c>
      <c r="I35" s="600">
        <v>2828269.24</v>
      </c>
      <c r="J35" s="600">
        <v>2486190.35</v>
      </c>
      <c r="K35" s="600">
        <v>2346035.8126464845</v>
      </c>
      <c r="L35" s="600">
        <v>2529214.75</v>
      </c>
      <c r="M35" s="600">
        <v>2615690.2416992187</v>
      </c>
      <c r="N35" s="600">
        <v>3013710.6401367188</v>
      </c>
      <c r="O35" s="624">
        <v>32874790.795482427</v>
      </c>
      <c r="P35" s="625" t="s">
        <v>73</v>
      </c>
      <c r="Q35" s="353"/>
      <c r="U35" s="303"/>
    </row>
    <row r="36" spans="1:21" x14ac:dyDescent="0.25">
      <c r="A36" s="286">
        <v>2</v>
      </c>
      <c r="B36" s="469" t="s">
        <v>74</v>
      </c>
      <c r="C36" s="305">
        <v>2336318</v>
      </c>
      <c r="D36" s="305">
        <v>2314861</v>
      </c>
      <c r="E36" s="305">
        <v>2743225</v>
      </c>
      <c r="F36" s="305">
        <v>2650753</v>
      </c>
      <c r="G36" s="305">
        <v>2704473</v>
      </c>
      <c r="H36" s="305">
        <v>2663639</v>
      </c>
      <c r="I36" s="305">
        <v>2239042</v>
      </c>
      <c r="J36" s="305">
        <v>1888255</v>
      </c>
      <c r="K36" s="305">
        <v>1833459</v>
      </c>
      <c r="L36" s="305">
        <v>2023347</v>
      </c>
      <c r="M36" s="305">
        <v>2048264</v>
      </c>
      <c r="N36" s="306">
        <v>2446907</v>
      </c>
      <c r="O36" s="307">
        <v>27892543</v>
      </c>
      <c r="P36" s="421" t="s">
        <v>73</v>
      </c>
      <c r="Q36" s="354"/>
      <c r="U36" s="303"/>
    </row>
    <row r="37" spans="1:21" x14ac:dyDescent="0.25">
      <c r="A37" s="286">
        <v>3</v>
      </c>
      <c r="B37" s="309" t="s">
        <v>75</v>
      </c>
      <c r="C37" s="595">
        <v>0.88069954817517204</v>
      </c>
      <c r="D37" s="595">
        <v>0.8660319138267828</v>
      </c>
      <c r="E37" s="595">
        <v>0.89221264921914845</v>
      </c>
      <c r="F37" s="595">
        <v>0.89539647193975991</v>
      </c>
      <c r="G37" s="608">
        <v>0.94568421014351467</v>
      </c>
      <c r="H37" s="595">
        <v>0.93953204758230535</v>
      </c>
      <c r="I37" s="595">
        <v>0.79166508206976782</v>
      </c>
      <c r="J37" s="595">
        <v>0.75949735707082922</v>
      </c>
      <c r="K37" s="595">
        <v>0.7815136453231446</v>
      </c>
      <c r="L37" s="595">
        <v>0.79999019458509801</v>
      </c>
      <c r="M37" s="595">
        <v>0.78306825760430854</v>
      </c>
      <c r="N37" s="596">
        <v>0.81192499618642711</v>
      </c>
      <c r="O37" s="355" t="s">
        <v>73</v>
      </c>
      <c r="P37" s="628">
        <v>0.84560136447718814</v>
      </c>
      <c r="Q37" s="353"/>
      <c r="U37" s="303"/>
    </row>
    <row r="38" spans="1:21" x14ac:dyDescent="0.25">
      <c r="A38" s="286">
        <v>4</v>
      </c>
      <c r="B38" s="469" t="s">
        <v>76</v>
      </c>
      <c r="C38" s="305">
        <v>111564.1</v>
      </c>
      <c r="D38" s="305">
        <v>158336.55000000002</v>
      </c>
      <c r="E38" s="305">
        <v>94888.97</v>
      </c>
      <c r="F38" s="357">
        <v>95174.770999999993</v>
      </c>
      <c r="G38" s="305">
        <v>0</v>
      </c>
      <c r="H38" s="305">
        <v>17714.57</v>
      </c>
      <c r="I38" s="305">
        <v>445449.04000000004</v>
      </c>
      <c r="J38" s="305">
        <v>432761.65</v>
      </c>
      <c r="K38" s="305">
        <v>359599.21264648437</v>
      </c>
      <c r="L38" s="305">
        <v>352445.75</v>
      </c>
      <c r="M38" s="305">
        <v>440185.24169921875</v>
      </c>
      <c r="N38" s="305">
        <v>439043.64013671852</v>
      </c>
      <c r="O38" s="307">
        <v>2947163.4954824215</v>
      </c>
      <c r="P38" s="421" t="s">
        <v>73</v>
      </c>
      <c r="Q38" s="353"/>
      <c r="U38" s="303"/>
    </row>
    <row r="39" spans="1:21" x14ac:dyDescent="0.25">
      <c r="A39" s="286">
        <v>5</v>
      </c>
      <c r="B39" s="309" t="s">
        <v>152</v>
      </c>
      <c r="C39" s="595">
        <v>4.205525637459015E-2</v>
      </c>
      <c r="D39" s="595">
        <v>5.9236604454967319E-2</v>
      </c>
      <c r="E39" s="595">
        <v>3.0861901340712594E-2</v>
      </c>
      <c r="F39" s="595">
        <v>3.2149036206343851E-2</v>
      </c>
      <c r="G39" s="595">
        <v>0</v>
      </c>
      <c r="H39" s="595">
        <v>6.2483715789339615E-3</v>
      </c>
      <c r="I39" s="595">
        <v>0.15749881012035474</v>
      </c>
      <c r="J39" s="595">
        <v>0.17406617719355238</v>
      </c>
      <c r="K39" s="595">
        <v>0.15327950694871642</v>
      </c>
      <c r="L39" s="595">
        <v>0.13934987133852514</v>
      </c>
      <c r="M39" s="595">
        <v>0.16828645635549844</v>
      </c>
      <c r="N39" s="595">
        <v>0.14568208184605308</v>
      </c>
      <c r="O39" s="355" t="s">
        <v>73</v>
      </c>
      <c r="P39" s="628">
        <v>9.2392839479854008E-2</v>
      </c>
      <c r="Q39" s="353"/>
      <c r="U39" s="303"/>
    </row>
    <row r="40" spans="1:21" x14ac:dyDescent="0.25">
      <c r="A40" s="286">
        <v>6</v>
      </c>
      <c r="B40" s="469" t="s">
        <v>153</v>
      </c>
      <c r="C40" s="305">
        <v>203407.9</v>
      </c>
      <c r="D40" s="305">
        <v>198245.6</v>
      </c>
      <c r="E40" s="305">
        <v>234197.4</v>
      </c>
      <c r="F40" s="305">
        <v>212176</v>
      </c>
      <c r="G40" s="305">
        <v>153012.6</v>
      </c>
      <c r="H40" s="305">
        <v>151396.29999999999</v>
      </c>
      <c r="I40" s="305">
        <v>141458.20000000001</v>
      </c>
      <c r="J40" s="305">
        <v>162853.70000000001</v>
      </c>
      <c r="K40" s="305">
        <v>150657.60000000001</v>
      </c>
      <c r="L40" s="305">
        <v>151102</v>
      </c>
      <c r="M40" s="305">
        <v>125733</v>
      </c>
      <c r="N40" s="305">
        <v>126252</v>
      </c>
      <c r="O40" s="307">
        <v>2010492.3</v>
      </c>
      <c r="P40" s="421" t="s">
        <v>73</v>
      </c>
      <c r="Q40" s="353"/>
      <c r="U40" s="303"/>
    </row>
    <row r="41" spans="1:21" x14ac:dyDescent="0.25">
      <c r="A41" s="286">
        <v>7</v>
      </c>
      <c r="B41" s="309" t="s">
        <v>154</v>
      </c>
      <c r="C41" s="595">
        <v>7.667673905061749E-2</v>
      </c>
      <c r="D41" s="595">
        <v>7.4167311288124371E-2</v>
      </c>
      <c r="E41" s="595">
        <v>7.6170887438776105E-2</v>
      </c>
      <c r="F41" s="595">
        <v>7.1670820265143723E-2</v>
      </c>
      <c r="G41" s="608">
        <v>5.3504545903399869E-2</v>
      </c>
      <c r="H41" s="608">
        <v>5.3401258855041905E-2</v>
      </c>
      <c r="I41" s="608">
        <v>5.0015818154568625E-2</v>
      </c>
      <c r="J41" s="595">
        <v>6.5503311120164234E-2</v>
      </c>
      <c r="K41" s="595">
        <v>6.4217945518081507E-2</v>
      </c>
      <c r="L41" s="595">
        <v>5.9742653327480397E-2</v>
      </c>
      <c r="M41" s="595">
        <v>4.8068765175466897E-2</v>
      </c>
      <c r="N41" s="595">
        <v>4.1892542143419746E-2</v>
      </c>
      <c r="O41" s="355" t="s">
        <v>73</v>
      </c>
      <c r="P41" s="628">
        <v>6.1252716520023731E-2</v>
      </c>
      <c r="Q41" s="353">
        <f>P41+P39</f>
        <v>0.15364555599987773</v>
      </c>
      <c r="U41" s="303"/>
    </row>
    <row r="42" spans="1:21" x14ac:dyDescent="0.25">
      <c r="A42" s="292"/>
      <c r="B42" s="470" t="s">
        <v>155</v>
      </c>
      <c r="C42" s="305">
        <v>1508</v>
      </c>
      <c r="D42" s="305">
        <v>1508</v>
      </c>
      <c r="E42" s="305">
        <v>2320</v>
      </c>
      <c r="F42" s="305">
        <v>2320</v>
      </c>
      <c r="G42" s="305">
        <v>2320</v>
      </c>
      <c r="H42" s="305">
        <v>2320</v>
      </c>
      <c r="I42" s="305">
        <v>2320</v>
      </c>
      <c r="J42" s="305">
        <v>2320</v>
      </c>
      <c r="K42" s="305">
        <v>2320</v>
      </c>
      <c r="L42" s="305">
        <v>2320</v>
      </c>
      <c r="M42" s="305">
        <v>1508</v>
      </c>
      <c r="N42" s="305">
        <v>1508</v>
      </c>
      <c r="O42" s="307">
        <v>24592</v>
      </c>
      <c r="P42" s="629"/>
      <c r="U42" s="303"/>
    </row>
    <row r="43" spans="1:21" x14ac:dyDescent="0.25">
      <c r="A43" s="286">
        <v>8</v>
      </c>
      <c r="B43" s="311" t="s">
        <v>156</v>
      </c>
      <c r="C43" s="317">
        <v>50445.590000000011</v>
      </c>
      <c r="D43" s="317">
        <v>56461.999999999993</v>
      </c>
      <c r="E43" s="317">
        <v>60547.310000000005</v>
      </c>
      <c r="F43" s="358">
        <v>45083.32</v>
      </c>
      <c r="G43" s="317">
        <v>11699.519999999997</v>
      </c>
      <c r="H43" s="317">
        <v>25559.999999999996</v>
      </c>
      <c r="I43" s="317">
        <v>68991.249999999971</v>
      </c>
      <c r="J43" s="317">
        <v>52217.950000000026</v>
      </c>
      <c r="K43" s="317">
        <v>49896.05</v>
      </c>
      <c r="L43" s="317">
        <v>49487.720000000008</v>
      </c>
      <c r="M43" s="317">
        <v>53484.05</v>
      </c>
      <c r="N43" s="317">
        <v>61391.299999999967</v>
      </c>
      <c r="O43" s="318">
        <v>585266.05999999994</v>
      </c>
      <c r="P43" s="423" t="s">
        <v>73</v>
      </c>
      <c r="Q43" s="353"/>
      <c r="U43" s="303"/>
    </row>
    <row r="44" spans="1:21" x14ac:dyDescent="0.25">
      <c r="A44" s="286">
        <v>9</v>
      </c>
      <c r="B44" s="311" t="s">
        <v>157</v>
      </c>
      <c r="C44" s="317">
        <v>53001</v>
      </c>
      <c r="D44" s="317">
        <v>52146.520000000004</v>
      </c>
      <c r="E44" s="317">
        <v>59703</v>
      </c>
      <c r="F44" s="317">
        <v>57116</v>
      </c>
      <c r="G44" s="317">
        <v>59301.52</v>
      </c>
      <c r="H44" s="317">
        <v>59994.630000000005</v>
      </c>
      <c r="I44" s="317">
        <v>58427.109999999993</v>
      </c>
      <c r="J44" s="317">
        <v>60088.66</v>
      </c>
      <c r="K44" s="317">
        <v>58341.3</v>
      </c>
      <c r="L44" s="317">
        <v>61444.04</v>
      </c>
      <c r="M44" s="317">
        <v>60364</v>
      </c>
      <c r="N44" s="317">
        <v>60617.919999999998</v>
      </c>
      <c r="O44" s="318">
        <v>700545.70000000007</v>
      </c>
      <c r="P44" s="423" t="s">
        <v>73</v>
      </c>
      <c r="Q44" s="353"/>
      <c r="U44" s="303"/>
    </row>
    <row r="45" spans="1:21" x14ac:dyDescent="0.25">
      <c r="A45" s="286">
        <v>11</v>
      </c>
      <c r="B45" s="311" t="s">
        <v>81</v>
      </c>
      <c r="C45" s="630">
        <v>2549351.41</v>
      </c>
      <c r="D45" s="630">
        <v>2564342.63</v>
      </c>
      <c r="E45" s="630">
        <v>2954381.06</v>
      </c>
      <c r="F45" s="630">
        <v>2858224.4510000004</v>
      </c>
      <c r="G45" s="630">
        <v>2788804.56</v>
      </c>
      <c r="H45" s="630">
        <v>2749515.2399999998</v>
      </c>
      <c r="I45" s="630">
        <v>2700850.8800000004</v>
      </c>
      <c r="J45" s="630">
        <v>2373883.7399999998</v>
      </c>
      <c r="K45" s="630">
        <v>2237798.4626464848</v>
      </c>
      <c r="L45" s="630">
        <v>2418282.9899999998</v>
      </c>
      <c r="M45" s="630">
        <v>2501842.1916992189</v>
      </c>
      <c r="N45" s="630">
        <v>2891701.420136719</v>
      </c>
      <c r="O45" s="602">
        <v>31588979.035482418</v>
      </c>
      <c r="P45" s="631" t="s">
        <v>73</v>
      </c>
      <c r="Q45" s="353"/>
      <c r="U45" s="303"/>
    </row>
    <row r="46" spans="1:21" x14ac:dyDescent="0.25">
      <c r="A46" s="286">
        <v>12</v>
      </c>
      <c r="B46" s="311" t="s">
        <v>82</v>
      </c>
      <c r="C46" s="600">
        <v>2495150</v>
      </c>
      <c r="D46" s="600">
        <v>2461900</v>
      </c>
      <c r="E46" s="600">
        <v>2829050</v>
      </c>
      <c r="F46" s="600">
        <v>2677016.91</v>
      </c>
      <c r="G46" s="600">
        <v>2767100</v>
      </c>
      <c r="H46" s="600">
        <v>2698344.1935483874</v>
      </c>
      <c r="I46" s="600">
        <v>2592429</v>
      </c>
      <c r="J46" s="600">
        <v>2247114</v>
      </c>
      <c r="K46" s="600">
        <v>2123610</v>
      </c>
      <c r="L46" s="600">
        <v>2291577</v>
      </c>
      <c r="M46" s="600">
        <v>2378719</v>
      </c>
      <c r="N46" s="601">
        <v>2749630</v>
      </c>
      <c r="O46" s="602">
        <v>30311640.103548385</v>
      </c>
      <c r="P46" s="631" t="s">
        <v>73</v>
      </c>
      <c r="Q46" s="353"/>
      <c r="U46" s="303"/>
    </row>
    <row r="47" spans="1:21" x14ac:dyDescent="0.25">
      <c r="A47" s="286">
        <v>13</v>
      </c>
      <c r="B47" s="311" t="s">
        <v>96</v>
      </c>
      <c r="C47" s="305">
        <v>931350</v>
      </c>
      <c r="D47" s="305">
        <v>941850</v>
      </c>
      <c r="E47" s="305">
        <v>1085700</v>
      </c>
      <c r="F47" s="305">
        <v>888962.86</v>
      </c>
      <c r="G47" s="305">
        <v>1071000</v>
      </c>
      <c r="H47" s="305">
        <v>1021980.9677419355</v>
      </c>
      <c r="I47" s="305">
        <v>971946</v>
      </c>
      <c r="J47" s="305">
        <v>808848</v>
      </c>
      <c r="K47" s="305">
        <v>759275</v>
      </c>
      <c r="L47" s="305">
        <v>823446</v>
      </c>
      <c r="M47" s="305">
        <v>871412</v>
      </c>
      <c r="N47" s="305">
        <v>1017138</v>
      </c>
      <c r="O47" s="307">
        <v>11192908.827741936</v>
      </c>
      <c r="P47" s="421" t="s">
        <v>73</v>
      </c>
      <c r="Q47" s="353"/>
      <c r="U47" s="303"/>
    </row>
    <row r="48" spans="1:21" x14ac:dyDescent="0.25">
      <c r="A48" s="286">
        <v>14</v>
      </c>
      <c r="B48" s="311" t="s">
        <v>97</v>
      </c>
      <c r="C48" s="305">
        <v>1087800</v>
      </c>
      <c r="D48" s="305">
        <v>1071000</v>
      </c>
      <c r="E48" s="305">
        <v>1234800</v>
      </c>
      <c r="F48" s="305">
        <v>1297354.05</v>
      </c>
      <c r="G48" s="305">
        <v>1205400</v>
      </c>
      <c r="H48" s="305">
        <v>1178536.4516129033</v>
      </c>
      <c r="I48" s="305">
        <v>1105389</v>
      </c>
      <c r="J48" s="305">
        <v>949585</v>
      </c>
      <c r="K48" s="305">
        <v>902369</v>
      </c>
      <c r="L48" s="305">
        <v>982702</v>
      </c>
      <c r="M48" s="305">
        <v>1025109</v>
      </c>
      <c r="N48" s="305">
        <v>1195754</v>
      </c>
      <c r="O48" s="307">
        <v>13235798.501612904</v>
      </c>
      <c r="P48" s="421" t="s">
        <v>73</v>
      </c>
      <c r="Q48" s="353"/>
      <c r="U48" s="303"/>
    </row>
    <row r="49" spans="1:21" x14ac:dyDescent="0.25">
      <c r="A49" s="286">
        <v>15</v>
      </c>
      <c r="B49" s="311" t="s">
        <v>98</v>
      </c>
      <c r="C49" s="305">
        <v>476000</v>
      </c>
      <c r="D49" s="305">
        <v>449050</v>
      </c>
      <c r="E49" s="305">
        <v>508550</v>
      </c>
      <c r="F49" s="305">
        <v>490700</v>
      </c>
      <c r="G49" s="305">
        <v>490700</v>
      </c>
      <c r="H49" s="305">
        <v>497826.77419354842</v>
      </c>
      <c r="I49" s="305">
        <v>515094</v>
      </c>
      <c r="J49" s="305">
        <v>488681</v>
      </c>
      <c r="K49" s="305">
        <v>461966</v>
      </c>
      <c r="L49" s="305">
        <v>485429</v>
      </c>
      <c r="M49" s="305">
        <v>482198</v>
      </c>
      <c r="N49" s="305">
        <v>536738</v>
      </c>
      <c r="O49" s="307">
        <v>5882932.7741935486</v>
      </c>
      <c r="P49" s="421" t="s">
        <v>73</v>
      </c>
      <c r="Q49" s="353"/>
      <c r="U49" s="326"/>
    </row>
    <row r="50" spans="1:21" x14ac:dyDescent="0.25">
      <c r="A50" s="286">
        <v>16</v>
      </c>
      <c r="B50" s="311" t="s">
        <v>86</v>
      </c>
      <c r="C50" s="600">
        <v>54201.410000000149</v>
      </c>
      <c r="D50" s="600">
        <v>102442.62999999989</v>
      </c>
      <c r="E50" s="600">
        <v>125331.06000000006</v>
      </c>
      <c r="F50" s="600">
        <v>181207.5410000002</v>
      </c>
      <c r="G50" s="600">
        <v>21704.560000000056</v>
      </c>
      <c r="H50" s="600">
        <v>51171.046451612376</v>
      </c>
      <c r="I50" s="600">
        <v>108421.88000000035</v>
      </c>
      <c r="J50" s="600">
        <v>126769.73999999976</v>
      </c>
      <c r="K50" s="600">
        <v>114188.46264648484</v>
      </c>
      <c r="L50" s="600">
        <v>126705.98999999976</v>
      </c>
      <c r="M50" s="600">
        <v>123123.19169921894</v>
      </c>
      <c r="N50" s="601">
        <v>142071.42013671901</v>
      </c>
      <c r="O50" s="602">
        <v>1277338.9319340354</v>
      </c>
      <c r="P50" s="631" t="s">
        <v>73</v>
      </c>
      <c r="Q50" s="353"/>
    </row>
    <row r="51" spans="1:21" x14ac:dyDescent="0.25">
      <c r="A51" s="286">
        <v>17</v>
      </c>
      <c r="B51" s="311" t="s">
        <v>87</v>
      </c>
      <c r="C51" s="632">
        <v>2.1260862581514467E-2</v>
      </c>
      <c r="D51" s="632">
        <v>3.9948885457634767E-2</v>
      </c>
      <c r="E51" s="632">
        <v>4.2422103802682805E-2</v>
      </c>
      <c r="F51" s="632">
        <v>6.3398639297414711E-2</v>
      </c>
      <c r="G51" s="632">
        <v>7.7827468842062049E-3</v>
      </c>
      <c r="H51" s="632">
        <v>1.8610933922887579E-2</v>
      </c>
      <c r="I51" s="632">
        <v>4.0143600967707013E-2</v>
      </c>
      <c r="J51" s="632">
        <v>5.340183171733582E-2</v>
      </c>
      <c r="K51" s="632">
        <v>5.1027143218001086E-2</v>
      </c>
      <c r="L51" s="632">
        <v>5.2395021808427714E-2</v>
      </c>
      <c r="M51" s="632">
        <v>4.9213012758248853E-2</v>
      </c>
      <c r="N51" s="633">
        <v>4.9130736371116042E-2</v>
      </c>
      <c r="O51" s="355" t="s">
        <v>73</v>
      </c>
      <c r="P51" s="710">
        <v>4.0727959898931423E-2</v>
      </c>
      <c r="Q51" s="353"/>
    </row>
    <row r="52" spans="1:21" x14ac:dyDescent="0.25">
      <c r="A52" s="286">
        <v>18</v>
      </c>
      <c r="B52" s="311" t="s">
        <v>88</v>
      </c>
      <c r="C52" s="317">
        <v>2295499</v>
      </c>
      <c r="D52" s="317">
        <v>2176842</v>
      </c>
      <c r="E52" s="317">
        <v>2603645</v>
      </c>
      <c r="F52" s="317">
        <v>2636504</v>
      </c>
      <c r="G52" s="317">
        <v>2580726</v>
      </c>
      <c r="H52" s="317">
        <v>2371981</v>
      </c>
      <c r="I52" s="317">
        <v>2459994</v>
      </c>
      <c r="J52" s="317">
        <v>2216477</v>
      </c>
      <c r="K52" s="317">
        <v>2150166</v>
      </c>
      <c r="L52" s="317">
        <v>2088373</v>
      </c>
      <c r="M52" s="317">
        <v>1993619</v>
      </c>
      <c r="N52" s="317">
        <v>2465304</v>
      </c>
      <c r="O52" s="318">
        <v>28039130</v>
      </c>
      <c r="P52" s="423" t="s">
        <v>73</v>
      </c>
      <c r="Q52" s="353"/>
    </row>
    <row r="53" spans="1:21" x14ac:dyDescent="0.25">
      <c r="B53" s="311"/>
      <c r="C53" s="610">
        <v>-1085</v>
      </c>
      <c r="D53" s="610">
        <v>-4689</v>
      </c>
      <c r="E53" s="610">
        <v>-4371</v>
      </c>
      <c r="F53" s="610">
        <v>-11186</v>
      </c>
      <c r="G53" s="610">
        <v>7648</v>
      </c>
      <c r="H53" s="610">
        <v>3029</v>
      </c>
      <c r="I53" s="610">
        <v>-1693</v>
      </c>
      <c r="J53" s="610">
        <v>-18000310</v>
      </c>
      <c r="K53" s="610">
        <v>-85778</v>
      </c>
      <c r="L53" s="610">
        <v>-2492</v>
      </c>
      <c r="M53" s="610"/>
      <c r="N53" s="610"/>
      <c r="O53" s="611">
        <v>-18100927</v>
      </c>
      <c r="P53" s="711"/>
      <c r="Q53" s="353"/>
    </row>
    <row r="54" spans="1:21" x14ac:dyDescent="0.25">
      <c r="A54" s="286">
        <v>19</v>
      </c>
      <c r="B54" s="311" t="s">
        <v>89</v>
      </c>
      <c r="C54" s="600">
        <v>199651</v>
      </c>
      <c r="D54" s="600">
        <v>285058</v>
      </c>
      <c r="E54" s="600">
        <v>225405</v>
      </c>
      <c r="F54" s="600">
        <v>40512.910000000149</v>
      </c>
      <c r="G54" s="600">
        <v>186374</v>
      </c>
      <c r="H54" s="600">
        <v>326363.19354838738</v>
      </c>
      <c r="I54" s="600">
        <v>132435</v>
      </c>
      <c r="J54" s="600">
        <v>30637</v>
      </c>
      <c r="K54" s="600">
        <v>-26556</v>
      </c>
      <c r="L54" s="600">
        <v>203204</v>
      </c>
      <c r="M54" s="600">
        <v>385100</v>
      </c>
      <c r="N54" s="600">
        <v>284326</v>
      </c>
      <c r="O54" s="602">
        <v>2272510.1035483875</v>
      </c>
      <c r="P54" s="631" t="s">
        <v>73</v>
      </c>
      <c r="Q54" s="353"/>
    </row>
    <row r="55" spans="1:21" x14ac:dyDescent="0.25">
      <c r="A55" s="286">
        <v>20</v>
      </c>
      <c r="B55" s="311" t="s">
        <v>90</v>
      </c>
      <c r="C55" s="632">
        <v>8.0015630322826284E-2</v>
      </c>
      <c r="D55" s="632">
        <v>0.11578780616596937</v>
      </c>
      <c r="E55" s="632">
        <v>7.9675155971085695E-2</v>
      </c>
      <c r="F55" s="632">
        <v>1.5133602574068218E-2</v>
      </c>
      <c r="G55" s="632">
        <v>6.7353547034801772E-2</v>
      </c>
      <c r="H55" s="632">
        <v>0.12094943051694675</v>
      </c>
      <c r="I55" s="632">
        <v>5.1085294910680291E-2</v>
      </c>
      <c r="J55" s="632">
        <v>1.3633932234857689E-2</v>
      </c>
      <c r="K55" s="632">
        <v>-1.2505120996793196E-2</v>
      </c>
      <c r="L55" s="632">
        <v>8.8674305947389065E-2</v>
      </c>
      <c r="M55" s="632">
        <v>0.1618938596782554</v>
      </c>
      <c r="N55" s="633">
        <v>0.10340518542494809</v>
      </c>
      <c r="O55" s="355" t="s">
        <v>73</v>
      </c>
      <c r="P55" s="710">
        <v>7.3758552482086293E-2</v>
      </c>
      <c r="Q55" s="353"/>
    </row>
    <row r="56" spans="1:21" x14ac:dyDescent="0.25">
      <c r="A56" s="286">
        <v>21</v>
      </c>
      <c r="B56" s="311" t="s">
        <v>91</v>
      </c>
      <c r="C56" s="600">
        <v>253852.41000000015</v>
      </c>
      <c r="D56" s="600">
        <v>387500.62999999989</v>
      </c>
      <c r="E56" s="600">
        <v>350736.06000000006</v>
      </c>
      <c r="F56" s="600">
        <v>221720.45100000035</v>
      </c>
      <c r="G56" s="600">
        <v>208078.56000000006</v>
      </c>
      <c r="H56" s="600">
        <v>377534.23999999976</v>
      </c>
      <c r="I56" s="600">
        <v>240856.88000000035</v>
      </c>
      <c r="J56" s="600">
        <v>157406.73999999976</v>
      </c>
      <c r="K56" s="600">
        <v>87632.462646484841</v>
      </c>
      <c r="L56" s="600">
        <v>329909.98999999976</v>
      </c>
      <c r="M56" s="600">
        <v>508223.19169921894</v>
      </c>
      <c r="N56" s="601">
        <v>426397.42013671901</v>
      </c>
      <c r="O56" s="602">
        <v>3549849.0354824229</v>
      </c>
      <c r="P56" s="631" t="s">
        <v>73</v>
      </c>
      <c r="Q56" s="353"/>
    </row>
    <row r="57" spans="1:21" x14ac:dyDescent="0.25">
      <c r="A57" s="286">
        <v>22</v>
      </c>
      <c r="B57" s="311" t="s">
        <v>92</v>
      </c>
      <c r="C57" s="708">
        <v>9.9575291583673883E-2</v>
      </c>
      <c r="D57" s="708">
        <v>0.151111097817689</v>
      </c>
      <c r="E57" s="708">
        <v>0.11871727203666817</v>
      </c>
      <c r="F57" s="708">
        <v>7.757279206061915E-2</v>
      </c>
      <c r="G57" s="708">
        <v>7.4612098310682648E-2</v>
      </c>
      <c r="H57" s="708">
        <v>0.13730938258047254</v>
      </c>
      <c r="I57" s="708">
        <v>8.9178148184175327E-2</v>
      </c>
      <c r="J57" s="708">
        <v>6.6307686997342075E-2</v>
      </c>
      <c r="K57" s="708">
        <v>3.916012282126969E-2</v>
      </c>
      <c r="L57" s="708">
        <v>0.13642323556185615</v>
      </c>
      <c r="M57" s="708">
        <v>0.20313958785467612</v>
      </c>
      <c r="N57" s="708">
        <v>0.14745554889154464</v>
      </c>
      <c r="O57" s="364" t="s">
        <v>73</v>
      </c>
      <c r="P57" s="712">
        <v>0.11171352205838909</v>
      </c>
      <c r="Q57" s="353"/>
    </row>
    <row r="58" spans="1:21" x14ac:dyDescent="0.25">
      <c r="A58" s="286">
        <v>23</v>
      </c>
      <c r="B58" s="311" t="s">
        <v>93</v>
      </c>
      <c r="C58" s="305">
        <v>4868</v>
      </c>
      <c r="D58" s="305">
        <v>5344</v>
      </c>
      <c r="E58" s="305">
        <v>5436</v>
      </c>
      <c r="F58" s="305">
        <v>5438</v>
      </c>
      <c r="G58" s="305">
        <v>5178</v>
      </c>
      <c r="H58" s="305">
        <v>5325</v>
      </c>
      <c r="I58" s="305">
        <v>4823</v>
      </c>
      <c r="J58" s="305">
        <v>4390</v>
      </c>
      <c r="K58" s="305">
        <v>4217</v>
      </c>
      <c r="L58" s="305">
        <v>4466</v>
      </c>
      <c r="M58" s="305">
        <v>4549</v>
      </c>
      <c r="N58" s="305">
        <v>6194</v>
      </c>
      <c r="O58" s="307">
        <v>6194</v>
      </c>
      <c r="P58" s="421" t="s">
        <v>73</v>
      </c>
      <c r="Q58" s="353"/>
    </row>
    <row r="59" spans="1:21" x14ac:dyDescent="0.25">
      <c r="A59" s="286">
        <v>24</v>
      </c>
      <c r="B59" s="311" t="s">
        <v>31</v>
      </c>
      <c r="C59" s="305">
        <v>168330</v>
      </c>
      <c r="D59" s="305">
        <v>159288</v>
      </c>
      <c r="E59" s="305">
        <v>190997</v>
      </c>
      <c r="F59" s="305">
        <v>188153</v>
      </c>
      <c r="G59" s="305">
        <v>182758</v>
      </c>
      <c r="H59" s="305">
        <v>177782</v>
      </c>
      <c r="I59" s="305">
        <v>151603</v>
      </c>
      <c r="J59" s="305">
        <v>130717</v>
      </c>
      <c r="K59" s="305">
        <v>127701</v>
      </c>
      <c r="L59" s="305">
        <v>141653</v>
      </c>
      <c r="M59" s="305">
        <v>145743</v>
      </c>
      <c r="N59" s="306">
        <v>178019</v>
      </c>
      <c r="O59" s="308" t="s">
        <v>73</v>
      </c>
      <c r="P59" s="307">
        <v>161895.33333333334</v>
      </c>
      <c r="Q59" s="353"/>
    </row>
    <row r="60" spans="1:21" x14ac:dyDescent="0.25">
      <c r="A60" s="286">
        <v>25</v>
      </c>
      <c r="B60" s="311" t="s">
        <v>94</v>
      </c>
      <c r="C60" s="613">
        <v>13.8793916711222</v>
      </c>
      <c r="D60" s="613">
        <v>14.532551102405705</v>
      </c>
      <c r="E60" s="613">
        <v>14.362660146494447</v>
      </c>
      <c r="F60" s="613">
        <v>14.08828453439488</v>
      </c>
      <c r="G60" s="613">
        <v>14.798110069053065</v>
      </c>
      <c r="H60" s="613">
        <v>14.982613537928474</v>
      </c>
      <c r="I60" s="613">
        <v>14.769114067663569</v>
      </c>
      <c r="J60" s="613">
        <v>14.445366708232289</v>
      </c>
      <c r="K60" s="613">
        <v>14.357436511851905</v>
      </c>
      <c r="L60" s="613">
        <v>14.283827380994401</v>
      </c>
      <c r="M60" s="613">
        <v>14.053944271766055</v>
      </c>
      <c r="N60" s="614">
        <v>13.745201354911554</v>
      </c>
      <c r="O60" s="355" t="s">
        <v>73</v>
      </c>
      <c r="P60" s="634">
        <v>14.358208446401546</v>
      </c>
      <c r="Q60" s="353"/>
    </row>
    <row r="61" spans="1:21" ht="15.75" thickBot="1" x14ac:dyDescent="0.3">
      <c r="A61" s="286">
        <v>26</v>
      </c>
      <c r="B61" s="334" t="s">
        <v>33</v>
      </c>
      <c r="C61" s="335">
        <v>6044</v>
      </c>
      <c r="D61" s="335">
        <v>6083</v>
      </c>
      <c r="E61" s="335">
        <v>6110</v>
      </c>
      <c r="F61" s="335">
        <v>6110</v>
      </c>
      <c r="G61" s="335">
        <v>6149</v>
      </c>
      <c r="H61" s="335">
        <v>6180</v>
      </c>
      <c r="I61" s="335">
        <v>6204</v>
      </c>
      <c r="J61" s="335">
        <v>6262</v>
      </c>
      <c r="K61" s="335">
        <v>6277</v>
      </c>
      <c r="L61" s="335">
        <v>6304</v>
      </c>
      <c r="M61" s="335">
        <v>6318</v>
      </c>
      <c r="N61" s="336">
        <v>6367</v>
      </c>
      <c r="O61" s="337" t="s">
        <v>73</v>
      </c>
      <c r="P61" s="337" t="s">
        <v>73</v>
      </c>
      <c r="Q61" s="353"/>
    </row>
    <row r="62" spans="1:21" ht="20.25" customHeight="1" x14ac:dyDescent="0.25">
      <c r="C62" s="368"/>
      <c r="D62" s="368"/>
      <c r="E62" s="368"/>
      <c r="F62" s="368"/>
      <c r="G62" s="368"/>
      <c r="H62" s="368"/>
      <c r="I62" s="369"/>
      <c r="J62" s="369"/>
      <c r="K62" s="370"/>
      <c r="M62" s="370"/>
      <c r="N62" s="370"/>
      <c r="O62" s="370"/>
    </row>
    <row r="63" spans="1:21" ht="20.25" customHeight="1" x14ac:dyDescent="0.25">
      <c r="C63" s="368"/>
      <c r="D63" s="368"/>
      <c r="E63" s="368"/>
      <c r="F63" s="368"/>
      <c r="G63" s="368"/>
      <c r="H63" s="368"/>
      <c r="I63" s="369"/>
      <c r="J63" s="369"/>
      <c r="K63" s="370"/>
      <c r="M63" s="370"/>
      <c r="N63" s="370"/>
      <c r="O63" s="370"/>
    </row>
    <row r="64" spans="1:21" x14ac:dyDescent="0.25">
      <c r="B64" s="743" t="s">
        <v>54</v>
      </c>
      <c r="C64" s="743"/>
      <c r="D64" s="743"/>
      <c r="E64" s="743"/>
      <c r="F64" s="743"/>
      <c r="G64" s="743"/>
      <c r="H64" s="743"/>
      <c r="I64" s="743"/>
      <c r="J64" s="743"/>
      <c r="K64" s="743"/>
      <c r="L64" s="743"/>
      <c r="M64" s="743"/>
      <c r="N64" s="743"/>
      <c r="O64" s="743"/>
    </row>
    <row r="65" spans="1:21" x14ac:dyDescent="0.25">
      <c r="B65" s="743" t="s">
        <v>150</v>
      </c>
      <c r="C65" s="743"/>
      <c r="D65" s="743"/>
      <c r="E65" s="743"/>
      <c r="F65" s="743"/>
      <c r="G65" s="743"/>
      <c r="H65" s="743"/>
      <c r="I65" s="743"/>
      <c r="J65" s="743"/>
      <c r="K65" s="743"/>
      <c r="L65" s="743"/>
      <c r="M65" s="743"/>
      <c r="N65" s="743"/>
      <c r="O65" s="743"/>
    </row>
    <row r="66" spans="1:21" ht="15.75" thickBot="1" x14ac:dyDescent="0.3">
      <c r="B66" s="288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</row>
    <row r="67" spans="1:21" ht="15.75" thickBot="1" x14ac:dyDescent="0.3">
      <c r="B67" s="744" t="s">
        <v>40</v>
      </c>
      <c r="C67" s="745"/>
      <c r="D67" s="745"/>
      <c r="E67" s="745"/>
      <c r="F67" s="745"/>
      <c r="G67" s="745"/>
      <c r="H67" s="745"/>
      <c r="I67" s="745"/>
      <c r="J67" s="745"/>
      <c r="K67" s="745"/>
      <c r="L67" s="745"/>
      <c r="M67" s="745"/>
      <c r="N67" s="745"/>
      <c r="O67" s="745"/>
      <c r="P67" s="746"/>
    </row>
    <row r="68" spans="1:21" ht="15.75" thickBot="1" x14ac:dyDescent="0.3">
      <c r="B68" s="346" t="s">
        <v>57</v>
      </c>
      <c r="C68" s="347" t="s">
        <v>58</v>
      </c>
      <c r="D68" s="347" t="s">
        <v>59</v>
      </c>
      <c r="E68" s="347" t="s">
        <v>60</v>
      </c>
      <c r="F68" s="347" t="s">
        <v>61</v>
      </c>
      <c r="G68" s="347" t="s">
        <v>62</v>
      </c>
      <c r="H68" s="347" t="s">
        <v>63</v>
      </c>
      <c r="I68" s="348" t="s">
        <v>64</v>
      </c>
      <c r="J68" s="348" t="s">
        <v>65</v>
      </c>
      <c r="K68" s="347" t="s">
        <v>66</v>
      </c>
      <c r="L68" s="347" t="s">
        <v>67</v>
      </c>
      <c r="M68" s="347" t="s">
        <v>68</v>
      </c>
      <c r="N68" s="349" t="s">
        <v>69</v>
      </c>
      <c r="O68" s="350" t="s">
        <v>70</v>
      </c>
      <c r="P68" s="351" t="s">
        <v>71</v>
      </c>
    </row>
    <row r="69" spans="1:21" x14ac:dyDescent="0.25">
      <c r="A69" s="371">
        <v>1</v>
      </c>
      <c r="B69" s="372" t="s">
        <v>72</v>
      </c>
      <c r="C69" s="641">
        <v>401058</v>
      </c>
      <c r="D69" s="641">
        <v>389174</v>
      </c>
      <c r="E69" s="641">
        <v>450684</v>
      </c>
      <c r="F69" s="641">
        <v>442855</v>
      </c>
      <c r="G69" s="641">
        <v>424639</v>
      </c>
      <c r="H69" s="641">
        <v>415687</v>
      </c>
      <c r="I69" s="641">
        <v>413650</v>
      </c>
      <c r="J69" s="641">
        <v>357460</v>
      </c>
      <c r="K69" s="641">
        <v>339720</v>
      </c>
      <c r="L69" s="641">
        <v>375340</v>
      </c>
      <c r="M69" s="641">
        <v>417302</v>
      </c>
      <c r="N69" s="641">
        <v>478126</v>
      </c>
      <c r="O69" s="624">
        <v>4905695</v>
      </c>
      <c r="P69" s="374" t="s">
        <v>73</v>
      </c>
      <c r="U69" s="303"/>
    </row>
    <row r="70" spans="1:21" x14ac:dyDescent="0.25">
      <c r="A70" s="371">
        <v>2</v>
      </c>
      <c r="B70" s="469" t="s">
        <v>99</v>
      </c>
      <c r="C70" s="305">
        <v>399318</v>
      </c>
      <c r="D70" s="305">
        <v>387434</v>
      </c>
      <c r="E70" s="305">
        <v>448944</v>
      </c>
      <c r="F70" s="305">
        <v>441115</v>
      </c>
      <c r="G70" s="305">
        <v>422899</v>
      </c>
      <c r="H70" s="305">
        <v>413947</v>
      </c>
      <c r="I70" s="305">
        <v>411910</v>
      </c>
      <c r="J70" s="305">
        <v>355720</v>
      </c>
      <c r="K70" s="305">
        <v>337980</v>
      </c>
      <c r="L70" s="305">
        <v>373600</v>
      </c>
      <c r="M70" s="305">
        <v>415562</v>
      </c>
      <c r="N70" s="306">
        <v>476850</v>
      </c>
      <c r="O70" s="307">
        <v>4885279</v>
      </c>
      <c r="P70" s="308" t="s">
        <v>73</v>
      </c>
      <c r="U70" s="303"/>
    </row>
    <row r="71" spans="1:21" x14ac:dyDescent="0.25">
      <c r="A71" s="371">
        <v>3</v>
      </c>
      <c r="B71" s="309" t="s">
        <v>75</v>
      </c>
      <c r="C71" s="714">
        <v>0.99566147539757344</v>
      </c>
      <c r="D71" s="715">
        <v>0.9955289921731667</v>
      </c>
      <c r="E71" s="715">
        <v>0.99613920174667836</v>
      </c>
      <c r="F71" s="715">
        <v>0.99607094873039703</v>
      </c>
      <c r="G71" s="715">
        <v>0.99590240180482714</v>
      </c>
      <c r="H71" s="715">
        <v>0.99581415824887476</v>
      </c>
      <c r="I71" s="715">
        <v>0.99579354526773844</v>
      </c>
      <c r="J71" s="715">
        <v>0.99513232249762207</v>
      </c>
      <c r="K71" s="715">
        <v>0.99487813493465205</v>
      </c>
      <c r="L71" s="715">
        <v>0.99536420312250229</v>
      </c>
      <c r="M71" s="715">
        <v>0.99583035787031937</v>
      </c>
      <c r="N71" s="716">
        <v>0.99733124741177015</v>
      </c>
      <c r="O71" s="377" t="s">
        <v>73</v>
      </c>
      <c r="P71" s="717">
        <v>0.99578724910051009</v>
      </c>
      <c r="U71" s="303"/>
    </row>
    <row r="72" spans="1:21" x14ac:dyDescent="0.25">
      <c r="A72" s="292"/>
      <c r="B72" s="470" t="s">
        <v>155</v>
      </c>
      <c r="C72" s="305">
        <v>1740</v>
      </c>
      <c r="D72" s="305">
        <v>1740</v>
      </c>
      <c r="E72" s="305">
        <v>1740</v>
      </c>
      <c r="F72" s="305">
        <v>1740</v>
      </c>
      <c r="G72" s="305">
        <v>1740</v>
      </c>
      <c r="H72" s="305">
        <v>1740</v>
      </c>
      <c r="I72" s="305">
        <v>1740</v>
      </c>
      <c r="J72" s="305">
        <v>1740</v>
      </c>
      <c r="K72" s="305">
        <v>1740</v>
      </c>
      <c r="L72" s="305">
        <v>1740</v>
      </c>
      <c r="M72" s="305">
        <v>1740</v>
      </c>
      <c r="N72" s="305">
        <v>1276</v>
      </c>
      <c r="O72" s="305">
        <v>20416</v>
      </c>
      <c r="P72" s="306"/>
      <c r="U72" s="303"/>
    </row>
    <row r="73" spans="1:21" x14ac:dyDescent="0.25">
      <c r="A73" s="371">
        <v>4</v>
      </c>
      <c r="B73" s="311" t="s">
        <v>151</v>
      </c>
      <c r="C73" s="317">
        <v>1275</v>
      </c>
      <c r="D73" s="317">
        <v>1429</v>
      </c>
      <c r="E73" s="317">
        <v>1253</v>
      </c>
      <c r="F73" s="317">
        <v>1007</v>
      </c>
      <c r="G73" s="317">
        <v>1275</v>
      </c>
      <c r="H73" s="317">
        <v>1278</v>
      </c>
      <c r="I73" s="317">
        <v>1236</v>
      </c>
      <c r="J73" s="317">
        <v>1401</v>
      </c>
      <c r="K73" s="317">
        <v>1450</v>
      </c>
      <c r="L73" s="317">
        <v>1468</v>
      </c>
      <c r="M73" s="317">
        <v>1249</v>
      </c>
      <c r="N73" s="317">
        <v>1242</v>
      </c>
      <c r="O73" s="318">
        <v>15563</v>
      </c>
      <c r="P73" s="319" t="s">
        <v>73</v>
      </c>
      <c r="U73" s="303"/>
    </row>
    <row r="74" spans="1:21" x14ac:dyDescent="0.25">
      <c r="A74" s="371">
        <v>5</v>
      </c>
      <c r="B74" s="311" t="s">
        <v>81</v>
      </c>
      <c r="C74" s="600">
        <v>399783</v>
      </c>
      <c r="D74" s="600">
        <v>387745</v>
      </c>
      <c r="E74" s="600">
        <v>449431</v>
      </c>
      <c r="F74" s="600">
        <v>441848</v>
      </c>
      <c r="G74" s="600">
        <v>423364</v>
      </c>
      <c r="H74" s="600">
        <v>414409</v>
      </c>
      <c r="I74" s="600">
        <v>412414</v>
      </c>
      <c r="J74" s="600">
        <v>356059</v>
      </c>
      <c r="K74" s="600">
        <v>338270</v>
      </c>
      <c r="L74" s="600">
        <v>373872</v>
      </c>
      <c r="M74" s="600">
        <v>416053</v>
      </c>
      <c r="N74" s="601">
        <v>476884</v>
      </c>
      <c r="O74" s="602">
        <v>4890132</v>
      </c>
      <c r="P74" s="378" t="s">
        <v>73</v>
      </c>
      <c r="U74" s="303"/>
    </row>
    <row r="75" spans="1:21" x14ac:dyDescent="0.25">
      <c r="A75" s="371">
        <v>6</v>
      </c>
      <c r="B75" s="311" t="s">
        <v>82</v>
      </c>
      <c r="C75" s="600">
        <v>377981.63280000002</v>
      </c>
      <c r="D75" s="600">
        <v>384796.65</v>
      </c>
      <c r="E75" s="600">
        <v>422767</v>
      </c>
      <c r="F75" s="600">
        <v>418543</v>
      </c>
      <c r="G75" s="600">
        <v>413427.58000000007</v>
      </c>
      <c r="H75" s="600">
        <v>399596.25</v>
      </c>
      <c r="I75" s="600">
        <v>400149.14568000002</v>
      </c>
      <c r="J75" s="600">
        <v>354949.33</v>
      </c>
      <c r="K75" s="600">
        <v>314958.42699999997</v>
      </c>
      <c r="L75" s="600">
        <v>341170.6176</v>
      </c>
      <c r="M75" s="600">
        <v>390673.76699999999</v>
      </c>
      <c r="N75" s="601">
        <v>451093.86</v>
      </c>
      <c r="O75" s="602">
        <v>4670107.2600800013</v>
      </c>
      <c r="P75" s="378" t="s">
        <v>73</v>
      </c>
    </row>
    <row r="76" spans="1:21" x14ac:dyDescent="0.25">
      <c r="A76" s="371">
        <v>7</v>
      </c>
      <c r="B76" s="311" t="s">
        <v>83</v>
      </c>
      <c r="C76" s="305">
        <v>264587.3851751801</v>
      </c>
      <c r="D76" s="305">
        <v>269357.55</v>
      </c>
      <c r="E76" s="305">
        <v>295937</v>
      </c>
      <c r="F76" s="305">
        <v>292980</v>
      </c>
      <c r="G76" s="305">
        <v>289399.10000000003</v>
      </c>
      <c r="H76" s="305">
        <v>279717.75</v>
      </c>
      <c r="I76" s="305">
        <v>280104.65839638916</v>
      </c>
      <c r="J76" s="305">
        <v>248464.84</v>
      </c>
      <c r="K76" s="305">
        <v>188975.05619999996</v>
      </c>
      <c r="L76" s="305">
        <v>204702.37055999998</v>
      </c>
      <c r="M76" s="305">
        <v>234404.26019999999</v>
      </c>
      <c r="N76" s="305">
        <v>270656.31599999999</v>
      </c>
      <c r="O76" s="307">
        <v>3119286.2865315694</v>
      </c>
      <c r="P76" s="308" t="s">
        <v>73</v>
      </c>
    </row>
    <row r="77" spans="1:21" x14ac:dyDescent="0.25">
      <c r="A77" s="371">
        <v>8</v>
      </c>
      <c r="B77" s="311" t="s">
        <v>84</v>
      </c>
      <c r="C77" s="305">
        <v>113394.24762481994</v>
      </c>
      <c r="D77" s="305">
        <v>115439.1</v>
      </c>
      <c r="E77" s="305">
        <v>126830</v>
      </c>
      <c r="F77" s="305">
        <v>125563</v>
      </c>
      <c r="G77" s="305">
        <v>124028.48000000001</v>
      </c>
      <c r="H77" s="305">
        <v>119878.5</v>
      </c>
      <c r="I77" s="305">
        <v>120044.48728361087</v>
      </c>
      <c r="J77" s="305">
        <v>106484.49</v>
      </c>
      <c r="K77" s="305">
        <v>125983.37079999999</v>
      </c>
      <c r="L77" s="305">
        <v>136468.24703999999</v>
      </c>
      <c r="M77" s="305">
        <v>156269.50679999997</v>
      </c>
      <c r="N77" s="305">
        <v>180437.54399999997</v>
      </c>
      <c r="O77" s="307">
        <v>1550820.9735484307</v>
      </c>
      <c r="P77" s="308" t="s">
        <v>73</v>
      </c>
    </row>
    <row r="78" spans="1:21" x14ac:dyDescent="0.25">
      <c r="A78" s="371">
        <v>9</v>
      </c>
      <c r="B78" s="311" t="s">
        <v>86</v>
      </c>
      <c r="C78" s="600">
        <v>21801.367199999979</v>
      </c>
      <c r="D78" s="600">
        <v>2948.3499999999767</v>
      </c>
      <c r="E78" s="600">
        <v>26664</v>
      </c>
      <c r="F78" s="600">
        <v>23305</v>
      </c>
      <c r="G78" s="600">
        <v>9936.4199999999255</v>
      </c>
      <c r="H78" s="600">
        <v>14812.75</v>
      </c>
      <c r="I78" s="600">
        <v>12264.854319999984</v>
      </c>
      <c r="J78" s="600">
        <v>1109.6699999999837</v>
      </c>
      <c r="K78" s="600">
        <v>23311.573000000033</v>
      </c>
      <c r="L78" s="600">
        <v>32701.382400000002</v>
      </c>
      <c r="M78" s="600">
        <v>25379.233000000007</v>
      </c>
      <c r="N78" s="601">
        <v>25790.140000000014</v>
      </c>
      <c r="O78" s="602">
        <v>220024.73991999991</v>
      </c>
      <c r="P78" s="378" t="s">
        <v>73</v>
      </c>
    </row>
    <row r="79" spans="1:21" x14ac:dyDescent="0.25">
      <c r="A79" s="371">
        <v>10</v>
      </c>
      <c r="B79" s="311" t="s">
        <v>87</v>
      </c>
      <c r="C79" s="608">
        <v>5.4533002153668311E-2</v>
      </c>
      <c r="D79" s="608">
        <v>7.6038375736630429E-3</v>
      </c>
      <c r="E79" s="608">
        <v>5.9328350736820558E-2</v>
      </c>
      <c r="F79" s="608">
        <v>5.2744382683637812E-2</v>
      </c>
      <c r="G79" s="608">
        <v>2.3470158067289439E-2</v>
      </c>
      <c r="H79" s="608">
        <v>3.5744276789355441E-2</v>
      </c>
      <c r="I79" s="608">
        <v>2.9739180338203806E-2</v>
      </c>
      <c r="J79" s="608">
        <v>3.1165340575578307E-3</v>
      </c>
      <c r="K79" s="608">
        <v>6.8914101161793931E-2</v>
      </c>
      <c r="L79" s="608">
        <v>8.7466786493773277E-2</v>
      </c>
      <c r="M79" s="608">
        <v>6.1000000000000019E-2</v>
      </c>
      <c r="N79" s="609">
        <v>5.4080531114484895E-2</v>
      </c>
      <c r="O79" s="377" t="s">
        <v>73</v>
      </c>
      <c r="P79" s="718">
        <v>4.4811761764187358E-2</v>
      </c>
    </row>
    <row r="80" spans="1:21" x14ac:dyDescent="0.25">
      <c r="A80" s="371">
        <v>11</v>
      </c>
      <c r="B80" s="311" t="s">
        <v>88</v>
      </c>
      <c r="C80" s="317">
        <v>359241</v>
      </c>
      <c r="D80" s="317">
        <v>383756</v>
      </c>
      <c r="E80" s="317">
        <v>391739</v>
      </c>
      <c r="F80" s="317">
        <v>403898</v>
      </c>
      <c r="G80" s="317">
        <v>409120</v>
      </c>
      <c r="H80" s="317">
        <v>390981</v>
      </c>
      <c r="I80" s="317">
        <v>393036</v>
      </c>
      <c r="J80" s="317">
        <v>354389</v>
      </c>
      <c r="K80" s="317">
        <v>294303</v>
      </c>
      <c r="L80" s="317">
        <v>316525</v>
      </c>
      <c r="M80" s="317">
        <v>317482</v>
      </c>
      <c r="N80" s="317">
        <v>390593</v>
      </c>
      <c r="O80" s="318">
        <v>4405063</v>
      </c>
      <c r="P80" s="319" t="s">
        <v>73</v>
      </c>
    </row>
    <row r="81" spans="1:21" x14ac:dyDescent="0.25">
      <c r="A81" s="371"/>
      <c r="B81" s="311"/>
      <c r="C81" s="317">
        <v>0</v>
      </c>
      <c r="D81" s="317">
        <v>0</v>
      </c>
      <c r="E81" s="317">
        <v>0</v>
      </c>
      <c r="F81" s="317">
        <v>0</v>
      </c>
      <c r="G81" s="317">
        <v>0</v>
      </c>
      <c r="H81" s="317">
        <v>0</v>
      </c>
      <c r="I81" s="317">
        <v>0</v>
      </c>
      <c r="J81" s="317">
        <v>0</v>
      </c>
      <c r="K81" s="317">
        <v>0</v>
      </c>
      <c r="L81" s="317">
        <v>0</v>
      </c>
      <c r="M81" s="317"/>
      <c r="N81" s="359"/>
      <c r="O81" s="318">
        <v>0</v>
      </c>
      <c r="P81" s="713"/>
    </row>
    <row r="82" spans="1:21" x14ac:dyDescent="0.25">
      <c r="A82" s="371">
        <v>12</v>
      </c>
      <c r="B82" s="311" t="s">
        <v>89</v>
      </c>
      <c r="C82" s="600">
        <v>18740.632800000021</v>
      </c>
      <c r="D82" s="600">
        <v>1040.6500000000233</v>
      </c>
      <c r="E82" s="600">
        <v>31028</v>
      </c>
      <c r="F82" s="600">
        <v>14645</v>
      </c>
      <c r="G82" s="600">
        <v>4307.5800000000745</v>
      </c>
      <c r="H82" s="600">
        <v>8615.25</v>
      </c>
      <c r="I82" s="600">
        <v>7113.145680000016</v>
      </c>
      <c r="J82" s="600">
        <v>560.3300000000163</v>
      </c>
      <c r="K82" s="600">
        <v>20655.426999999967</v>
      </c>
      <c r="L82" s="600">
        <v>24645.617599999998</v>
      </c>
      <c r="M82" s="600">
        <v>73191.766999999993</v>
      </c>
      <c r="N82" s="601">
        <v>60500.859999999986</v>
      </c>
      <c r="O82" s="602">
        <v>265044.26008000009</v>
      </c>
      <c r="P82" s="378" t="s">
        <v>73</v>
      </c>
    </row>
    <row r="83" spans="1:21" x14ac:dyDescent="0.25">
      <c r="A83" s="371">
        <v>13</v>
      </c>
      <c r="B83" s="311" t="s">
        <v>90</v>
      </c>
      <c r="C83" s="719">
        <v>4.9580802805611932E-2</v>
      </c>
      <c r="D83" s="719">
        <v>2.7044154360492049E-3</v>
      </c>
      <c r="E83" s="719">
        <v>7.3392672559589561E-2</v>
      </c>
      <c r="F83" s="719">
        <v>3.4990431090712301E-2</v>
      </c>
      <c r="G83" s="719">
        <v>1.0419188773037526E-2</v>
      </c>
      <c r="H83" s="719">
        <v>2.155988701095168E-2</v>
      </c>
      <c r="I83" s="719">
        <v>1.777623607795582E-2</v>
      </c>
      <c r="J83" s="719">
        <v>1.5786196863648574E-3</v>
      </c>
      <c r="K83" s="719">
        <v>6.5581439419622092E-2</v>
      </c>
      <c r="L83" s="719">
        <v>7.2238394306555889E-2</v>
      </c>
      <c r="M83" s="719">
        <v>0.18734753439434287</v>
      </c>
      <c r="N83" s="720">
        <v>0.13412033584318792</v>
      </c>
      <c r="O83" s="377" t="s">
        <v>73</v>
      </c>
      <c r="P83" s="721">
        <v>5.5940829783665137E-2</v>
      </c>
    </row>
    <row r="84" spans="1:21" x14ac:dyDescent="0.25">
      <c r="A84" s="371">
        <v>14</v>
      </c>
      <c r="B84" s="311" t="s">
        <v>91</v>
      </c>
      <c r="C84" s="600">
        <v>40542</v>
      </c>
      <c r="D84" s="600">
        <v>3989</v>
      </c>
      <c r="E84" s="600">
        <v>57692</v>
      </c>
      <c r="F84" s="600">
        <v>37950</v>
      </c>
      <c r="G84" s="600">
        <v>14244</v>
      </c>
      <c r="H84" s="600">
        <v>23428</v>
      </c>
      <c r="I84" s="600">
        <v>19378</v>
      </c>
      <c r="J84" s="600">
        <v>1670</v>
      </c>
      <c r="K84" s="600">
        <v>43967</v>
      </c>
      <c r="L84" s="600">
        <v>57347</v>
      </c>
      <c r="M84" s="600">
        <v>98571</v>
      </c>
      <c r="N84" s="601">
        <v>86291</v>
      </c>
      <c r="O84" s="602">
        <v>485069</v>
      </c>
      <c r="P84" s="378" t="s">
        <v>73</v>
      </c>
    </row>
    <row r="85" spans="1:21" x14ac:dyDescent="0.25">
      <c r="A85" s="371">
        <v>15</v>
      </c>
      <c r="B85" s="311" t="s">
        <v>92</v>
      </c>
      <c r="C85" s="722">
        <v>0.10141001493310121</v>
      </c>
      <c r="D85" s="722">
        <v>1.0287689074004822E-2</v>
      </c>
      <c r="E85" s="722">
        <v>0.12836675707728215</v>
      </c>
      <c r="F85" s="722">
        <v>8.5889265086636135E-2</v>
      </c>
      <c r="G85" s="723">
        <v>3.3644806832890846E-2</v>
      </c>
      <c r="H85" s="723">
        <v>5.653352123144044E-2</v>
      </c>
      <c r="I85" s="723">
        <v>4.698676572570281E-2</v>
      </c>
      <c r="J85" s="723">
        <v>4.6902339219062009E-3</v>
      </c>
      <c r="K85" s="723">
        <v>0.12997605463091613</v>
      </c>
      <c r="L85" s="723">
        <v>0.15338672058886463</v>
      </c>
      <c r="M85" s="723">
        <v>0.23691933479628796</v>
      </c>
      <c r="N85" s="724">
        <v>0.18094756796202011</v>
      </c>
      <c r="O85" s="380" t="s">
        <v>73</v>
      </c>
      <c r="P85" s="725">
        <v>9.7419894321754449E-2</v>
      </c>
    </row>
    <row r="86" spans="1:21" x14ac:dyDescent="0.25">
      <c r="A86" s="371">
        <v>16</v>
      </c>
      <c r="B86" s="311" t="s">
        <v>30</v>
      </c>
      <c r="C86" s="305">
        <v>782</v>
      </c>
      <c r="D86" s="305">
        <v>850</v>
      </c>
      <c r="E86" s="305">
        <v>878</v>
      </c>
      <c r="F86" s="305">
        <v>875</v>
      </c>
      <c r="G86" s="305">
        <v>807</v>
      </c>
      <c r="H86" s="305">
        <v>826</v>
      </c>
      <c r="I86" s="305">
        <v>784</v>
      </c>
      <c r="J86" s="305">
        <v>740</v>
      </c>
      <c r="K86" s="305">
        <v>699</v>
      </c>
      <c r="L86" s="305">
        <v>818</v>
      </c>
      <c r="M86" s="305">
        <v>837</v>
      </c>
      <c r="N86" s="305">
        <v>989</v>
      </c>
      <c r="O86" s="307">
        <v>989</v>
      </c>
      <c r="P86" s="308" t="s">
        <v>73</v>
      </c>
    </row>
    <row r="87" spans="1:21" x14ac:dyDescent="0.25">
      <c r="A87" s="371">
        <v>17</v>
      </c>
      <c r="B87" s="311" t="s">
        <v>31</v>
      </c>
      <c r="C87" s="305">
        <v>32988</v>
      </c>
      <c r="D87" s="305">
        <v>31733</v>
      </c>
      <c r="E87" s="305">
        <v>36755</v>
      </c>
      <c r="F87" s="305">
        <v>33564</v>
      </c>
      <c r="G87" s="305">
        <v>31729</v>
      </c>
      <c r="H87" s="305">
        <v>30784</v>
      </c>
      <c r="I87" s="305">
        <v>31884</v>
      </c>
      <c r="J87" s="305">
        <v>27641</v>
      </c>
      <c r="K87" s="305">
        <v>26061</v>
      </c>
      <c r="L87" s="305">
        <v>28737</v>
      </c>
      <c r="M87" s="305">
        <v>32195</v>
      </c>
      <c r="N87" s="306">
        <v>37063</v>
      </c>
      <c r="O87" s="307">
        <v>381134</v>
      </c>
      <c r="P87" s="308" t="s">
        <v>73</v>
      </c>
    </row>
    <row r="88" spans="1:21" x14ac:dyDescent="0.25">
      <c r="A88" s="371">
        <v>18</v>
      </c>
      <c r="B88" s="311" t="s">
        <v>94</v>
      </c>
      <c r="C88" s="613">
        <v>12.104947253546744</v>
      </c>
      <c r="D88" s="613">
        <v>12.209182869567957</v>
      </c>
      <c r="E88" s="613">
        <v>12.214501428377092</v>
      </c>
      <c r="F88" s="613">
        <v>13.142503873197473</v>
      </c>
      <c r="G88" s="613">
        <v>13.328469223738535</v>
      </c>
      <c r="H88" s="613">
        <v>13.446823024948024</v>
      </c>
      <c r="I88" s="613">
        <v>12.919018943670807</v>
      </c>
      <c r="J88" s="613">
        <v>12.869288375963244</v>
      </c>
      <c r="K88" s="613">
        <v>12.968803959940141</v>
      </c>
      <c r="L88" s="613">
        <v>13.000661168528378</v>
      </c>
      <c r="M88" s="613">
        <v>12.907656468395714</v>
      </c>
      <c r="N88" s="614">
        <v>12.86593098238135</v>
      </c>
      <c r="O88" s="377" t="s">
        <v>73</v>
      </c>
      <c r="P88" s="726">
        <v>12.831482297687955</v>
      </c>
    </row>
    <row r="89" spans="1:21" ht="15.75" thickBot="1" x14ac:dyDescent="0.3">
      <c r="A89" s="371">
        <v>19</v>
      </c>
      <c r="B89" s="334" t="s">
        <v>33</v>
      </c>
      <c r="C89" s="335">
        <v>1150</v>
      </c>
      <c r="D89" s="335">
        <v>1152</v>
      </c>
      <c r="E89" s="335">
        <v>1150</v>
      </c>
      <c r="F89" s="335">
        <v>1156</v>
      </c>
      <c r="G89" s="335">
        <v>1158</v>
      </c>
      <c r="H89" s="335">
        <v>1155</v>
      </c>
      <c r="I89" s="335">
        <v>1148</v>
      </c>
      <c r="J89" s="335">
        <v>1149</v>
      </c>
      <c r="K89" s="335">
        <v>1155</v>
      </c>
      <c r="L89" s="335">
        <v>1161</v>
      </c>
      <c r="M89" s="335">
        <v>1167</v>
      </c>
      <c r="N89" s="336">
        <v>1175</v>
      </c>
      <c r="O89" s="337" t="s">
        <v>73</v>
      </c>
      <c r="P89" s="338" t="s">
        <v>73</v>
      </c>
    </row>
    <row r="90" spans="1:21" x14ac:dyDescent="0.25">
      <c r="A90" s="371"/>
      <c r="B90" s="339"/>
      <c r="C90" s="340"/>
      <c r="D90" s="340"/>
      <c r="E90" s="340"/>
      <c r="F90" s="340"/>
      <c r="G90" s="340"/>
      <c r="H90" s="340"/>
      <c r="I90" s="341"/>
      <c r="J90" s="341"/>
      <c r="K90" s="342"/>
      <c r="L90" s="342"/>
      <c r="M90" s="342"/>
      <c r="N90" s="342"/>
      <c r="O90" s="342"/>
    </row>
    <row r="91" spans="1:21" ht="15.75" thickBot="1" x14ac:dyDescent="0.3">
      <c r="A91" s="371"/>
      <c r="C91" s="289"/>
      <c r="D91" s="368"/>
      <c r="E91" s="368"/>
      <c r="F91" s="368"/>
      <c r="G91" s="368"/>
      <c r="H91" s="368"/>
      <c r="I91" s="369"/>
      <c r="J91" s="369"/>
      <c r="K91" s="370"/>
      <c r="M91" s="370"/>
      <c r="N91" s="370"/>
      <c r="O91" s="370"/>
    </row>
    <row r="92" spans="1:21" ht="15.75" thickBot="1" x14ac:dyDescent="0.3">
      <c r="A92" s="371"/>
      <c r="B92" s="744" t="s">
        <v>45</v>
      </c>
      <c r="C92" s="745"/>
      <c r="D92" s="745"/>
      <c r="E92" s="745"/>
      <c r="F92" s="745"/>
      <c r="G92" s="745"/>
      <c r="H92" s="745"/>
      <c r="I92" s="745"/>
      <c r="J92" s="745"/>
      <c r="K92" s="745"/>
      <c r="L92" s="745"/>
      <c r="M92" s="745"/>
      <c r="N92" s="745"/>
      <c r="O92" s="745"/>
      <c r="P92" s="746"/>
      <c r="U92" s="303"/>
    </row>
    <row r="93" spans="1:21" ht="15.75" thickBot="1" x14ac:dyDescent="0.3">
      <c r="A93" s="371"/>
      <c r="B93" s="346" t="s">
        <v>57</v>
      </c>
      <c r="C93" s="347" t="s">
        <v>58</v>
      </c>
      <c r="D93" s="347" t="s">
        <v>59</v>
      </c>
      <c r="E93" s="347" t="s">
        <v>60</v>
      </c>
      <c r="F93" s="347" t="s">
        <v>61</v>
      </c>
      <c r="G93" s="347" t="s">
        <v>62</v>
      </c>
      <c r="H93" s="347" t="s">
        <v>63</v>
      </c>
      <c r="I93" s="348" t="s">
        <v>64</v>
      </c>
      <c r="J93" s="348" t="s">
        <v>65</v>
      </c>
      <c r="K93" s="347" t="s">
        <v>66</v>
      </c>
      <c r="L93" s="347" t="s">
        <v>67</v>
      </c>
      <c r="M93" s="347" t="s">
        <v>68</v>
      </c>
      <c r="N93" s="349" t="s">
        <v>69</v>
      </c>
      <c r="O93" s="350" t="s">
        <v>70</v>
      </c>
      <c r="P93" s="351" t="s">
        <v>71</v>
      </c>
      <c r="U93" s="381"/>
    </row>
    <row r="94" spans="1:21" x14ac:dyDescent="0.25">
      <c r="A94" s="371">
        <v>1</v>
      </c>
      <c r="B94" s="382" t="s">
        <v>100</v>
      </c>
      <c r="C94" s="383">
        <v>20523.57</v>
      </c>
      <c r="D94" s="383">
        <v>19650</v>
      </c>
      <c r="E94" s="383">
        <v>22203.42</v>
      </c>
      <c r="F94" s="383">
        <v>21836</v>
      </c>
      <c r="G94" s="383">
        <v>22602.400000000001</v>
      </c>
      <c r="H94" s="383">
        <v>21536.11</v>
      </c>
      <c r="I94" s="383">
        <v>20899.88</v>
      </c>
      <c r="J94" s="383">
        <v>19281.38</v>
      </c>
      <c r="K94" s="383">
        <v>18380.759999999998</v>
      </c>
      <c r="L94" s="383">
        <v>19121.59</v>
      </c>
      <c r="M94" s="383">
        <v>19881.669999999998</v>
      </c>
      <c r="N94" s="383">
        <v>22248.18</v>
      </c>
      <c r="O94" s="352">
        <v>248164.95999999996</v>
      </c>
      <c r="P94" s="384" t="s">
        <v>73</v>
      </c>
      <c r="U94" s="381"/>
    </row>
    <row r="95" spans="1:21" x14ac:dyDescent="0.25">
      <c r="A95" s="371">
        <v>2</v>
      </c>
      <c r="B95" s="469" t="s">
        <v>99</v>
      </c>
      <c r="C95" s="305">
        <v>9655</v>
      </c>
      <c r="D95" s="305">
        <v>11058</v>
      </c>
      <c r="E95" s="305">
        <v>14135.55</v>
      </c>
      <c r="F95" s="305">
        <v>14023.099999999999</v>
      </c>
      <c r="G95" s="305">
        <v>14595.699999999999</v>
      </c>
      <c r="H95" s="305">
        <v>13781.599999999999</v>
      </c>
      <c r="I95" s="305">
        <v>19002</v>
      </c>
      <c r="J95" s="305">
        <v>17495</v>
      </c>
      <c r="K95" s="305">
        <v>16695</v>
      </c>
      <c r="L95" s="305">
        <v>14252</v>
      </c>
      <c r="M95" s="305">
        <v>10841</v>
      </c>
      <c r="N95" s="305">
        <v>11932.5</v>
      </c>
      <c r="O95" s="307">
        <v>167466.45000000001</v>
      </c>
      <c r="P95" s="308" t="s">
        <v>73</v>
      </c>
      <c r="Q95" s="385"/>
      <c r="R95" s="385"/>
      <c r="U95" s="381"/>
    </row>
    <row r="96" spans="1:21" x14ac:dyDescent="0.25">
      <c r="A96" s="371">
        <v>3</v>
      </c>
      <c r="B96" s="309" t="s">
        <v>75</v>
      </c>
      <c r="C96" s="376">
        <v>0.47043472456302682</v>
      </c>
      <c r="D96" s="376">
        <v>0.56274809160305339</v>
      </c>
      <c r="E96" s="376">
        <v>0.63663840975849673</v>
      </c>
      <c r="F96" s="376">
        <v>0.64220095255541298</v>
      </c>
      <c r="G96" s="376">
        <v>0.64575885746646366</v>
      </c>
      <c r="H96" s="376">
        <v>0.63992986662865292</v>
      </c>
      <c r="I96" s="376">
        <v>0.90919182311094604</v>
      </c>
      <c r="J96" s="376">
        <v>0.9073520671238261</v>
      </c>
      <c r="K96" s="376">
        <v>0.9082867084930113</v>
      </c>
      <c r="L96" s="376">
        <v>0.74533550818734218</v>
      </c>
      <c r="M96" s="376">
        <v>0.54527612620066634</v>
      </c>
      <c r="N96" s="386">
        <v>0.53633600591149477</v>
      </c>
      <c r="O96" s="377" t="s">
        <v>73</v>
      </c>
      <c r="P96" s="363">
        <v>0.67912409513353278</v>
      </c>
      <c r="R96" s="385"/>
      <c r="U96" s="381"/>
    </row>
    <row r="97" spans="1:21" x14ac:dyDescent="0.25">
      <c r="A97" s="371">
        <v>4</v>
      </c>
      <c r="B97" s="469" t="s">
        <v>101</v>
      </c>
      <c r="C97" s="305">
        <v>9655</v>
      </c>
      <c r="D97" s="305">
        <v>6759</v>
      </c>
      <c r="E97" s="305">
        <v>5969.4500000000007</v>
      </c>
      <c r="F97" s="305">
        <v>6009.9000000000005</v>
      </c>
      <c r="G97" s="305">
        <v>6255.3000000000011</v>
      </c>
      <c r="H97" s="305">
        <v>5906.4000000000015</v>
      </c>
      <c r="I97" s="305">
        <v>0</v>
      </c>
      <c r="J97" s="305">
        <v>0</v>
      </c>
      <c r="K97" s="305">
        <v>0</v>
      </c>
      <c r="L97" s="305">
        <v>3126</v>
      </c>
      <c r="M97" s="305">
        <v>7277</v>
      </c>
      <c r="N97" s="306">
        <v>8380.5</v>
      </c>
      <c r="O97" s="307">
        <v>59338.55</v>
      </c>
      <c r="P97" s="387" t="s">
        <v>73</v>
      </c>
      <c r="Q97" s="385"/>
      <c r="U97" s="381"/>
    </row>
    <row r="98" spans="1:21" x14ac:dyDescent="0.25">
      <c r="A98" s="371">
        <v>5</v>
      </c>
      <c r="B98" s="309" t="s">
        <v>102</v>
      </c>
      <c r="C98" s="94">
        <v>0.47043472456302682</v>
      </c>
      <c r="D98" s="94">
        <v>0.34396946564885494</v>
      </c>
      <c r="E98" s="94">
        <v>0.26885272629171547</v>
      </c>
      <c r="F98" s="94">
        <v>0.27522897966660564</v>
      </c>
      <c r="G98" s="94">
        <v>0.27675379605705591</v>
      </c>
      <c r="H98" s="94">
        <v>0.27425565712656563</v>
      </c>
      <c r="I98" s="94">
        <v>0</v>
      </c>
      <c r="J98" s="94">
        <v>0</v>
      </c>
      <c r="K98" s="94">
        <v>0</v>
      </c>
      <c r="L98" s="94">
        <v>0.16348012900600839</v>
      </c>
      <c r="M98" s="94">
        <v>0.36601553088850186</v>
      </c>
      <c r="N98" s="95">
        <v>0.37668249717504981</v>
      </c>
      <c r="O98" s="377" t="s">
        <v>73</v>
      </c>
      <c r="P98" s="356">
        <v>0.23463945886861537</v>
      </c>
      <c r="U98" s="381"/>
    </row>
    <row r="99" spans="1:21" x14ac:dyDescent="0.25">
      <c r="A99" s="371">
        <v>6</v>
      </c>
      <c r="B99" s="469" t="s">
        <v>108</v>
      </c>
      <c r="C99" s="305">
        <v>517.56999999999994</v>
      </c>
      <c r="D99" s="305">
        <v>1137</v>
      </c>
      <c r="E99" s="305">
        <v>1518.42</v>
      </c>
      <c r="F99" s="305">
        <v>1223</v>
      </c>
      <c r="G99" s="305">
        <v>1171.4000000000001</v>
      </c>
      <c r="H99" s="305">
        <v>1268.1100000000001</v>
      </c>
      <c r="I99" s="305">
        <v>1317.88</v>
      </c>
      <c r="J99" s="305">
        <v>1206.3800000000001</v>
      </c>
      <c r="K99" s="305">
        <v>1105.76</v>
      </c>
      <c r="L99" s="305">
        <v>1163.5900000000001</v>
      </c>
      <c r="M99" s="305">
        <v>1183.67</v>
      </c>
      <c r="N99" s="305">
        <v>1355.1799999999998</v>
      </c>
      <c r="O99" s="307">
        <v>14167.960000000001</v>
      </c>
      <c r="P99" s="308" t="s">
        <v>73</v>
      </c>
    </row>
    <row r="100" spans="1:21" x14ac:dyDescent="0.25">
      <c r="A100" s="371">
        <v>7</v>
      </c>
      <c r="B100" s="309" t="s">
        <v>158</v>
      </c>
      <c r="C100" s="388">
        <v>2.5218322153504481E-2</v>
      </c>
      <c r="D100" s="388">
        <v>5.7862595419847326E-2</v>
      </c>
      <c r="E100" s="388">
        <v>6.8386762039361518E-2</v>
      </c>
      <c r="F100" s="388">
        <v>5.6008426451731083E-2</v>
      </c>
      <c r="G100" s="388">
        <v>5.1826354723392205E-2</v>
      </c>
      <c r="H100" s="388">
        <v>5.8882964472228273E-2</v>
      </c>
      <c r="I100" s="388">
        <v>6.3056821378878733E-2</v>
      </c>
      <c r="J100" s="388">
        <v>6.2567098413080391E-2</v>
      </c>
      <c r="K100" s="388">
        <v>6.0158557099924057E-2</v>
      </c>
      <c r="L100" s="388">
        <v>6.0852157168938367E-2</v>
      </c>
      <c r="M100" s="388">
        <v>5.9535743224789474E-2</v>
      </c>
      <c r="N100" s="388">
        <v>6.091194875266201E-2</v>
      </c>
      <c r="O100" s="377" t="s">
        <v>73</v>
      </c>
      <c r="P100" s="356">
        <v>5.7105645941528164E-2</v>
      </c>
    </row>
    <row r="101" spans="1:21" x14ac:dyDescent="0.25">
      <c r="A101" s="292"/>
      <c r="B101" s="470" t="s">
        <v>155</v>
      </c>
      <c r="C101" s="305">
        <v>696</v>
      </c>
      <c r="D101" s="305">
        <v>696</v>
      </c>
      <c r="E101" s="305">
        <v>580</v>
      </c>
      <c r="F101" s="305">
        <v>580</v>
      </c>
      <c r="G101" s="305">
        <v>580</v>
      </c>
      <c r="H101" s="305">
        <v>580</v>
      </c>
      <c r="I101" s="305">
        <v>580</v>
      </c>
      <c r="J101" s="305">
        <v>580</v>
      </c>
      <c r="K101" s="305">
        <v>580</v>
      </c>
      <c r="L101" s="305">
        <v>580</v>
      </c>
      <c r="M101" s="305">
        <v>580</v>
      </c>
      <c r="N101" s="305">
        <v>580</v>
      </c>
      <c r="O101" s="305">
        <v>7192</v>
      </c>
      <c r="P101" s="306"/>
    </row>
    <row r="102" spans="1:21" x14ac:dyDescent="0.25">
      <c r="A102" s="371">
        <v>8</v>
      </c>
      <c r="B102" s="311" t="s">
        <v>151</v>
      </c>
      <c r="C102" s="317">
        <v>702</v>
      </c>
      <c r="D102" s="317">
        <v>800</v>
      </c>
      <c r="E102" s="317">
        <v>895</v>
      </c>
      <c r="F102" s="317">
        <v>965</v>
      </c>
      <c r="G102" s="317">
        <v>1007</v>
      </c>
      <c r="H102" s="317">
        <v>983</v>
      </c>
      <c r="I102" s="317">
        <v>548</v>
      </c>
      <c r="J102" s="317">
        <v>499</v>
      </c>
      <c r="K102" s="317">
        <v>345</v>
      </c>
      <c r="L102" s="317">
        <v>537</v>
      </c>
      <c r="M102" s="317">
        <v>731</v>
      </c>
      <c r="N102" s="317">
        <v>998</v>
      </c>
      <c r="O102" s="317">
        <v>9010</v>
      </c>
      <c r="P102" s="359">
        <v>0</v>
      </c>
    </row>
    <row r="103" spans="1:21" x14ac:dyDescent="0.25">
      <c r="A103" s="371">
        <v>9</v>
      </c>
      <c r="B103" s="311" t="s">
        <v>81</v>
      </c>
      <c r="C103" s="320">
        <v>19821.57</v>
      </c>
      <c r="D103" s="320">
        <v>18850</v>
      </c>
      <c r="E103" s="320">
        <v>21308.42</v>
      </c>
      <c r="F103" s="320">
        <v>20871</v>
      </c>
      <c r="G103" s="320">
        <v>21595.4</v>
      </c>
      <c r="H103" s="320">
        <v>20553.11</v>
      </c>
      <c r="I103" s="320">
        <v>20351.88</v>
      </c>
      <c r="J103" s="320">
        <v>18782.38</v>
      </c>
      <c r="K103" s="320">
        <v>18035.759999999998</v>
      </c>
      <c r="L103" s="320">
        <v>18584.59</v>
      </c>
      <c r="M103" s="320">
        <v>19150.669999999998</v>
      </c>
      <c r="N103" s="321">
        <v>21250.18</v>
      </c>
      <c r="O103" s="322">
        <v>239154.95999999996</v>
      </c>
      <c r="P103" s="360" t="s">
        <v>73</v>
      </c>
    </row>
    <row r="104" spans="1:21" x14ac:dyDescent="0.25">
      <c r="A104" s="371">
        <v>10</v>
      </c>
      <c r="B104" s="311" t="s">
        <v>82</v>
      </c>
      <c r="C104" s="323">
        <v>18041.150181000001</v>
      </c>
      <c r="D104" s="323">
        <v>17105</v>
      </c>
      <c r="E104" s="323">
        <v>19478</v>
      </c>
      <c r="F104" s="323">
        <v>19464.5</v>
      </c>
      <c r="G104" s="323">
        <v>19649</v>
      </c>
      <c r="H104" s="323">
        <v>18735</v>
      </c>
      <c r="I104" s="323">
        <v>18157</v>
      </c>
      <c r="J104" s="323">
        <v>17092.8</v>
      </c>
      <c r="K104" s="323">
        <v>16495.693200000002</v>
      </c>
      <c r="L104" s="323">
        <v>17014.33755</v>
      </c>
      <c r="M104" s="323">
        <v>17771.821759999999</v>
      </c>
      <c r="N104" s="324">
        <v>19762.667400000002</v>
      </c>
      <c r="O104" s="325">
        <v>218766.970091</v>
      </c>
      <c r="P104" s="389" t="s">
        <v>73</v>
      </c>
    </row>
    <row r="105" spans="1:21" x14ac:dyDescent="0.25">
      <c r="A105" s="371">
        <v>11</v>
      </c>
      <c r="B105" s="311" t="s">
        <v>83</v>
      </c>
      <c r="C105" s="305">
        <v>18041.150181000001</v>
      </c>
      <c r="D105" s="305">
        <v>17105</v>
      </c>
      <c r="E105" s="305">
        <v>19478</v>
      </c>
      <c r="F105" s="305">
        <v>19464.5</v>
      </c>
      <c r="G105" s="305">
        <v>19649</v>
      </c>
      <c r="H105" s="305">
        <v>18735</v>
      </c>
      <c r="I105" s="305">
        <v>18157</v>
      </c>
      <c r="J105" s="305">
        <v>17092.8</v>
      </c>
      <c r="K105" s="305">
        <v>16495.693200000002</v>
      </c>
      <c r="L105" s="305">
        <v>17014.33755</v>
      </c>
      <c r="M105" s="305">
        <v>17771.821759999999</v>
      </c>
      <c r="N105" s="305">
        <v>19762.667400000002</v>
      </c>
      <c r="O105" s="307">
        <v>218766.970091</v>
      </c>
      <c r="P105" s="308" t="s">
        <v>73</v>
      </c>
    </row>
    <row r="106" spans="1:21" x14ac:dyDescent="0.25">
      <c r="A106" s="371">
        <v>12</v>
      </c>
      <c r="B106" s="311" t="s">
        <v>86</v>
      </c>
      <c r="C106" s="320">
        <v>1780.4198189999988</v>
      </c>
      <c r="D106" s="320">
        <v>1745</v>
      </c>
      <c r="E106" s="320">
        <v>1830.4199999999983</v>
      </c>
      <c r="F106" s="320">
        <v>1406.5</v>
      </c>
      <c r="G106" s="320">
        <v>1946.4000000000015</v>
      </c>
      <c r="H106" s="320">
        <v>1818.1100000000006</v>
      </c>
      <c r="I106" s="320">
        <v>2194.880000000001</v>
      </c>
      <c r="J106" s="320">
        <v>1689.5800000000017</v>
      </c>
      <c r="K106" s="320">
        <v>1540.0667999999969</v>
      </c>
      <c r="L106" s="320">
        <v>1570.25245</v>
      </c>
      <c r="M106" s="320">
        <v>1378.8482399999994</v>
      </c>
      <c r="N106" s="321">
        <v>1487.5125999999982</v>
      </c>
      <c r="O106" s="322">
        <v>20387.989908999996</v>
      </c>
      <c r="P106" s="360" t="s">
        <v>73</v>
      </c>
    </row>
    <row r="107" spans="1:21" x14ac:dyDescent="0.25">
      <c r="A107" s="371">
        <v>13</v>
      </c>
      <c r="B107" s="311" t="s">
        <v>87</v>
      </c>
      <c r="C107" s="112">
        <v>8.9822340964918465E-2</v>
      </c>
      <c r="D107" s="112">
        <v>9.2572944297082224E-2</v>
      </c>
      <c r="E107" s="112">
        <v>8.5901254058254828E-2</v>
      </c>
      <c r="F107" s="112">
        <v>6.7390158593263375E-2</v>
      </c>
      <c r="G107" s="112">
        <v>9.0130305528029184E-2</v>
      </c>
      <c r="H107" s="112">
        <v>8.8459118838949455E-2</v>
      </c>
      <c r="I107" s="112">
        <v>0.10784654783734972</v>
      </c>
      <c r="J107" s="112">
        <v>8.9955586033292997E-2</v>
      </c>
      <c r="K107" s="112">
        <v>8.5389625943126157E-2</v>
      </c>
      <c r="L107" s="112">
        <v>8.4492176044776879E-2</v>
      </c>
      <c r="M107" s="112">
        <v>7.1999999999999967E-2</v>
      </c>
      <c r="N107" s="113">
        <v>6.999999999999991E-2</v>
      </c>
      <c r="O107" s="377" t="s">
        <v>73</v>
      </c>
      <c r="P107" s="379">
        <v>8.533000484492026E-2</v>
      </c>
    </row>
    <row r="108" spans="1:21" x14ac:dyDescent="0.25">
      <c r="A108" s="371">
        <v>14</v>
      </c>
      <c r="B108" s="311" t="s">
        <v>88</v>
      </c>
      <c r="C108" s="317">
        <v>15269</v>
      </c>
      <c r="D108" s="317">
        <v>13088</v>
      </c>
      <c r="E108" s="317">
        <v>15378</v>
      </c>
      <c r="F108" s="317">
        <v>18382</v>
      </c>
      <c r="G108" s="317">
        <v>15905</v>
      </c>
      <c r="H108" s="317">
        <v>16398</v>
      </c>
      <c r="I108" s="317">
        <v>14828</v>
      </c>
      <c r="J108" s="317">
        <v>15259</v>
      </c>
      <c r="K108" s="317">
        <v>13694</v>
      </c>
      <c r="L108" s="317">
        <v>13056</v>
      </c>
      <c r="M108" s="317">
        <v>16115</v>
      </c>
      <c r="N108" s="317">
        <v>15677</v>
      </c>
      <c r="O108" s="318">
        <v>183049</v>
      </c>
      <c r="P108" s="319" t="s">
        <v>73</v>
      </c>
    </row>
    <row r="109" spans="1:21" x14ac:dyDescent="0.25">
      <c r="A109" s="371"/>
      <c r="B109" s="311"/>
      <c r="C109" s="317">
        <v>-741</v>
      </c>
      <c r="D109" s="317">
        <v>0</v>
      </c>
      <c r="E109" s="317">
        <v>0</v>
      </c>
      <c r="F109" s="317">
        <v>0</v>
      </c>
      <c r="G109" s="317">
        <v>0</v>
      </c>
      <c r="H109" s="317">
        <v>0</v>
      </c>
      <c r="I109" s="317">
        <v>0</v>
      </c>
      <c r="J109" s="317">
        <v>0</v>
      </c>
      <c r="K109" s="317">
        <v>0</v>
      </c>
      <c r="L109" s="317">
        <v>0</v>
      </c>
      <c r="M109" s="317"/>
      <c r="N109" s="359"/>
      <c r="O109" s="318">
        <v>-741</v>
      </c>
      <c r="P109" s="319"/>
    </row>
    <row r="110" spans="1:21" x14ac:dyDescent="0.25">
      <c r="A110" s="371">
        <v>15</v>
      </c>
      <c r="B110" s="311" t="s">
        <v>89</v>
      </c>
      <c r="C110" s="320">
        <v>2772.1501810000009</v>
      </c>
      <c r="D110" s="320">
        <v>4017</v>
      </c>
      <c r="E110" s="320">
        <v>4100</v>
      </c>
      <c r="F110" s="320">
        <v>1082.5</v>
      </c>
      <c r="G110" s="320">
        <v>3744</v>
      </c>
      <c r="H110" s="320">
        <v>2337</v>
      </c>
      <c r="I110" s="320">
        <v>3329</v>
      </c>
      <c r="J110" s="320">
        <v>1833.7999999999993</v>
      </c>
      <c r="K110" s="320">
        <v>2801.6932000000015</v>
      </c>
      <c r="L110" s="320">
        <v>3958.3375500000002</v>
      </c>
      <c r="M110" s="320">
        <v>1656.8217599999989</v>
      </c>
      <c r="N110" s="321">
        <v>4085.6674000000021</v>
      </c>
      <c r="O110" s="322">
        <v>35717.970091000003</v>
      </c>
      <c r="P110" s="360" t="s">
        <v>73</v>
      </c>
    </row>
    <row r="111" spans="1:21" x14ac:dyDescent="0.25">
      <c r="A111" s="371">
        <v>16</v>
      </c>
      <c r="B111" s="311" t="s">
        <v>90</v>
      </c>
      <c r="C111" s="112">
        <v>0.1536570647208228</v>
      </c>
      <c r="D111" s="112">
        <v>0.23484361297866121</v>
      </c>
      <c r="E111" s="112">
        <v>0.21049389054317691</v>
      </c>
      <c r="F111" s="112">
        <v>5.5614066634128802E-2</v>
      </c>
      <c r="G111" s="112">
        <v>0.19054404804315742</v>
      </c>
      <c r="H111" s="112">
        <v>0.12473979183346677</v>
      </c>
      <c r="I111" s="112">
        <v>0.18334526628848377</v>
      </c>
      <c r="J111" s="112">
        <v>0.10728493868763452</v>
      </c>
      <c r="K111" s="112">
        <v>0.16984392023003927</v>
      </c>
      <c r="L111" s="112">
        <v>0.23264717408877317</v>
      </c>
      <c r="M111" s="112">
        <v>9.3227457622217291E-2</v>
      </c>
      <c r="N111" s="113">
        <v>0.20673663718086971</v>
      </c>
      <c r="O111" s="377" t="s">
        <v>73</v>
      </c>
      <c r="P111" s="379">
        <v>0.16358148907095263</v>
      </c>
    </row>
    <row r="112" spans="1:21" x14ac:dyDescent="0.25">
      <c r="A112" s="371">
        <v>17</v>
      </c>
      <c r="B112" s="311" t="s">
        <v>91</v>
      </c>
      <c r="C112" s="320">
        <v>4552.57</v>
      </c>
      <c r="D112" s="320">
        <v>5762</v>
      </c>
      <c r="E112" s="320">
        <v>5930.4199999999983</v>
      </c>
      <c r="F112" s="320">
        <v>2489</v>
      </c>
      <c r="G112" s="320">
        <v>5690.4000000000015</v>
      </c>
      <c r="H112" s="320">
        <v>4155.1100000000006</v>
      </c>
      <c r="I112" s="320">
        <v>5523.880000000001</v>
      </c>
      <c r="J112" s="320">
        <v>3523.380000000001</v>
      </c>
      <c r="K112" s="320">
        <v>4341.7599999999984</v>
      </c>
      <c r="L112" s="320">
        <v>5528.59</v>
      </c>
      <c r="M112" s="320">
        <v>3035.6699999999983</v>
      </c>
      <c r="N112" s="321">
        <v>5573.18</v>
      </c>
      <c r="O112" s="322">
        <v>56105.96</v>
      </c>
      <c r="P112" s="360" t="s">
        <v>73</v>
      </c>
    </row>
    <row r="113" spans="1:16" x14ac:dyDescent="0.25">
      <c r="A113" s="371">
        <v>18</v>
      </c>
      <c r="B113" s="311" t="s">
        <v>92</v>
      </c>
      <c r="C113" s="327">
        <v>0.22967756842671896</v>
      </c>
      <c r="D113" s="327">
        <v>0.30567639257294432</v>
      </c>
      <c r="E113" s="327">
        <v>0.27831345543217184</v>
      </c>
      <c r="F113" s="327">
        <v>0.11925638445690193</v>
      </c>
      <c r="G113" s="328">
        <v>0.26350056030450936</v>
      </c>
      <c r="H113" s="328">
        <v>0.20216453860267378</v>
      </c>
      <c r="I113" s="328">
        <v>0.27141866009430093</v>
      </c>
      <c r="J113" s="328">
        <v>0.18758964518873544</v>
      </c>
      <c r="K113" s="328">
        <v>0.24073063735600822</v>
      </c>
      <c r="L113" s="328">
        <v>0.29748248414412154</v>
      </c>
      <c r="M113" s="328">
        <v>0.1585150806734176</v>
      </c>
      <c r="N113" s="329">
        <v>0.26226507257820875</v>
      </c>
      <c r="O113" s="380" t="s">
        <v>73</v>
      </c>
      <c r="P113" s="365">
        <v>0.23471587331922605</v>
      </c>
    </row>
    <row r="114" spans="1:16" x14ac:dyDescent="0.25">
      <c r="A114" s="371">
        <v>19</v>
      </c>
      <c r="B114" s="311" t="s">
        <v>30</v>
      </c>
      <c r="C114" s="305">
        <v>51</v>
      </c>
      <c r="D114" s="305">
        <v>51</v>
      </c>
      <c r="E114" s="305">
        <v>52</v>
      </c>
      <c r="F114" s="305">
        <v>51</v>
      </c>
      <c r="G114" s="305">
        <v>50</v>
      </c>
      <c r="H114" s="305">
        <v>53</v>
      </c>
      <c r="I114" s="305">
        <v>52</v>
      </c>
      <c r="J114" s="305">
        <v>49</v>
      </c>
      <c r="K114" s="305">
        <v>47</v>
      </c>
      <c r="L114" s="305">
        <v>49</v>
      </c>
      <c r="M114" s="305">
        <v>53</v>
      </c>
      <c r="N114" s="305">
        <v>61</v>
      </c>
      <c r="O114" s="307">
        <v>61</v>
      </c>
      <c r="P114" s="308" t="s">
        <v>73</v>
      </c>
    </row>
    <row r="115" spans="1:16" x14ac:dyDescent="0.25">
      <c r="A115" s="371">
        <v>20</v>
      </c>
      <c r="B115" s="311" t="s">
        <v>31</v>
      </c>
      <c r="C115" s="305">
        <v>976</v>
      </c>
      <c r="D115" s="305">
        <v>1115.5</v>
      </c>
      <c r="E115" s="305">
        <v>1375.2999999999997</v>
      </c>
      <c r="F115" s="305">
        <v>1357.2999999999997</v>
      </c>
      <c r="G115" s="305">
        <v>1392.3</v>
      </c>
      <c r="H115" s="305">
        <v>1329</v>
      </c>
      <c r="I115" s="305">
        <v>1828</v>
      </c>
      <c r="J115" s="305">
        <v>1367</v>
      </c>
      <c r="K115" s="305">
        <v>967</v>
      </c>
      <c r="L115" s="305">
        <v>1059.5</v>
      </c>
      <c r="M115" s="305">
        <v>708</v>
      </c>
      <c r="N115" s="306">
        <v>797</v>
      </c>
      <c r="O115" s="307">
        <v>14271.9</v>
      </c>
      <c r="P115" s="308" t="s">
        <v>73</v>
      </c>
    </row>
    <row r="116" spans="1:16" x14ac:dyDescent="0.25">
      <c r="A116" s="371">
        <v>21</v>
      </c>
      <c r="B116" s="311" t="s">
        <v>103</v>
      </c>
      <c r="C116" s="172">
        <v>9.8924180327868854</v>
      </c>
      <c r="D116" s="172">
        <v>9.9130434782608692</v>
      </c>
      <c r="E116" s="172">
        <v>10.278157492910639</v>
      </c>
      <c r="F116" s="172">
        <v>10.331614234141311</v>
      </c>
      <c r="G116" s="172">
        <v>10.483157365510307</v>
      </c>
      <c r="H116" s="172">
        <v>10.369902182091797</v>
      </c>
      <c r="I116" s="172">
        <v>10.394967177242888</v>
      </c>
      <c r="J116" s="172">
        <v>12.798098024871983</v>
      </c>
      <c r="K116" s="172">
        <v>17.264736297828335</v>
      </c>
      <c r="L116" s="172">
        <v>13.451628126474752</v>
      </c>
      <c r="M116" s="172">
        <v>15.312146892655367</v>
      </c>
      <c r="N116" s="173">
        <v>14.971769134253451</v>
      </c>
      <c r="O116" s="377" t="s">
        <v>73</v>
      </c>
      <c r="P116" s="390">
        <v>12.121803203252384</v>
      </c>
    </row>
    <row r="117" spans="1:16" x14ac:dyDescent="0.25">
      <c r="A117" s="371">
        <v>22</v>
      </c>
      <c r="B117" s="311" t="s">
        <v>104</v>
      </c>
      <c r="C117" s="305">
        <v>976</v>
      </c>
      <c r="D117" s="305">
        <v>685.5</v>
      </c>
      <c r="E117" s="305">
        <v>580.70000000000005</v>
      </c>
      <c r="F117" s="305">
        <v>581.70000000000016</v>
      </c>
      <c r="G117" s="305">
        <v>596.70000000000005</v>
      </c>
      <c r="H117" s="305">
        <v>575</v>
      </c>
      <c r="I117" s="305">
        <v>0</v>
      </c>
      <c r="J117" s="305">
        <v>0</v>
      </c>
      <c r="K117" s="305">
        <v>0</v>
      </c>
      <c r="L117" s="305">
        <v>312.5</v>
      </c>
      <c r="M117" s="305">
        <v>708</v>
      </c>
      <c r="N117" s="306">
        <v>797</v>
      </c>
      <c r="O117" s="307">
        <v>5813.1</v>
      </c>
      <c r="P117" s="308" t="s">
        <v>73</v>
      </c>
    </row>
    <row r="118" spans="1:16" x14ac:dyDescent="0.25">
      <c r="A118" s="371">
        <v>23</v>
      </c>
      <c r="B118" s="311" t="s">
        <v>105</v>
      </c>
      <c r="C118" s="172">
        <v>9.8924180327868854</v>
      </c>
      <c r="D118" s="172">
        <v>9.8599562363238515</v>
      </c>
      <c r="E118" s="172">
        <v>10.279748579300843</v>
      </c>
      <c r="F118" s="172">
        <v>10.331614234141307</v>
      </c>
      <c r="G118" s="172">
        <v>10.483157365510309</v>
      </c>
      <c r="H118" s="172">
        <v>10.272000000000002</v>
      </c>
      <c r="I118" s="172">
        <v>0</v>
      </c>
      <c r="J118" s="172">
        <v>0</v>
      </c>
      <c r="K118" s="172">
        <v>0</v>
      </c>
      <c r="L118" s="172">
        <v>10.0032</v>
      </c>
      <c r="M118" s="172">
        <v>10.278248587570621</v>
      </c>
      <c r="N118" s="172">
        <v>10.515056461731493</v>
      </c>
      <c r="O118" s="377" t="s">
        <v>73</v>
      </c>
      <c r="P118" s="366">
        <v>10.212822166373922</v>
      </c>
    </row>
    <row r="119" spans="1:16" ht="15.75" thickBot="1" x14ac:dyDescent="0.3">
      <c r="A119" s="371">
        <v>24</v>
      </c>
      <c r="B119" s="334" t="s">
        <v>33</v>
      </c>
      <c r="C119" s="391">
        <v>76</v>
      </c>
      <c r="D119" s="391">
        <v>76</v>
      </c>
      <c r="E119" s="391">
        <v>76</v>
      </c>
      <c r="F119" s="391">
        <v>76</v>
      </c>
      <c r="G119" s="391">
        <v>76</v>
      </c>
      <c r="H119" s="391">
        <v>76</v>
      </c>
      <c r="I119" s="391">
        <v>76</v>
      </c>
      <c r="J119" s="391">
        <v>76</v>
      </c>
      <c r="K119" s="391">
        <v>76</v>
      </c>
      <c r="L119" s="391">
        <v>75</v>
      </c>
      <c r="M119" s="391">
        <v>76</v>
      </c>
      <c r="N119" s="392">
        <v>76</v>
      </c>
      <c r="O119" s="393" t="s">
        <v>73</v>
      </c>
      <c r="P119" s="394" t="s">
        <v>73</v>
      </c>
    </row>
    <row r="120" spans="1:16" x14ac:dyDescent="0.25">
      <c r="A120" s="371"/>
      <c r="B120" s="339"/>
      <c r="C120" s="340"/>
      <c r="D120" s="340"/>
      <c r="E120" s="340"/>
      <c r="F120" s="340"/>
      <c r="G120" s="340"/>
      <c r="H120" s="340"/>
      <c r="I120" s="341"/>
      <c r="J120" s="341"/>
      <c r="K120" s="342"/>
      <c r="L120" s="342"/>
      <c r="M120" s="342"/>
      <c r="N120" s="342"/>
      <c r="O120" s="342"/>
    </row>
    <row r="121" spans="1:16" x14ac:dyDescent="0.25">
      <c r="A121" s="371"/>
      <c r="B121" s="339"/>
      <c r="C121" s="340"/>
      <c r="D121" s="340"/>
      <c r="E121" s="340"/>
      <c r="F121" s="340"/>
      <c r="G121" s="340"/>
      <c r="H121" s="340"/>
      <c r="I121" s="340"/>
      <c r="J121" s="340"/>
      <c r="K121" s="340"/>
      <c r="L121" s="340"/>
      <c r="M121" s="340"/>
      <c r="N121" s="340"/>
      <c r="O121" s="342"/>
    </row>
    <row r="122" spans="1:16" x14ac:dyDescent="0.25">
      <c r="A122" s="371"/>
      <c r="B122" s="339"/>
      <c r="C122" s="340"/>
      <c r="D122" s="340"/>
      <c r="E122" s="340"/>
      <c r="F122" s="340"/>
      <c r="G122" s="340"/>
      <c r="H122" s="340"/>
      <c r="I122" s="341"/>
      <c r="J122" s="341"/>
      <c r="K122" s="342"/>
      <c r="L122" s="342"/>
      <c r="M122" s="342"/>
      <c r="N122" s="342"/>
      <c r="O122" s="342"/>
    </row>
    <row r="123" spans="1:16" x14ac:dyDescent="0.25">
      <c r="A123" s="371"/>
      <c r="B123" s="339"/>
      <c r="C123" s="340"/>
      <c r="D123" s="340"/>
      <c r="E123" s="340"/>
      <c r="F123" s="340"/>
      <c r="G123" s="340"/>
      <c r="H123" s="340"/>
      <c r="I123" s="341"/>
      <c r="J123" s="341"/>
      <c r="K123" s="342"/>
      <c r="L123" s="342"/>
      <c r="M123" s="342"/>
      <c r="N123" s="342"/>
      <c r="O123" s="342"/>
    </row>
    <row r="124" spans="1:16" x14ac:dyDescent="0.25">
      <c r="A124" s="371"/>
      <c r="B124" s="339"/>
      <c r="C124" s="178"/>
      <c r="D124" s="340"/>
      <c r="E124" s="340"/>
      <c r="F124" s="340"/>
      <c r="G124" s="340"/>
      <c r="H124" s="340"/>
      <c r="I124" s="341"/>
      <c r="J124" s="341"/>
      <c r="K124" s="342"/>
      <c r="L124" s="342"/>
      <c r="M124" s="342"/>
      <c r="N124" s="342"/>
      <c r="O124" s="342"/>
    </row>
    <row r="125" spans="1:16" x14ac:dyDescent="0.25">
      <c r="A125" s="371"/>
      <c r="B125" s="743" t="s">
        <v>0</v>
      </c>
      <c r="C125" s="743"/>
      <c r="D125" s="743"/>
      <c r="E125" s="743"/>
      <c r="F125" s="743"/>
      <c r="G125" s="743"/>
      <c r="H125" s="743"/>
      <c r="I125" s="743"/>
      <c r="J125" s="743"/>
      <c r="K125" s="743"/>
      <c r="L125" s="743"/>
      <c r="M125" s="743"/>
      <c r="N125" s="743"/>
      <c r="O125" s="743"/>
    </row>
    <row r="126" spans="1:16" x14ac:dyDescent="0.25">
      <c r="A126" s="371"/>
      <c r="B126" s="743" t="s">
        <v>159</v>
      </c>
      <c r="C126" s="743"/>
      <c r="D126" s="743"/>
      <c r="E126" s="743"/>
      <c r="F126" s="743"/>
      <c r="G126" s="743"/>
      <c r="H126" s="743"/>
      <c r="I126" s="743"/>
      <c r="J126" s="743"/>
      <c r="K126" s="743"/>
      <c r="L126" s="743"/>
      <c r="M126" s="743"/>
      <c r="N126" s="743"/>
      <c r="O126" s="743"/>
    </row>
    <row r="127" spans="1:16" ht="15.75" thickBot="1" x14ac:dyDescent="0.3">
      <c r="A127" s="371"/>
      <c r="C127" s="368"/>
      <c r="D127" s="368"/>
      <c r="E127" s="368"/>
      <c r="F127" s="368"/>
      <c r="G127" s="368"/>
      <c r="H127" s="368"/>
      <c r="I127" s="369"/>
      <c r="J127" s="369"/>
      <c r="K127" s="370"/>
      <c r="M127" s="370"/>
      <c r="N127" s="370"/>
      <c r="O127" s="370"/>
    </row>
    <row r="128" spans="1:16" ht="15.75" thickBot="1" x14ac:dyDescent="0.3">
      <c r="A128" s="371"/>
      <c r="B128" s="747" t="s">
        <v>52</v>
      </c>
      <c r="C128" s="748"/>
      <c r="D128" s="748"/>
      <c r="E128" s="748"/>
      <c r="F128" s="748"/>
      <c r="G128" s="748"/>
      <c r="H128" s="748"/>
      <c r="I128" s="748"/>
      <c r="J128" s="748"/>
      <c r="K128" s="748"/>
      <c r="L128" s="748"/>
      <c r="M128" s="748"/>
      <c r="N128" s="748"/>
      <c r="O128" s="748"/>
      <c r="P128" s="749"/>
    </row>
    <row r="129" spans="1:21" ht="15.75" thickBot="1" x14ac:dyDescent="0.3">
      <c r="A129" s="371"/>
      <c r="B129" s="346" t="s">
        <v>57</v>
      </c>
      <c r="C129" s="347" t="s">
        <v>58</v>
      </c>
      <c r="D129" s="347" t="s">
        <v>59</v>
      </c>
      <c r="E129" s="347" t="s">
        <v>60</v>
      </c>
      <c r="F129" s="347" t="s">
        <v>61</v>
      </c>
      <c r="G129" s="347" t="s">
        <v>62</v>
      </c>
      <c r="H129" s="347" t="s">
        <v>63</v>
      </c>
      <c r="I129" s="348" t="s">
        <v>64</v>
      </c>
      <c r="J129" s="348" t="s">
        <v>65</v>
      </c>
      <c r="K129" s="347" t="s">
        <v>66</v>
      </c>
      <c r="L129" s="347" t="s">
        <v>67</v>
      </c>
      <c r="M129" s="347" t="s">
        <v>68</v>
      </c>
      <c r="N129" s="349" t="s">
        <v>69</v>
      </c>
      <c r="O129" s="350" t="s">
        <v>70</v>
      </c>
      <c r="P129" s="395" t="s">
        <v>71</v>
      </c>
      <c r="Q129" s="385"/>
    </row>
    <row r="130" spans="1:21" x14ac:dyDescent="0.25">
      <c r="A130" s="371">
        <v>1</v>
      </c>
      <c r="B130" s="311" t="s">
        <v>100</v>
      </c>
      <c r="C130" s="320">
        <v>4355888.57</v>
      </c>
      <c r="D130" s="320">
        <v>4368386.25</v>
      </c>
      <c r="E130" s="320">
        <v>5003881.79</v>
      </c>
      <c r="F130" s="320">
        <v>4829559.7709999997</v>
      </c>
      <c r="G130" s="320">
        <v>4794786</v>
      </c>
      <c r="H130" s="320">
        <v>4711562.9800000004</v>
      </c>
      <c r="I130" s="320">
        <v>4632741.12</v>
      </c>
      <c r="J130" s="320">
        <v>4033695.73</v>
      </c>
      <c r="K130" s="320">
        <v>3837322.5726464842</v>
      </c>
      <c r="L130" s="320">
        <v>4146804.34</v>
      </c>
      <c r="M130" s="320">
        <v>4289656.9116992187</v>
      </c>
      <c r="N130" s="320">
        <v>4891459.8201367185</v>
      </c>
      <c r="O130" s="352">
        <v>53895745.855482422</v>
      </c>
      <c r="P130" s="396" t="s">
        <v>73</v>
      </c>
      <c r="Q130" s="385"/>
      <c r="U130" s="303"/>
    </row>
    <row r="131" spans="1:21" x14ac:dyDescent="0.25">
      <c r="A131" s="371">
        <v>2</v>
      </c>
      <c r="B131" s="375" t="s">
        <v>99</v>
      </c>
      <c r="C131" s="305">
        <v>3779173</v>
      </c>
      <c r="D131" s="305">
        <v>3855165.1</v>
      </c>
      <c r="E131" s="305">
        <v>4587688.55</v>
      </c>
      <c r="F131" s="305">
        <v>4433776.0999999996</v>
      </c>
      <c r="G131" s="305">
        <v>4537488.7</v>
      </c>
      <c r="H131" s="305">
        <v>4234870.5999999996</v>
      </c>
      <c r="I131" s="305">
        <v>3597264</v>
      </c>
      <c r="J131" s="305">
        <v>2908180</v>
      </c>
      <c r="K131" s="305">
        <v>2930382</v>
      </c>
      <c r="L131" s="305">
        <v>3148771</v>
      </c>
      <c r="M131" s="305">
        <v>3328489</v>
      </c>
      <c r="N131" s="306">
        <v>4058901.5</v>
      </c>
      <c r="O131" s="307">
        <v>45400149.549999997</v>
      </c>
      <c r="P131" s="397" t="s">
        <v>73</v>
      </c>
      <c r="Q131" s="385"/>
      <c r="U131" s="303"/>
    </row>
    <row r="132" spans="1:21" x14ac:dyDescent="0.25">
      <c r="A132" s="371">
        <v>3</v>
      </c>
      <c r="B132" s="309" t="s">
        <v>75</v>
      </c>
      <c r="C132" s="112">
        <v>0.86760093589813747</v>
      </c>
      <c r="D132" s="112">
        <v>0.8825147043716659</v>
      </c>
      <c r="E132" s="112">
        <v>0.91682592485862857</v>
      </c>
      <c r="F132" s="112">
        <v>0.918049741639692</v>
      </c>
      <c r="G132" s="112">
        <v>0.94633810560054199</v>
      </c>
      <c r="H132" s="112">
        <v>0.89882500095541529</v>
      </c>
      <c r="I132" s="112">
        <v>0.77648716101796766</v>
      </c>
      <c r="J132" s="112">
        <v>0.72097158404161532</v>
      </c>
      <c r="K132" s="112">
        <v>0.7636527668767249</v>
      </c>
      <c r="L132" s="112">
        <v>0.75932470930133156</v>
      </c>
      <c r="M132" s="112">
        <v>0.77593361625779045</v>
      </c>
      <c r="N132" s="113">
        <v>0.82979348686269117</v>
      </c>
      <c r="O132" s="377" t="s">
        <v>73</v>
      </c>
      <c r="P132" s="316">
        <v>0.83802647814018361</v>
      </c>
      <c r="Q132" s="385"/>
      <c r="R132" s="385"/>
      <c r="U132" s="303"/>
    </row>
    <row r="133" spans="1:21" x14ac:dyDescent="0.25">
      <c r="A133" s="371">
        <v>4</v>
      </c>
      <c r="B133" s="375" t="s">
        <v>107</v>
      </c>
      <c r="C133" s="305">
        <v>9655</v>
      </c>
      <c r="D133" s="305">
        <v>6759</v>
      </c>
      <c r="E133" s="305">
        <v>5969.4500000000007</v>
      </c>
      <c r="F133" s="305">
        <v>6009.9000000000005</v>
      </c>
      <c r="G133" s="305">
        <v>6255.3000000000011</v>
      </c>
      <c r="H133" s="305">
        <v>5906.4000000000015</v>
      </c>
      <c r="I133" s="305">
        <v>0</v>
      </c>
      <c r="J133" s="305">
        <v>0</v>
      </c>
      <c r="K133" s="305">
        <v>0</v>
      </c>
      <c r="L133" s="305">
        <v>3126</v>
      </c>
      <c r="M133" s="305">
        <v>7277</v>
      </c>
      <c r="N133" s="306">
        <v>8380.5</v>
      </c>
      <c r="O133" s="307">
        <v>59338.55</v>
      </c>
      <c r="P133" s="397" t="s">
        <v>73</v>
      </c>
      <c r="Q133" s="385"/>
      <c r="R133" s="385"/>
      <c r="U133" s="303"/>
    </row>
    <row r="134" spans="1:21" x14ac:dyDescent="0.25">
      <c r="A134" s="371">
        <v>5</v>
      </c>
      <c r="B134" s="375" t="s">
        <v>101</v>
      </c>
      <c r="C134" s="112">
        <v>2.2165397128145544E-3</v>
      </c>
      <c r="D134" s="112">
        <v>1.5472532906173303E-3</v>
      </c>
      <c r="E134" s="112">
        <v>1.192963832984552E-3</v>
      </c>
      <c r="F134" s="112">
        <v>1.244399134697033E-3</v>
      </c>
      <c r="G134" s="112">
        <v>1.3046046267758354E-3</v>
      </c>
      <c r="H134" s="112">
        <v>1.2535967416910133E-3</v>
      </c>
      <c r="I134" s="112">
        <v>0</v>
      </c>
      <c r="J134" s="112">
        <v>0</v>
      </c>
      <c r="K134" s="112">
        <v>0</v>
      </c>
      <c r="L134" s="112">
        <v>7.5383349290118664E-4</v>
      </c>
      <c r="M134" s="112">
        <v>1.6964060645860452E-3</v>
      </c>
      <c r="N134" s="113">
        <v>1.7132922089025278E-3</v>
      </c>
      <c r="O134" s="377" t="s">
        <v>73</v>
      </c>
      <c r="P134" s="316">
        <v>1.0769074254975066E-3</v>
      </c>
      <c r="R134" s="385"/>
      <c r="U134" s="303"/>
    </row>
    <row r="135" spans="1:21" x14ac:dyDescent="0.25">
      <c r="A135" s="371">
        <v>6</v>
      </c>
      <c r="B135" s="311" t="s">
        <v>76</v>
      </c>
      <c r="C135" s="305">
        <v>357911.1</v>
      </c>
      <c r="D135" s="305">
        <v>301696.55000000005</v>
      </c>
      <c r="E135" s="305">
        <v>168593.97</v>
      </c>
      <c r="F135" s="305">
        <v>170301.77100000001</v>
      </c>
      <c r="G135" s="305">
        <v>91130</v>
      </c>
      <c r="H135" s="305">
        <v>312153.57</v>
      </c>
      <c r="I135" s="305">
        <v>886698.04</v>
      </c>
      <c r="J135" s="305">
        <v>955610.65</v>
      </c>
      <c r="K135" s="305">
        <v>749068.21264648437</v>
      </c>
      <c r="L135" s="305">
        <v>836642.75</v>
      </c>
      <c r="M135" s="305">
        <v>821857.24169921875</v>
      </c>
      <c r="N135" s="305">
        <v>691864.64013671852</v>
      </c>
      <c r="O135" s="307">
        <v>6343528.4954824224</v>
      </c>
      <c r="P135" s="397" t="s">
        <v>73</v>
      </c>
      <c r="U135" s="303"/>
    </row>
    <row r="136" spans="1:21" x14ac:dyDescent="0.25">
      <c r="A136" s="371">
        <v>7</v>
      </c>
      <c r="B136" s="311" t="s">
        <v>77</v>
      </c>
      <c r="C136" s="112">
        <v>8.2167184547606548E-2</v>
      </c>
      <c r="D136" s="112">
        <v>6.9063615883325352E-2</v>
      </c>
      <c r="E136" s="112">
        <v>3.3692636452149281E-2</v>
      </c>
      <c r="F136" s="112">
        <v>3.5262379818261913E-2</v>
      </c>
      <c r="G136" s="112">
        <v>1.9006062001515812E-2</v>
      </c>
      <c r="H136" s="112">
        <v>6.625265783882188E-2</v>
      </c>
      <c r="I136" s="112">
        <v>0.19139814140963698</v>
      </c>
      <c r="J136" s="112">
        <v>0.23690697414105649</v>
      </c>
      <c r="K136" s="112">
        <v>0.19520595375172614</v>
      </c>
      <c r="L136" s="112">
        <v>0.20175602256652408</v>
      </c>
      <c r="M136" s="112">
        <v>0.19159043686168942</v>
      </c>
      <c r="N136" s="113">
        <v>0.14144338614180429</v>
      </c>
      <c r="O136" s="377" t="s">
        <v>73</v>
      </c>
      <c r="P136" s="316">
        <v>0.12197878761784318</v>
      </c>
      <c r="U136" s="303"/>
    </row>
    <row r="137" spans="1:21" x14ac:dyDescent="0.25">
      <c r="A137" s="371">
        <v>8</v>
      </c>
      <c r="B137" s="311" t="s">
        <v>108</v>
      </c>
      <c r="C137" s="305">
        <v>205205.47</v>
      </c>
      <c r="D137" s="305">
        <v>200821.6</v>
      </c>
      <c r="E137" s="305">
        <v>236989.82</v>
      </c>
      <c r="F137" s="305">
        <v>214832</v>
      </c>
      <c r="G137" s="305">
        <v>155272</v>
      </c>
      <c r="H137" s="305">
        <v>153992.40999999997</v>
      </c>
      <c r="I137" s="305">
        <v>144139.08000000002</v>
      </c>
      <c r="J137" s="305">
        <v>165265.08000000002</v>
      </c>
      <c r="K137" s="305">
        <v>153232.36000000002</v>
      </c>
      <c r="L137" s="305">
        <v>153624.59</v>
      </c>
      <c r="M137" s="305">
        <v>128205.67</v>
      </c>
      <c r="N137" s="305">
        <v>128949.18</v>
      </c>
      <c r="O137" s="307">
        <v>2040529.2600000002</v>
      </c>
      <c r="P137" s="397" t="s">
        <v>73</v>
      </c>
      <c r="U137" s="303"/>
    </row>
    <row r="138" spans="1:21" x14ac:dyDescent="0.25">
      <c r="A138" s="371"/>
      <c r="B138" s="315" t="s">
        <v>109</v>
      </c>
      <c r="C138" s="112">
        <v>4.7109898865020781E-2</v>
      </c>
      <c r="D138" s="112">
        <v>4.5971575888006697E-2</v>
      </c>
      <c r="E138" s="112">
        <v>4.7361194757560413E-2</v>
      </c>
      <c r="F138" s="112">
        <v>4.4482729314170445E-2</v>
      </c>
      <c r="G138" s="112">
        <v>3.2383509920985001E-2</v>
      </c>
      <c r="H138" s="112">
        <v>3.2683933262418148E-2</v>
      </c>
      <c r="I138" s="112">
        <v>3.1113130707376979E-2</v>
      </c>
      <c r="J138" s="112">
        <v>4.0971131950004569E-2</v>
      </c>
      <c r="K138" s="112">
        <v>3.9932102943933727E-2</v>
      </c>
      <c r="L138" s="112">
        <v>3.7046500727835163E-2</v>
      </c>
      <c r="M138" s="112">
        <v>2.9887161756536648E-2</v>
      </c>
      <c r="N138" s="113">
        <v>2.6362105535274703E-2</v>
      </c>
      <c r="O138" s="377" t="s">
        <v>73</v>
      </c>
      <c r="P138" s="316">
        <v>3.794208130242694E-2</v>
      </c>
      <c r="U138" s="303"/>
    </row>
    <row r="139" spans="1:21" x14ac:dyDescent="0.25">
      <c r="A139" s="371"/>
      <c r="B139" s="315" t="s">
        <v>155</v>
      </c>
      <c r="C139" s="305">
        <v>3944</v>
      </c>
      <c r="D139" s="305">
        <v>3944</v>
      </c>
      <c r="E139" s="305">
        <v>4640</v>
      </c>
      <c r="F139" s="305">
        <v>4640</v>
      </c>
      <c r="G139" s="305">
        <v>4640</v>
      </c>
      <c r="H139" s="305">
        <v>4640</v>
      </c>
      <c r="I139" s="305">
        <v>4640</v>
      </c>
      <c r="J139" s="305">
        <v>4640</v>
      </c>
      <c r="K139" s="305">
        <v>4640</v>
      </c>
      <c r="L139" s="305">
        <v>4640</v>
      </c>
      <c r="M139" s="305">
        <v>3828</v>
      </c>
      <c r="N139" s="305">
        <v>3364</v>
      </c>
      <c r="O139" s="305">
        <v>52200</v>
      </c>
      <c r="P139" s="306"/>
    </row>
    <row r="140" spans="1:21" x14ac:dyDescent="0.25">
      <c r="A140" s="371">
        <v>9</v>
      </c>
      <c r="B140" s="311" t="s">
        <v>151</v>
      </c>
      <c r="C140" s="317">
        <v>57690.590000000011</v>
      </c>
      <c r="D140" s="317">
        <v>64530.999999999993</v>
      </c>
      <c r="E140" s="317">
        <v>69198.31</v>
      </c>
      <c r="F140" s="317">
        <v>53578.32</v>
      </c>
      <c r="G140" s="317">
        <v>20289.519999999997</v>
      </c>
      <c r="H140" s="317">
        <v>32579.999999999996</v>
      </c>
      <c r="I140" s="317">
        <v>77181.249999999971</v>
      </c>
      <c r="J140" s="317">
        <v>60398.950000000026</v>
      </c>
      <c r="K140" s="317">
        <v>58126.05</v>
      </c>
      <c r="L140" s="317">
        <v>57583.720000000008</v>
      </c>
      <c r="M140" s="317">
        <v>61665.05</v>
      </c>
      <c r="N140" s="359">
        <v>70003.299999999959</v>
      </c>
      <c r="O140" s="318">
        <v>682826.05999999994</v>
      </c>
      <c r="P140" s="398" t="s">
        <v>73</v>
      </c>
    </row>
    <row r="141" spans="1:21" x14ac:dyDescent="0.25">
      <c r="A141" s="371">
        <v>10</v>
      </c>
      <c r="B141" s="311" t="s">
        <v>160</v>
      </c>
      <c r="C141" s="317">
        <v>53001</v>
      </c>
      <c r="D141" s="317">
        <v>52146.520000000004</v>
      </c>
      <c r="E141" s="317">
        <v>59703</v>
      </c>
      <c r="F141" s="317">
        <v>57116</v>
      </c>
      <c r="G141" s="317">
        <v>59301.52</v>
      </c>
      <c r="H141" s="317">
        <v>59994.630000000005</v>
      </c>
      <c r="I141" s="317">
        <v>58427.109999999993</v>
      </c>
      <c r="J141" s="317">
        <v>60088.66</v>
      </c>
      <c r="K141" s="317">
        <v>58341.3</v>
      </c>
      <c r="L141" s="317">
        <v>61444.04</v>
      </c>
      <c r="M141" s="317">
        <v>60364</v>
      </c>
      <c r="N141" s="317">
        <v>60617.919999999998</v>
      </c>
      <c r="O141" s="318">
        <v>700545.70000000007</v>
      </c>
      <c r="P141" s="398" t="s">
        <v>73</v>
      </c>
    </row>
    <row r="142" spans="1:21" x14ac:dyDescent="0.25">
      <c r="A142" s="371">
        <v>11</v>
      </c>
      <c r="B142" s="311" t="s">
        <v>81</v>
      </c>
      <c r="C142" s="320">
        <v>4245196.9800000004</v>
      </c>
      <c r="D142" s="320">
        <v>4251708.7300000004</v>
      </c>
      <c r="E142" s="320">
        <v>4874980.4800000004</v>
      </c>
      <c r="F142" s="320">
        <v>4718865.4509999994</v>
      </c>
      <c r="G142" s="320">
        <v>4715194.9600000009</v>
      </c>
      <c r="H142" s="320">
        <v>4618988.3500000006</v>
      </c>
      <c r="I142" s="320">
        <v>4497132.76</v>
      </c>
      <c r="J142" s="320">
        <v>3913208.1199999996</v>
      </c>
      <c r="K142" s="320">
        <v>3720855.2226464846</v>
      </c>
      <c r="L142" s="320">
        <v>4027776.5799999996</v>
      </c>
      <c r="M142" s="320">
        <v>4167627.8616992189</v>
      </c>
      <c r="N142" s="320">
        <v>4760838.6001367187</v>
      </c>
      <c r="O142" s="322">
        <v>52512374.095482416</v>
      </c>
      <c r="P142" s="399" t="s">
        <v>73</v>
      </c>
    </row>
    <row r="143" spans="1:21" x14ac:dyDescent="0.25">
      <c r="A143" s="371">
        <v>12</v>
      </c>
      <c r="B143" s="311" t="s">
        <v>82</v>
      </c>
      <c r="C143" s="400">
        <v>4139843.1486579999</v>
      </c>
      <c r="D143" s="400">
        <v>4116640.09</v>
      </c>
      <c r="E143" s="400">
        <v>4669575.28</v>
      </c>
      <c r="F143" s="400">
        <v>4482746.99</v>
      </c>
      <c r="G143" s="400">
        <v>4648841.71</v>
      </c>
      <c r="H143" s="400">
        <v>4520196.7035483867</v>
      </c>
      <c r="I143" s="400">
        <v>4346828.4856799999</v>
      </c>
      <c r="J143" s="400">
        <v>3778353.5375499995</v>
      </c>
      <c r="K143" s="400">
        <v>3569496.2078500018</v>
      </c>
      <c r="L143" s="400">
        <v>3859374.9269707487</v>
      </c>
      <c r="M143" s="400">
        <v>3962370.3987600002</v>
      </c>
      <c r="N143" s="401">
        <v>4559841.930399999</v>
      </c>
      <c r="O143" s="402">
        <v>50654109.409417138</v>
      </c>
      <c r="P143" s="403" t="s">
        <v>73</v>
      </c>
    </row>
    <row r="144" spans="1:21" x14ac:dyDescent="0.25">
      <c r="A144" s="371">
        <v>13</v>
      </c>
      <c r="B144" s="311" t="s">
        <v>86</v>
      </c>
      <c r="C144" s="320">
        <v>105353.83134200034</v>
      </c>
      <c r="D144" s="320">
        <v>135068.64000000001</v>
      </c>
      <c r="E144" s="320">
        <v>205405.2</v>
      </c>
      <c r="F144" s="320">
        <v>236118.46100000013</v>
      </c>
      <c r="G144" s="320">
        <v>66353.249999999854</v>
      </c>
      <c r="H144" s="320">
        <v>98791.6464516126</v>
      </c>
      <c r="I144" s="320">
        <v>150304.27432000026</v>
      </c>
      <c r="J144" s="320">
        <v>134854.58244999987</v>
      </c>
      <c r="K144" s="320">
        <v>151359.01479648336</v>
      </c>
      <c r="L144" s="320">
        <v>168401.65302925088</v>
      </c>
      <c r="M144" s="320">
        <v>205257.46293921888</v>
      </c>
      <c r="N144" s="321">
        <v>200996.66973671978</v>
      </c>
      <c r="O144" s="402">
        <v>1858264.6860652859</v>
      </c>
      <c r="P144" s="403" t="s">
        <v>73</v>
      </c>
    </row>
    <row r="145" spans="1:18" x14ac:dyDescent="0.25">
      <c r="A145" s="371">
        <v>14</v>
      </c>
      <c r="B145" s="311" t="s">
        <v>87</v>
      </c>
      <c r="C145" s="361">
        <v>2.4817183239869433E-2</v>
      </c>
      <c r="D145" s="361">
        <v>3.1768083981613668E-2</v>
      </c>
      <c r="E145" s="361">
        <v>4.2134568711134614E-2</v>
      </c>
      <c r="F145" s="361">
        <v>5.0037125120819675E-2</v>
      </c>
      <c r="G145" s="361">
        <v>1.4072217705288657E-2</v>
      </c>
      <c r="H145" s="361">
        <v>2.1388156662402621E-2</v>
      </c>
      <c r="I145" s="361">
        <v>3.342224531525733E-2</v>
      </c>
      <c r="J145" s="361">
        <v>3.4461387770502706E-2</v>
      </c>
      <c r="K145" s="361">
        <v>4.0678555262042199E-2</v>
      </c>
      <c r="L145" s="361">
        <v>4.1810078013128249E-2</v>
      </c>
      <c r="M145" s="361">
        <v>4.9250429681006028E-2</v>
      </c>
      <c r="N145" s="362">
        <v>4.2218753169021038E-2</v>
      </c>
      <c r="O145" s="404" t="s">
        <v>73</v>
      </c>
      <c r="P145" s="405">
        <v>3.5504898719340518E-2</v>
      </c>
    </row>
    <row r="146" spans="1:18" x14ac:dyDescent="0.25">
      <c r="A146" s="371">
        <v>15</v>
      </c>
      <c r="B146" s="311" t="s">
        <v>88</v>
      </c>
      <c r="C146" s="317">
        <v>3897027</v>
      </c>
      <c r="D146" s="317">
        <v>3812787</v>
      </c>
      <c r="E146" s="317">
        <v>4484500</v>
      </c>
      <c r="F146" s="317">
        <v>4407395</v>
      </c>
      <c r="G146" s="317">
        <v>4445455</v>
      </c>
      <c r="H146" s="317">
        <v>4149882</v>
      </c>
      <c r="I146" s="317">
        <v>4178071</v>
      </c>
      <c r="J146" s="317">
        <v>3741633</v>
      </c>
      <c r="K146" s="317">
        <v>3557670</v>
      </c>
      <c r="L146" s="317">
        <v>3621624</v>
      </c>
      <c r="M146" s="317">
        <v>3479903</v>
      </c>
      <c r="N146" s="359">
        <v>4200646</v>
      </c>
      <c r="O146" s="318">
        <v>47976593</v>
      </c>
      <c r="P146" s="398" t="s">
        <v>73</v>
      </c>
    </row>
    <row r="147" spans="1:18" x14ac:dyDescent="0.25">
      <c r="A147" s="371"/>
      <c r="B147" s="311"/>
      <c r="C147" s="317">
        <v>-1826</v>
      </c>
      <c r="D147" s="317">
        <v>-6515</v>
      </c>
      <c r="E147" s="317">
        <v>-4371</v>
      </c>
      <c r="F147" s="317">
        <v>-11686</v>
      </c>
      <c r="G147" s="317">
        <v>7648</v>
      </c>
      <c r="H147" s="317">
        <v>-2194</v>
      </c>
      <c r="I147" s="317">
        <v>-1261</v>
      </c>
      <c r="J147" s="317">
        <v>-18000113</v>
      </c>
      <c r="K147" s="317">
        <v>-81918</v>
      </c>
      <c r="L147" s="317">
        <v>-5090</v>
      </c>
      <c r="M147" s="317"/>
      <c r="N147" s="359"/>
      <c r="O147" s="318">
        <v>-18107326</v>
      </c>
      <c r="P147" s="398"/>
    </row>
    <row r="148" spans="1:18" x14ac:dyDescent="0.25">
      <c r="A148" s="371">
        <v>16</v>
      </c>
      <c r="B148" s="311" t="s">
        <v>89</v>
      </c>
      <c r="C148" s="320">
        <v>242816.14865799982</v>
      </c>
      <c r="D148" s="320">
        <v>303853.08999999997</v>
      </c>
      <c r="E148" s="320">
        <v>185075.28000000003</v>
      </c>
      <c r="F148" s="320">
        <v>75351.990000000224</v>
      </c>
      <c r="G148" s="320">
        <v>203386.7100000002</v>
      </c>
      <c r="H148" s="320">
        <v>370314.70354838716</v>
      </c>
      <c r="I148" s="320">
        <v>168757.4856800001</v>
      </c>
      <c r="J148" s="320">
        <v>36720.537549999906</v>
      </c>
      <c r="K148" s="320">
        <v>11826.207850001483</v>
      </c>
      <c r="L148" s="320">
        <v>237750.92697074887</v>
      </c>
      <c r="M148" s="320">
        <v>482467.39876000007</v>
      </c>
      <c r="N148" s="321">
        <v>359195.9303999992</v>
      </c>
      <c r="O148" s="402">
        <v>2677516.409417137</v>
      </c>
      <c r="P148" s="403" t="s">
        <v>73</v>
      </c>
    </row>
    <row r="149" spans="1:18" x14ac:dyDescent="0.25">
      <c r="A149" s="371">
        <v>17</v>
      </c>
      <c r="B149" s="311" t="s">
        <v>90</v>
      </c>
      <c r="C149" s="361">
        <v>5.8653465829185528E-2</v>
      </c>
      <c r="D149" s="361">
        <v>7.3810943720367839E-2</v>
      </c>
      <c r="E149" s="361">
        <v>3.9634285540418576E-2</v>
      </c>
      <c r="F149" s="361">
        <v>1.6809333689385895E-2</v>
      </c>
      <c r="G149" s="361">
        <v>4.3749975302987937E-2</v>
      </c>
      <c r="H149" s="361">
        <v>8.1924466529894033E-2</v>
      </c>
      <c r="I149" s="361">
        <v>3.8823129607240617E-2</v>
      </c>
      <c r="J149" s="361">
        <v>9.7186611006789565E-3</v>
      </c>
      <c r="K149" s="361">
        <v>3.3131308065248539E-3</v>
      </c>
      <c r="L149" s="361">
        <v>6.1603480218845E-2</v>
      </c>
      <c r="M149" s="361">
        <v>0.12176231654440617</v>
      </c>
      <c r="N149" s="362">
        <v>7.8773768012719195E-2</v>
      </c>
      <c r="O149" s="404" t="s">
        <v>73</v>
      </c>
      <c r="P149" s="406">
        <v>5.2381413075221213E-2</v>
      </c>
    </row>
    <row r="150" spans="1:18" x14ac:dyDescent="0.25">
      <c r="A150" s="371">
        <v>18</v>
      </c>
      <c r="B150" s="311" t="s">
        <v>91</v>
      </c>
      <c r="C150" s="320">
        <v>348169.98000000045</v>
      </c>
      <c r="D150" s="320">
        <v>438921.73000000045</v>
      </c>
      <c r="E150" s="320">
        <v>390480.48000000045</v>
      </c>
      <c r="F150" s="320">
        <v>311470.45099999942</v>
      </c>
      <c r="G150" s="320">
        <v>269739.96000000089</v>
      </c>
      <c r="H150" s="320">
        <v>469106.35000000056</v>
      </c>
      <c r="I150" s="320">
        <v>319061.75999999978</v>
      </c>
      <c r="J150" s="320">
        <v>171575.11999999965</v>
      </c>
      <c r="K150" s="320">
        <v>163185.22264648462</v>
      </c>
      <c r="L150" s="320">
        <v>406152.57999999961</v>
      </c>
      <c r="M150" s="320">
        <v>687724.86169921886</v>
      </c>
      <c r="N150" s="321">
        <v>560192.60013671871</v>
      </c>
      <c r="O150" s="322">
        <v>4535781.0954824239</v>
      </c>
      <c r="P150" s="399" t="s">
        <v>73</v>
      </c>
    </row>
    <row r="151" spans="1:18" x14ac:dyDescent="0.25">
      <c r="A151" s="371">
        <v>19</v>
      </c>
      <c r="B151" s="311" t="s">
        <v>92</v>
      </c>
      <c r="C151" s="407">
        <v>8.2015035259918712E-2</v>
      </c>
      <c r="D151" s="407">
        <v>0.1032341954431108</v>
      </c>
      <c r="E151" s="407">
        <v>8.0098880724133778E-2</v>
      </c>
      <c r="F151" s="407">
        <v>6.600536807719197E-2</v>
      </c>
      <c r="G151" s="407">
        <v>5.720653383121211E-2</v>
      </c>
      <c r="H151" s="407">
        <v>0.10156040986767167</v>
      </c>
      <c r="I151" s="407">
        <v>7.0947818760858594E-2</v>
      </c>
      <c r="J151" s="407">
        <v>4.3845130322381028E-2</v>
      </c>
      <c r="K151" s="407">
        <v>4.3856912693963399E-2</v>
      </c>
      <c r="L151" s="407">
        <v>0.10083791191814309</v>
      </c>
      <c r="M151" s="407">
        <v>0.16501589981664552</v>
      </c>
      <c r="N151" s="407">
        <v>0.11766679091381746</v>
      </c>
      <c r="O151" s="408" t="s">
        <v>73</v>
      </c>
      <c r="P151" s="409">
        <v>8.6024240635754021E-2</v>
      </c>
      <c r="R151" s="410"/>
    </row>
    <row r="152" spans="1:18" x14ac:dyDescent="0.25">
      <c r="A152" s="371">
        <v>20</v>
      </c>
      <c r="B152" s="311" t="s">
        <v>30</v>
      </c>
      <c r="C152" s="305">
        <v>7350</v>
      </c>
      <c r="D152" s="305">
        <v>8350</v>
      </c>
      <c r="E152" s="305">
        <v>8710</v>
      </c>
      <c r="F152" s="305">
        <v>8541</v>
      </c>
      <c r="G152" s="305">
        <v>8403</v>
      </c>
      <c r="H152" s="305">
        <v>8322</v>
      </c>
      <c r="I152" s="305">
        <v>6979</v>
      </c>
      <c r="J152" s="305">
        <v>6803</v>
      </c>
      <c r="K152" s="305">
        <v>6677</v>
      </c>
      <c r="L152" s="305">
        <v>8384</v>
      </c>
      <c r="M152" s="305">
        <v>8464</v>
      </c>
      <c r="N152" s="306">
        <v>9784.76</v>
      </c>
      <c r="O152" s="307">
        <v>9784.76</v>
      </c>
      <c r="P152" s="397" t="s">
        <v>73</v>
      </c>
    </row>
    <row r="153" spans="1:18" x14ac:dyDescent="0.25">
      <c r="A153" s="371">
        <v>21</v>
      </c>
      <c r="B153" s="311" t="s">
        <v>31</v>
      </c>
      <c r="C153" s="305">
        <v>283850</v>
      </c>
      <c r="D153" s="305">
        <v>280709.5</v>
      </c>
      <c r="E153" s="305">
        <v>336790.3</v>
      </c>
      <c r="F153" s="305">
        <v>327574.3</v>
      </c>
      <c r="G153" s="305">
        <v>321313.3</v>
      </c>
      <c r="H153" s="305">
        <v>298859</v>
      </c>
      <c r="I153" s="305">
        <v>259662</v>
      </c>
      <c r="J153" s="305">
        <v>215242</v>
      </c>
      <c r="K153" s="305">
        <v>217456</v>
      </c>
      <c r="L153" s="305">
        <v>233414.5</v>
      </c>
      <c r="M153" s="305">
        <v>249799</v>
      </c>
      <c r="N153" s="306">
        <v>308555</v>
      </c>
      <c r="O153" s="307">
        <v>3333224.9000000004</v>
      </c>
      <c r="P153" s="397" t="s">
        <v>73</v>
      </c>
    </row>
    <row r="154" spans="1:18" x14ac:dyDescent="0.25">
      <c r="A154" s="371">
        <v>22</v>
      </c>
      <c r="B154" s="311" t="s">
        <v>110</v>
      </c>
      <c r="C154" s="331">
        <v>13.31397921437379</v>
      </c>
      <c r="D154" s="331">
        <v>13.733646705936209</v>
      </c>
      <c r="E154" s="331">
        <v>13.621795372372659</v>
      </c>
      <c r="F154" s="331">
        <v>13.535176904903711</v>
      </c>
      <c r="G154" s="331">
        <v>14.121695865063788</v>
      </c>
      <c r="H154" s="331">
        <v>14.170129057515416</v>
      </c>
      <c r="I154" s="331">
        <v>13.853640501883218</v>
      </c>
      <c r="J154" s="331">
        <v>13.511210637329146</v>
      </c>
      <c r="K154" s="331">
        <v>13.475746817747039</v>
      </c>
      <c r="L154" s="331">
        <v>13.490040250284366</v>
      </c>
      <c r="M154" s="331">
        <v>13.324669033903259</v>
      </c>
      <c r="N154" s="332">
        <v>13.154547811573302</v>
      </c>
      <c r="O154" s="377" t="s">
        <v>73</v>
      </c>
      <c r="P154" s="333">
        <v>13.608856514407158</v>
      </c>
    </row>
    <row r="155" spans="1:18" x14ac:dyDescent="0.25">
      <c r="A155" s="371">
        <v>23</v>
      </c>
      <c r="B155" s="311" t="s">
        <v>111</v>
      </c>
      <c r="C155" s="305">
        <v>976</v>
      </c>
      <c r="D155" s="305">
        <v>685.5</v>
      </c>
      <c r="E155" s="305">
        <v>580.70000000000005</v>
      </c>
      <c r="F155" s="305">
        <v>581.70000000000016</v>
      </c>
      <c r="G155" s="305">
        <v>596.70000000000005</v>
      </c>
      <c r="H155" s="305">
        <v>575</v>
      </c>
      <c r="I155" s="305">
        <v>0</v>
      </c>
      <c r="J155" s="305">
        <v>0</v>
      </c>
      <c r="K155" s="305">
        <v>0</v>
      </c>
      <c r="L155" s="305">
        <v>312.5</v>
      </c>
      <c r="M155" s="305">
        <v>708</v>
      </c>
      <c r="N155" s="306">
        <v>797</v>
      </c>
      <c r="O155" s="307">
        <v>5813.1</v>
      </c>
      <c r="P155" s="397" t="s">
        <v>73</v>
      </c>
    </row>
    <row r="156" spans="1:18" x14ac:dyDescent="0.25">
      <c r="A156" s="371">
        <v>24</v>
      </c>
      <c r="B156" s="311" t="s">
        <v>112</v>
      </c>
      <c r="C156" s="331">
        <v>9.8924180327868854</v>
      </c>
      <c r="D156" s="331">
        <v>9.8599562363238515</v>
      </c>
      <c r="E156" s="331">
        <v>10.279748579300843</v>
      </c>
      <c r="F156" s="331">
        <v>10.331614234141307</v>
      </c>
      <c r="G156" s="331">
        <v>10.483157365510309</v>
      </c>
      <c r="H156" s="331">
        <v>10.272000000000002</v>
      </c>
      <c r="I156" s="331">
        <v>0</v>
      </c>
      <c r="J156" s="331">
        <v>0</v>
      </c>
      <c r="K156" s="331">
        <v>0</v>
      </c>
      <c r="L156" s="331">
        <v>10.0032</v>
      </c>
      <c r="M156" s="331">
        <v>10.278248587570621</v>
      </c>
      <c r="N156" s="332">
        <v>10.515056461731493</v>
      </c>
      <c r="O156" s="377" t="s">
        <v>73</v>
      </c>
      <c r="P156" s="333">
        <v>10.212822166373922</v>
      </c>
    </row>
    <row r="157" spans="1:18" ht="15.75" thickBot="1" x14ac:dyDescent="0.3">
      <c r="A157" s="371">
        <v>25</v>
      </c>
      <c r="B157" s="334" t="s">
        <v>33</v>
      </c>
      <c r="C157" s="335">
        <v>10317</v>
      </c>
      <c r="D157" s="335">
        <v>10366</v>
      </c>
      <c r="E157" s="335">
        <v>10402</v>
      </c>
      <c r="F157" s="335">
        <v>10411</v>
      </c>
      <c r="G157" s="335">
        <v>10475</v>
      </c>
      <c r="H157" s="335">
        <v>10504</v>
      </c>
      <c r="I157" s="335">
        <v>10541</v>
      </c>
      <c r="J157" s="335">
        <v>10621</v>
      </c>
      <c r="K157" s="335">
        <v>10643</v>
      </c>
      <c r="L157" s="335">
        <v>10690</v>
      </c>
      <c r="M157" s="335">
        <v>10730</v>
      </c>
      <c r="N157" s="336">
        <v>10781</v>
      </c>
      <c r="O157" s="337" t="s">
        <v>73</v>
      </c>
      <c r="P157" s="411" t="s">
        <v>73</v>
      </c>
    </row>
    <row r="158" spans="1:18" x14ac:dyDescent="0.25">
      <c r="A158" s="371">
        <v>26</v>
      </c>
      <c r="B158" s="339"/>
      <c r="C158" s="412"/>
      <c r="D158" s="412"/>
      <c r="E158" s="412"/>
      <c r="F158" s="412"/>
      <c r="G158" s="412"/>
    </row>
    <row r="159" spans="1:18" x14ac:dyDescent="0.25">
      <c r="B159" s="339"/>
      <c r="I159" s="413"/>
      <c r="J159" s="413"/>
      <c r="K159" s="413"/>
      <c r="L159" s="413"/>
      <c r="M159" s="413"/>
      <c r="N159" s="413"/>
    </row>
    <row r="160" spans="1:18" x14ac:dyDescent="0.25">
      <c r="C160" s="416"/>
      <c r="D160" s="416"/>
      <c r="E160" s="416"/>
      <c r="F160" s="416"/>
      <c r="G160" s="416"/>
      <c r="H160" s="416"/>
      <c r="I160" s="416"/>
      <c r="J160" s="416"/>
      <c r="K160" s="416"/>
      <c r="L160" s="416"/>
      <c r="M160" s="416"/>
      <c r="N160" s="416"/>
      <c r="O160" s="416"/>
    </row>
    <row r="161" spans="3:14" x14ac:dyDescent="0.25">
      <c r="C161" s="417"/>
    </row>
    <row r="163" spans="3:14" x14ac:dyDescent="0.25">
      <c r="N163" s="418"/>
    </row>
    <row r="164" spans="3:14" x14ac:dyDescent="0.25">
      <c r="N164" s="419"/>
    </row>
  </sheetData>
  <mergeCells count="11">
    <mergeCell ref="B67:P67"/>
    <mergeCell ref="B92:P92"/>
    <mergeCell ref="B125:O125"/>
    <mergeCell ref="B126:O126"/>
    <mergeCell ref="B128:P128"/>
    <mergeCell ref="B65:O65"/>
    <mergeCell ref="B1:O1"/>
    <mergeCell ref="B2:O2"/>
    <mergeCell ref="B4:P4"/>
    <mergeCell ref="B33:P33"/>
    <mergeCell ref="B64:O64"/>
  </mergeCells>
  <conditionalFormatting sqref="U130:U138 U35:U48 U92:U98 U69:U74">
    <cfRule type="cellIs" dxfId="16" priority="2" stopIfTrue="1" operator="lessThan">
      <formula>0</formula>
    </cfRule>
  </conditionalFormatting>
  <conditionalFormatting sqref="U6:U14">
    <cfRule type="cellIs" dxfId="15" priority="1" stopIfTrue="1" operator="lessThan">
      <formula>0</formula>
    </cfRule>
  </conditionalFormatting>
  <dataValidations count="1">
    <dataValidation type="decimal" operator="greaterThanOrEqual" allowBlank="1" showInputMessage="1" showErrorMessage="1" errorTitle="Valor no válido" error="El usuario sólo puede introducir valores positivos en esta celda." sqref="U6:U14 U35:U48 U130:U138 U69:U74 U92:U98">
      <formula1>0</formula1>
    </dataValidation>
  </dataValidations>
  <pageMargins left="0.70866141732283472" right="0.70866141732283472" top="0.39370078740157483" bottom="0.74803149606299213" header="0.31496062992125984" footer="0.31496062992125984"/>
  <pageSetup paperSize="9" scale="64"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65"/>
  <sheetViews>
    <sheetView showGridLines="0" topLeftCell="A31" zoomScale="85" zoomScaleNormal="85" workbookViewId="0">
      <selection activeCell="C9" sqref="C9"/>
    </sheetView>
  </sheetViews>
  <sheetFormatPr baseColWidth="10" defaultRowHeight="15" x14ac:dyDescent="0.25"/>
  <cols>
    <col min="1" max="1" width="4" style="286" customWidth="1"/>
    <col min="2" max="2" width="47.42578125" style="635" customWidth="1"/>
    <col min="3" max="5" width="13.140625" style="413" customWidth="1"/>
    <col min="6" max="6" width="12.85546875" style="413" customWidth="1"/>
    <col min="7" max="7" width="13.140625" style="413" hidden="1" customWidth="1"/>
    <col min="8" max="8" width="12.85546875" style="413" hidden="1" customWidth="1"/>
    <col min="9" max="9" width="13.140625" style="414" hidden="1" customWidth="1"/>
    <col min="10" max="10" width="14.5703125" style="414" hidden="1" customWidth="1"/>
    <col min="11" max="11" width="15.85546875" style="415" hidden="1" customWidth="1"/>
    <col min="12" max="12" width="13.140625" style="638" hidden="1" customWidth="1"/>
    <col min="13" max="13" width="15.42578125" style="415" hidden="1" customWidth="1"/>
    <col min="14" max="14" width="15.140625" style="415" hidden="1" customWidth="1"/>
    <col min="15" max="15" width="14.5703125" style="415" hidden="1" customWidth="1"/>
    <col min="16" max="16" width="12.7109375" hidden="1" customWidth="1"/>
    <col min="17" max="17" width="15.28515625" style="287" customWidth="1"/>
    <col min="18" max="18" width="12.42578125" style="287" customWidth="1"/>
    <col min="19" max="19" width="15.42578125" style="287" customWidth="1"/>
    <col min="20" max="20" width="11.42578125" style="287"/>
  </cols>
  <sheetData>
    <row r="1" spans="1:21" x14ac:dyDescent="0.25">
      <c r="B1" s="743" t="s">
        <v>54</v>
      </c>
      <c r="C1" s="743"/>
      <c r="D1" s="743"/>
      <c r="E1" s="743"/>
      <c r="F1" s="743"/>
      <c r="G1" s="743"/>
      <c r="H1" s="743"/>
      <c r="I1" s="743"/>
      <c r="J1" s="743"/>
      <c r="K1" s="743"/>
      <c r="L1" s="743"/>
      <c r="M1" s="743"/>
      <c r="N1" s="743"/>
      <c r="O1" s="743"/>
    </row>
    <row r="2" spans="1:21" x14ac:dyDescent="0.25">
      <c r="B2" s="743" t="s">
        <v>230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</row>
    <row r="3" spans="1:21" ht="12.75" customHeight="1" thickBot="1" x14ac:dyDescent="0.3">
      <c r="B3" s="559"/>
      <c r="C3" s="289"/>
      <c r="D3" s="289"/>
      <c r="E3" s="289"/>
      <c r="F3" s="289"/>
      <c r="G3" s="289"/>
      <c r="H3" s="289"/>
      <c r="I3" s="290"/>
      <c r="J3" s="290"/>
      <c r="K3" s="291"/>
      <c r="L3" s="291"/>
      <c r="M3" s="291"/>
      <c r="N3" s="291"/>
      <c r="O3" s="291"/>
    </row>
    <row r="4" spans="1:21" ht="15.75" thickBot="1" x14ac:dyDescent="0.3">
      <c r="B4" s="744" t="s">
        <v>2</v>
      </c>
      <c r="C4" s="745"/>
      <c r="D4" s="745"/>
      <c r="E4" s="745"/>
      <c r="F4" s="745"/>
      <c r="G4" s="745"/>
      <c r="H4" s="745"/>
      <c r="I4" s="745"/>
      <c r="J4" s="745"/>
      <c r="K4" s="745"/>
      <c r="L4" s="745"/>
      <c r="M4" s="745"/>
      <c r="N4" s="745"/>
      <c r="O4" s="745"/>
      <c r="P4" s="746"/>
    </row>
    <row r="5" spans="1:21" ht="18" customHeight="1" thickBot="1" x14ac:dyDescent="0.3">
      <c r="A5" s="292" t="s">
        <v>56</v>
      </c>
      <c r="B5" s="293" t="s">
        <v>57</v>
      </c>
      <c r="C5" s="294" t="s">
        <v>58</v>
      </c>
      <c r="D5" s="294" t="s">
        <v>59</v>
      </c>
      <c r="E5" s="294" t="s">
        <v>60</v>
      </c>
      <c r="F5" s="294" t="s">
        <v>61</v>
      </c>
      <c r="G5" s="294" t="s">
        <v>62</v>
      </c>
      <c r="H5" s="294" t="s">
        <v>63</v>
      </c>
      <c r="I5" s="295" t="s">
        <v>64</v>
      </c>
      <c r="J5" s="295" t="s">
        <v>65</v>
      </c>
      <c r="K5" s="294" t="s">
        <v>66</v>
      </c>
      <c r="L5" s="294" t="s">
        <v>67</v>
      </c>
      <c r="M5" s="294" t="s">
        <v>68</v>
      </c>
      <c r="N5" s="296" t="s">
        <v>69</v>
      </c>
      <c r="O5" s="297" t="s">
        <v>70</v>
      </c>
      <c r="P5" s="297" t="s">
        <v>71</v>
      </c>
    </row>
    <row r="6" spans="1:21" x14ac:dyDescent="0.25">
      <c r="A6" s="292">
        <v>1</v>
      </c>
      <c r="B6" s="584" t="s">
        <v>72</v>
      </c>
      <c r="C6" s="585">
        <f t="shared" ref="C6:N6" si="0">C7+C9+C11</f>
        <v>1406398</v>
      </c>
      <c r="D6" s="585">
        <f>D7+D9+D11</f>
        <v>1185305</v>
      </c>
      <c r="E6" s="585">
        <f t="shared" si="0"/>
        <v>1507300.16</v>
      </c>
      <c r="F6" s="585">
        <f>F7+F9+F11</f>
        <v>1419559</v>
      </c>
      <c r="G6" s="585">
        <f t="shared" si="0"/>
        <v>0</v>
      </c>
      <c r="H6" s="585">
        <f t="shared" si="0"/>
        <v>0</v>
      </c>
      <c r="I6" s="585">
        <f t="shared" si="0"/>
        <v>0</v>
      </c>
      <c r="J6" s="585">
        <f t="shared" si="0"/>
        <v>0</v>
      </c>
      <c r="K6" s="585">
        <f t="shared" si="0"/>
        <v>0</v>
      </c>
      <c r="L6" s="585">
        <f t="shared" si="0"/>
        <v>0</v>
      </c>
      <c r="M6" s="585">
        <f t="shared" si="0"/>
        <v>0</v>
      </c>
      <c r="N6" s="586">
        <f t="shared" si="0"/>
        <v>0</v>
      </c>
      <c r="O6" s="587">
        <f>SUM(C6:N6)</f>
        <v>5518562.1600000001</v>
      </c>
      <c r="P6" s="420" t="s">
        <v>73</v>
      </c>
      <c r="S6" s="588"/>
    </row>
    <row r="7" spans="1:21" x14ac:dyDescent="0.25">
      <c r="A7" s="292">
        <v>2</v>
      </c>
      <c r="B7" s="589" t="s">
        <v>74</v>
      </c>
      <c r="C7" s="305">
        <f>'[7]SAN CRISTÓBAL'!D12</f>
        <v>1261007</v>
      </c>
      <c r="D7" s="305">
        <f>'[7]SAN CRISTÓBAL'!E12</f>
        <v>1155560</v>
      </c>
      <c r="E7" s="305">
        <f>'[7]SAN CRISTÓBAL'!F12</f>
        <v>1476498</v>
      </c>
      <c r="F7" s="305">
        <f>'[7]SAN CRISTÓBAL'!G12</f>
        <v>1313439</v>
      </c>
      <c r="G7" s="305">
        <f>'[7]SAN CRISTÓBAL'!H12</f>
        <v>0</v>
      </c>
      <c r="H7" s="305">
        <f>'[7]SAN CRISTÓBAL'!I12</f>
        <v>0</v>
      </c>
      <c r="I7" s="305">
        <f>'[7]SAN CRISTÓBAL'!J12</f>
        <v>0</v>
      </c>
      <c r="J7" s="305">
        <f>'[7]SAN CRISTÓBAL'!K12</f>
        <v>0</v>
      </c>
      <c r="K7" s="305">
        <f>'[7]SAN CRISTÓBAL'!L12</f>
        <v>0</v>
      </c>
      <c r="L7" s="305">
        <f>'[7]SAN CRISTÓBAL'!M12</f>
        <v>0</v>
      </c>
      <c r="M7" s="305">
        <f>'[7]SAN CRISTÓBAL'!N12</f>
        <v>0</v>
      </c>
      <c r="N7" s="306">
        <f>'[7]SAN CRISTÓBAL'!O12</f>
        <v>0</v>
      </c>
      <c r="O7" s="307">
        <f>SUM(C7:N7)</f>
        <v>5206504</v>
      </c>
      <c r="P7" s="421" t="s">
        <v>73</v>
      </c>
      <c r="S7" s="588"/>
    </row>
    <row r="8" spans="1:21" x14ac:dyDescent="0.25">
      <c r="A8" s="292">
        <v>3</v>
      </c>
      <c r="B8" s="590" t="s">
        <v>75</v>
      </c>
      <c r="C8" s="591">
        <f t="shared" ref="C8:N8" si="1">C7/C6</f>
        <v>0.89662172443362409</v>
      </c>
      <c r="D8" s="591">
        <f t="shared" si="1"/>
        <v>0.97490519317812718</v>
      </c>
      <c r="E8" s="591">
        <f t="shared" si="1"/>
        <v>0.97956468073353098</v>
      </c>
      <c r="F8" s="591">
        <f t="shared" si="1"/>
        <v>0.92524438927864217</v>
      </c>
      <c r="G8" s="591" t="e">
        <f t="shared" si="1"/>
        <v>#DIV/0!</v>
      </c>
      <c r="H8" s="591" t="e">
        <f t="shared" si="1"/>
        <v>#DIV/0!</v>
      </c>
      <c r="I8" s="591" t="e">
        <f t="shared" si="1"/>
        <v>#DIV/0!</v>
      </c>
      <c r="J8" s="591" t="e">
        <f t="shared" si="1"/>
        <v>#DIV/0!</v>
      </c>
      <c r="K8" s="591" t="e">
        <f t="shared" si="1"/>
        <v>#DIV/0!</v>
      </c>
      <c r="L8" s="591" t="e">
        <f t="shared" si="1"/>
        <v>#DIV/0!</v>
      </c>
      <c r="M8" s="591" t="e">
        <f t="shared" si="1"/>
        <v>#DIV/0!</v>
      </c>
      <c r="N8" s="592" t="e">
        <f t="shared" si="1"/>
        <v>#DIV/0!</v>
      </c>
      <c r="O8" s="310" t="s">
        <v>73</v>
      </c>
      <c r="P8" s="593" t="e">
        <f>AVERAGE(C8:N8)</f>
        <v>#DIV/0!</v>
      </c>
      <c r="S8" s="588"/>
    </row>
    <row r="9" spans="1:21" x14ac:dyDescent="0.25">
      <c r="A9" s="292">
        <v>4</v>
      </c>
      <c r="B9" s="594" t="s">
        <v>76</v>
      </c>
      <c r="C9" s="312">
        <f>+'[7]SAN CRISTÓBAL'!D45</f>
        <v>143915</v>
      </c>
      <c r="D9" s="312">
        <f>+'[7]SAN CRISTÓBAL'!E45</f>
        <v>28444</v>
      </c>
      <c r="E9" s="312">
        <f>+'[7]SAN CRISTÓBAL'!F45</f>
        <v>29534.16</v>
      </c>
      <c r="F9" s="312">
        <f>+'[7]SAN CRISTÓBAL'!G45</f>
        <v>104720</v>
      </c>
      <c r="G9" s="312">
        <f>+'[7]SAN CRISTÓBAL'!H45</f>
        <v>0</v>
      </c>
      <c r="H9" s="312">
        <f>+'[7]SAN CRISTÓBAL'!I45</f>
        <v>0</v>
      </c>
      <c r="I9" s="312">
        <f>+'[7]SAN CRISTÓBAL'!J45</f>
        <v>0</v>
      </c>
      <c r="J9" s="312">
        <f>+'[7]SAN CRISTÓBAL'!K45</f>
        <v>0</v>
      </c>
      <c r="K9" s="312">
        <f>+'[7]SAN CRISTÓBAL'!L45</f>
        <v>0</v>
      </c>
      <c r="L9" s="312">
        <f>+'[7]SAN CRISTÓBAL'!M45</f>
        <v>0</v>
      </c>
      <c r="M9" s="312">
        <f>+'[7]SAN CRISTÓBAL'!N45</f>
        <v>0</v>
      </c>
      <c r="N9" s="313">
        <f>+'[7]SAN CRISTÓBAL'!O45</f>
        <v>0</v>
      </c>
      <c r="O9" s="314">
        <f>SUM(C9:N9)</f>
        <v>306613.16000000003</v>
      </c>
      <c r="P9" s="422" t="s">
        <v>73</v>
      </c>
      <c r="R9" s="671">
        <f>+D141-D9</f>
        <v>4686683.870585938</v>
      </c>
      <c r="S9" s="588">
        <v>29534.16</v>
      </c>
    </row>
    <row r="10" spans="1:21" x14ac:dyDescent="0.25">
      <c r="A10" s="292">
        <v>5</v>
      </c>
      <c r="B10" s="594" t="s">
        <v>77</v>
      </c>
      <c r="C10" s="595">
        <f t="shared" ref="C10:N10" si="2">IF(C6=0,0,C9/C6)</f>
        <v>0.10232878601932027</v>
      </c>
      <c r="D10" s="595">
        <f t="shared" si="2"/>
        <v>2.3997199033160242E-2</v>
      </c>
      <c r="E10" s="595">
        <f t="shared" si="2"/>
        <v>1.9594080053703437E-2</v>
      </c>
      <c r="F10" s="595">
        <f t="shared" si="2"/>
        <v>7.3769388944031206E-2</v>
      </c>
      <c r="G10" s="595">
        <f t="shared" si="2"/>
        <v>0</v>
      </c>
      <c r="H10" s="595">
        <f t="shared" si="2"/>
        <v>0</v>
      </c>
      <c r="I10" s="595">
        <f t="shared" si="2"/>
        <v>0</v>
      </c>
      <c r="J10" s="595">
        <f t="shared" si="2"/>
        <v>0</v>
      </c>
      <c r="K10" s="595">
        <f t="shared" si="2"/>
        <v>0</v>
      </c>
      <c r="L10" s="595">
        <f t="shared" si="2"/>
        <v>0</v>
      </c>
      <c r="M10" s="595">
        <f t="shared" si="2"/>
        <v>0</v>
      </c>
      <c r="N10" s="596">
        <f t="shared" si="2"/>
        <v>0</v>
      </c>
      <c r="O10" s="310" t="s">
        <v>73</v>
      </c>
      <c r="P10" s="593">
        <f>AVERAGE(C10:N10)</f>
        <v>1.8307454504184598E-2</v>
      </c>
      <c r="R10" s="287">
        <f>+R9/1000</f>
        <v>4686.6838705859382</v>
      </c>
      <c r="S10" s="588"/>
    </row>
    <row r="11" spans="1:21" x14ac:dyDescent="0.25">
      <c r="A11" s="292">
        <v>6</v>
      </c>
      <c r="B11" s="594" t="s">
        <v>78</v>
      </c>
      <c r="C11" s="312">
        <f>+SUM('[7]SAN CRISTÓBAL'!D46:D47)</f>
        <v>1476</v>
      </c>
      <c r="D11" s="312">
        <f>+SUM('[7]SAN CRISTÓBAL'!E46:E47)</f>
        <v>1301</v>
      </c>
      <c r="E11" s="312">
        <f>+SUM('[7]SAN CRISTÓBAL'!F46:F47)</f>
        <v>1268</v>
      </c>
      <c r="F11" s="312">
        <f>+SUM('[7]SAN CRISTÓBAL'!G46:G47)</f>
        <v>1400</v>
      </c>
      <c r="G11" s="312">
        <f>+SUM('[7]SAN CRISTÓBAL'!H46:H47)</f>
        <v>0</v>
      </c>
      <c r="H11" s="312">
        <f>+SUM('[7]SAN CRISTÓBAL'!I46:I47)</f>
        <v>0</v>
      </c>
      <c r="I11" s="312">
        <f>+SUM('[7]SAN CRISTÓBAL'!J46:J47)</f>
        <v>0</v>
      </c>
      <c r="J11" s="312">
        <f>+SUM('[7]SAN CRISTÓBAL'!K46:K47)</f>
        <v>0</v>
      </c>
      <c r="K11" s="312">
        <f>+SUM('[7]SAN CRISTÓBAL'!L46:L47)</f>
        <v>0</v>
      </c>
      <c r="L11" s="312">
        <f>+SUM('[7]SAN CRISTÓBAL'!M46:M47)</f>
        <v>0</v>
      </c>
      <c r="M11" s="312">
        <f>+SUM('[7]SAN CRISTÓBAL'!N46:N47)</f>
        <v>0</v>
      </c>
      <c r="N11" s="313">
        <f>+SUM('[7]SAN CRISTÓBAL'!O46:O47)</f>
        <v>0</v>
      </c>
      <c r="O11" s="314">
        <f>SUM(C11:N11)</f>
        <v>5445</v>
      </c>
      <c r="P11" s="422" t="s">
        <v>73</v>
      </c>
      <c r="S11" s="588"/>
    </row>
    <row r="12" spans="1:21" x14ac:dyDescent="0.25">
      <c r="A12" s="292">
        <v>7</v>
      </c>
      <c r="B12" s="597" t="s">
        <v>79</v>
      </c>
      <c r="C12" s="598">
        <f t="shared" ref="C12:N12" si="3">+C11/C6</f>
        <v>1.0494895470556699E-3</v>
      </c>
      <c r="D12" s="598">
        <f t="shared" si="3"/>
        <v>1.0976077887126098E-3</v>
      </c>
      <c r="E12" s="598">
        <f t="shared" si="3"/>
        <v>8.4123921276569094E-4</v>
      </c>
      <c r="F12" s="598">
        <f t="shared" si="3"/>
        <v>9.8622177732662041E-4</v>
      </c>
      <c r="G12" s="598" t="e">
        <f t="shared" si="3"/>
        <v>#DIV/0!</v>
      </c>
      <c r="H12" s="598" t="e">
        <f t="shared" si="3"/>
        <v>#DIV/0!</v>
      </c>
      <c r="I12" s="598" t="e">
        <f t="shared" si="3"/>
        <v>#DIV/0!</v>
      </c>
      <c r="J12" s="598" t="e">
        <f t="shared" si="3"/>
        <v>#DIV/0!</v>
      </c>
      <c r="K12" s="598" t="e">
        <f t="shared" si="3"/>
        <v>#DIV/0!</v>
      </c>
      <c r="L12" s="598" t="e">
        <f t="shared" si="3"/>
        <v>#DIV/0!</v>
      </c>
      <c r="M12" s="598" t="e">
        <f t="shared" si="3"/>
        <v>#DIV/0!</v>
      </c>
      <c r="N12" s="599" t="e">
        <f t="shared" si="3"/>
        <v>#DIV/0!</v>
      </c>
      <c r="O12" s="310" t="s">
        <v>73</v>
      </c>
      <c r="P12" s="593" t="e">
        <f>AVERAGE(C12:N12)</f>
        <v>#DIV/0!</v>
      </c>
      <c r="S12" s="588"/>
    </row>
    <row r="13" spans="1:21" x14ac:dyDescent="0.25">
      <c r="A13" s="292">
        <v>8</v>
      </c>
      <c r="B13" s="594" t="s">
        <v>151</v>
      </c>
      <c r="C13" s="317">
        <f>+[7]AUTOCONSUMOS!E83</f>
        <v>6658</v>
      </c>
      <c r="D13" s="317">
        <f>+[7]AUTOCONSUMOS!F83</f>
        <v>6265</v>
      </c>
      <c r="E13" s="317">
        <f>+[7]AUTOCONSUMOS!G83</f>
        <v>8037</v>
      </c>
      <c r="F13" s="317">
        <f>+[7]AUTOCONSUMOS!H83</f>
        <v>7868</v>
      </c>
      <c r="G13" s="317">
        <f>+[7]AUTOCONSUMOS!I83</f>
        <v>-897788</v>
      </c>
      <c r="H13" s="317">
        <f>+[7]AUTOCONSUMOS!J83</f>
        <v>0</v>
      </c>
      <c r="I13" s="317">
        <f>+[7]AUTOCONSUMOS!K83</f>
        <v>0</v>
      </c>
      <c r="J13" s="317">
        <f>+[7]AUTOCONSUMOS!L83</f>
        <v>0</v>
      </c>
      <c r="K13" s="317">
        <f>+[7]AUTOCONSUMOS!M83</f>
        <v>0</v>
      </c>
      <c r="L13" s="317">
        <f>+[7]AUTOCONSUMOS!N83</f>
        <v>0</v>
      </c>
      <c r="M13" s="317">
        <f>+[7]AUTOCONSUMOS!O83</f>
        <v>0</v>
      </c>
      <c r="N13" s="317">
        <f>+[7]AUTOCONSUMOS!P83</f>
        <v>0</v>
      </c>
      <c r="O13" s="318">
        <f t="shared" ref="O13:O19" si="4">SUM(C13:N13)</f>
        <v>-868960</v>
      </c>
      <c r="P13" s="423" t="s">
        <v>73</v>
      </c>
    </row>
    <row r="14" spans="1:21" x14ac:dyDescent="0.25">
      <c r="A14" s="292">
        <v>9</v>
      </c>
      <c r="B14" s="594" t="s">
        <v>81</v>
      </c>
      <c r="C14" s="600">
        <f>C6-C13</f>
        <v>1399740</v>
      </c>
      <c r="D14" s="600">
        <f t="shared" ref="D14:N14" si="5">D6-D13</f>
        <v>1179040</v>
      </c>
      <c r="E14" s="600">
        <f t="shared" si="5"/>
        <v>1499263.16</v>
      </c>
      <c r="F14" s="600">
        <f t="shared" si="5"/>
        <v>1411691</v>
      </c>
      <c r="G14" s="600">
        <f t="shared" si="5"/>
        <v>897788</v>
      </c>
      <c r="H14" s="600">
        <f t="shared" si="5"/>
        <v>0</v>
      </c>
      <c r="I14" s="600">
        <f t="shared" si="5"/>
        <v>0</v>
      </c>
      <c r="J14" s="600">
        <f t="shared" si="5"/>
        <v>0</v>
      </c>
      <c r="K14" s="600">
        <f t="shared" si="5"/>
        <v>0</v>
      </c>
      <c r="L14" s="600">
        <f t="shared" si="5"/>
        <v>0</v>
      </c>
      <c r="M14" s="600">
        <f t="shared" si="5"/>
        <v>0</v>
      </c>
      <c r="N14" s="601">
        <f t="shared" si="5"/>
        <v>0</v>
      </c>
      <c r="O14" s="602">
        <f t="shared" si="4"/>
        <v>6387522.1600000001</v>
      </c>
      <c r="P14" s="424" t="s">
        <v>73</v>
      </c>
      <c r="S14" s="588"/>
    </row>
    <row r="15" spans="1:21" x14ac:dyDescent="0.25">
      <c r="A15" s="292">
        <v>10</v>
      </c>
      <c r="B15" s="590" t="s">
        <v>82</v>
      </c>
      <c r="C15" s="603">
        <f t="shared" ref="C15:N15" si="6">SUM(C16:C18)</f>
        <v>1324154.0400000003</v>
      </c>
      <c r="D15" s="603">
        <f t="shared" si="6"/>
        <v>1304548.9629899999</v>
      </c>
      <c r="E15" s="603">
        <f t="shared" si="6"/>
        <v>1410806.6335599998</v>
      </c>
      <c r="F15" s="603">
        <f t="shared" si="6"/>
        <v>1343929.8319999999</v>
      </c>
      <c r="G15" s="603">
        <f t="shared" si="6"/>
        <v>0</v>
      </c>
      <c r="H15" s="603">
        <f t="shared" si="6"/>
        <v>0</v>
      </c>
      <c r="I15" s="603">
        <f t="shared" si="6"/>
        <v>0</v>
      </c>
      <c r="J15" s="603">
        <f t="shared" si="6"/>
        <v>0</v>
      </c>
      <c r="K15" s="603">
        <f t="shared" si="6"/>
        <v>0</v>
      </c>
      <c r="L15" s="603">
        <f t="shared" si="6"/>
        <v>0</v>
      </c>
      <c r="M15" s="603">
        <f t="shared" si="6"/>
        <v>0</v>
      </c>
      <c r="N15" s="604">
        <f t="shared" si="6"/>
        <v>0</v>
      </c>
      <c r="O15" s="605">
        <f t="shared" si="4"/>
        <v>5383439.4685500003</v>
      </c>
      <c r="P15" s="424" t="s">
        <v>73</v>
      </c>
      <c r="T15" s="326">
        <f>D14*0.969</f>
        <v>1142489.76</v>
      </c>
      <c r="U15" s="326">
        <f>E14*0.941</f>
        <v>1410806.6335599998</v>
      </c>
    </row>
    <row r="16" spans="1:21" x14ac:dyDescent="0.25">
      <c r="A16" s="292">
        <v>11</v>
      </c>
      <c r="B16" s="594" t="s">
        <v>83</v>
      </c>
      <c r="C16" s="312">
        <f>+[7]TÉCNICO!D6</f>
        <v>577747.89461170405</v>
      </c>
      <c r="D16" s="312">
        <f>+[7]TÉCNICO!E6</f>
        <v>569193.91099343251</v>
      </c>
      <c r="E16" s="312">
        <f>+[7]TÉCNICO!F6</f>
        <v>615555.69640788587</v>
      </c>
      <c r="F16" s="312">
        <f>+[7]TÉCNICO!G6</f>
        <v>596270.20644270512</v>
      </c>
      <c r="G16" s="312">
        <f>+[7]TÉCNICO!H6</f>
        <v>0</v>
      </c>
      <c r="H16" s="312">
        <f>+[7]TÉCNICO!I6</f>
        <v>0</v>
      </c>
      <c r="I16" s="312">
        <f>+[7]TÉCNICO!J6</f>
        <v>0</v>
      </c>
      <c r="J16" s="312">
        <f>+[7]TÉCNICO!K6</f>
        <v>0</v>
      </c>
      <c r="K16" s="312">
        <f>+[7]TÉCNICO!L6</f>
        <v>0</v>
      </c>
      <c r="L16" s="312">
        <f>+[7]TÉCNICO!M6</f>
        <v>0</v>
      </c>
      <c r="M16" s="312">
        <f>+[7]TÉCNICO!N6</f>
        <v>0</v>
      </c>
      <c r="N16" s="312">
        <f>+[7]TÉCNICO!O6</f>
        <v>0</v>
      </c>
      <c r="O16" s="314">
        <f t="shared" si="4"/>
        <v>2358767.7084557274</v>
      </c>
      <c r="P16" s="422" t="s">
        <v>73</v>
      </c>
      <c r="R16" s="606"/>
      <c r="S16" s="606">
        <f>D16/$D$15</f>
        <v>0.43631471653532389</v>
      </c>
      <c r="U16" s="607">
        <f>S16*$U$15</f>
        <v>615555.69640788587</v>
      </c>
    </row>
    <row r="17" spans="1:21" x14ac:dyDescent="0.25">
      <c r="A17" s="292">
        <v>12</v>
      </c>
      <c r="B17" s="594" t="s">
        <v>84</v>
      </c>
      <c r="C17" s="312">
        <f>+[7]TÉCNICO!D7</f>
        <v>565586.0774579912</v>
      </c>
      <c r="D17" s="312">
        <f>+[7]TÉCNICO!E7</f>
        <v>557212.15851095691</v>
      </c>
      <c r="E17" s="312">
        <f>+[7]TÉCNICO!F7</f>
        <v>602598.01036963461</v>
      </c>
      <c r="F17" s="312">
        <f>+[7]TÉCNICO!G7</f>
        <v>576922.06114248559</v>
      </c>
      <c r="G17" s="312">
        <f>+[7]TÉCNICO!H7</f>
        <v>0</v>
      </c>
      <c r="H17" s="312">
        <f>+[7]TÉCNICO!I7</f>
        <v>0</v>
      </c>
      <c r="I17" s="312">
        <f>+[7]TÉCNICO!J7</f>
        <v>0</v>
      </c>
      <c r="J17" s="312">
        <f>+[7]TÉCNICO!K7</f>
        <v>0</v>
      </c>
      <c r="K17" s="312">
        <f>+[7]TÉCNICO!L7</f>
        <v>0</v>
      </c>
      <c r="L17" s="312">
        <f>+[7]TÉCNICO!M7</f>
        <v>0</v>
      </c>
      <c r="M17" s="312">
        <f>+[7]TÉCNICO!N7</f>
        <v>0</v>
      </c>
      <c r="N17" s="312">
        <f>+[7]TÉCNICO!O7</f>
        <v>0</v>
      </c>
      <c r="O17" s="314">
        <f t="shared" si="4"/>
        <v>2302318.3074810682</v>
      </c>
      <c r="P17" s="422" t="s">
        <v>73</v>
      </c>
      <c r="R17" s="606"/>
      <c r="S17" s="606">
        <f t="shared" ref="S17:S18" si="7">D17/$D$15</f>
        <v>0.4271301226086891</v>
      </c>
      <c r="U17" s="607">
        <f>S17*$U$15</f>
        <v>602598.01036963461</v>
      </c>
    </row>
    <row r="18" spans="1:21" x14ac:dyDescent="0.25">
      <c r="A18" s="292">
        <v>13</v>
      </c>
      <c r="B18" s="594" t="s">
        <v>85</v>
      </c>
      <c r="C18" s="312">
        <f>+[7]TÉCNICO!D8</f>
        <v>180820.06793030511</v>
      </c>
      <c r="D18" s="312">
        <f>+[7]TÉCNICO!E8</f>
        <v>178142.89348561049</v>
      </c>
      <c r="E18" s="312">
        <f>+[7]TÉCNICO!F8</f>
        <v>192652.92678247928</v>
      </c>
      <c r="F18" s="312">
        <f>+[7]TÉCNICO!G8</f>
        <v>170737.56441480917</v>
      </c>
      <c r="G18" s="312">
        <f>+[7]TÉCNICO!H8</f>
        <v>0</v>
      </c>
      <c r="H18" s="312">
        <f>+[7]TÉCNICO!I8</f>
        <v>0</v>
      </c>
      <c r="I18" s="312">
        <f>+[7]TÉCNICO!J8</f>
        <v>0</v>
      </c>
      <c r="J18" s="312">
        <f>+[7]TÉCNICO!K8</f>
        <v>0</v>
      </c>
      <c r="K18" s="312">
        <f>+[7]TÉCNICO!L8</f>
        <v>0</v>
      </c>
      <c r="L18" s="312">
        <f>+[7]TÉCNICO!M8</f>
        <v>0</v>
      </c>
      <c r="M18" s="312">
        <f>+[7]TÉCNICO!N8</f>
        <v>0</v>
      </c>
      <c r="N18" s="312">
        <f>+[7]TÉCNICO!O8</f>
        <v>0</v>
      </c>
      <c r="O18" s="314">
        <f t="shared" si="4"/>
        <v>722353.45261320402</v>
      </c>
      <c r="P18" s="422" t="s">
        <v>73</v>
      </c>
      <c r="R18" s="606"/>
      <c r="S18" s="606">
        <f t="shared" si="7"/>
        <v>0.13655516085598701</v>
      </c>
      <c r="U18" s="607">
        <f>S18*$U$15</f>
        <v>192652.92678247928</v>
      </c>
    </row>
    <row r="19" spans="1:21" x14ac:dyDescent="0.25">
      <c r="A19" s="292">
        <v>14</v>
      </c>
      <c r="B19" s="594" t="s">
        <v>86</v>
      </c>
      <c r="C19" s="600">
        <f>+C14-C15</f>
        <v>75585.95999999973</v>
      </c>
      <c r="D19" s="600">
        <f t="shared" ref="D19:N19" si="8">+D14-D15</f>
        <v>-125508.96298999991</v>
      </c>
      <c r="E19" s="600">
        <f t="shared" si="8"/>
        <v>88456.526440000162</v>
      </c>
      <c r="F19" s="600">
        <f t="shared" si="8"/>
        <v>67761.168000000063</v>
      </c>
      <c r="G19" s="600">
        <f t="shared" si="8"/>
        <v>897788</v>
      </c>
      <c r="H19" s="600">
        <f t="shared" si="8"/>
        <v>0</v>
      </c>
      <c r="I19" s="600">
        <f t="shared" si="8"/>
        <v>0</v>
      </c>
      <c r="J19" s="600">
        <f t="shared" si="8"/>
        <v>0</v>
      </c>
      <c r="K19" s="600">
        <f t="shared" si="8"/>
        <v>0</v>
      </c>
      <c r="L19" s="600">
        <f t="shared" si="8"/>
        <v>0</v>
      </c>
      <c r="M19" s="600">
        <f t="shared" si="8"/>
        <v>0</v>
      </c>
      <c r="N19" s="601">
        <f t="shared" si="8"/>
        <v>0</v>
      </c>
      <c r="O19" s="602">
        <f t="shared" si="4"/>
        <v>1004082.69145</v>
      </c>
      <c r="P19" s="424" t="s">
        <v>73</v>
      </c>
    </row>
    <row r="20" spans="1:21" x14ac:dyDescent="0.25">
      <c r="A20" s="292">
        <v>15</v>
      </c>
      <c r="B20" s="594" t="s">
        <v>87</v>
      </c>
      <c r="C20" s="608">
        <f t="shared" ref="C20:N20" si="9">C19/C14</f>
        <v>5.3999999999999805E-2</v>
      </c>
      <c r="D20" s="608">
        <f t="shared" si="9"/>
        <v>-0.1064501314544035</v>
      </c>
      <c r="E20" s="608">
        <f t="shared" si="9"/>
        <v>5.9000000000000108E-2</v>
      </c>
      <c r="F20" s="608">
        <f t="shared" si="9"/>
        <v>4.8000000000000043E-2</v>
      </c>
      <c r="G20" s="608">
        <f t="shared" si="9"/>
        <v>1</v>
      </c>
      <c r="H20" s="608" t="e">
        <f t="shared" si="9"/>
        <v>#DIV/0!</v>
      </c>
      <c r="I20" s="608" t="e">
        <f t="shared" si="9"/>
        <v>#DIV/0!</v>
      </c>
      <c r="J20" s="608" t="e">
        <f t="shared" si="9"/>
        <v>#DIV/0!</v>
      </c>
      <c r="K20" s="608" t="e">
        <f t="shared" si="9"/>
        <v>#DIV/0!</v>
      </c>
      <c r="L20" s="608" t="e">
        <f t="shared" si="9"/>
        <v>#DIV/0!</v>
      </c>
      <c r="M20" s="608" t="e">
        <f t="shared" si="9"/>
        <v>#DIV/0!</v>
      </c>
      <c r="N20" s="609" t="e">
        <f t="shared" si="9"/>
        <v>#DIV/0!</v>
      </c>
      <c r="O20" s="310" t="s">
        <v>73</v>
      </c>
      <c r="P20" s="593" t="e">
        <f>AVERAGE(C20:N20)</f>
        <v>#DIV/0!</v>
      </c>
    </row>
    <row r="21" spans="1:21" x14ac:dyDescent="0.25">
      <c r="A21" s="292">
        <v>16</v>
      </c>
      <c r="B21" s="594" t="s">
        <v>88</v>
      </c>
      <c r="C21" s="317">
        <f>+[7]COMERCIAL!D6</f>
        <v>1243598</v>
      </c>
      <c r="D21" s="317">
        <f>+[7]COMERCIAL!E6</f>
        <v>1346649</v>
      </c>
      <c r="E21" s="317">
        <f>+[7]COMERCIAL!F6</f>
        <v>1397883</v>
      </c>
      <c r="F21" s="317">
        <f>+[7]COMERCIAL!G6</f>
        <v>1426237</v>
      </c>
      <c r="G21" s="317">
        <f>+[7]COMERCIAL!H6</f>
        <v>0</v>
      </c>
      <c r="H21" s="317">
        <f>+[7]COMERCIAL!I6</f>
        <v>0</v>
      </c>
      <c r="I21" s="317">
        <f>+[7]COMERCIAL!J6</f>
        <v>0</v>
      </c>
      <c r="J21" s="317">
        <f>+[7]COMERCIAL!K6</f>
        <v>0</v>
      </c>
      <c r="K21" s="317">
        <f>+[7]COMERCIAL!L6</f>
        <v>0</v>
      </c>
      <c r="L21" s="317">
        <f>+[7]COMERCIAL!M6</f>
        <v>0</v>
      </c>
      <c r="M21" s="317">
        <f>+[7]COMERCIAL!N6</f>
        <v>0</v>
      </c>
      <c r="N21" s="317">
        <f>+[7]COMERCIAL!O6</f>
        <v>0</v>
      </c>
      <c r="O21" s="318">
        <f>+SUM(C21:N21)</f>
        <v>5414367</v>
      </c>
      <c r="P21" s="423" t="s">
        <v>73</v>
      </c>
      <c r="Q21" s="385"/>
    </row>
    <row r="22" spans="1:21" x14ac:dyDescent="0.25">
      <c r="A22" s="292">
        <v>17</v>
      </c>
      <c r="B22" s="594" t="s">
        <v>89</v>
      </c>
      <c r="C22" s="600">
        <f t="shared" ref="C22:N22" si="10">C15-(C21)</f>
        <v>80556.04000000027</v>
      </c>
      <c r="D22" s="600">
        <f t="shared" si="10"/>
        <v>-42100.037010000087</v>
      </c>
      <c r="E22" s="600">
        <f t="shared" si="10"/>
        <v>12923.633559999755</v>
      </c>
      <c r="F22" s="600">
        <f t="shared" si="10"/>
        <v>-82307.168000000063</v>
      </c>
      <c r="G22" s="600">
        <f t="shared" si="10"/>
        <v>0</v>
      </c>
      <c r="H22" s="600">
        <f t="shared" si="10"/>
        <v>0</v>
      </c>
      <c r="I22" s="600">
        <f t="shared" si="10"/>
        <v>0</v>
      </c>
      <c r="J22" s="600">
        <f t="shared" si="10"/>
        <v>0</v>
      </c>
      <c r="K22" s="600">
        <f t="shared" si="10"/>
        <v>0</v>
      </c>
      <c r="L22" s="600">
        <f t="shared" si="10"/>
        <v>0</v>
      </c>
      <c r="M22" s="600">
        <f t="shared" si="10"/>
        <v>0</v>
      </c>
      <c r="N22" s="600">
        <f t="shared" si="10"/>
        <v>0</v>
      </c>
      <c r="O22" s="602">
        <f>SUM(C22:N22)</f>
        <v>-30927.531450000126</v>
      </c>
      <c r="P22" s="424" t="s">
        <v>73</v>
      </c>
    </row>
    <row r="23" spans="1:21" x14ac:dyDescent="0.25">
      <c r="A23" s="292">
        <v>18</v>
      </c>
      <c r="B23" s="594" t="s">
        <v>90</v>
      </c>
      <c r="C23" s="608">
        <f t="shared" ref="C23:N23" si="11">C22/C14</f>
        <v>5.7550716561647355E-2</v>
      </c>
      <c r="D23" s="608">
        <f t="shared" si="11"/>
        <v>-3.5707047267268359E-2</v>
      </c>
      <c r="E23" s="608">
        <f t="shared" si="11"/>
        <v>8.6199900756580693E-3</v>
      </c>
      <c r="F23" s="608">
        <f t="shared" si="11"/>
        <v>-5.8303954618964107E-2</v>
      </c>
      <c r="G23" s="608">
        <f t="shared" si="11"/>
        <v>0</v>
      </c>
      <c r="H23" s="608" t="e">
        <f t="shared" si="11"/>
        <v>#DIV/0!</v>
      </c>
      <c r="I23" s="608" t="e">
        <f t="shared" si="11"/>
        <v>#DIV/0!</v>
      </c>
      <c r="J23" s="608" t="e">
        <f t="shared" si="11"/>
        <v>#DIV/0!</v>
      </c>
      <c r="K23" s="608" t="e">
        <f t="shared" si="11"/>
        <v>#DIV/0!</v>
      </c>
      <c r="L23" s="608" t="e">
        <f t="shared" si="11"/>
        <v>#DIV/0!</v>
      </c>
      <c r="M23" s="608" t="e">
        <f t="shared" si="11"/>
        <v>#DIV/0!</v>
      </c>
      <c r="N23" s="609" t="e">
        <f t="shared" si="11"/>
        <v>#DIV/0!</v>
      </c>
      <c r="O23" s="310" t="s">
        <v>73</v>
      </c>
      <c r="P23" s="593" t="e">
        <f>AVERAGE(C23:N23)</f>
        <v>#DIV/0!</v>
      </c>
    </row>
    <row r="24" spans="1:21" x14ac:dyDescent="0.25">
      <c r="A24" s="292">
        <v>19</v>
      </c>
      <c r="B24" s="594" t="s">
        <v>91</v>
      </c>
      <c r="C24" s="600">
        <f t="shared" ref="C24:N24" si="12">C14-C21</f>
        <v>156142</v>
      </c>
      <c r="D24" s="600">
        <f t="shared" si="12"/>
        <v>-167609</v>
      </c>
      <c r="E24" s="600">
        <f t="shared" si="12"/>
        <v>101380.15999999992</v>
      </c>
      <c r="F24" s="600">
        <f t="shared" si="12"/>
        <v>-14546</v>
      </c>
      <c r="G24" s="600">
        <f t="shared" si="12"/>
        <v>897788</v>
      </c>
      <c r="H24" s="600">
        <f t="shared" si="12"/>
        <v>0</v>
      </c>
      <c r="I24" s="600">
        <f t="shared" si="12"/>
        <v>0</v>
      </c>
      <c r="J24" s="600">
        <f t="shared" si="12"/>
        <v>0</v>
      </c>
      <c r="K24" s="600">
        <f t="shared" si="12"/>
        <v>0</v>
      </c>
      <c r="L24" s="600">
        <f t="shared" si="12"/>
        <v>0</v>
      </c>
      <c r="M24" s="600">
        <f t="shared" si="12"/>
        <v>0</v>
      </c>
      <c r="N24" s="601">
        <f t="shared" si="12"/>
        <v>0</v>
      </c>
      <c r="O24" s="602">
        <f>SUM(C24:N24)</f>
        <v>973155.15999999992</v>
      </c>
      <c r="P24" s="424" t="s">
        <v>73</v>
      </c>
    </row>
    <row r="25" spans="1:21" s="267" customFormat="1" x14ac:dyDescent="0.25">
      <c r="A25" s="672">
        <v>20</v>
      </c>
      <c r="B25" s="673" t="s">
        <v>92</v>
      </c>
      <c r="C25" s="674">
        <f t="shared" ref="C25:N25" si="13">C24/C14</f>
        <v>0.11155071656164717</v>
      </c>
      <c r="D25" s="675">
        <f t="shared" si="13"/>
        <v>-0.14215717872167186</v>
      </c>
      <c r="E25" s="674">
        <f t="shared" si="13"/>
        <v>6.7619990075658179E-2</v>
      </c>
      <c r="F25" s="674">
        <f t="shared" si="13"/>
        <v>-1.0303954618964065E-2</v>
      </c>
      <c r="G25" s="674">
        <f t="shared" si="13"/>
        <v>1</v>
      </c>
      <c r="H25" s="674" t="e">
        <f t="shared" si="13"/>
        <v>#DIV/0!</v>
      </c>
      <c r="I25" s="674" t="e">
        <f t="shared" si="13"/>
        <v>#DIV/0!</v>
      </c>
      <c r="J25" s="674" t="e">
        <f t="shared" si="13"/>
        <v>#DIV/0!</v>
      </c>
      <c r="K25" s="674" t="e">
        <f t="shared" si="13"/>
        <v>#DIV/0!</v>
      </c>
      <c r="L25" s="674" t="e">
        <f t="shared" si="13"/>
        <v>#DIV/0!</v>
      </c>
      <c r="M25" s="674" t="e">
        <f t="shared" si="13"/>
        <v>#DIV/0!</v>
      </c>
      <c r="N25" s="674" t="e">
        <f t="shared" si="13"/>
        <v>#DIV/0!</v>
      </c>
      <c r="O25" s="676" t="s">
        <v>73</v>
      </c>
      <c r="P25" s="677" t="e">
        <f>AVERAGE(C25:N25)</f>
        <v>#DIV/0!</v>
      </c>
      <c r="Q25" s="678"/>
      <c r="R25" s="678"/>
      <c r="S25" s="678"/>
      <c r="T25" s="678"/>
    </row>
    <row r="26" spans="1:21" x14ac:dyDescent="0.25">
      <c r="A26" s="292">
        <v>21</v>
      </c>
      <c r="B26" s="594" t="s">
        <v>93</v>
      </c>
      <c r="C26" s="312">
        <f>+'[7]SAN CRISTÓBAL'!D51*1000</f>
        <v>3371.4820142841509</v>
      </c>
      <c r="D26" s="312">
        <f>+'[7]SAN CRISTÓBAL'!E51*1000</f>
        <v>0</v>
      </c>
      <c r="E26" s="312">
        <f>+'[7]SAN CRISTÓBAL'!F51*1000</f>
        <v>0</v>
      </c>
      <c r="F26" s="312">
        <f>+'[7]SAN CRISTÓBAL'!G51*1000</f>
        <v>0</v>
      </c>
      <c r="G26" s="312">
        <f>+'[7]SAN CRISTÓBAL'!H51*1000</f>
        <v>0</v>
      </c>
      <c r="H26" s="312">
        <f>+'[7]SAN CRISTÓBAL'!I51*1000</f>
        <v>0</v>
      </c>
      <c r="I26" s="312">
        <f>+'[7]SAN CRISTÓBAL'!J51*1000</f>
        <v>0</v>
      </c>
      <c r="J26" s="312">
        <f>+'[7]SAN CRISTÓBAL'!K51*1000</f>
        <v>0</v>
      </c>
      <c r="K26" s="312">
        <f>+'[7]SAN CRISTÓBAL'!L51*1000</f>
        <v>0</v>
      </c>
      <c r="L26" s="312">
        <f>+'[7]SAN CRISTÓBAL'!M51*1000</f>
        <v>0</v>
      </c>
      <c r="M26" s="312">
        <f>+'[7]SAN CRISTÓBAL'!N51*1000</f>
        <v>0</v>
      </c>
      <c r="N26" s="312">
        <f>+'[7]SAN CRISTÓBAL'!O51*1000</f>
        <v>0</v>
      </c>
      <c r="O26" s="307">
        <f>+MAX(C26:N26)</f>
        <v>3371.4820142841509</v>
      </c>
      <c r="P26" s="421" t="s">
        <v>73</v>
      </c>
    </row>
    <row r="27" spans="1:21" x14ac:dyDescent="0.25">
      <c r="A27" s="292">
        <v>22</v>
      </c>
      <c r="B27" s="594" t="s">
        <v>31</v>
      </c>
      <c r="C27" s="312">
        <f>+'[7]SAN CRISTÓBAL'!D21</f>
        <v>100157</v>
      </c>
      <c r="D27" s="312">
        <f>+'[7]SAN CRISTÓBAL'!E21</f>
        <v>92286</v>
      </c>
      <c r="E27" s="312">
        <f>+'[7]SAN CRISTÓBAL'!F21</f>
        <v>116639</v>
      </c>
      <c r="F27" s="312">
        <f>+'[7]SAN CRISTÓBAL'!G21</f>
        <v>106256</v>
      </c>
      <c r="G27" s="312">
        <f>+'[7]SAN CRISTÓBAL'!H21</f>
        <v>0</v>
      </c>
      <c r="H27" s="312">
        <f>+'[7]SAN CRISTÓBAL'!I21</f>
        <v>0</v>
      </c>
      <c r="I27" s="312">
        <f>+'[7]SAN CRISTÓBAL'!J21</f>
        <v>0</v>
      </c>
      <c r="J27" s="312">
        <f>+'[7]SAN CRISTÓBAL'!K21</f>
        <v>0</v>
      </c>
      <c r="K27" s="312">
        <f>+'[7]SAN CRISTÓBAL'!L21</f>
        <v>0</v>
      </c>
      <c r="L27" s="312">
        <f>+'[7]SAN CRISTÓBAL'!M21</f>
        <v>0</v>
      </c>
      <c r="M27" s="312">
        <f>+'[7]SAN CRISTÓBAL'!N21</f>
        <v>0</v>
      </c>
      <c r="N27" s="313">
        <f>+'[7]SAN CRISTÓBAL'!O21</f>
        <v>0</v>
      </c>
      <c r="O27" s="314">
        <f>SUM(C27:N27)</f>
        <v>415338</v>
      </c>
      <c r="P27" s="422" t="s">
        <v>73</v>
      </c>
    </row>
    <row r="28" spans="1:21" x14ac:dyDescent="0.25">
      <c r="A28" s="292">
        <v>23</v>
      </c>
      <c r="B28" s="594" t="s">
        <v>94</v>
      </c>
      <c r="C28" s="613">
        <f t="shared" ref="C28:N28" si="14">C7/C27</f>
        <v>12.590303223938417</v>
      </c>
      <c r="D28" s="613">
        <f t="shared" si="14"/>
        <v>12.52150922133368</v>
      </c>
      <c r="E28" s="613">
        <f t="shared" si="14"/>
        <v>12.658699062920636</v>
      </c>
      <c r="F28" s="613">
        <f t="shared" si="14"/>
        <v>12.361080786026202</v>
      </c>
      <c r="G28" s="613" t="e">
        <f t="shared" si="14"/>
        <v>#DIV/0!</v>
      </c>
      <c r="H28" s="613" t="e">
        <f t="shared" si="14"/>
        <v>#DIV/0!</v>
      </c>
      <c r="I28" s="613" t="e">
        <f t="shared" si="14"/>
        <v>#DIV/0!</v>
      </c>
      <c r="J28" s="613" t="e">
        <f t="shared" si="14"/>
        <v>#DIV/0!</v>
      </c>
      <c r="K28" s="613" t="e">
        <f t="shared" si="14"/>
        <v>#DIV/0!</v>
      </c>
      <c r="L28" s="613" t="e">
        <f t="shared" si="14"/>
        <v>#DIV/0!</v>
      </c>
      <c r="M28" s="613" t="e">
        <f t="shared" si="14"/>
        <v>#DIV/0!</v>
      </c>
      <c r="N28" s="614" t="e">
        <f t="shared" si="14"/>
        <v>#DIV/0!</v>
      </c>
      <c r="O28" s="310" t="s">
        <v>73</v>
      </c>
      <c r="P28" s="615" t="e">
        <f>AVERAGE(C28:N28)</f>
        <v>#DIV/0!</v>
      </c>
    </row>
    <row r="29" spans="1:21" ht="15.75" thickBot="1" x14ac:dyDescent="0.3">
      <c r="A29" s="292">
        <v>24</v>
      </c>
      <c r="B29" s="616" t="s">
        <v>33</v>
      </c>
      <c r="C29" s="335">
        <f>+[7]COMERCIAL!D13</f>
        <v>3169</v>
      </c>
      <c r="D29" s="335">
        <f>+[7]COMERCIAL!E13</f>
        <v>3177</v>
      </c>
      <c r="E29" s="335">
        <f>+[7]COMERCIAL!F13</f>
        <v>3183</v>
      </c>
      <c r="F29" s="335">
        <f>+[7]COMERCIAL!G13</f>
        <v>3202</v>
      </c>
      <c r="G29" s="335">
        <f>+[7]COMERCIAL!H13</f>
        <v>0</v>
      </c>
      <c r="H29" s="335">
        <f>+[7]COMERCIAL!I13</f>
        <v>0</v>
      </c>
      <c r="I29" s="335">
        <f>+[7]COMERCIAL!J13</f>
        <v>0</v>
      </c>
      <c r="J29" s="335">
        <f>+[7]COMERCIAL!K13</f>
        <v>0</v>
      </c>
      <c r="K29" s="335">
        <f>+[7]COMERCIAL!L13</f>
        <v>0</v>
      </c>
      <c r="L29" s="335">
        <f>+[7]COMERCIAL!M13</f>
        <v>0</v>
      </c>
      <c r="M29" s="335">
        <f>+[7]COMERCIAL!N13</f>
        <v>0</v>
      </c>
      <c r="N29" s="336">
        <f>+[7]COMERCIAL!O13</f>
        <v>0</v>
      </c>
      <c r="O29" s="337" t="s">
        <v>73</v>
      </c>
      <c r="P29" s="337" t="s">
        <v>73</v>
      </c>
    </row>
    <row r="30" spans="1:21" ht="10.5" customHeight="1" x14ac:dyDescent="0.25">
      <c r="A30" s="292"/>
      <c r="B30" s="617"/>
      <c r="C30" s="618"/>
      <c r="D30" s="619"/>
      <c r="E30" s="618"/>
      <c r="F30" s="618"/>
      <c r="G30" s="618"/>
      <c r="H30" s="618"/>
      <c r="I30" s="620"/>
      <c r="J30" s="620"/>
      <c r="K30" s="621"/>
      <c r="L30" s="621"/>
      <c r="M30" s="621"/>
      <c r="N30" s="621"/>
      <c r="O30" s="621"/>
    </row>
    <row r="31" spans="1:21" ht="12.75" customHeight="1" thickBot="1" x14ac:dyDescent="0.3">
      <c r="A31" s="343"/>
      <c r="B31" s="622"/>
      <c r="C31" s="623"/>
      <c r="D31" s="623"/>
      <c r="E31" s="623"/>
      <c r="F31" s="623"/>
      <c r="G31" s="623"/>
      <c r="H31" s="623"/>
      <c r="I31" s="620"/>
      <c r="J31" s="620"/>
      <c r="K31" s="620"/>
      <c r="L31" s="620"/>
      <c r="M31" s="620"/>
      <c r="N31" s="620"/>
      <c r="O31" s="620"/>
    </row>
    <row r="32" spans="1:21" ht="15.75" thickBot="1" x14ac:dyDescent="0.3">
      <c r="B32" s="744" t="s">
        <v>34</v>
      </c>
      <c r="C32" s="745"/>
      <c r="D32" s="745"/>
      <c r="E32" s="745"/>
      <c r="F32" s="745"/>
      <c r="G32" s="745"/>
      <c r="H32" s="745"/>
      <c r="I32" s="745"/>
      <c r="J32" s="745"/>
      <c r="K32" s="745"/>
      <c r="L32" s="745"/>
      <c r="M32" s="745"/>
      <c r="N32" s="745"/>
      <c r="O32" s="745"/>
      <c r="P32" s="746"/>
    </row>
    <row r="33" spans="1:19" ht="15.75" thickBot="1" x14ac:dyDescent="0.3">
      <c r="B33" s="346" t="s">
        <v>57</v>
      </c>
      <c r="C33" s="347" t="s">
        <v>58</v>
      </c>
      <c r="D33" s="347" t="s">
        <v>59</v>
      </c>
      <c r="E33" s="347" t="s">
        <v>60</v>
      </c>
      <c r="F33" s="347" t="s">
        <v>61</v>
      </c>
      <c r="G33" s="347" t="s">
        <v>62</v>
      </c>
      <c r="H33" s="347" t="s">
        <v>63</v>
      </c>
      <c r="I33" s="348" t="s">
        <v>64</v>
      </c>
      <c r="J33" s="348" t="s">
        <v>65</v>
      </c>
      <c r="K33" s="347" t="s">
        <v>66</v>
      </c>
      <c r="L33" s="347" t="s">
        <v>67</v>
      </c>
      <c r="M33" s="347" t="s">
        <v>68</v>
      </c>
      <c r="N33" s="349" t="s">
        <v>69</v>
      </c>
      <c r="O33" s="350" t="s">
        <v>70</v>
      </c>
      <c r="P33" s="429" t="s">
        <v>71</v>
      </c>
    </row>
    <row r="34" spans="1:19" x14ac:dyDescent="0.25">
      <c r="A34" s="286">
        <v>1</v>
      </c>
      <c r="B34" s="590" t="s">
        <v>72</v>
      </c>
      <c r="C34" s="600">
        <f>C35+C39+C37+C41</f>
        <v>3124463.9</v>
      </c>
      <c r="D34" s="600">
        <f t="shared" ref="D34:E34" si="15">D35+D39+D37+D41</f>
        <v>3167579.3505859375</v>
      </c>
      <c r="E34" s="600">
        <f t="shared" si="15"/>
        <v>3398390.58203125</v>
      </c>
      <c r="F34" s="600">
        <f>F35+F39+F37+F41</f>
        <v>3057778.0703125</v>
      </c>
      <c r="G34" s="600">
        <f>G35+G39+G37+G41</f>
        <v>0</v>
      </c>
      <c r="H34" s="600">
        <f>H35+H39+H37+H41</f>
        <v>0</v>
      </c>
      <c r="I34" s="600">
        <f t="shared" ref="I34" si="16">I35+I39+I37+I41</f>
        <v>0</v>
      </c>
      <c r="J34" s="600">
        <f>J35+J39+J37+J41</f>
        <v>0</v>
      </c>
      <c r="K34" s="600">
        <f t="shared" ref="K34:N34" si="17">K35+K39+K37+K41</f>
        <v>0</v>
      </c>
      <c r="L34" s="600">
        <f t="shared" si="17"/>
        <v>0</v>
      </c>
      <c r="M34" s="600">
        <f t="shared" si="17"/>
        <v>0</v>
      </c>
      <c r="N34" s="600">
        <f t="shared" si="17"/>
        <v>0</v>
      </c>
      <c r="O34" s="624">
        <f>SUM(C34:N34)</f>
        <v>12748211.902929688</v>
      </c>
      <c r="P34" s="625" t="s">
        <v>73</v>
      </c>
      <c r="Q34" s="626"/>
      <c r="S34" s="588"/>
    </row>
    <row r="35" spans="1:19" x14ac:dyDescent="0.25">
      <c r="A35" s="286">
        <v>2</v>
      </c>
      <c r="B35" s="589" t="s">
        <v>74</v>
      </c>
      <c r="C35" s="305">
        <f>+'[7]SANTA CRUZ'!D13</f>
        <v>2595038</v>
      </c>
      <c r="D35" s="305">
        <f>+'[7]SANTA CRUZ'!E13</f>
        <v>2785495</v>
      </c>
      <c r="E35" s="305">
        <f>+'[7]SANTA CRUZ'!F13</f>
        <v>3129040</v>
      </c>
      <c r="F35" s="305">
        <f>+'[7]SANTA CRUZ'!G13</f>
        <v>2696865</v>
      </c>
      <c r="G35" s="305">
        <f>+'[7]SANTA CRUZ'!H13</f>
        <v>0</v>
      </c>
      <c r="H35" s="305">
        <f>+'[7]SANTA CRUZ'!I13</f>
        <v>0</v>
      </c>
      <c r="I35" s="305">
        <f>+'[7]SANTA CRUZ'!J13</f>
        <v>0</v>
      </c>
      <c r="J35" s="305">
        <f>+'[7]SANTA CRUZ'!K13</f>
        <v>0</v>
      </c>
      <c r="K35" s="305">
        <f>+'[7]SANTA CRUZ'!L13</f>
        <v>0</v>
      </c>
      <c r="L35" s="305">
        <f>+'[7]SANTA CRUZ'!M13</f>
        <v>0</v>
      </c>
      <c r="M35" s="305">
        <f>+'[7]SANTA CRUZ'!N13</f>
        <v>0</v>
      </c>
      <c r="N35" s="306">
        <f>+'[7]SANTA CRUZ'!O13</f>
        <v>0</v>
      </c>
      <c r="O35" s="307">
        <f>SUM(C35:N35)</f>
        <v>11206438</v>
      </c>
      <c r="P35" s="421" t="s">
        <v>73</v>
      </c>
      <c r="Q35" s="627"/>
      <c r="S35" s="588"/>
    </row>
    <row r="36" spans="1:19" x14ac:dyDescent="0.25">
      <c r="A36" s="286">
        <v>3</v>
      </c>
      <c r="B36" s="590" t="s">
        <v>75</v>
      </c>
      <c r="C36" s="595">
        <f t="shared" ref="C36:N36" si="18">C35/C34</f>
        <v>0.83055464331016915</v>
      </c>
      <c r="D36" s="595">
        <f t="shared" si="18"/>
        <v>0.87937654963078993</v>
      </c>
      <c r="E36" s="595">
        <f t="shared" si="18"/>
        <v>0.92074172302164969</v>
      </c>
      <c r="F36" s="595">
        <f t="shared" si="18"/>
        <v>0.88196884730891689</v>
      </c>
      <c r="G36" s="608" t="e">
        <f t="shared" si="18"/>
        <v>#DIV/0!</v>
      </c>
      <c r="H36" s="595" t="e">
        <f t="shared" si="18"/>
        <v>#DIV/0!</v>
      </c>
      <c r="I36" s="595" t="e">
        <f t="shared" si="18"/>
        <v>#DIV/0!</v>
      </c>
      <c r="J36" s="595" t="e">
        <f t="shared" si="18"/>
        <v>#DIV/0!</v>
      </c>
      <c r="K36" s="595" t="e">
        <f t="shared" si="18"/>
        <v>#DIV/0!</v>
      </c>
      <c r="L36" s="595" t="e">
        <f t="shared" si="18"/>
        <v>#DIV/0!</v>
      </c>
      <c r="M36" s="595" t="e">
        <f t="shared" si="18"/>
        <v>#DIV/0!</v>
      </c>
      <c r="N36" s="596" t="e">
        <f t="shared" si="18"/>
        <v>#DIV/0!</v>
      </c>
      <c r="O36" s="355" t="s">
        <v>73</v>
      </c>
      <c r="P36" s="628" t="e">
        <f>AVERAGE(C36:N36)</f>
        <v>#DIV/0!</v>
      </c>
      <c r="Q36" s="626"/>
      <c r="S36" s="588"/>
    </row>
    <row r="37" spans="1:19" x14ac:dyDescent="0.25">
      <c r="A37" s="286">
        <v>4</v>
      </c>
      <c r="B37" s="589" t="s">
        <v>76</v>
      </c>
      <c r="C37" s="305">
        <f>+'[7]SANTA CRUZ'!D67</f>
        <v>365939.9</v>
      </c>
      <c r="D37" s="305">
        <f>+'[7]SANTA CRUZ'!E67</f>
        <v>198584.3505859375</v>
      </c>
      <c r="E37" s="305">
        <f>+'[7]SANTA CRUZ'!F67</f>
        <v>67996.58203125</v>
      </c>
      <c r="F37" s="305">
        <f>+'[7]SANTA CRUZ'!G67</f>
        <v>172122.0703125</v>
      </c>
      <c r="G37" s="305">
        <f>+'[7]SANTA CRUZ'!H67</f>
        <v>0</v>
      </c>
      <c r="H37" s="305">
        <f>+'[7]SANTA CRUZ'!I67</f>
        <v>0</v>
      </c>
      <c r="I37" s="305">
        <f>+'[7]SANTA CRUZ'!J67</f>
        <v>0</v>
      </c>
      <c r="J37" s="305">
        <f>+'[7]SANTA CRUZ'!K67</f>
        <v>0</v>
      </c>
      <c r="K37" s="305">
        <f>+'[7]SANTA CRUZ'!L67</f>
        <v>0</v>
      </c>
      <c r="L37" s="305">
        <f>+'[7]SANTA CRUZ'!M67</f>
        <v>0</v>
      </c>
      <c r="M37" s="305">
        <f>+'[7]SANTA CRUZ'!N67</f>
        <v>0</v>
      </c>
      <c r="N37" s="305">
        <f>+'[7]SANTA CRUZ'!O67</f>
        <v>0</v>
      </c>
      <c r="O37" s="307">
        <f>SUM(C37:N37)</f>
        <v>804642.90292968752</v>
      </c>
      <c r="P37" s="421" t="s">
        <v>73</v>
      </c>
      <c r="Q37" s="626"/>
      <c r="S37" s="588"/>
    </row>
    <row r="38" spans="1:19" x14ac:dyDescent="0.25">
      <c r="A38" s="286">
        <v>5</v>
      </c>
      <c r="B38" s="590" t="s">
        <v>152</v>
      </c>
      <c r="C38" s="595">
        <f>C37/C34</f>
        <v>0.11712086031782926</v>
      </c>
      <c r="D38" s="595">
        <f t="shared" ref="D38:N38" si="19">D37/D34</f>
        <v>6.2692778493206008E-2</v>
      </c>
      <c r="E38" s="595">
        <f t="shared" si="19"/>
        <v>2.0008465886992836E-2</v>
      </c>
      <c r="F38" s="595">
        <f t="shared" si="19"/>
        <v>5.6289915865250943E-2</v>
      </c>
      <c r="G38" s="595" t="e">
        <f t="shared" si="19"/>
        <v>#DIV/0!</v>
      </c>
      <c r="H38" s="595" t="e">
        <f t="shared" si="19"/>
        <v>#DIV/0!</v>
      </c>
      <c r="I38" s="595" t="e">
        <f t="shared" si="19"/>
        <v>#DIV/0!</v>
      </c>
      <c r="J38" s="595" t="e">
        <f t="shared" si="19"/>
        <v>#DIV/0!</v>
      </c>
      <c r="K38" s="595" t="e">
        <f t="shared" si="19"/>
        <v>#DIV/0!</v>
      </c>
      <c r="L38" s="595" t="e">
        <f t="shared" si="19"/>
        <v>#DIV/0!</v>
      </c>
      <c r="M38" s="595" t="e">
        <f t="shared" si="19"/>
        <v>#DIV/0!</v>
      </c>
      <c r="N38" s="595" t="e">
        <f t="shared" si="19"/>
        <v>#DIV/0!</v>
      </c>
      <c r="O38" s="355" t="s">
        <v>73</v>
      </c>
      <c r="P38" s="628" t="e">
        <f>AVERAGE(C38:N38)</f>
        <v>#DIV/0!</v>
      </c>
      <c r="Q38" s="626"/>
      <c r="S38" s="588"/>
    </row>
    <row r="39" spans="1:19" x14ac:dyDescent="0.25">
      <c r="A39" s="286">
        <v>6</v>
      </c>
      <c r="B39" s="589" t="s">
        <v>153</v>
      </c>
      <c r="C39" s="305">
        <f>+'[7]SANTA CRUZ'!D56</f>
        <v>161978</v>
      </c>
      <c r="D39" s="305">
        <f>+'[7]SANTA CRUZ'!E56</f>
        <v>181992</v>
      </c>
      <c r="E39" s="305">
        <f>+'[7]SANTA CRUZ'!F56+'[7]SANTA CRUZ'!F87</f>
        <v>199846</v>
      </c>
      <c r="F39" s="305">
        <f>+'[7]SANTA CRUZ'!G56+'[7]SANTA CRUZ'!G87</f>
        <v>187283</v>
      </c>
      <c r="G39" s="305">
        <f>+'[7]SANTA CRUZ'!H56+'[7]SANTA CRUZ'!H87</f>
        <v>0</v>
      </c>
      <c r="H39" s="305">
        <f>+'[7]SANTA CRUZ'!I56+'[7]SANTA CRUZ'!I87</f>
        <v>0</v>
      </c>
      <c r="I39" s="305">
        <f>+'[7]SANTA CRUZ'!J56+'[7]SANTA CRUZ'!J87</f>
        <v>0</v>
      </c>
      <c r="J39" s="305">
        <f>+'[7]SANTA CRUZ'!K56+'[7]SANTA CRUZ'!K87</f>
        <v>0</v>
      </c>
      <c r="K39" s="305">
        <f>+'[7]SANTA CRUZ'!L56+'[7]SANTA CRUZ'!L87</f>
        <v>0</v>
      </c>
      <c r="L39" s="305">
        <f>+'[7]SANTA CRUZ'!M56+'[7]SANTA CRUZ'!M87</f>
        <v>0</v>
      </c>
      <c r="M39" s="305">
        <f>+'[7]SANTA CRUZ'!N56+'[7]SANTA CRUZ'!N87</f>
        <v>0</v>
      </c>
      <c r="N39" s="305">
        <f>+'[7]SANTA CRUZ'!O56+'[7]SANTA CRUZ'!O87</f>
        <v>0</v>
      </c>
      <c r="O39" s="307">
        <f>SUM(C39:N39)</f>
        <v>731099</v>
      </c>
      <c r="P39" s="421" t="s">
        <v>73</v>
      </c>
      <c r="Q39" s="626"/>
      <c r="S39" s="588"/>
    </row>
    <row r="40" spans="1:19" x14ac:dyDescent="0.25">
      <c r="A40" s="286">
        <v>7</v>
      </c>
      <c r="B40" s="590" t="s">
        <v>154</v>
      </c>
      <c r="C40" s="595">
        <f t="shared" ref="C40:N40" si="20">C39/C34</f>
        <v>5.1841853573664269E-2</v>
      </c>
      <c r="D40" s="595">
        <f t="shared" si="20"/>
        <v>5.7454598561622522E-2</v>
      </c>
      <c r="E40" s="595">
        <f t="shared" si="20"/>
        <v>5.8806071631869392E-2</v>
      </c>
      <c r="F40" s="595">
        <f t="shared" si="20"/>
        <v>6.1248068268361926E-2</v>
      </c>
      <c r="G40" s="608" t="e">
        <f t="shared" si="20"/>
        <v>#DIV/0!</v>
      </c>
      <c r="H40" s="608" t="e">
        <f t="shared" si="20"/>
        <v>#DIV/0!</v>
      </c>
      <c r="I40" s="608" t="e">
        <f t="shared" si="20"/>
        <v>#DIV/0!</v>
      </c>
      <c r="J40" s="595" t="e">
        <f t="shared" si="20"/>
        <v>#DIV/0!</v>
      </c>
      <c r="K40" s="595" t="e">
        <f t="shared" si="20"/>
        <v>#DIV/0!</v>
      </c>
      <c r="L40" s="595" t="e">
        <f t="shared" si="20"/>
        <v>#DIV/0!</v>
      </c>
      <c r="M40" s="595" t="e">
        <f t="shared" si="20"/>
        <v>#DIV/0!</v>
      </c>
      <c r="N40" s="595" t="e">
        <f t="shared" si="20"/>
        <v>#DIV/0!</v>
      </c>
      <c r="O40" s="355" t="s">
        <v>73</v>
      </c>
      <c r="P40" s="628" t="e">
        <f>AVERAGE(C40:N40)</f>
        <v>#DIV/0!</v>
      </c>
      <c r="Q40" s="626"/>
      <c r="S40" s="588"/>
    </row>
    <row r="41" spans="1:19" x14ac:dyDescent="0.25">
      <c r="A41" s="292"/>
      <c r="B41" s="597" t="s">
        <v>155</v>
      </c>
      <c r="C41" s="305">
        <f>+[7]COMERCIAL!D24</f>
        <v>1508</v>
      </c>
      <c r="D41" s="305">
        <f>+[7]COMERCIAL!E24</f>
        <v>1508</v>
      </c>
      <c r="E41" s="305">
        <f>+[7]COMERCIAL!F24</f>
        <v>1508</v>
      </c>
      <c r="F41" s="305">
        <f>+[7]COMERCIAL!G24</f>
        <v>1508</v>
      </c>
      <c r="G41" s="305">
        <f>+[7]COMERCIAL!H24</f>
        <v>0</v>
      </c>
      <c r="H41" s="305">
        <f>+[7]COMERCIAL!I24</f>
        <v>0</v>
      </c>
      <c r="I41" s="305">
        <f>+[7]COMERCIAL!J24</f>
        <v>0</v>
      </c>
      <c r="J41" s="305">
        <f>+[7]COMERCIAL!K24</f>
        <v>0</v>
      </c>
      <c r="K41" s="305">
        <f>+[7]COMERCIAL!L24</f>
        <v>0</v>
      </c>
      <c r="L41" s="305">
        <f>+[7]COMERCIAL!M24</f>
        <v>0</v>
      </c>
      <c r="M41" s="305">
        <f>+[7]COMERCIAL!N24</f>
        <v>0</v>
      </c>
      <c r="N41" s="305">
        <f>+[7]COMERCIAL!O24</f>
        <v>0</v>
      </c>
      <c r="O41" s="307">
        <f>SUM(C41:N41)</f>
        <v>6032</v>
      </c>
      <c r="P41" s="629"/>
      <c r="S41" s="588"/>
    </row>
    <row r="42" spans="1:19" x14ac:dyDescent="0.25">
      <c r="A42" s="286">
        <v>8</v>
      </c>
      <c r="B42" s="594" t="s">
        <v>156</v>
      </c>
      <c r="C42" s="317">
        <f>+[7]AUTOCONSUMOS!E85+[7]AUTOCONSUMOS!E86+[7]AUTOCONSUMOS!E87</f>
        <v>45636.93</v>
      </c>
      <c r="D42" s="317">
        <f>+[7]AUTOCONSUMOS!F85+[7]AUTOCONSUMOS!F86+[7]AUTOCONSUMOS!F87</f>
        <v>55083.099999999962</v>
      </c>
      <c r="E42" s="317">
        <f>+[7]AUTOCONSUMOS!G85+[7]AUTOCONSUMOS!G86+[7]AUTOCONSUMOS!G87</f>
        <v>69678.250000000058</v>
      </c>
      <c r="F42" s="317">
        <f>+[7]AUTOCONSUMOS!H85+[7]AUTOCONSUMOS!H86+[7]AUTOCONSUMOS!H87</f>
        <v>58739.579999999929</v>
      </c>
      <c r="G42" s="317">
        <f>+[7]AUTOCONSUMOS!I85+[7]AUTOCONSUMOS!I86+[7]AUTOCONSUMOS!I87</f>
        <v>-1048520.9299999999</v>
      </c>
      <c r="H42" s="317">
        <f>+[7]AUTOCONSUMOS!J85+[7]AUTOCONSUMOS!J86+[7]AUTOCONSUMOS!J87</f>
        <v>0</v>
      </c>
      <c r="I42" s="317">
        <f>+[7]AUTOCONSUMOS!K85+[7]AUTOCONSUMOS!K86+[7]AUTOCONSUMOS!K87</f>
        <v>0</v>
      </c>
      <c r="J42" s="317">
        <f>+[7]AUTOCONSUMOS!L85+[7]AUTOCONSUMOS!L86+[7]AUTOCONSUMOS!L87</f>
        <v>0</v>
      </c>
      <c r="K42" s="317">
        <f>+[7]AUTOCONSUMOS!M85+[7]AUTOCONSUMOS!M86+[7]AUTOCONSUMOS!M87</f>
        <v>0</v>
      </c>
      <c r="L42" s="317">
        <f>+[7]AUTOCONSUMOS!N85+[7]AUTOCONSUMOS!N86+[7]AUTOCONSUMOS!N87</f>
        <v>0</v>
      </c>
      <c r="M42" s="317">
        <f>+[7]AUTOCONSUMOS!O85+[7]AUTOCONSUMOS!O86+[7]AUTOCONSUMOS!O87</f>
        <v>0</v>
      </c>
      <c r="N42" s="317">
        <f>+[7]AUTOCONSUMOS!P85+[7]AUTOCONSUMOS!P86+[7]AUTOCONSUMOS!P87</f>
        <v>0</v>
      </c>
      <c r="O42" s="318">
        <f>SUM(C42:N42)</f>
        <v>-819383.07</v>
      </c>
      <c r="P42" s="679" t="s">
        <v>73</v>
      </c>
      <c r="Q42" s="626"/>
      <c r="S42" s="588"/>
    </row>
    <row r="43" spans="1:19" x14ac:dyDescent="0.25">
      <c r="A43" s="286">
        <v>9</v>
      </c>
      <c r="B43" s="594" t="s">
        <v>157</v>
      </c>
      <c r="C43" s="317">
        <f>+[7]AUTOCONSUMOS!E$26+[7]AUTOCONSUMOS!E59+[7]AUTOCONSUMOS!E49</f>
        <v>68393.08</v>
      </c>
      <c r="D43" s="317">
        <f>+[7]AUTOCONSUMOS!F$26+[7]AUTOCONSUMOS!F59+[7]AUTOCONSUMOS!F49</f>
        <v>84832.38</v>
      </c>
      <c r="E43" s="317">
        <f>+[7]AUTOCONSUMOS!G$26+[7]AUTOCONSUMOS!G59+[7]AUTOCONSUMOS!G49+[7]AUTOCONSUMOS!G64*1000</f>
        <v>88978.718999999997</v>
      </c>
      <c r="F43" s="317">
        <f>+[7]AUTOCONSUMOS!H$26+[7]AUTOCONSUMOS!H59+[7]AUTOCONSUMOS!H49+[7]AUTOCONSUMOS!H64*1000</f>
        <v>109253.001</v>
      </c>
      <c r="G43" s="317">
        <f>+[7]AUTOCONSUMOS!I$26+[7]AUTOCONSUMOS!I59+[7]AUTOCONSUMOS!I49+[7]AUTOCONSUMOS!I64*1000</f>
        <v>-88512.1</v>
      </c>
      <c r="H43" s="317">
        <f>+[7]AUTOCONSUMOS!J$26+[7]AUTOCONSUMOS!J59+[7]AUTOCONSUMOS!J49+[7]AUTOCONSUMOS!J64*1000</f>
        <v>0</v>
      </c>
      <c r="I43" s="317">
        <f>+[7]AUTOCONSUMOS!K$26+[7]AUTOCONSUMOS!K59+[7]AUTOCONSUMOS!K49+[7]AUTOCONSUMOS!K64*1000</f>
        <v>0</v>
      </c>
      <c r="J43" s="317">
        <f>+[7]AUTOCONSUMOS!L$26+[7]AUTOCONSUMOS!L59+[7]AUTOCONSUMOS!L49+[7]AUTOCONSUMOS!L64*1000</f>
        <v>0</v>
      </c>
      <c r="K43" s="317">
        <f>+[7]AUTOCONSUMOS!M$26+[7]AUTOCONSUMOS!M59+[7]AUTOCONSUMOS!M49+[7]AUTOCONSUMOS!M64*1000</f>
        <v>0</v>
      </c>
      <c r="L43" s="317">
        <f>+[7]AUTOCONSUMOS!N$26+[7]AUTOCONSUMOS!N59+[7]AUTOCONSUMOS!N49+[7]AUTOCONSUMOS!N64*1000</f>
        <v>0</v>
      </c>
      <c r="M43" s="317">
        <f>+[7]AUTOCONSUMOS!O$26+[7]AUTOCONSUMOS!O59+[7]AUTOCONSUMOS!O49+[7]AUTOCONSUMOS!O64*1000</f>
        <v>0</v>
      </c>
      <c r="N43" s="317">
        <f>+[7]AUTOCONSUMOS!P$26+[7]AUTOCONSUMOS!P59+[7]AUTOCONSUMOS!P49+[7]AUTOCONSUMOS!P64*1000</f>
        <v>0</v>
      </c>
      <c r="O43" s="318">
        <f t="shared" ref="O43:O52" si="21">SUM(C43:N43)</f>
        <v>262945.07999999996</v>
      </c>
      <c r="P43" s="423" t="s">
        <v>73</v>
      </c>
      <c r="Q43" s="626"/>
      <c r="S43" s="588"/>
    </row>
    <row r="44" spans="1:19" x14ac:dyDescent="0.25">
      <c r="A44" s="286">
        <v>11</v>
      </c>
      <c r="B44" s="594" t="s">
        <v>81</v>
      </c>
      <c r="C44" s="630">
        <f>C34-C42-C43</f>
        <v>3010433.8899999997</v>
      </c>
      <c r="D44" s="630">
        <f t="shared" ref="D44:N44" si="22">D34-D42-D43</f>
        <v>3027663.8705859375</v>
      </c>
      <c r="E44" s="630">
        <f t="shared" si="22"/>
        <v>3239733.61303125</v>
      </c>
      <c r="F44" s="630">
        <f t="shared" si="22"/>
        <v>2889785.4893124998</v>
      </c>
      <c r="G44" s="630">
        <f t="shared" si="22"/>
        <v>1137033.03</v>
      </c>
      <c r="H44" s="630">
        <f t="shared" si="22"/>
        <v>0</v>
      </c>
      <c r="I44" s="630">
        <f t="shared" si="22"/>
        <v>0</v>
      </c>
      <c r="J44" s="630">
        <f t="shared" si="22"/>
        <v>0</v>
      </c>
      <c r="K44" s="630">
        <f t="shared" si="22"/>
        <v>0</v>
      </c>
      <c r="L44" s="630">
        <f t="shared" si="22"/>
        <v>0</v>
      </c>
      <c r="M44" s="630">
        <f t="shared" si="22"/>
        <v>0</v>
      </c>
      <c r="N44" s="630">
        <f t="shared" si="22"/>
        <v>0</v>
      </c>
      <c r="O44" s="602">
        <f t="shared" si="21"/>
        <v>13304649.892929686</v>
      </c>
      <c r="P44" s="631" t="s">
        <v>73</v>
      </c>
      <c r="Q44" s="626"/>
      <c r="S44" s="588"/>
    </row>
    <row r="45" spans="1:19" x14ac:dyDescent="0.25">
      <c r="A45" s="286">
        <v>12</v>
      </c>
      <c r="B45" s="594" t="s">
        <v>82</v>
      </c>
      <c r="C45" s="600">
        <f>SUM(C46:C51)</f>
        <v>2946375.4101570002</v>
      </c>
      <c r="D45" s="600">
        <f t="shared" ref="D45:N45" si="23">SUM(D46:D48)</f>
        <v>2871680</v>
      </c>
      <c r="E45" s="600">
        <f t="shared" si="23"/>
        <v>3047401</v>
      </c>
      <c r="F45" s="600">
        <f t="shared" si="23"/>
        <v>2744933</v>
      </c>
      <c r="G45" s="600">
        <f t="shared" si="23"/>
        <v>2744933</v>
      </c>
      <c r="H45" s="600">
        <f t="shared" si="23"/>
        <v>0</v>
      </c>
      <c r="I45" s="600">
        <f t="shared" si="23"/>
        <v>0</v>
      </c>
      <c r="J45" s="600">
        <f t="shared" si="23"/>
        <v>0</v>
      </c>
      <c r="K45" s="600">
        <f t="shared" si="23"/>
        <v>0</v>
      </c>
      <c r="L45" s="600">
        <f t="shared" si="23"/>
        <v>0</v>
      </c>
      <c r="M45" s="600">
        <f t="shared" si="23"/>
        <v>0</v>
      </c>
      <c r="N45" s="601">
        <f t="shared" si="23"/>
        <v>0</v>
      </c>
      <c r="O45" s="602">
        <f t="shared" si="21"/>
        <v>14355322.410157001</v>
      </c>
      <c r="P45" s="631" t="s">
        <v>73</v>
      </c>
      <c r="Q45" s="626"/>
      <c r="S45" s="588"/>
    </row>
    <row r="46" spans="1:19" x14ac:dyDescent="0.25">
      <c r="A46" s="286">
        <v>13</v>
      </c>
      <c r="B46" s="594" t="s">
        <v>96</v>
      </c>
      <c r="C46" s="305">
        <f>+[7]TÉCNICO!D9</f>
        <v>1065993</v>
      </c>
      <c r="D46" s="305">
        <f>+[7]TÉCNICO!E9</f>
        <v>1061088</v>
      </c>
      <c r="E46" s="305">
        <f>+[7]TÉCNICO!F9</f>
        <v>1125083</v>
      </c>
      <c r="F46" s="305">
        <f>+[7]TÉCNICO!G9</f>
        <v>999425</v>
      </c>
      <c r="G46" s="305">
        <f>+[7]TÉCNICO!G9</f>
        <v>999425</v>
      </c>
      <c r="H46" s="305">
        <f>+[7]TÉCNICO!I9</f>
        <v>0</v>
      </c>
      <c r="I46" s="305">
        <f>+[7]TÉCNICO!J9</f>
        <v>0</v>
      </c>
      <c r="J46" s="305">
        <f>+[7]TÉCNICO!K9</f>
        <v>0</v>
      </c>
      <c r="K46" s="305">
        <f>+[7]TÉCNICO!L9</f>
        <v>0</v>
      </c>
      <c r="L46" s="305">
        <f>+[7]TÉCNICO!M9</f>
        <v>0</v>
      </c>
      <c r="M46" s="305">
        <f>+[7]TÉCNICO!N9</f>
        <v>0</v>
      </c>
      <c r="N46" s="305">
        <f>+[7]TÉCNICO!O9</f>
        <v>0</v>
      </c>
      <c r="O46" s="307">
        <f t="shared" si="21"/>
        <v>5251014</v>
      </c>
      <c r="P46" s="421" t="s">
        <v>73</v>
      </c>
      <c r="Q46" s="626"/>
      <c r="S46" s="588"/>
    </row>
    <row r="47" spans="1:19" x14ac:dyDescent="0.25">
      <c r="A47" s="286">
        <v>14</v>
      </c>
      <c r="B47" s="594" t="s">
        <v>97</v>
      </c>
      <c r="C47" s="305">
        <f>+[7]TÉCNICO!D10</f>
        <v>1273664</v>
      </c>
      <c r="D47" s="305">
        <f>+[7]TÉCNICO!E10</f>
        <v>1287756</v>
      </c>
      <c r="E47" s="305">
        <f>+[7]TÉCNICO!F10</f>
        <v>1352749</v>
      </c>
      <c r="F47" s="305">
        <f>+[7]TÉCNICO!G10</f>
        <v>1206049</v>
      </c>
      <c r="G47" s="305">
        <f>+[7]TÉCNICO!G10</f>
        <v>1206049</v>
      </c>
      <c r="H47" s="305">
        <f>+[7]TÉCNICO!I10</f>
        <v>0</v>
      </c>
      <c r="I47" s="305">
        <f>+[7]TÉCNICO!J10</f>
        <v>0</v>
      </c>
      <c r="J47" s="305">
        <f>+[7]TÉCNICO!K10</f>
        <v>0</v>
      </c>
      <c r="K47" s="305">
        <f>+[7]TÉCNICO!L10</f>
        <v>0</v>
      </c>
      <c r="L47" s="305">
        <f>+[7]TÉCNICO!M10</f>
        <v>0</v>
      </c>
      <c r="M47" s="305">
        <f>+[7]TÉCNICO!N10</f>
        <v>0</v>
      </c>
      <c r="N47" s="305">
        <f>+[7]TÉCNICO!O10</f>
        <v>0</v>
      </c>
      <c r="O47" s="307">
        <f t="shared" si="21"/>
        <v>6326267</v>
      </c>
      <c r="P47" s="421" t="s">
        <v>73</v>
      </c>
      <c r="Q47" s="626"/>
      <c r="S47" s="588"/>
    </row>
    <row r="48" spans="1:19" x14ac:dyDescent="0.25">
      <c r="A48" s="286">
        <v>15</v>
      </c>
      <c r="B48" s="594" t="s">
        <v>98</v>
      </c>
      <c r="C48" s="305">
        <f>+[7]TÉCNICO!D11</f>
        <v>533897</v>
      </c>
      <c r="D48" s="305">
        <f>+[7]TÉCNICO!E11</f>
        <v>522836</v>
      </c>
      <c r="E48" s="305">
        <f>+[7]TÉCNICO!F11</f>
        <v>569569</v>
      </c>
      <c r="F48" s="305">
        <f>+[7]TÉCNICO!G11</f>
        <v>539459</v>
      </c>
      <c r="G48" s="305">
        <f>+[7]TÉCNICO!G11</f>
        <v>539459</v>
      </c>
      <c r="H48" s="305">
        <f>+[7]TÉCNICO!I11</f>
        <v>0</v>
      </c>
      <c r="I48" s="305">
        <f>+[7]TÉCNICO!J11</f>
        <v>0</v>
      </c>
      <c r="J48" s="305">
        <f>+[7]TÉCNICO!K11</f>
        <v>0</v>
      </c>
      <c r="K48" s="305">
        <f>+[7]TÉCNICO!L11</f>
        <v>0</v>
      </c>
      <c r="L48" s="305">
        <f>+[7]TÉCNICO!M11</f>
        <v>0</v>
      </c>
      <c r="M48" s="305">
        <f>+[7]TÉCNICO!N11</f>
        <v>0</v>
      </c>
      <c r="N48" s="305">
        <f>+[7]TÉCNICO!O11</f>
        <v>0</v>
      </c>
      <c r="O48" s="307">
        <f t="shared" si="21"/>
        <v>2705220</v>
      </c>
      <c r="P48" s="421" t="s">
        <v>73</v>
      </c>
      <c r="Q48" s="626"/>
      <c r="S48" s="326"/>
    </row>
    <row r="49" spans="1:20" x14ac:dyDescent="0.25">
      <c r="B49" s="594" t="s">
        <v>231</v>
      </c>
      <c r="C49" s="305">
        <f>+[7]TÉCNICO!D12</f>
        <v>8882.6289069999984</v>
      </c>
      <c r="D49" s="305">
        <f>+[7]TÉCNICO!E12</f>
        <v>10004.469999999999</v>
      </c>
      <c r="E49" s="305">
        <f>+[7]TÉCNICO!F12</f>
        <v>10968.65</v>
      </c>
      <c r="F49" s="305">
        <f>+[7]TÉCNICO!G12</f>
        <v>7591.86</v>
      </c>
      <c r="G49" s="305">
        <f>+[7]TÉCNICO!H12</f>
        <v>0</v>
      </c>
      <c r="H49" s="305">
        <f>+[7]TÉCNICO!I12</f>
        <v>0</v>
      </c>
      <c r="I49" s="305">
        <f>+[7]TÉCNICO!J12</f>
        <v>0</v>
      </c>
      <c r="J49" s="305">
        <f>+[7]TÉCNICO!K12</f>
        <v>0</v>
      </c>
      <c r="K49" s="305">
        <f>+[7]TÉCNICO!L12</f>
        <v>0</v>
      </c>
      <c r="L49" s="305">
        <f>+[7]TÉCNICO!M12</f>
        <v>0</v>
      </c>
      <c r="M49" s="305">
        <f>+[7]TÉCNICO!N12</f>
        <v>0</v>
      </c>
      <c r="N49" s="306">
        <f>+[7]TÉCNICO!O12</f>
        <v>0</v>
      </c>
      <c r="O49" s="307">
        <f t="shared" si="21"/>
        <v>37447.608907000002</v>
      </c>
      <c r="P49" s="421"/>
      <c r="Q49" s="626"/>
      <c r="S49" s="326"/>
    </row>
    <row r="50" spans="1:20" x14ac:dyDescent="0.25">
      <c r="B50" s="594" t="s">
        <v>232</v>
      </c>
      <c r="C50" s="305">
        <f>+[7]TÉCNICO!D13</f>
        <v>19735.625</v>
      </c>
      <c r="D50" s="305">
        <f>+[7]TÉCNICO!E13</f>
        <v>23380.84</v>
      </c>
      <c r="E50" s="305">
        <f>+[7]TÉCNICO!F13</f>
        <v>26200.7</v>
      </c>
      <c r="F50" s="305">
        <f>+[7]TÉCNICO!G13</f>
        <v>19375.310000000001</v>
      </c>
      <c r="G50" s="305">
        <f>+[7]TÉCNICO!H13</f>
        <v>0</v>
      </c>
      <c r="H50" s="305">
        <f>+[7]TÉCNICO!I13</f>
        <v>0</v>
      </c>
      <c r="I50" s="305">
        <f>+[7]TÉCNICO!J13</f>
        <v>0</v>
      </c>
      <c r="J50" s="305">
        <f>+[7]TÉCNICO!K13</f>
        <v>0</v>
      </c>
      <c r="K50" s="305">
        <f>+[7]TÉCNICO!L13</f>
        <v>0</v>
      </c>
      <c r="L50" s="305">
        <f>+[7]TÉCNICO!M13</f>
        <v>0</v>
      </c>
      <c r="M50" s="305">
        <f>+[7]TÉCNICO!N13</f>
        <v>0</v>
      </c>
      <c r="N50" s="306">
        <f>+[7]TÉCNICO!O13</f>
        <v>0</v>
      </c>
      <c r="O50" s="307">
        <f t="shared" si="21"/>
        <v>88692.474999999991</v>
      </c>
      <c r="P50" s="421"/>
      <c r="Q50" s="626"/>
      <c r="S50" s="326"/>
    </row>
    <row r="51" spans="1:20" x14ac:dyDescent="0.25">
      <c r="B51" s="594" t="s">
        <v>233</v>
      </c>
      <c r="C51" s="305">
        <f>+[7]TÉCNICO!D14</f>
        <v>44203.15625</v>
      </c>
      <c r="D51" s="305">
        <f>+[7]TÉCNICO!E14</f>
        <v>53876.28</v>
      </c>
      <c r="E51" s="305">
        <f>+[7]TÉCNICO!F14</f>
        <v>53337.34</v>
      </c>
      <c r="F51" s="305">
        <f>+[7]TÉCNICO!G14</f>
        <v>42280.34</v>
      </c>
      <c r="G51" s="305">
        <f>+[7]TÉCNICO!H14</f>
        <v>0</v>
      </c>
      <c r="H51" s="305">
        <f>+[7]TÉCNICO!I14</f>
        <v>0</v>
      </c>
      <c r="I51" s="305">
        <f>+[7]TÉCNICO!J14</f>
        <v>0</v>
      </c>
      <c r="J51" s="305">
        <f>+[7]TÉCNICO!K14</f>
        <v>0</v>
      </c>
      <c r="K51" s="305">
        <f>+[7]TÉCNICO!L14</f>
        <v>0</v>
      </c>
      <c r="L51" s="305">
        <f>+[7]TÉCNICO!M14</f>
        <v>0</v>
      </c>
      <c r="M51" s="305">
        <f>+[7]TÉCNICO!N14</f>
        <v>0</v>
      </c>
      <c r="N51" s="306">
        <f>+[7]TÉCNICO!O14</f>
        <v>0</v>
      </c>
      <c r="O51" s="307">
        <f t="shared" si="21"/>
        <v>193697.11624999999</v>
      </c>
      <c r="P51" s="421"/>
      <c r="Q51" s="626"/>
      <c r="S51" s="326"/>
    </row>
    <row r="52" spans="1:20" x14ac:dyDescent="0.25">
      <c r="A52" s="286">
        <v>16</v>
      </c>
      <c r="B52" s="594" t="s">
        <v>86</v>
      </c>
      <c r="C52" s="600">
        <f t="shared" ref="C52:N52" si="24">C44-C45</f>
        <v>64058.479842999484</v>
      </c>
      <c r="D52" s="600">
        <f t="shared" si="24"/>
        <v>155983.87058593752</v>
      </c>
      <c r="E52" s="600">
        <f t="shared" si="24"/>
        <v>192332.61303124996</v>
      </c>
      <c r="F52" s="600">
        <f t="shared" si="24"/>
        <v>144852.48931249976</v>
      </c>
      <c r="G52" s="600">
        <f t="shared" si="24"/>
        <v>-1607899.97</v>
      </c>
      <c r="H52" s="600">
        <f t="shared" si="24"/>
        <v>0</v>
      </c>
      <c r="I52" s="600">
        <f t="shared" si="24"/>
        <v>0</v>
      </c>
      <c r="J52" s="600">
        <f t="shared" si="24"/>
        <v>0</v>
      </c>
      <c r="K52" s="600">
        <f t="shared" si="24"/>
        <v>0</v>
      </c>
      <c r="L52" s="600">
        <f t="shared" si="24"/>
        <v>0</v>
      </c>
      <c r="M52" s="600">
        <f t="shared" si="24"/>
        <v>0</v>
      </c>
      <c r="N52" s="601">
        <f t="shared" si="24"/>
        <v>0</v>
      </c>
      <c r="O52" s="602">
        <f t="shared" si="21"/>
        <v>-1050672.5172273132</v>
      </c>
      <c r="P52" s="631" t="s">
        <v>73</v>
      </c>
      <c r="Q52" s="626"/>
    </row>
    <row r="53" spans="1:20" x14ac:dyDescent="0.25">
      <c r="A53" s="286">
        <v>17</v>
      </c>
      <c r="B53" s="594" t="s">
        <v>87</v>
      </c>
      <c r="C53" s="632">
        <f t="shared" ref="C53:N53" si="25">C52/C44</f>
        <v>2.1278819659779836E-2</v>
      </c>
      <c r="D53" s="632">
        <f t="shared" si="25"/>
        <v>5.1519546836535153E-2</v>
      </c>
      <c r="E53" s="632">
        <f t="shared" si="25"/>
        <v>5.9366798633574802E-2</v>
      </c>
      <c r="F53" s="632">
        <f t="shared" si="25"/>
        <v>5.0125689207111766E-2</v>
      </c>
      <c r="G53" s="632">
        <f t="shared" si="25"/>
        <v>-1.414118963632921</v>
      </c>
      <c r="H53" s="632" t="e">
        <f t="shared" si="25"/>
        <v>#DIV/0!</v>
      </c>
      <c r="I53" s="632" t="e">
        <f t="shared" si="25"/>
        <v>#DIV/0!</v>
      </c>
      <c r="J53" s="632" t="e">
        <f t="shared" si="25"/>
        <v>#DIV/0!</v>
      </c>
      <c r="K53" s="632" t="e">
        <f t="shared" si="25"/>
        <v>#DIV/0!</v>
      </c>
      <c r="L53" s="632" t="e">
        <f t="shared" si="25"/>
        <v>#DIV/0!</v>
      </c>
      <c r="M53" s="632" t="e">
        <f t="shared" si="25"/>
        <v>#DIV/0!</v>
      </c>
      <c r="N53" s="633" t="e">
        <f t="shared" si="25"/>
        <v>#DIV/0!</v>
      </c>
      <c r="O53" s="355" t="s">
        <v>73</v>
      </c>
      <c r="P53" s="628" t="e">
        <f>AVERAGE(C53:N53)</f>
        <v>#DIV/0!</v>
      </c>
      <c r="Q53" s="626"/>
    </row>
    <row r="54" spans="1:20" x14ac:dyDescent="0.25">
      <c r="A54" s="286">
        <v>18</v>
      </c>
      <c r="B54" s="594" t="s">
        <v>88</v>
      </c>
      <c r="C54" s="317">
        <f>+[7]COMERCIAL!D7</f>
        <v>2535372</v>
      </c>
      <c r="D54" s="317">
        <f>+[7]COMERCIAL!E7</f>
        <v>2717946</v>
      </c>
      <c r="E54" s="317">
        <f>+[7]COMERCIAL!F7</f>
        <v>2813905</v>
      </c>
      <c r="F54" s="317">
        <f>+[7]COMERCIAL!G7</f>
        <v>2807388</v>
      </c>
      <c r="G54" s="317">
        <f>+[7]COMERCIAL!H7</f>
        <v>0</v>
      </c>
      <c r="H54" s="317">
        <f>+[7]COMERCIAL!I7</f>
        <v>0</v>
      </c>
      <c r="I54" s="317">
        <f>+[7]COMERCIAL!J7</f>
        <v>0</v>
      </c>
      <c r="J54" s="317">
        <f>+[7]COMERCIAL!K7</f>
        <v>0</v>
      </c>
      <c r="K54" s="317">
        <f>+[7]COMERCIAL!L7</f>
        <v>0</v>
      </c>
      <c r="L54" s="317">
        <f>+[7]COMERCIAL!M7</f>
        <v>0</v>
      </c>
      <c r="M54" s="317">
        <f>+[7]COMERCIAL!N7</f>
        <v>0</v>
      </c>
      <c r="N54" s="317">
        <f>+[7]COMERCIAL!O7</f>
        <v>0</v>
      </c>
      <c r="O54" s="318">
        <f>SUM(C54:N54)</f>
        <v>10874611</v>
      </c>
      <c r="P54" s="423" t="s">
        <v>73</v>
      </c>
      <c r="Q54" s="626"/>
    </row>
    <row r="55" spans="1:20" x14ac:dyDescent="0.25">
      <c r="A55" s="286">
        <v>19</v>
      </c>
      <c r="B55" s="594" t="s">
        <v>89</v>
      </c>
      <c r="C55" s="600">
        <f t="shared" ref="C55:N55" si="26">C45-(C54)</f>
        <v>411003.41015700018</v>
      </c>
      <c r="D55" s="600">
        <f t="shared" si="26"/>
        <v>153734</v>
      </c>
      <c r="E55" s="600">
        <f t="shared" si="26"/>
        <v>233496</v>
      </c>
      <c r="F55" s="600">
        <f t="shared" si="26"/>
        <v>-62455</v>
      </c>
      <c r="G55" s="600">
        <f t="shared" si="26"/>
        <v>2744933</v>
      </c>
      <c r="H55" s="600">
        <f t="shared" si="26"/>
        <v>0</v>
      </c>
      <c r="I55" s="600">
        <f t="shared" si="26"/>
        <v>0</v>
      </c>
      <c r="J55" s="600">
        <f t="shared" si="26"/>
        <v>0</v>
      </c>
      <c r="K55" s="600">
        <f t="shared" si="26"/>
        <v>0</v>
      </c>
      <c r="L55" s="600">
        <f t="shared" si="26"/>
        <v>0</v>
      </c>
      <c r="M55" s="600">
        <f t="shared" si="26"/>
        <v>0</v>
      </c>
      <c r="N55" s="600">
        <f t="shared" si="26"/>
        <v>0</v>
      </c>
      <c r="O55" s="602">
        <f>SUM(C55:N55)</f>
        <v>3480711.4101570002</v>
      </c>
      <c r="P55" s="631" t="s">
        <v>73</v>
      </c>
      <c r="Q55" s="626"/>
    </row>
    <row r="56" spans="1:20" x14ac:dyDescent="0.25">
      <c r="A56" s="286">
        <v>20</v>
      </c>
      <c r="B56" s="594" t="s">
        <v>90</v>
      </c>
      <c r="C56" s="632">
        <f t="shared" ref="C56:N56" si="27">C55/C44</f>
        <v>0.13652630324228784</v>
      </c>
      <c r="D56" s="632">
        <f t="shared" si="27"/>
        <v>5.0776442356610801E-2</v>
      </c>
      <c r="E56" s="632">
        <f t="shared" si="27"/>
        <v>7.2072592345495332E-2</v>
      </c>
      <c r="F56" s="632">
        <f t="shared" si="27"/>
        <v>-2.1612330822125651E-2</v>
      </c>
      <c r="G56" s="632">
        <f t="shared" si="27"/>
        <v>2.4141189636329208</v>
      </c>
      <c r="H56" s="632" t="e">
        <f t="shared" si="27"/>
        <v>#DIV/0!</v>
      </c>
      <c r="I56" s="632" t="e">
        <f t="shared" si="27"/>
        <v>#DIV/0!</v>
      </c>
      <c r="J56" s="632" t="e">
        <f t="shared" si="27"/>
        <v>#DIV/0!</v>
      </c>
      <c r="K56" s="632" t="e">
        <f t="shared" si="27"/>
        <v>#DIV/0!</v>
      </c>
      <c r="L56" s="632" t="e">
        <f t="shared" si="27"/>
        <v>#DIV/0!</v>
      </c>
      <c r="M56" s="632" t="e">
        <f t="shared" si="27"/>
        <v>#DIV/0!</v>
      </c>
      <c r="N56" s="633" t="e">
        <f t="shared" si="27"/>
        <v>#DIV/0!</v>
      </c>
      <c r="O56" s="355" t="s">
        <v>73</v>
      </c>
      <c r="P56" s="628" t="e">
        <f>AVERAGE(C56:N56)</f>
        <v>#DIV/0!</v>
      </c>
      <c r="Q56" s="626"/>
    </row>
    <row r="57" spans="1:20" x14ac:dyDescent="0.25">
      <c r="A57" s="286">
        <v>21</v>
      </c>
      <c r="B57" s="594" t="s">
        <v>91</v>
      </c>
      <c r="C57" s="600">
        <f t="shared" ref="C57:N57" si="28">C44-C54</f>
        <v>475061.88999999966</v>
      </c>
      <c r="D57" s="600">
        <f t="shared" si="28"/>
        <v>309717.87058593752</v>
      </c>
      <c r="E57" s="600">
        <f t="shared" si="28"/>
        <v>425828.61303124996</v>
      </c>
      <c r="F57" s="600">
        <f t="shared" si="28"/>
        <v>82397.489312499762</v>
      </c>
      <c r="G57" s="600">
        <f t="shared" si="28"/>
        <v>1137033.03</v>
      </c>
      <c r="H57" s="600">
        <f t="shared" si="28"/>
        <v>0</v>
      </c>
      <c r="I57" s="600">
        <f t="shared" si="28"/>
        <v>0</v>
      </c>
      <c r="J57" s="600">
        <f t="shared" si="28"/>
        <v>0</v>
      </c>
      <c r="K57" s="600">
        <f t="shared" si="28"/>
        <v>0</v>
      </c>
      <c r="L57" s="600">
        <f t="shared" si="28"/>
        <v>0</v>
      </c>
      <c r="M57" s="600">
        <f t="shared" si="28"/>
        <v>0</v>
      </c>
      <c r="N57" s="601">
        <f t="shared" si="28"/>
        <v>0</v>
      </c>
      <c r="O57" s="602">
        <f>SUM(C57:N57)</f>
        <v>2430038.8929296872</v>
      </c>
      <c r="P57" s="631" t="s">
        <v>73</v>
      </c>
      <c r="Q57" s="626"/>
    </row>
    <row r="58" spans="1:20" s="267" customFormat="1" x14ac:dyDescent="0.25">
      <c r="A58" s="680">
        <v>22</v>
      </c>
      <c r="B58" s="673" t="s">
        <v>92</v>
      </c>
      <c r="C58" s="674">
        <f t="shared" ref="C58:N58" si="29">C57/C44</f>
        <v>0.15780512290206769</v>
      </c>
      <c r="D58" s="674">
        <f t="shared" si="29"/>
        <v>0.10229598919314596</v>
      </c>
      <c r="E58" s="674">
        <f t="shared" si="29"/>
        <v>0.13143939097907012</v>
      </c>
      <c r="F58" s="674">
        <f t="shared" si="29"/>
        <v>2.8513358384986111E-2</v>
      </c>
      <c r="G58" s="674">
        <f t="shared" si="29"/>
        <v>1</v>
      </c>
      <c r="H58" s="674" t="e">
        <f t="shared" si="29"/>
        <v>#DIV/0!</v>
      </c>
      <c r="I58" s="674" t="e">
        <f t="shared" si="29"/>
        <v>#DIV/0!</v>
      </c>
      <c r="J58" s="674" t="e">
        <f t="shared" si="29"/>
        <v>#DIV/0!</v>
      </c>
      <c r="K58" s="674" t="e">
        <f t="shared" si="29"/>
        <v>#DIV/0!</v>
      </c>
      <c r="L58" s="674" t="e">
        <f t="shared" si="29"/>
        <v>#DIV/0!</v>
      </c>
      <c r="M58" s="674" t="e">
        <f t="shared" si="29"/>
        <v>#DIV/0!</v>
      </c>
      <c r="N58" s="674" t="e">
        <f t="shared" si="29"/>
        <v>#DIV/0!</v>
      </c>
      <c r="O58" s="681" t="s">
        <v>73</v>
      </c>
      <c r="P58" s="682" t="e">
        <f>AVERAGE(C58:N58)</f>
        <v>#DIV/0!</v>
      </c>
      <c r="Q58" s="683"/>
      <c r="R58" s="678"/>
      <c r="S58" s="678"/>
      <c r="T58" s="678"/>
    </row>
    <row r="59" spans="1:20" x14ac:dyDescent="0.25">
      <c r="A59" s="286">
        <v>23</v>
      </c>
      <c r="B59" s="594" t="s">
        <v>93</v>
      </c>
      <c r="C59" s="305">
        <f>+'[7]SANTA CRUZ'!D79*1000</f>
        <v>5917.9994405110674</v>
      </c>
      <c r="D59" s="305">
        <f>+'[7]SANTA CRUZ'!E79*1000</f>
        <v>0</v>
      </c>
      <c r="E59" s="305">
        <f>+'[7]SANTA CRUZ'!F79*1000</f>
        <v>0</v>
      </c>
      <c r="F59" s="305">
        <f>+'[7]SANTA CRUZ'!G79*1000</f>
        <v>0</v>
      </c>
      <c r="G59" s="305">
        <f>+'[7]SANTA CRUZ'!H79*1000</f>
        <v>0</v>
      </c>
      <c r="H59" s="305">
        <f>+'[7]SANTA CRUZ'!I79*1000</f>
        <v>0</v>
      </c>
      <c r="I59" s="305">
        <f>+'[7]SANTA CRUZ'!J79*1000</f>
        <v>0</v>
      </c>
      <c r="J59" s="305">
        <f>+'[7]SANTA CRUZ'!K79*1000</f>
        <v>0</v>
      </c>
      <c r="K59" s="305">
        <f>+'[7]SANTA CRUZ'!L79*1000</f>
        <v>0</v>
      </c>
      <c r="L59" s="305">
        <f>+'[7]SANTA CRUZ'!M79*1000</f>
        <v>0</v>
      </c>
      <c r="M59" s="305">
        <f>+'[7]SANTA CRUZ'!N79*1000</f>
        <v>0</v>
      </c>
      <c r="N59" s="305">
        <f>+'[7]SANTA CRUZ'!O79*1000</f>
        <v>0</v>
      </c>
      <c r="O59" s="307">
        <f>+MAX(C59:N59)</f>
        <v>5917.9994405110674</v>
      </c>
      <c r="P59" s="421" t="s">
        <v>73</v>
      </c>
      <c r="Q59" s="626"/>
    </row>
    <row r="60" spans="1:20" x14ac:dyDescent="0.25">
      <c r="A60" s="286">
        <v>24</v>
      </c>
      <c r="B60" s="594" t="s">
        <v>31</v>
      </c>
      <c r="C60" s="305">
        <f>+'[7]SANTA CRUZ'!D24</f>
        <v>186542.99999999997</v>
      </c>
      <c r="D60" s="305">
        <f>+'[7]SANTA CRUZ'!E24</f>
        <v>190833</v>
      </c>
      <c r="E60" s="305">
        <f>+'[7]SANTA CRUZ'!F24</f>
        <v>212753</v>
      </c>
      <c r="F60" s="305">
        <f>+'[7]SANTA CRUZ'!G24</f>
        <v>183144</v>
      </c>
      <c r="G60" s="305">
        <f>+'[7]SANTA CRUZ'!H24</f>
        <v>0</v>
      </c>
      <c r="H60" s="305">
        <f>+'[7]SANTA CRUZ'!I24</f>
        <v>0</v>
      </c>
      <c r="I60" s="305">
        <f>+'[7]SANTA CRUZ'!J24</f>
        <v>0</v>
      </c>
      <c r="J60" s="305">
        <f>+'[7]SANTA CRUZ'!K24</f>
        <v>0</v>
      </c>
      <c r="K60" s="305">
        <f>+'[7]SANTA CRUZ'!L24</f>
        <v>0</v>
      </c>
      <c r="L60" s="305">
        <f>+'[7]SANTA CRUZ'!M24</f>
        <v>0</v>
      </c>
      <c r="M60" s="305">
        <f>+'[7]SANTA CRUZ'!N24</f>
        <v>0</v>
      </c>
      <c r="N60" s="306">
        <f>+'[7]SANTA CRUZ'!O24</f>
        <v>0</v>
      </c>
      <c r="O60" s="308" t="s">
        <v>73</v>
      </c>
      <c r="P60" s="307">
        <f>AVERAGE(C60:N60)</f>
        <v>64439.416666666664</v>
      </c>
      <c r="Q60" s="626"/>
    </row>
    <row r="61" spans="1:20" x14ac:dyDescent="0.25">
      <c r="A61" s="286">
        <v>25</v>
      </c>
      <c r="B61" s="594" t="s">
        <v>94</v>
      </c>
      <c r="C61" s="613">
        <f t="shared" ref="C61:N61" si="30">C35/C60</f>
        <v>13.911205459331095</v>
      </c>
      <c r="D61" s="613">
        <f t="shared" si="30"/>
        <v>14.596505845425057</v>
      </c>
      <c r="E61" s="613">
        <f t="shared" si="30"/>
        <v>14.707383679666092</v>
      </c>
      <c r="F61" s="613">
        <f t="shared" si="30"/>
        <v>14.725380028829774</v>
      </c>
      <c r="G61" s="613" t="e">
        <f t="shared" si="30"/>
        <v>#DIV/0!</v>
      </c>
      <c r="H61" s="613" t="e">
        <f t="shared" si="30"/>
        <v>#DIV/0!</v>
      </c>
      <c r="I61" s="613" t="e">
        <f t="shared" si="30"/>
        <v>#DIV/0!</v>
      </c>
      <c r="J61" s="613" t="e">
        <f t="shared" si="30"/>
        <v>#DIV/0!</v>
      </c>
      <c r="K61" s="613" t="e">
        <f t="shared" si="30"/>
        <v>#DIV/0!</v>
      </c>
      <c r="L61" s="613" t="e">
        <f t="shared" si="30"/>
        <v>#DIV/0!</v>
      </c>
      <c r="M61" s="613" t="e">
        <f t="shared" si="30"/>
        <v>#DIV/0!</v>
      </c>
      <c r="N61" s="614" t="e">
        <f t="shared" si="30"/>
        <v>#DIV/0!</v>
      </c>
      <c r="O61" s="355" t="s">
        <v>73</v>
      </c>
      <c r="P61" s="634" t="e">
        <f>AVERAGE(C61:N61)</f>
        <v>#DIV/0!</v>
      </c>
      <c r="Q61" s="626"/>
    </row>
    <row r="62" spans="1:20" ht="15.75" thickBot="1" x14ac:dyDescent="0.3">
      <c r="A62" s="286">
        <v>26</v>
      </c>
      <c r="B62" s="616" t="s">
        <v>33</v>
      </c>
      <c r="C62" s="335">
        <f>+[7]COMERCIAL!D14</f>
        <v>6372</v>
      </c>
      <c r="D62" s="335">
        <f>+[7]COMERCIAL!E14</f>
        <v>6397</v>
      </c>
      <c r="E62" s="335">
        <f>+[7]COMERCIAL!F14</f>
        <v>6429</v>
      </c>
      <c r="F62" s="335">
        <f>+[7]COMERCIAL!G14</f>
        <v>6447</v>
      </c>
      <c r="G62" s="335">
        <f>+[7]COMERCIAL!H14</f>
        <v>0</v>
      </c>
      <c r="H62" s="335">
        <f>+[7]COMERCIAL!I14</f>
        <v>0</v>
      </c>
      <c r="I62" s="335">
        <f>+[7]COMERCIAL!J14</f>
        <v>0</v>
      </c>
      <c r="J62" s="335">
        <f>+[7]COMERCIAL!K14</f>
        <v>0</v>
      </c>
      <c r="K62" s="335">
        <f>+[7]COMERCIAL!L14</f>
        <v>0</v>
      </c>
      <c r="L62" s="335">
        <f>+[7]COMERCIAL!M14</f>
        <v>0</v>
      </c>
      <c r="M62" s="335">
        <f>+[7]COMERCIAL!N14</f>
        <v>0</v>
      </c>
      <c r="N62" s="336">
        <f>+[7]COMERCIAL!O14</f>
        <v>0</v>
      </c>
      <c r="O62" s="337" t="s">
        <v>73</v>
      </c>
      <c r="P62" s="337" t="s">
        <v>73</v>
      </c>
      <c r="Q62" s="626"/>
    </row>
    <row r="63" spans="1:20" ht="20.25" customHeight="1" x14ac:dyDescent="0.25">
      <c r="C63" s="636"/>
      <c r="D63" s="636"/>
      <c r="E63" s="636"/>
      <c r="F63" s="636"/>
      <c r="G63" s="636"/>
      <c r="H63" s="636"/>
      <c r="I63" s="637"/>
      <c r="J63" s="637"/>
      <c r="K63" s="638"/>
      <c r="M63" s="638"/>
      <c r="N63" s="638"/>
      <c r="O63" s="638"/>
    </row>
    <row r="64" spans="1:20" ht="20.25" customHeight="1" x14ac:dyDescent="0.25">
      <c r="C64" s="636"/>
      <c r="D64" s="636"/>
      <c r="E64" s="636"/>
      <c r="F64" s="636"/>
      <c r="G64" s="636"/>
      <c r="H64" s="636"/>
      <c r="I64" s="637"/>
      <c r="J64" s="637"/>
      <c r="K64" s="638"/>
      <c r="M64" s="638"/>
      <c r="N64" s="638"/>
      <c r="O64" s="638"/>
    </row>
    <row r="65" spans="1:20" x14ac:dyDescent="0.25">
      <c r="B65" s="743" t="s">
        <v>54</v>
      </c>
      <c r="C65" s="743"/>
      <c r="D65" s="743"/>
      <c r="E65" s="743"/>
      <c r="F65" s="743"/>
      <c r="G65" s="743"/>
      <c r="H65" s="743"/>
      <c r="I65" s="743"/>
      <c r="J65" s="743"/>
      <c r="K65" s="743"/>
      <c r="L65" s="743"/>
      <c r="M65" s="743"/>
      <c r="N65" s="743"/>
      <c r="O65" s="743"/>
    </row>
    <row r="66" spans="1:20" x14ac:dyDescent="0.25">
      <c r="B66" s="743" t="s">
        <v>230</v>
      </c>
      <c r="C66" s="743"/>
      <c r="D66" s="743"/>
      <c r="E66" s="743"/>
      <c r="F66" s="743"/>
      <c r="G66" s="743"/>
      <c r="H66" s="743"/>
      <c r="I66" s="743"/>
      <c r="J66" s="743"/>
      <c r="K66" s="743"/>
      <c r="L66" s="743"/>
      <c r="M66" s="743"/>
      <c r="N66" s="743"/>
      <c r="O66" s="743"/>
    </row>
    <row r="67" spans="1:20" ht="15.75" thickBot="1" x14ac:dyDescent="0.3">
      <c r="B67" s="559"/>
      <c r="C67" s="559"/>
      <c r="D67" s="559"/>
      <c r="E67" s="559"/>
      <c r="F67" s="559"/>
      <c r="G67" s="559"/>
      <c r="H67" s="559"/>
      <c r="I67" s="559"/>
      <c r="J67" s="559"/>
      <c r="K67" s="559"/>
      <c r="L67" s="559"/>
      <c r="M67" s="559"/>
      <c r="N67" s="559"/>
      <c r="O67" s="559"/>
    </row>
    <row r="68" spans="1:20" ht="15.75" thickBot="1" x14ac:dyDescent="0.3">
      <c r="B68" s="744" t="s">
        <v>40</v>
      </c>
      <c r="C68" s="745"/>
      <c r="D68" s="745"/>
      <c r="E68" s="745"/>
      <c r="F68" s="745"/>
      <c r="G68" s="745"/>
      <c r="H68" s="745"/>
      <c r="I68" s="745"/>
      <c r="J68" s="745"/>
      <c r="K68" s="745"/>
      <c r="L68" s="745"/>
      <c r="M68" s="745"/>
      <c r="N68" s="745"/>
      <c r="O68" s="745"/>
      <c r="P68" s="746"/>
    </row>
    <row r="69" spans="1:20" ht="15.75" thickBot="1" x14ac:dyDescent="0.3">
      <c r="B69" s="346" t="s">
        <v>57</v>
      </c>
      <c r="C69" s="347" t="s">
        <v>58</v>
      </c>
      <c r="D69" s="347" t="s">
        <v>59</v>
      </c>
      <c r="E69" s="347" t="s">
        <v>60</v>
      </c>
      <c r="F69" s="347" t="s">
        <v>61</v>
      </c>
      <c r="G69" s="347" t="s">
        <v>62</v>
      </c>
      <c r="H69" s="347" t="s">
        <v>63</v>
      </c>
      <c r="I69" s="348" t="s">
        <v>64</v>
      </c>
      <c r="J69" s="348" t="s">
        <v>65</v>
      </c>
      <c r="K69" s="347" t="s">
        <v>66</v>
      </c>
      <c r="L69" s="347" t="s">
        <v>67</v>
      </c>
      <c r="M69" s="347" t="s">
        <v>68</v>
      </c>
      <c r="N69" s="349" t="s">
        <v>69</v>
      </c>
      <c r="O69" s="350" t="s">
        <v>70</v>
      </c>
      <c r="P69" s="429" t="s">
        <v>71</v>
      </c>
    </row>
    <row r="70" spans="1:20" x14ac:dyDescent="0.25">
      <c r="A70" s="639">
        <v>1</v>
      </c>
      <c r="B70" s="640" t="s">
        <v>72</v>
      </c>
      <c r="C70" s="641">
        <f>C71+C73</f>
        <v>483336</v>
      </c>
      <c r="D70" s="641">
        <f t="shared" ref="D70:N70" si="31">D71+D73</f>
        <v>488826</v>
      </c>
      <c r="E70" s="641">
        <f t="shared" si="31"/>
        <v>548881</v>
      </c>
      <c r="F70" s="641">
        <f>F71+F73</f>
        <v>476524</v>
      </c>
      <c r="G70" s="641">
        <f t="shared" si="31"/>
        <v>0</v>
      </c>
      <c r="H70" s="641">
        <f t="shared" si="31"/>
        <v>0</v>
      </c>
      <c r="I70" s="641">
        <f t="shared" si="31"/>
        <v>0</v>
      </c>
      <c r="J70" s="641">
        <f t="shared" si="31"/>
        <v>0</v>
      </c>
      <c r="K70" s="641">
        <f t="shared" si="31"/>
        <v>0</v>
      </c>
      <c r="L70" s="641">
        <f t="shared" si="31"/>
        <v>0</v>
      </c>
      <c r="M70" s="641">
        <f t="shared" si="31"/>
        <v>0</v>
      </c>
      <c r="N70" s="641">
        <f t="shared" si="31"/>
        <v>0</v>
      </c>
      <c r="O70" s="624">
        <f>SUM(C70:N70)</f>
        <v>1997567</v>
      </c>
      <c r="P70" s="438" t="s">
        <v>73</v>
      </c>
      <c r="S70" s="588"/>
    </row>
    <row r="71" spans="1:20" x14ac:dyDescent="0.25">
      <c r="A71" s="639">
        <v>2</v>
      </c>
      <c r="B71" s="642" t="s">
        <v>99</v>
      </c>
      <c r="C71" s="305">
        <f>+[7]ISABELA!D10</f>
        <v>482060</v>
      </c>
      <c r="D71" s="305">
        <f>+[7]ISABELA!E10</f>
        <v>487550</v>
      </c>
      <c r="E71" s="305">
        <f>+[7]ISABELA!F10</f>
        <v>547605</v>
      </c>
      <c r="F71" s="305">
        <f>+[7]ISABELA!G10</f>
        <v>475248</v>
      </c>
      <c r="G71" s="305">
        <f>+[7]ISABELA!H10</f>
        <v>0</v>
      </c>
      <c r="H71" s="305">
        <f>+[7]ISABELA!I10</f>
        <v>0</v>
      </c>
      <c r="I71" s="305">
        <f>+[7]ISABELA!J10</f>
        <v>0</v>
      </c>
      <c r="J71" s="305">
        <f>+[7]ISABELA!K10</f>
        <v>0</v>
      </c>
      <c r="K71" s="305">
        <f>+[7]ISABELA!L10</f>
        <v>0</v>
      </c>
      <c r="L71" s="305">
        <f>+[7]ISABELA!M10</f>
        <v>0</v>
      </c>
      <c r="M71" s="305">
        <f>+[7]ISABELA!N10</f>
        <v>0</v>
      </c>
      <c r="N71" s="306">
        <f>+[7]ISABELA!O10</f>
        <v>0</v>
      </c>
      <c r="O71" s="307">
        <f>SUM(C71:N71)</f>
        <v>1992463</v>
      </c>
      <c r="P71" s="421" t="s">
        <v>73</v>
      </c>
      <c r="S71" s="588"/>
    </row>
    <row r="72" spans="1:20" x14ac:dyDescent="0.25">
      <c r="A72" s="639">
        <v>3</v>
      </c>
      <c r="B72" s="590" t="s">
        <v>75</v>
      </c>
      <c r="C72" s="643">
        <f t="shared" ref="C72:N72" si="32">C71/C70</f>
        <v>0.99736001456543688</v>
      </c>
      <c r="D72" s="644">
        <f t="shared" si="32"/>
        <v>0.99738966421589681</v>
      </c>
      <c r="E72" s="644">
        <f t="shared" si="32"/>
        <v>0.99767527023161673</v>
      </c>
      <c r="F72" s="644">
        <f t="shared" si="32"/>
        <v>0.99732227547825503</v>
      </c>
      <c r="G72" s="644" t="e">
        <f t="shared" si="32"/>
        <v>#DIV/0!</v>
      </c>
      <c r="H72" s="644" t="e">
        <f t="shared" si="32"/>
        <v>#DIV/0!</v>
      </c>
      <c r="I72" s="644" t="e">
        <f t="shared" si="32"/>
        <v>#DIV/0!</v>
      </c>
      <c r="J72" s="644" t="e">
        <f t="shared" si="32"/>
        <v>#DIV/0!</v>
      </c>
      <c r="K72" s="644" t="e">
        <f t="shared" si="32"/>
        <v>#DIV/0!</v>
      </c>
      <c r="L72" s="644" t="e">
        <f t="shared" si="32"/>
        <v>#DIV/0!</v>
      </c>
      <c r="M72" s="644" t="e">
        <f t="shared" si="32"/>
        <v>#DIV/0!</v>
      </c>
      <c r="N72" s="645" t="e">
        <f t="shared" si="32"/>
        <v>#DIV/0!</v>
      </c>
      <c r="O72" s="377" t="s">
        <v>73</v>
      </c>
      <c r="P72" s="646" t="e">
        <f>AVERAGE(C72:N72)</f>
        <v>#DIV/0!</v>
      </c>
      <c r="S72" s="588"/>
    </row>
    <row r="73" spans="1:20" x14ac:dyDescent="0.25">
      <c r="A73" s="292"/>
      <c r="B73" s="597" t="s">
        <v>155</v>
      </c>
      <c r="C73" s="305">
        <f>+[7]COMERCIAL!D25</f>
        <v>1276</v>
      </c>
      <c r="D73" s="305">
        <f>+[7]COMERCIAL!E25</f>
        <v>1276</v>
      </c>
      <c r="E73" s="305">
        <f>+[7]COMERCIAL!F25</f>
        <v>1276</v>
      </c>
      <c r="F73" s="305">
        <f>+[7]COMERCIAL!G25</f>
        <v>1276</v>
      </c>
      <c r="G73" s="305">
        <f>+[7]COMERCIAL!H25</f>
        <v>0</v>
      </c>
      <c r="H73" s="305">
        <f>+[7]COMERCIAL!I25</f>
        <v>0</v>
      </c>
      <c r="I73" s="305">
        <f>+[7]COMERCIAL!J25</f>
        <v>0</v>
      </c>
      <c r="J73" s="305">
        <f>+[7]COMERCIAL!K25</f>
        <v>0</v>
      </c>
      <c r="K73" s="305">
        <f>+[7]COMERCIAL!L25</f>
        <v>0</v>
      </c>
      <c r="L73" s="305">
        <f>+[7]COMERCIAL!M25</f>
        <v>0</v>
      </c>
      <c r="M73" s="305">
        <f>+[7]COMERCIAL!N25</f>
        <v>0</v>
      </c>
      <c r="N73" s="306">
        <f>+[7]COMERCIAL!O25</f>
        <v>0</v>
      </c>
      <c r="O73" s="307">
        <f>SUM(C73:N73)</f>
        <v>5104</v>
      </c>
      <c r="P73" s="629"/>
      <c r="S73" s="588"/>
    </row>
    <row r="74" spans="1:20" x14ac:dyDescent="0.25">
      <c r="A74" s="639">
        <v>4</v>
      </c>
      <c r="B74" s="594" t="s">
        <v>151</v>
      </c>
      <c r="C74" s="317">
        <f>+[7]AUTOCONSUMOS!E88</f>
        <v>1307</v>
      </c>
      <c r="D74" s="317">
        <f>+[7]AUTOCONSUMOS!F88</f>
        <v>1155</v>
      </c>
      <c r="E74" s="317">
        <f>+[7]AUTOCONSUMOS!G88</f>
        <v>1207</v>
      </c>
      <c r="F74" s="317">
        <f>+[7]AUTOCONSUMOS!H88</f>
        <v>1143</v>
      </c>
      <c r="G74" s="317">
        <f>+[7]AUTOCONSUMOS!I88</f>
        <v>-159730</v>
      </c>
      <c r="H74" s="317">
        <f>+[7]AUTOCONSUMOS!J88</f>
        <v>0</v>
      </c>
      <c r="I74" s="317">
        <f>+[7]AUTOCONSUMOS!K88</f>
        <v>0</v>
      </c>
      <c r="J74" s="317">
        <f>+[7]AUTOCONSUMOS!L88</f>
        <v>0</v>
      </c>
      <c r="K74" s="317">
        <f>+[7]AUTOCONSUMOS!M88</f>
        <v>0</v>
      </c>
      <c r="L74" s="317">
        <f>+[7]AUTOCONSUMOS!N88</f>
        <v>0</v>
      </c>
      <c r="M74" s="317">
        <f>+[7]AUTOCONSUMOS!O88</f>
        <v>0</v>
      </c>
      <c r="N74" s="317">
        <f>+[7]AUTOCONSUMOS!P88</f>
        <v>0</v>
      </c>
      <c r="O74" s="318">
        <f t="shared" ref="O74:O79" si="33">SUM(C74:N74)</f>
        <v>-154918</v>
      </c>
      <c r="P74" s="423" t="s">
        <v>73</v>
      </c>
      <c r="S74" s="588"/>
    </row>
    <row r="75" spans="1:20" x14ac:dyDescent="0.25">
      <c r="A75" s="639">
        <v>5</v>
      </c>
      <c r="B75" s="594" t="s">
        <v>81</v>
      </c>
      <c r="C75" s="600">
        <f>C70-C74</f>
        <v>482029</v>
      </c>
      <c r="D75" s="600">
        <f t="shared" ref="D75:N75" si="34">D70-D74</f>
        <v>487671</v>
      </c>
      <c r="E75" s="600">
        <f t="shared" si="34"/>
        <v>547674</v>
      </c>
      <c r="F75" s="600">
        <f t="shared" si="34"/>
        <v>475381</v>
      </c>
      <c r="G75" s="600">
        <f t="shared" si="34"/>
        <v>159730</v>
      </c>
      <c r="H75" s="600">
        <f t="shared" si="34"/>
        <v>0</v>
      </c>
      <c r="I75" s="600">
        <f>I70-I74</f>
        <v>0</v>
      </c>
      <c r="J75" s="600">
        <f t="shared" si="34"/>
        <v>0</v>
      </c>
      <c r="K75" s="600">
        <f t="shared" si="34"/>
        <v>0</v>
      </c>
      <c r="L75" s="600">
        <f t="shared" si="34"/>
        <v>0</v>
      </c>
      <c r="M75" s="600">
        <f t="shared" si="34"/>
        <v>0</v>
      </c>
      <c r="N75" s="601">
        <f t="shared" si="34"/>
        <v>0</v>
      </c>
      <c r="O75" s="602">
        <f t="shared" si="33"/>
        <v>2152485</v>
      </c>
      <c r="P75" s="442" t="s">
        <v>73</v>
      </c>
      <c r="S75" s="588"/>
    </row>
    <row r="76" spans="1:20" x14ac:dyDescent="0.25">
      <c r="A76" s="639">
        <v>6</v>
      </c>
      <c r="B76" s="594" t="s">
        <v>82</v>
      </c>
      <c r="C76" s="600">
        <f t="shared" ref="C76:N76" si="35">C77+C78</f>
        <v>448235.99700000003</v>
      </c>
      <c r="D76" s="600">
        <f t="shared" si="35"/>
        <v>451583.34600000002</v>
      </c>
      <c r="E76" s="600">
        <f t="shared" si="35"/>
        <v>504407.75400000007</v>
      </c>
      <c r="F76" s="600">
        <f t="shared" si="35"/>
        <v>447381.05910000007</v>
      </c>
      <c r="G76" s="600">
        <f t="shared" si="35"/>
        <v>0</v>
      </c>
      <c r="H76" s="600">
        <f t="shared" si="35"/>
        <v>0</v>
      </c>
      <c r="I76" s="600">
        <f t="shared" si="35"/>
        <v>0</v>
      </c>
      <c r="J76" s="600">
        <f t="shared" si="35"/>
        <v>0</v>
      </c>
      <c r="K76" s="600">
        <f t="shared" si="35"/>
        <v>0</v>
      </c>
      <c r="L76" s="600">
        <f t="shared" si="35"/>
        <v>0</v>
      </c>
      <c r="M76" s="600">
        <f t="shared" si="35"/>
        <v>0</v>
      </c>
      <c r="N76" s="601">
        <f t="shared" si="35"/>
        <v>0</v>
      </c>
      <c r="O76" s="602">
        <f t="shared" si="33"/>
        <v>1851608.1561000003</v>
      </c>
      <c r="P76" s="442" t="s">
        <v>73</v>
      </c>
      <c r="T76" s="326">
        <f>E75*0.921</f>
        <v>504407.75400000002</v>
      </c>
    </row>
    <row r="77" spans="1:20" x14ac:dyDescent="0.25">
      <c r="A77" s="639">
        <v>7</v>
      </c>
      <c r="B77" s="594" t="s">
        <v>83</v>
      </c>
      <c r="C77" s="305">
        <f>+[7]TÉCNICO!D15</f>
        <v>268941.59820000001</v>
      </c>
      <c r="D77" s="305">
        <f>+[7]TÉCNICO!E15</f>
        <v>270950.00760000001</v>
      </c>
      <c r="E77" s="305">
        <f>+[7]TÉCNICO!F15</f>
        <v>302644.65240000002</v>
      </c>
      <c r="F77" s="305">
        <f>+[7]TÉCNICO!G15</f>
        <v>268428.63546000002</v>
      </c>
      <c r="G77" s="305">
        <f>+[7]TÉCNICO!H15</f>
        <v>0</v>
      </c>
      <c r="H77" s="305">
        <f>+[7]TÉCNICO!I15</f>
        <v>0</v>
      </c>
      <c r="I77" s="305">
        <f>+[7]TÉCNICO!J15</f>
        <v>0</v>
      </c>
      <c r="J77" s="305">
        <f>+[7]TÉCNICO!K15</f>
        <v>0</v>
      </c>
      <c r="K77" s="305">
        <f>+[7]TÉCNICO!L15</f>
        <v>0</v>
      </c>
      <c r="L77" s="305">
        <f>+[7]TÉCNICO!M15</f>
        <v>0</v>
      </c>
      <c r="M77" s="305">
        <f>+[7]TÉCNICO!N15</f>
        <v>0</v>
      </c>
      <c r="N77" s="305">
        <f>+[7]TÉCNICO!O15</f>
        <v>0</v>
      </c>
      <c r="O77" s="307">
        <f t="shared" si="33"/>
        <v>1110964.8936600001</v>
      </c>
      <c r="P77" s="421" t="s">
        <v>73</v>
      </c>
      <c r="R77" s="606"/>
      <c r="S77" s="606">
        <f>D77/D76</f>
        <v>0.6</v>
      </c>
      <c r="T77" s="607">
        <f>S77*$T$76</f>
        <v>302644.65240000002</v>
      </c>
    </row>
    <row r="78" spans="1:20" x14ac:dyDescent="0.25">
      <c r="A78" s="639">
        <v>8</v>
      </c>
      <c r="B78" s="594" t="s">
        <v>84</v>
      </c>
      <c r="C78" s="305">
        <f>+[7]TÉCNICO!D16</f>
        <v>179294.39880000002</v>
      </c>
      <c r="D78" s="305">
        <f>+[7]TÉCNICO!E16</f>
        <v>180633.33840000001</v>
      </c>
      <c r="E78" s="305">
        <f>+[7]TÉCNICO!F16</f>
        <v>201763.10160000002</v>
      </c>
      <c r="F78" s="305">
        <f>+[7]TÉCNICO!G16</f>
        <v>178952.42364000002</v>
      </c>
      <c r="G78" s="305">
        <f>+[7]TÉCNICO!H16</f>
        <v>0</v>
      </c>
      <c r="H78" s="305">
        <f>+[7]TÉCNICO!I16</f>
        <v>0</v>
      </c>
      <c r="I78" s="305">
        <f>+[7]TÉCNICO!J16</f>
        <v>0</v>
      </c>
      <c r="J78" s="305">
        <f>+[7]TÉCNICO!K16</f>
        <v>0</v>
      </c>
      <c r="K78" s="305">
        <f>+[7]TÉCNICO!L16</f>
        <v>0</v>
      </c>
      <c r="L78" s="305">
        <f>+[7]TÉCNICO!M16</f>
        <v>0</v>
      </c>
      <c r="M78" s="305">
        <f>+[7]TÉCNICO!N16</f>
        <v>0</v>
      </c>
      <c r="N78" s="305">
        <f>+[7]TÉCNICO!O16</f>
        <v>0</v>
      </c>
      <c r="O78" s="307">
        <f t="shared" si="33"/>
        <v>740643.26244000008</v>
      </c>
      <c r="P78" s="421" t="s">
        <v>73</v>
      </c>
      <c r="R78" s="606"/>
      <c r="S78" s="606">
        <f>D78/D76</f>
        <v>0.4</v>
      </c>
      <c r="T78" s="607">
        <f>S78*$T$76</f>
        <v>201763.10160000002</v>
      </c>
    </row>
    <row r="79" spans="1:20" x14ac:dyDescent="0.25">
      <c r="A79" s="639">
        <v>9</v>
      </c>
      <c r="B79" s="594" t="s">
        <v>86</v>
      </c>
      <c r="C79" s="600">
        <f>C75-C76</f>
        <v>33793.002999999968</v>
      </c>
      <c r="D79" s="600">
        <f t="shared" ref="D79:N79" si="36">D75-D76</f>
        <v>36087.65399999998</v>
      </c>
      <c r="E79" s="600">
        <f t="shared" si="36"/>
        <v>43266.245999999926</v>
      </c>
      <c r="F79" s="600">
        <f t="shared" si="36"/>
        <v>27999.940899999929</v>
      </c>
      <c r="G79" s="600">
        <f t="shared" si="36"/>
        <v>159730</v>
      </c>
      <c r="H79" s="600">
        <f t="shared" si="36"/>
        <v>0</v>
      </c>
      <c r="I79" s="600">
        <f t="shared" si="36"/>
        <v>0</v>
      </c>
      <c r="J79" s="600">
        <f t="shared" si="36"/>
        <v>0</v>
      </c>
      <c r="K79" s="600">
        <f t="shared" si="36"/>
        <v>0</v>
      </c>
      <c r="L79" s="600">
        <f t="shared" si="36"/>
        <v>0</v>
      </c>
      <c r="M79" s="600">
        <f t="shared" si="36"/>
        <v>0</v>
      </c>
      <c r="N79" s="601">
        <f t="shared" si="36"/>
        <v>0</v>
      </c>
      <c r="O79" s="602">
        <f t="shared" si="33"/>
        <v>300876.8438999998</v>
      </c>
      <c r="P79" s="442" t="s">
        <v>73</v>
      </c>
    </row>
    <row r="80" spans="1:20" x14ac:dyDescent="0.25">
      <c r="A80" s="639">
        <v>10</v>
      </c>
      <c r="B80" s="594" t="s">
        <v>87</v>
      </c>
      <c r="C80" s="608">
        <f>C79/C75</f>
        <v>7.0105746749676817E-2</v>
      </c>
      <c r="D80" s="608">
        <f t="shared" ref="D80:N80" si="37">D79/D75</f>
        <v>7.3999999999999955E-2</v>
      </c>
      <c r="E80" s="608">
        <f t="shared" si="37"/>
        <v>7.8999999999999862E-2</v>
      </c>
      <c r="F80" s="608">
        <f t="shared" si="37"/>
        <v>5.8899999999999848E-2</v>
      </c>
      <c r="G80" s="608">
        <f t="shared" si="37"/>
        <v>1</v>
      </c>
      <c r="H80" s="608" t="e">
        <f t="shared" si="37"/>
        <v>#DIV/0!</v>
      </c>
      <c r="I80" s="608" t="e">
        <f t="shared" si="37"/>
        <v>#DIV/0!</v>
      </c>
      <c r="J80" s="608" t="e">
        <f t="shared" si="37"/>
        <v>#DIV/0!</v>
      </c>
      <c r="K80" s="608" t="e">
        <f t="shared" si="37"/>
        <v>#DIV/0!</v>
      </c>
      <c r="L80" s="608" t="e">
        <f t="shared" si="37"/>
        <v>#DIV/0!</v>
      </c>
      <c r="M80" s="608" t="e">
        <f t="shared" si="37"/>
        <v>#DIV/0!</v>
      </c>
      <c r="N80" s="609" t="e">
        <f t="shared" si="37"/>
        <v>#DIV/0!</v>
      </c>
      <c r="O80" s="377" t="s">
        <v>73</v>
      </c>
      <c r="P80" s="646" t="e">
        <f>AVERAGE(C80:N80)</f>
        <v>#DIV/0!</v>
      </c>
    </row>
    <row r="81" spans="1:20" x14ac:dyDescent="0.25">
      <c r="A81" s="639">
        <v>11</v>
      </c>
      <c r="B81" s="594" t="s">
        <v>88</v>
      </c>
      <c r="C81" s="317">
        <f>+[7]COMERCIAL!D8</f>
        <v>401034</v>
      </c>
      <c r="D81" s="317">
        <f>+[7]COMERCIAL!E8</f>
        <v>423471</v>
      </c>
      <c r="E81" s="317">
        <f>+[7]COMERCIAL!F8</f>
        <v>456052</v>
      </c>
      <c r="F81" s="317">
        <f>+[7]COMERCIAL!G8</f>
        <v>498430</v>
      </c>
      <c r="G81" s="317">
        <f>+[7]COMERCIAL!H8</f>
        <v>0</v>
      </c>
      <c r="H81" s="317">
        <f>+[7]COMERCIAL!I8</f>
        <v>0</v>
      </c>
      <c r="I81" s="317">
        <f>+[7]COMERCIAL!J8</f>
        <v>0</v>
      </c>
      <c r="J81" s="317">
        <f>+[7]COMERCIAL!K8</f>
        <v>0</v>
      </c>
      <c r="K81" s="317">
        <f>+[7]COMERCIAL!L8</f>
        <v>0</v>
      </c>
      <c r="L81" s="317">
        <f>+[7]COMERCIAL!M8</f>
        <v>0</v>
      </c>
      <c r="M81" s="317">
        <f>+[7]COMERCIAL!N8</f>
        <v>0</v>
      </c>
      <c r="N81" s="317">
        <f>+[7]COMERCIAL!O8</f>
        <v>0</v>
      </c>
      <c r="O81" s="318">
        <f>SUM(C81:N81)</f>
        <v>1778987</v>
      </c>
      <c r="P81" s="423" t="s">
        <v>73</v>
      </c>
    </row>
    <row r="82" spans="1:20" x14ac:dyDescent="0.25">
      <c r="A82" s="639">
        <v>12</v>
      </c>
      <c r="B82" s="594" t="s">
        <v>89</v>
      </c>
      <c r="C82" s="600">
        <f t="shared" ref="C82:N82" si="38">C76-(C81)</f>
        <v>47201.997000000032</v>
      </c>
      <c r="D82" s="600">
        <f t="shared" si="38"/>
        <v>28112.34600000002</v>
      </c>
      <c r="E82" s="600">
        <f t="shared" si="38"/>
        <v>48355.754000000074</v>
      </c>
      <c r="F82" s="600">
        <f t="shared" si="38"/>
        <v>-51048.940899999929</v>
      </c>
      <c r="G82" s="600">
        <f t="shared" si="38"/>
        <v>0</v>
      </c>
      <c r="H82" s="600">
        <f t="shared" si="38"/>
        <v>0</v>
      </c>
      <c r="I82" s="600">
        <f t="shared" si="38"/>
        <v>0</v>
      </c>
      <c r="J82" s="600">
        <f t="shared" si="38"/>
        <v>0</v>
      </c>
      <c r="K82" s="600">
        <f t="shared" si="38"/>
        <v>0</v>
      </c>
      <c r="L82" s="600">
        <f t="shared" si="38"/>
        <v>0</v>
      </c>
      <c r="M82" s="600">
        <f t="shared" si="38"/>
        <v>0</v>
      </c>
      <c r="N82" s="600">
        <f t="shared" si="38"/>
        <v>0</v>
      </c>
      <c r="O82" s="602">
        <f>SUM(C82:N82)</f>
        <v>72621.156100000197</v>
      </c>
      <c r="P82" s="442" t="s">
        <v>73</v>
      </c>
    </row>
    <row r="83" spans="1:20" x14ac:dyDescent="0.25">
      <c r="A83" s="639">
        <v>13</v>
      </c>
      <c r="B83" s="594" t="s">
        <v>90</v>
      </c>
      <c r="C83" s="632">
        <f t="shared" ref="C83:N83" si="39">C82/C75</f>
        <v>9.7923562690211657E-2</v>
      </c>
      <c r="D83" s="632">
        <f t="shared" si="39"/>
        <v>5.764613028045551E-2</v>
      </c>
      <c r="E83" s="632">
        <f t="shared" si="39"/>
        <v>8.8292951646417525E-2</v>
      </c>
      <c r="F83" s="632">
        <f t="shared" si="39"/>
        <v>-0.10738532019580069</v>
      </c>
      <c r="G83" s="632">
        <f t="shared" si="39"/>
        <v>0</v>
      </c>
      <c r="H83" s="632" t="e">
        <f t="shared" si="39"/>
        <v>#DIV/0!</v>
      </c>
      <c r="I83" s="632" t="e">
        <f t="shared" si="39"/>
        <v>#DIV/0!</v>
      </c>
      <c r="J83" s="632" t="e">
        <f t="shared" si="39"/>
        <v>#DIV/0!</v>
      </c>
      <c r="K83" s="632" t="e">
        <f t="shared" si="39"/>
        <v>#DIV/0!</v>
      </c>
      <c r="L83" s="632" t="e">
        <f t="shared" si="39"/>
        <v>#DIV/0!</v>
      </c>
      <c r="M83" s="632" t="e">
        <f t="shared" si="39"/>
        <v>#DIV/0!</v>
      </c>
      <c r="N83" s="633" t="e">
        <f t="shared" si="39"/>
        <v>#DIV/0!</v>
      </c>
      <c r="O83" s="377" t="s">
        <v>73</v>
      </c>
      <c r="P83" s="646" t="e">
        <f>AVERAGE(C83:N83)</f>
        <v>#DIV/0!</v>
      </c>
    </row>
    <row r="84" spans="1:20" x14ac:dyDescent="0.25">
      <c r="A84" s="639">
        <v>14</v>
      </c>
      <c r="B84" s="594" t="s">
        <v>91</v>
      </c>
      <c r="C84" s="600">
        <f t="shared" ref="C84:N84" si="40">C75-C81</f>
        <v>80995</v>
      </c>
      <c r="D84" s="600">
        <f t="shared" si="40"/>
        <v>64200</v>
      </c>
      <c r="E84" s="600">
        <f t="shared" si="40"/>
        <v>91622</v>
      </c>
      <c r="F84" s="600">
        <f t="shared" si="40"/>
        <v>-23049</v>
      </c>
      <c r="G84" s="600">
        <f t="shared" si="40"/>
        <v>159730</v>
      </c>
      <c r="H84" s="600">
        <f t="shared" si="40"/>
        <v>0</v>
      </c>
      <c r="I84" s="600">
        <f t="shared" si="40"/>
        <v>0</v>
      </c>
      <c r="J84" s="600">
        <f t="shared" si="40"/>
        <v>0</v>
      </c>
      <c r="K84" s="600">
        <f t="shared" si="40"/>
        <v>0</v>
      </c>
      <c r="L84" s="600">
        <f t="shared" si="40"/>
        <v>0</v>
      </c>
      <c r="M84" s="600">
        <f t="shared" si="40"/>
        <v>0</v>
      </c>
      <c r="N84" s="601">
        <f t="shared" si="40"/>
        <v>0</v>
      </c>
      <c r="O84" s="602">
        <f>SUM(C84:N84)</f>
        <v>373498</v>
      </c>
      <c r="P84" s="442" t="s">
        <v>73</v>
      </c>
    </row>
    <row r="85" spans="1:20" s="267" customFormat="1" x14ac:dyDescent="0.25">
      <c r="A85" s="559">
        <v>15</v>
      </c>
      <c r="B85" s="673" t="s">
        <v>92</v>
      </c>
      <c r="C85" s="674">
        <f t="shared" ref="C85:N85" si="41">C84/C75</f>
        <v>0.16802930943988847</v>
      </c>
      <c r="D85" s="674">
        <f t="shared" si="41"/>
        <v>0.13164613028045546</v>
      </c>
      <c r="E85" s="674">
        <f t="shared" si="41"/>
        <v>0.16729295164641739</v>
      </c>
      <c r="F85" s="674">
        <f t="shared" si="41"/>
        <v>-4.8485320195800839E-2</v>
      </c>
      <c r="G85" s="674">
        <f t="shared" si="41"/>
        <v>1</v>
      </c>
      <c r="H85" s="674" t="e">
        <f t="shared" si="41"/>
        <v>#DIV/0!</v>
      </c>
      <c r="I85" s="674" t="e">
        <f t="shared" si="41"/>
        <v>#DIV/0!</v>
      </c>
      <c r="J85" s="674" t="e">
        <f t="shared" si="41"/>
        <v>#DIV/0!</v>
      </c>
      <c r="K85" s="674" t="e">
        <f t="shared" si="41"/>
        <v>#DIV/0!</v>
      </c>
      <c r="L85" s="674" t="e">
        <f t="shared" si="41"/>
        <v>#DIV/0!</v>
      </c>
      <c r="M85" s="674" t="e">
        <f t="shared" si="41"/>
        <v>#DIV/0!</v>
      </c>
      <c r="N85" s="674" t="e">
        <f t="shared" si="41"/>
        <v>#DIV/0!</v>
      </c>
      <c r="O85" s="684" t="s">
        <v>73</v>
      </c>
      <c r="P85" s="682" t="e">
        <f>AVERAGE(C85:N85)</f>
        <v>#DIV/0!</v>
      </c>
      <c r="Q85" s="678"/>
      <c r="R85" s="678"/>
      <c r="S85" s="678"/>
      <c r="T85" s="678"/>
    </row>
    <row r="86" spans="1:20" x14ac:dyDescent="0.25">
      <c r="A86" s="639">
        <v>16</v>
      </c>
      <c r="B86" s="594" t="s">
        <v>30</v>
      </c>
      <c r="C86" s="305">
        <f>+[7]ISABELA!D35*1000</f>
        <v>914</v>
      </c>
      <c r="D86" s="648">
        <f>+[7]ISABELA!E35*1000</f>
        <v>959</v>
      </c>
      <c r="E86" s="648">
        <f>+[7]ISABELA!F35*1000</f>
        <v>1118</v>
      </c>
      <c r="F86" s="648">
        <f>+[7]ISABELA!G35*1000</f>
        <v>1045</v>
      </c>
      <c r="G86" s="648">
        <f>+[7]ISABELA!H35*1000</f>
        <v>0</v>
      </c>
      <c r="H86" s="648">
        <f>+[7]ISABELA!I35*1000</f>
        <v>0</v>
      </c>
      <c r="I86" s="648">
        <f>+[7]ISABELA!J35*1000</f>
        <v>0</v>
      </c>
      <c r="J86" s="648">
        <f>+[7]ISABELA!K35*1000</f>
        <v>0</v>
      </c>
      <c r="K86" s="648">
        <f>+[7]ISABELA!L35*1000</f>
        <v>0</v>
      </c>
      <c r="L86" s="648">
        <f>+[7]ISABELA!M35*1000</f>
        <v>0</v>
      </c>
      <c r="M86" s="648">
        <f>+[7]ISABELA!N35*1000</f>
        <v>0</v>
      </c>
      <c r="N86" s="648">
        <f>+[7]ISABELA!O35*1000</f>
        <v>0</v>
      </c>
      <c r="O86" s="307">
        <f>+MAX(C86:N86)</f>
        <v>1118</v>
      </c>
      <c r="P86" s="421" t="s">
        <v>73</v>
      </c>
    </row>
    <row r="87" spans="1:20" x14ac:dyDescent="0.25">
      <c r="A87" s="639">
        <v>17</v>
      </c>
      <c r="B87" s="594" t="s">
        <v>31</v>
      </c>
      <c r="C87" s="305">
        <f>+[7]ISABELA!D18</f>
        <v>37461</v>
      </c>
      <c r="D87" s="305">
        <f>+[7]ISABELA!E18</f>
        <v>37154</v>
      </c>
      <c r="E87" s="305">
        <f>+[7]ISABELA!F18</f>
        <v>41758</v>
      </c>
      <c r="F87" s="305">
        <f>+[7]ISABELA!G18</f>
        <v>36657</v>
      </c>
      <c r="G87" s="305">
        <f>+[7]ISABELA!H18</f>
        <v>0</v>
      </c>
      <c r="H87" s="305">
        <f>+[7]ISABELA!I18</f>
        <v>0</v>
      </c>
      <c r="I87" s="305">
        <f>+[7]ISABELA!J18</f>
        <v>0</v>
      </c>
      <c r="J87" s="305">
        <f>+[7]ISABELA!K18</f>
        <v>0</v>
      </c>
      <c r="K87" s="305">
        <f>+[7]ISABELA!L18</f>
        <v>0</v>
      </c>
      <c r="L87" s="305">
        <f>+[7]ISABELA!M18</f>
        <v>0</v>
      </c>
      <c r="M87" s="305">
        <f>+[7]ISABELA!N18</f>
        <v>0</v>
      </c>
      <c r="N87" s="306">
        <f>+[7]ISABELA!O18</f>
        <v>0</v>
      </c>
      <c r="O87" s="307">
        <f>SUM(C87:N87)</f>
        <v>153030</v>
      </c>
      <c r="P87" s="421" t="s">
        <v>73</v>
      </c>
    </row>
    <row r="88" spans="1:20" x14ac:dyDescent="0.25">
      <c r="A88" s="639">
        <v>18</v>
      </c>
      <c r="B88" s="594" t="s">
        <v>94</v>
      </c>
      <c r="C88" s="613">
        <f t="shared" ref="C88:N88" si="42">C71/C87</f>
        <v>12.868316382370999</v>
      </c>
      <c r="D88" s="613">
        <f t="shared" si="42"/>
        <v>13.122409431016848</v>
      </c>
      <c r="E88" s="613">
        <f t="shared" si="42"/>
        <v>13.113774606063508</v>
      </c>
      <c r="F88" s="613">
        <f t="shared" si="42"/>
        <v>12.964727064407889</v>
      </c>
      <c r="G88" s="613" t="e">
        <f t="shared" si="42"/>
        <v>#DIV/0!</v>
      </c>
      <c r="H88" s="613" t="e">
        <f t="shared" si="42"/>
        <v>#DIV/0!</v>
      </c>
      <c r="I88" s="613" t="e">
        <f t="shared" si="42"/>
        <v>#DIV/0!</v>
      </c>
      <c r="J88" s="613" t="e">
        <f t="shared" si="42"/>
        <v>#DIV/0!</v>
      </c>
      <c r="K88" s="613" t="e">
        <f t="shared" si="42"/>
        <v>#DIV/0!</v>
      </c>
      <c r="L88" s="613" t="e">
        <f t="shared" si="42"/>
        <v>#DIV/0!</v>
      </c>
      <c r="M88" s="613" t="e">
        <f t="shared" si="42"/>
        <v>#DIV/0!</v>
      </c>
      <c r="N88" s="614" t="e">
        <f t="shared" si="42"/>
        <v>#DIV/0!</v>
      </c>
      <c r="O88" s="377" t="s">
        <v>73</v>
      </c>
      <c r="P88" s="634" t="e">
        <f>AVERAGE(C88:N88)</f>
        <v>#DIV/0!</v>
      </c>
    </row>
    <row r="89" spans="1:20" ht="15.75" thickBot="1" x14ac:dyDescent="0.3">
      <c r="A89" s="639">
        <v>19</v>
      </c>
      <c r="B89" s="616" t="s">
        <v>33</v>
      </c>
      <c r="C89" s="335">
        <f>+[7]COMERCIAL!D15</f>
        <v>1175</v>
      </c>
      <c r="D89" s="335">
        <f>+[7]COMERCIAL!E15</f>
        <v>1178</v>
      </c>
      <c r="E89" s="335">
        <f>+[7]COMERCIAL!F15</f>
        <v>1172</v>
      </c>
      <c r="F89" s="335">
        <f>+[7]COMERCIAL!G15</f>
        <v>1178</v>
      </c>
      <c r="G89" s="335">
        <f>+[7]COMERCIAL!H15</f>
        <v>0</v>
      </c>
      <c r="H89" s="335">
        <f>+[7]COMERCIAL!I15</f>
        <v>0</v>
      </c>
      <c r="I89" s="335">
        <f>+[7]COMERCIAL!J15</f>
        <v>0</v>
      </c>
      <c r="J89" s="335">
        <f>+[7]COMERCIAL!K15</f>
        <v>0</v>
      </c>
      <c r="K89" s="335">
        <f>+[7]COMERCIAL!L15</f>
        <v>0</v>
      </c>
      <c r="L89" s="335">
        <f>+[7]COMERCIAL!M15</f>
        <v>0</v>
      </c>
      <c r="M89" s="335">
        <f>+[7]COMERCIAL!N15</f>
        <v>0</v>
      </c>
      <c r="N89" s="336">
        <f>+[7]COMERCIAL!O15</f>
        <v>0</v>
      </c>
      <c r="O89" s="337" t="s">
        <v>73</v>
      </c>
      <c r="P89" s="337" t="s">
        <v>73</v>
      </c>
    </row>
    <row r="90" spans="1:20" x14ac:dyDescent="0.25">
      <c r="A90" s="639"/>
      <c r="B90" s="617"/>
      <c r="C90" s="618"/>
      <c r="D90" s="618"/>
      <c r="E90" s="618"/>
      <c r="F90" s="618"/>
      <c r="G90" s="618"/>
      <c r="H90" s="618"/>
      <c r="I90" s="620"/>
      <c r="J90" s="620"/>
      <c r="K90" s="621"/>
      <c r="L90" s="621"/>
      <c r="M90" s="621"/>
      <c r="N90" s="621"/>
      <c r="O90" s="621"/>
    </row>
    <row r="91" spans="1:20" ht="15.75" thickBot="1" x14ac:dyDescent="0.3">
      <c r="A91" s="639"/>
      <c r="C91" s="289"/>
      <c r="D91" s="636"/>
      <c r="E91" s="636"/>
      <c r="F91" s="636"/>
      <c r="G91" s="636"/>
      <c r="H91" s="636"/>
      <c r="I91" s="637"/>
      <c r="J91" s="637"/>
      <c r="K91" s="638"/>
      <c r="M91" s="638"/>
      <c r="N91" s="638"/>
      <c r="O91" s="638"/>
    </row>
    <row r="92" spans="1:20" ht="15.75" thickBot="1" x14ac:dyDescent="0.3">
      <c r="A92" s="639"/>
      <c r="B92" s="744" t="s">
        <v>45</v>
      </c>
      <c r="C92" s="745"/>
      <c r="D92" s="745"/>
      <c r="E92" s="745"/>
      <c r="F92" s="745"/>
      <c r="G92" s="745"/>
      <c r="H92" s="745"/>
      <c r="I92" s="745"/>
      <c r="J92" s="745"/>
      <c r="K92" s="745"/>
      <c r="L92" s="745"/>
      <c r="M92" s="745"/>
      <c r="N92" s="745"/>
      <c r="O92" s="745"/>
      <c r="P92" s="746"/>
      <c r="S92" s="588"/>
    </row>
    <row r="93" spans="1:20" ht="15.75" thickBot="1" x14ac:dyDescent="0.3">
      <c r="A93" s="639"/>
      <c r="B93" s="346" t="s">
        <v>57</v>
      </c>
      <c r="C93" s="347" t="s">
        <v>58</v>
      </c>
      <c r="D93" s="347" t="s">
        <v>59</v>
      </c>
      <c r="E93" s="347" t="s">
        <v>60</v>
      </c>
      <c r="F93" s="347" t="s">
        <v>61</v>
      </c>
      <c r="G93" s="347" t="s">
        <v>62</v>
      </c>
      <c r="H93" s="347" t="s">
        <v>63</v>
      </c>
      <c r="I93" s="348" t="s">
        <v>64</v>
      </c>
      <c r="J93" s="348" t="s">
        <v>65</v>
      </c>
      <c r="K93" s="347" t="s">
        <v>66</v>
      </c>
      <c r="L93" s="347" t="s">
        <v>67</v>
      </c>
      <c r="M93" s="347" t="s">
        <v>68</v>
      </c>
      <c r="N93" s="349" t="s">
        <v>69</v>
      </c>
      <c r="O93" s="350" t="s">
        <v>70</v>
      </c>
      <c r="P93" s="429" t="s">
        <v>71</v>
      </c>
      <c r="S93" s="381"/>
    </row>
    <row r="94" spans="1:20" x14ac:dyDescent="0.25">
      <c r="A94" s="639">
        <v>1</v>
      </c>
      <c r="B94" s="649" t="s">
        <v>100</v>
      </c>
      <c r="C94" s="630">
        <f>C95+C97+C99+C101</f>
        <v>23820.49</v>
      </c>
      <c r="D94" s="630">
        <f t="shared" ref="D94:N94" si="43">D95+D97+D99+D101</f>
        <v>21707</v>
      </c>
      <c r="E94" s="630">
        <f t="shared" si="43"/>
        <v>22608.73</v>
      </c>
      <c r="F94" s="630">
        <f>F95+F97+F99+F101</f>
        <v>23173.319</v>
      </c>
      <c r="G94" s="630">
        <f t="shared" si="43"/>
        <v>0</v>
      </c>
      <c r="H94" s="630">
        <f t="shared" si="43"/>
        <v>0</v>
      </c>
      <c r="I94" s="630">
        <f t="shared" si="43"/>
        <v>0</v>
      </c>
      <c r="J94" s="630">
        <f t="shared" si="43"/>
        <v>0</v>
      </c>
      <c r="K94" s="630">
        <f t="shared" si="43"/>
        <v>0</v>
      </c>
      <c r="L94" s="630">
        <f t="shared" si="43"/>
        <v>0</v>
      </c>
      <c r="M94" s="630">
        <f t="shared" si="43"/>
        <v>0</v>
      </c>
      <c r="N94" s="630">
        <f t="shared" si="43"/>
        <v>0</v>
      </c>
      <c r="O94" s="624">
        <f>SUM(C94:N94)</f>
        <v>91309.539000000004</v>
      </c>
      <c r="P94" s="650" t="s">
        <v>73</v>
      </c>
      <c r="S94" s="381"/>
    </row>
    <row r="95" spans="1:20" x14ac:dyDescent="0.25">
      <c r="A95" s="639">
        <v>2</v>
      </c>
      <c r="B95" s="642" t="s">
        <v>99</v>
      </c>
      <c r="C95" s="305">
        <f>+SUM([7]FLOREANA!E7:E10)</f>
        <v>15961.5</v>
      </c>
      <c r="D95" s="305">
        <f>+SUM([7]FLOREANA!F7:F10)</f>
        <v>13061.5</v>
      </c>
      <c r="E95" s="305">
        <f>+SUM([7]FLOREANA!G7:G10)</f>
        <v>13350</v>
      </c>
      <c r="F95" s="305">
        <f>+SUM([7]FLOREANA!H7:H10)</f>
        <v>16303.5</v>
      </c>
      <c r="G95" s="305">
        <f>+SUM([7]FLOREANA!I7:I10)</f>
        <v>0</v>
      </c>
      <c r="H95" s="305">
        <f>+SUM([7]FLOREANA!J7:J10)</f>
        <v>0</v>
      </c>
      <c r="I95" s="305">
        <f>+SUM([7]FLOREANA!K7:K10)</f>
        <v>0</v>
      </c>
      <c r="J95" s="305">
        <f>+SUM([7]FLOREANA!L7:L10)</f>
        <v>0</v>
      </c>
      <c r="K95" s="305">
        <f>+SUM([7]FLOREANA!M7:M10)</f>
        <v>0</v>
      </c>
      <c r="L95" s="305">
        <f>+SUM([7]FLOREANA!N7:N10)</f>
        <v>0</v>
      </c>
      <c r="M95" s="305">
        <f>+SUM([7]FLOREANA!O7:O10)</f>
        <v>0</v>
      </c>
      <c r="N95" s="305">
        <f>+SUM([7]FLOREANA!P7:P10)</f>
        <v>0</v>
      </c>
      <c r="O95" s="307">
        <f>SUM(C95:N95)</f>
        <v>58676.5</v>
      </c>
      <c r="P95" s="421" t="s">
        <v>73</v>
      </c>
      <c r="Q95" s="385"/>
      <c r="S95" s="381"/>
    </row>
    <row r="96" spans="1:20" x14ac:dyDescent="0.25">
      <c r="A96" s="639">
        <v>3</v>
      </c>
      <c r="B96" s="590" t="s">
        <v>75</v>
      </c>
      <c r="C96" s="643">
        <f t="shared" ref="C96:N96" si="44">C95/C94</f>
        <v>0.67007437714337525</v>
      </c>
      <c r="D96" s="643">
        <f t="shared" si="44"/>
        <v>0.60171833970608557</v>
      </c>
      <c r="E96" s="643">
        <f t="shared" si="44"/>
        <v>0.59047987215557884</v>
      </c>
      <c r="F96" s="643">
        <f t="shared" si="44"/>
        <v>0.70354617739478753</v>
      </c>
      <c r="G96" s="643" t="e">
        <f t="shared" si="44"/>
        <v>#DIV/0!</v>
      </c>
      <c r="H96" s="643" t="e">
        <f t="shared" si="44"/>
        <v>#DIV/0!</v>
      </c>
      <c r="I96" s="643" t="e">
        <f t="shared" si="44"/>
        <v>#DIV/0!</v>
      </c>
      <c r="J96" s="643" t="e">
        <f t="shared" si="44"/>
        <v>#DIV/0!</v>
      </c>
      <c r="K96" s="643" t="e">
        <f t="shared" si="44"/>
        <v>#DIV/0!</v>
      </c>
      <c r="L96" s="643" t="e">
        <f t="shared" si="44"/>
        <v>#DIV/0!</v>
      </c>
      <c r="M96" s="643" t="e">
        <f t="shared" si="44"/>
        <v>#DIV/0!</v>
      </c>
      <c r="N96" s="651" t="e">
        <f t="shared" si="44"/>
        <v>#DIV/0!</v>
      </c>
      <c r="O96" s="377" t="s">
        <v>73</v>
      </c>
      <c r="P96" s="647" t="e">
        <f>AVERAGE(C96:N96)</f>
        <v>#DIV/0!</v>
      </c>
      <c r="S96" s="381"/>
    </row>
    <row r="97" spans="1:20" x14ac:dyDescent="0.25">
      <c r="A97" s="639">
        <v>4</v>
      </c>
      <c r="B97" s="642" t="s">
        <v>101</v>
      </c>
      <c r="C97" s="305">
        <f>+SUM([7]FLOREANA!E5:E6)</f>
        <v>5713.5</v>
      </c>
      <c r="D97" s="305">
        <f>+SUM([7]FLOREANA!F5:F6)</f>
        <v>6403.5</v>
      </c>
      <c r="E97" s="305">
        <f>+SUM([7]FLOREANA!G5:G6)</f>
        <v>7262</v>
      </c>
      <c r="F97" s="305">
        <f>+SUM([7]FLOREANA!H5:H6)</f>
        <v>4244.5</v>
      </c>
      <c r="G97" s="305">
        <f>+SUM([7]FLOREANA!I5:I6)</f>
        <v>0</v>
      </c>
      <c r="H97" s="305">
        <f>+SUM([7]FLOREANA!J5:J6)</f>
        <v>0</v>
      </c>
      <c r="I97" s="305">
        <f>+SUM([7]FLOREANA!K5:K6)</f>
        <v>0</v>
      </c>
      <c r="J97" s="305">
        <f>+SUM([7]FLOREANA!L5:L6)</f>
        <v>0</v>
      </c>
      <c r="K97" s="305">
        <f>+SUM([7]FLOREANA!M5:M6)</f>
        <v>0</v>
      </c>
      <c r="L97" s="305">
        <f>+SUM([7]FLOREANA!N5:N6)</f>
        <v>0</v>
      </c>
      <c r="M97" s="305">
        <f>+SUM([7]FLOREANA!O5:O6)</f>
        <v>0</v>
      </c>
      <c r="N97" s="306">
        <f>+SUM([7]FLOREANA!P5:P6)</f>
        <v>0</v>
      </c>
      <c r="O97" s="307">
        <f>SUM(C97:N97)</f>
        <v>23623.5</v>
      </c>
      <c r="P97" s="446" t="s">
        <v>73</v>
      </c>
      <c r="Q97" s="385"/>
      <c r="S97" s="381"/>
    </row>
    <row r="98" spans="1:20" x14ac:dyDescent="0.25">
      <c r="A98" s="639">
        <v>5</v>
      </c>
      <c r="B98" s="590" t="s">
        <v>102</v>
      </c>
      <c r="C98" s="595">
        <f t="shared" ref="C98:J98" si="45">C97/C94</f>
        <v>0.23985652688084921</v>
      </c>
      <c r="D98" s="595">
        <f t="shared" si="45"/>
        <v>0.29499700557423875</v>
      </c>
      <c r="E98" s="595">
        <f t="shared" si="45"/>
        <v>0.32120335817182122</v>
      </c>
      <c r="F98" s="595">
        <f t="shared" si="45"/>
        <v>0.18316323181845467</v>
      </c>
      <c r="G98" s="595" t="e">
        <f t="shared" si="45"/>
        <v>#DIV/0!</v>
      </c>
      <c r="H98" s="595" t="e">
        <f t="shared" si="45"/>
        <v>#DIV/0!</v>
      </c>
      <c r="I98" s="595" t="e">
        <f t="shared" si="45"/>
        <v>#DIV/0!</v>
      </c>
      <c r="J98" s="595" t="e">
        <f t="shared" si="45"/>
        <v>#DIV/0!</v>
      </c>
      <c r="K98" s="595" t="e">
        <f>K97/K94</f>
        <v>#DIV/0!</v>
      </c>
      <c r="L98" s="595" t="e">
        <f>L97/L94</f>
        <v>#DIV/0!</v>
      </c>
      <c r="M98" s="595" t="e">
        <f>M97/M94</f>
        <v>#DIV/0!</v>
      </c>
      <c r="N98" s="596" t="e">
        <f>N97/N94</f>
        <v>#DIV/0!</v>
      </c>
      <c r="O98" s="377" t="s">
        <v>73</v>
      </c>
      <c r="P98" s="647" t="e">
        <f>AVERAGE(C98:N98)</f>
        <v>#DIV/0!</v>
      </c>
      <c r="S98" s="381"/>
    </row>
    <row r="99" spans="1:20" x14ac:dyDescent="0.25">
      <c r="A99" s="639">
        <v>6</v>
      </c>
      <c r="B99" s="642" t="s">
        <v>108</v>
      </c>
      <c r="C99" s="305">
        <f>+[7]FLOREANA!E62</f>
        <v>1565.49</v>
      </c>
      <c r="D99" s="305">
        <f>+[7]FLOREANA!F62</f>
        <v>1662</v>
      </c>
      <c r="E99" s="305">
        <f>+[7]FLOREANA!G62</f>
        <v>1416.73</v>
      </c>
      <c r="F99" s="305">
        <f>+[7]FLOREANA!H62</f>
        <v>2045.319</v>
      </c>
      <c r="G99" s="305">
        <f>+[7]FLOREANA!I62</f>
        <v>0</v>
      </c>
      <c r="H99" s="305">
        <f>+[7]FLOREANA!J62</f>
        <v>0</v>
      </c>
      <c r="I99" s="305">
        <f>+[7]FLOREANA!K62</f>
        <v>0</v>
      </c>
      <c r="J99" s="305">
        <f>+[7]FLOREANA!L62</f>
        <v>0</v>
      </c>
      <c r="K99" s="305">
        <f>+[7]FLOREANA!M62</f>
        <v>0</v>
      </c>
      <c r="L99" s="305">
        <f>+[7]FLOREANA!N62</f>
        <v>0</v>
      </c>
      <c r="M99" s="305">
        <f>+[7]FLOREANA!O62</f>
        <v>0</v>
      </c>
      <c r="N99" s="305">
        <f>+[7]FLOREANA!P62</f>
        <v>0</v>
      </c>
      <c r="O99" s="307">
        <f>SUM(C99:N99)</f>
        <v>6689.5389999999989</v>
      </c>
      <c r="P99" s="421" t="s">
        <v>73</v>
      </c>
    </row>
    <row r="100" spans="1:20" x14ac:dyDescent="0.25">
      <c r="A100" s="639">
        <v>7</v>
      </c>
      <c r="B100" s="590" t="s">
        <v>158</v>
      </c>
      <c r="C100" s="632">
        <f>+C99/C94</f>
        <v>6.5720310539371773E-2</v>
      </c>
      <c r="D100" s="632">
        <f t="shared" ref="D100:N100" si="46">+D99/D94</f>
        <v>7.656516331137421E-2</v>
      </c>
      <c r="E100" s="632">
        <f t="shared" si="46"/>
        <v>6.2662962492806978E-2</v>
      </c>
      <c r="F100" s="632">
        <f t="shared" si="46"/>
        <v>8.8261806606123192E-2</v>
      </c>
      <c r="G100" s="632" t="e">
        <f t="shared" si="46"/>
        <v>#DIV/0!</v>
      </c>
      <c r="H100" s="632" t="e">
        <f t="shared" si="46"/>
        <v>#DIV/0!</v>
      </c>
      <c r="I100" s="632" t="e">
        <f t="shared" si="46"/>
        <v>#DIV/0!</v>
      </c>
      <c r="J100" s="632" t="e">
        <f t="shared" si="46"/>
        <v>#DIV/0!</v>
      </c>
      <c r="K100" s="632" t="e">
        <f t="shared" si="46"/>
        <v>#DIV/0!</v>
      </c>
      <c r="L100" s="632" t="e">
        <f t="shared" si="46"/>
        <v>#DIV/0!</v>
      </c>
      <c r="M100" s="632" t="e">
        <f t="shared" si="46"/>
        <v>#DIV/0!</v>
      </c>
      <c r="N100" s="632" t="e">
        <f t="shared" si="46"/>
        <v>#DIV/0!</v>
      </c>
      <c r="O100" s="377" t="s">
        <v>73</v>
      </c>
      <c r="P100" s="647" t="e">
        <f>AVERAGE(C100:N100)</f>
        <v>#DIV/0!</v>
      </c>
    </row>
    <row r="101" spans="1:20" x14ac:dyDescent="0.25">
      <c r="A101" s="292"/>
      <c r="B101" s="597" t="s">
        <v>155</v>
      </c>
      <c r="C101" s="305">
        <f>+[7]COMERCIAL!D26+[7]COMERCIAL!D27+[7]COMERCIAL!D28</f>
        <v>580</v>
      </c>
      <c r="D101" s="305">
        <f>+[7]COMERCIAL!E26+[7]COMERCIAL!E27+[7]COMERCIAL!E28</f>
        <v>580</v>
      </c>
      <c r="E101" s="305">
        <f>+[7]COMERCIAL!F26+[7]COMERCIAL!F27+[7]COMERCIAL!F28</f>
        <v>580</v>
      </c>
      <c r="F101" s="305">
        <f>+[7]COMERCIAL!G26+[7]COMERCIAL!G27+[7]COMERCIAL!G28</f>
        <v>580</v>
      </c>
      <c r="G101" s="305">
        <f>+[7]COMERCIAL!H26+[7]COMERCIAL!H27+[7]COMERCIAL!H28</f>
        <v>0</v>
      </c>
      <c r="H101" s="305">
        <f>+[7]COMERCIAL!I26+[7]COMERCIAL!I27+[7]COMERCIAL!I28</f>
        <v>0</v>
      </c>
      <c r="I101" s="305">
        <f>+[7]COMERCIAL!J26+[7]COMERCIAL!J27+[7]COMERCIAL!J28</f>
        <v>0</v>
      </c>
      <c r="J101" s="305">
        <f>+[7]COMERCIAL!K26+[7]COMERCIAL!K27+[7]COMERCIAL!K28</f>
        <v>0</v>
      </c>
      <c r="K101" s="305">
        <f>+[7]COMERCIAL!L26+[7]COMERCIAL!L27+[7]COMERCIAL!L28</f>
        <v>0</v>
      </c>
      <c r="L101" s="305">
        <f>+[7]COMERCIAL!M26+[7]COMERCIAL!M27+[7]COMERCIAL!M28</f>
        <v>0</v>
      </c>
      <c r="M101" s="305">
        <f>+[7]COMERCIAL!N26+[7]COMERCIAL!N27+[7]COMERCIAL!N28</f>
        <v>0</v>
      </c>
      <c r="N101" s="305">
        <f>+[7]COMERCIAL!O26+[7]COMERCIAL!O27+[7]COMERCIAL!O28</f>
        <v>0</v>
      </c>
      <c r="O101" s="307">
        <f t="shared" ref="O101:O106" si="47">SUM(C101:N101)</f>
        <v>2320</v>
      </c>
      <c r="P101" s="629"/>
    </row>
    <row r="102" spans="1:20" x14ac:dyDescent="0.25">
      <c r="A102" s="639">
        <v>8</v>
      </c>
      <c r="B102" s="594" t="s">
        <v>151</v>
      </c>
      <c r="C102" s="317">
        <f>+[7]AUTOCONSUMOS!E89+[7]AUTOCONSUMOS!E90</f>
        <v>893</v>
      </c>
      <c r="D102" s="317">
        <f>+[7]AUTOCONSUMOS!F89+[7]AUTOCONSUMOS!F90</f>
        <v>954</v>
      </c>
      <c r="E102" s="317">
        <f>+[7]AUTOCONSUMOS!G89+[7]AUTOCONSUMOS!G90</f>
        <v>1096</v>
      </c>
      <c r="F102" s="317">
        <f>+[7]AUTOCONSUMOS!H89+[7]AUTOCONSUMOS!H90</f>
        <v>1135</v>
      </c>
      <c r="G102" s="317">
        <f>+[7]AUTOCONSUMOS!I89+[7]AUTOCONSUMOS!I90</f>
        <v>-78633</v>
      </c>
      <c r="H102" s="317">
        <f>+[7]AUTOCONSUMOS!J89+[7]AUTOCONSUMOS!J90</f>
        <v>0</v>
      </c>
      <c r="I102" s="317">
        <f>+[7]AUTOCONSUMOS!K89+[7]AUTOCONSUMOS!K90</f>
        <v>0</v>
      </c>
      <c r="J102" s="317">
        <f>+[7]AUTOCONSUMOS!L89+[7]AUTOCONSUMOS!L90</f>
        <v>0</v>
      </c>
      <c r="K102" s="317">
        <f>+[7]AUTOCONSUMOS!M89+[7]AUTOCONSUMOS!M90</f>
        <v>0</v>
      </c>
      <c r="L102" s="317">
        <f>+[7]AUTOCONSUMOS!N89+[7]AUTOCONSUMOS!N90</f>
        <v>0</v>
      </c>
      <c r="M102" s="317">
        <f>+[7]AUTOCONSUMOS!O89+[7]AUTOCONSUMOS!O90</f>
        <v>0</v>
      </c>
      <c r="N102" s="317">
        <f>+[7]AUTOCONSUMOS!P89+[7]AUTOCONSUMOS!P90</f>
        <v>0</v>
      </c>
      <c r="O102" s="317">
        <f t="shared" si="47"/>
        <v>-74555</v>
      </c>
      <c r="P102" s="423" t="s">
        <v>73</v>
      </c>
    </row>
    <row r="103" spans="1:20" x14ac:dyDescent="0.25">
      <c r="A103" s="639">
        <v>9</v>
      </c>
      <c r="B103" s="594" t="s">
        <v>81</v>
      </c>
      <c r="C103" s="600">
        <f>C94-C102</f>
        <v>22927.49</v>
      </c>
      <c r="D103" s="600">
        <f t="shared" ref="D103:N103" si="48">D94-D102</f>
        <v>20753</v>
      </c>
      <c r="E103" s="600">
        <f t="shared" si="48"/>
        <v>21512.73</v>
      </c>
      <c r="F103" s="600">
        <f t="shared" si="48"/>
        <v>22038.319</v>
      </c>
      <c r="G103" s="600">
        <f t="shared" si="48"/>
        <v>78633</v>
      </c>
      <c r="H103" s="600">
        <f t="shared" si="48"/>
        <v>0</v>
      </c>
      <c r="I103" s="600">
        <f t="shared" si="48"/>
        <v>0</v>
      </c>
      <c r="J103" s="600">
        <f t="shared" si="48"/>
        <v>0</v>
      </c>
      <c r="K103" s="600">
        <f t="shared" si="48"/>
        <v>0</v>
      </c>
      <c r="L103" s="600">
        <f t="shared" si="48"/>
        <v>0</v>
      </c>
      <c r="M103" s="600">
        <f t="shared" si="48"/>
        <v>0</v>
      </c>
      <c r="N103" s="601">
        <f t="shared" si="48"/>
        <v>0</v>
      </c>
      <c r="O103" s="602">
        <f t="shared" si="47"/>
        <v>165864.53899999999</v>
      </c>
      <c r="P103" s="631" t="s">
        <v>73</v>
      </c>
      <c r="S103" s="287">
        <f>E103*0.935</f>
        <v>20114.402550000003</v>
      </c>
    </row>
    <row r="104" spans="1:20" x14ac:dyDescent="0.25">
      <c r="A104" s="639">
        <v>10</v>
      </c>
      <c r="B104" s="594" t="s">
        <v>82</v>
      </c>
      <c r="C104" s="603">
        <f>C105</f>
        <v>20916.200940000002</v>
      </c>
      <c r="D104" s="603">
        <f t="shared" ref="D104:N104" si="49">D105</f>
        <v>19383.302</v>
      </c>
      <c r="E104" s="603">
        <f t="shared" si="49"/>
        <v>20114.402550000003</v>
      </c>
      <c r="F104" s="603">
        <f t="shared" si="49"/>
        <v>20693.981540999997</v>
      </c>
      <c r="G104" s="603">
        <f t="shared" si="49"/>
        <v>0</v>
      </c>
      <c r="H104" s="603">
        <f t="shared" si="49"/>
        <v>0</v>
      </c>
      <c r="I104" s="603">
        <f t="shared" si="49"/>
        <v>0</v>
      </c>
      <c r="J104" s="603">
        <f t="shared" si="49"/>
        <v>0</v>
      </c>
      <c r="K104" s="603">
        <f t="shared" si="49"/>
        <v>0</v>
      </c>
      <c r="L104" s="603">
        <f t="shared" si="49"/>
        <v>0</v>
      </c>
      <c r="M104" s="603">
        <f t="shared" si="49"/>
        <v>0</v>
      </c>
      <c r="N104" s="604">
        <f t="shared" si="49"/>
        <v>0</v>
      </c>
      <c r="O104" s="605">
        <f t="shared" si="47"/>
        <v>81107.887031000006</v>
      </c>
      <c r="P104" s="652" t="s">
        <v>73</v>
      </c>
    </row>
    <row r="105" spans="1:20" x14ac:dyDescent="0.25">
      <c r="A105" s="639">
        <v>11</v>
      </c>
      <c r="B105" s="594" t="s">
        <v>83</v>
      </c>
      <c r="C105" s="305">
        <f>+[7]TÉCNICO!D17</f>
        <v>20916.200940000002</v>
      </c>
      <c r="D105" s="305">
        <f>+[7]TÉCNICO!E17</f>
        <v>19383.302</v>
      </c>
      <c r="E105" s="305">
        <f>+[7]TÉCNICO!F17</f>
        <v>20114.402550000003</v>
      </c>
      <c r="F105" s="305">
        <f>+[7]TÉCNICO!G17</f>
        <v>20693.981540999997</v>
      </c>
      <c r="G105" s="305">
        <f>+[7]TÉCNICO!H17</f>
        <v>0</v>
      </c>
      <c r="H105" s="305">
        <f>+[7]TÉCNICO!I17</f>
        <v>0</v>
      </c>
      <c r="I105" s="305">
        <f>+[7]TÉCNICO!J17</f>
        <v>0</v>
      </c>
      <c r="J105" s="305">
        <f>+[7]TÉCNICO!K17</f>
        <v>0</v>
      </c>
      <c r="K105" s="305">
        <f>+[7]TÉCNICO!L17</f>
        <v>0</v>
      </c>
      <c r="L105" s="305">
        <f>+[7]TÉCNICO!M17</f>
        <v>0</v>
      </c>
      <c r="M105" s="305">
        <f>+[7]TÉCNICO!N17</f>
        <v>0</v>
      </c>
      <c r="N105" s="305">
        <f>+[7]TÉCNICO!O17</f>
        <v>0</v>
      </c>
      <c r="O105" s="307">
        <f t="shared" si="47"/>
        <v>81107.887031000006</v>
      </c>
      <c r="P105" s="421" t="s">
        <v>73</v>
      </c>
    </row>
    <row r="106" spans="1:20" x14ac:dyDescent="0.25">
      <c r="A106" s="639">
        <v>12</v>
      </c>
      <c r="B106" s="594" t="s">
        <v>86</v>
      </c>
      <c r="C106" s="600">
        <f>C103-C104</f>
        <v>2011.2890599999992</v>
      </c>
      <c r="D106" s="600">
        <f t="shared" ref="D106:N106" si="50">D103-D104</f>
        <v>1369.6980000000003</v>
      </c>
      <c r="E106" s="600">
        <f t="shared" si="50"/>
        <v>1398.327449999997</v>
      </c>
      <c r="F106" s="600">
        <f t="shared" si="50"/>
        <v>1344.3374590000021</v>
      </c>
      <c r="G106" s="600">
        <f t="shared" si="50"/>
        <v>78633</v>
      </c>
      <c r="H106" s="600">
        <f t="shared" si="50"/>
        <v>0</v>
      </c>
      <c r="I106" s="600">
        <f t="shared" si="50"/>
        <v>0</v>
      </c>
      <c r="J106" s="600">
        <f t="shared" si="50"/>
        <v>0</v>
      </c>
      <c r="K106" s="600">
        <f t="shared" si="50"/>
        <v>0</v>
      </c>
      <c r="L106" s="600">
        <f t="shared" si="50"/>
        <v>0</v>
      </c>
      <c r="M106" s="600">
        <f t="shared" si="50"/>
        <v>0</v>
      </c>
      <c r="N106" s="601">
        <f t="shared" si="50"/>
        <v>0</v>
      </c>
      <c r="O106" s="602">
        <f t="shared" si="47"/>
        <v>84756.651968999999</v>
      </c>
      <c r="P106" s="631" t="s">
        <v>73</v>
      </c>
    </row>
    <row r="107" spans="1:20" x14ac:dyDescent="0.25">
      <c r="A107" s="639">
        <v>13</v>
      </c>
      <c r="B107" s="594" t="s">
        <v>87</v>
      </c>
      <c r="C107" s="608">
        <f>C106/C103</f>
        <v>8.7723909594988325E-2</v>
      </c>
      <c r="D107" s="608">
        <f t="shared" ref="D107:N107" si="51">D106/D103</f>
        <v>6.6000000000000017E-2</v>
      </c>
      <c r="E107" s="608">
        <f t="shared" si="51"/>
        <v>6.4999999999999863E-2</v>
      </c>
      <c r="F107" s="608">
        <f t="shared" si="51"/>
        <v>6.1000000000000096E-2</v>
      </c>
      <c r="G107" s="608">
        <f t="shared" si="51"/>
        <v>1</v>
      </c>
      <c r="H107" s="608" t="e">
        <f t="shared" si="51"/>
        <v>#DIV/0!</v>
      </c>
      <c r="I107" s="608" t="e">
        <f t="shared" si="51"/>
        <v>#DIV/0!</v>
      </c>
      <c r="J107" s="608" t="e">
        <f t="shared" si="51"/>
        <v>#DIV/0!</v>
      </c>
      <c r="K107" s="608" t="e">
        <f t="shared" si="51"/>
        <v>#DIV/0!</v>
      </c>
      <c r="L107" s="608" t="e">
        <f t="shared" si="51"/>
        <v>#DIV/0!</v>
      </c>
      <c r="M107" s="608" t="e">
        <f t="shared" si="51"/>
        <v>#DIV/0!</v>
      </c>
      <c r="N107" s="609" t="e">
        <f t="shared" si="51"/>
        <v>#DIV/0!</v>
      </c>
      <c r="O107" s="377" t="s">
        <v>73</v>
      </c>
      <c r="P107" s="647" t="e">
        <f>AVERAGE(C107:N107)</f>
        <v>#DIV/0!</v>
      </c>
    </row>
    <row r="108" spans="1:20" x14ac:dyDescent="0.25">
      <c r="A108" s="639">
        <v>14</v>
      </c>
      <c r="B108" s="594" t="s">
        <v>88</v>
      </c>
      <c r="C108" s="317">
        <f>+[7]COMERCIAL!D9</f>
        <v>18930</v>
      </c>
      <c r="D108" s="317">
        <f>+[7]COMERCIAL!E9</f>
        <v>18108</v>
      </c>
      <c r="E108" s="317">
        <f>+[7]COMERCIAL!F9</f>
        <v>15178</v>
      </c>
      <c r="F108" s="317">
        <f>+[7]COMERCIAL!G9</f>
        <v>15528</v>
      </c>
      <c r="G108" s="317">
        <f>+[7]COMERCIAL!H9</f>
        <v>0</v>
      </c>
      <c r="H108" s="317">
        <f>+[7]COMERCIAL!I9</f>
        <v>0</v>
      </c>
      <c r="I108" s="317">
        <f>+[7]COMERCIAL!J9</f>
        <v>0</v>
      </c>
      <c r="J108" s="317">
        <f>+[7]COMERCIAL!K9</f>
        <v>0</v>
      </c>
      <c r="K108" s="317">
        <f>+[7]COMERCIAL!L9</f>
        <v>0</v>
      </c>
      <c r="L108" s="317">
        <f>+[7]COMERCIAL!M9</f>
        <v>0</v>
      </c>
      <c r="M108" s="317">
        <f>+[7]COMERCIAL!N9</f>
        <v>0</v>
      </c>
      <c r="N108" s="317">
        <f>+[7]COMERCIAL!O9</f>
        <v>0</v>
      </c>
      <c r="O108" s="318">
        <f>SUM(C108:N108)</f>
        <v>67744</v>
      </c>
      <c r="P108" s="423" t="s">
        <v>73</v>
      </c>
    </row>
    <row r="109" spans="1:20" x14ac:dyDescent="0.25">
      <c r="A109" s="639">
        <v>15</v>
      </c>
      <c r="B109" s="594" t="s">
        <v>89</v>
      </c>
      <c r="C109" s="600">
        <f t="shared" ref="C109:N109" si="52">C104-(C108)</f>
        <v>1986.2009400000024</v>
      </c>
      <c r="D109" s="600">
        <f t="shared" si="52"/>
        <v>1275.3019999999997</v>
      </c>
      <c r="E109" s="600">
        <f t="shared" si="52"/>
        <v>4936.4025500000025</v>
      </c>
      <c r="F109" s="600">
        <f t="shared" si="52"/>
        <v>5165.9815409999974</v>
      </c>
      <c r="G109" s="600">
        <f t="shared" si="52"/>
        <v>0</v>
      </c>
      <c r="H109" s="600">
        <f t="shared" si="52"/>
        <v>0</v>
      </c>
      <c r="I109" s="600">
        <f t="shared" si="52"/>
        <v>0</v>
      </c>
      <c r="J109" s="600">
        <f t="shared" si="52"/>
        <v>0</v>
      </c>
      <c r="K109" s="600">
        <f t="shared" si="52"/>
        <v>0</v>
      </c>
      <c r="L109" s="600">
        <f t="shared" si="52"/>
        <v>0</v>
      </c>
      <c r="M109" s="600">
        <f t="shared" si="52"/>
        <v>0</v>
      </c>
      <c r="N109" s="600">
        <f t="shared" si="52"/>
        <v>0</v>
      </c>
      <c r="O109" s="602">
        <f>SUM(C109:N109)</f>
        <v>13363.887031000002</v>
      </c>
      <c r="P109" s="631" t="s">
        <v>73</v>
      </c>
    </row>
    <row r="110" spans="1:20" x14ac:dyDescent="0.25">
      <c r="A110" s="639">
        <v>16</v>
      </c>
      <c r="B110" s="594" t="s">
        <v>90</v>
      </c>
      <c r="C110" s="608">
        <f t="shared" ref="C110:N110" si="53">C109/C103</f>
        <v>8.6629672066153005E-2</v>
      </c>
      <c r="D110" s="608">
        <f t="shared" si="53"/>
        <v>6.1451452802004515E-2</v>
      </c>
      <c r="E110" s="608">
        <f t="shared" si="53"/>
        <v>0.22946425442052229</v>
      </c>
      <c r="F110" s="608">
        <f t="shared" si="53"/>
        <v>0.23440905547287874</v>
      </c>
      <c r="G110" s="608">
        <f t="shared" si="53"/>
        <v>0</v>
      </c>
      <c r="H110" s="608" t="e">
        <f t="shared" si="53"/>
        <v>#DIV/0!</v>
      </c>
      <c r="I110" s="608" t="e">
        <f t="shared" si="53"/>
        <v>#DIV/0!</v>
      </c>
      <c r="J110" s="608" t="e">
        <f t="shared" si="53"/>
        <v>#DIV/0!</v>
      </c>
      <c r="K110" s="608" t="e">
        <f t="shared" si="53"/>
        <v>#DIV/0!</v>
      </c>
      <c r="L110" s="608" t="e">
        <f t="shared" si="53"/>
        <v>#DIV/0!</v>
      </c>
      <c r="M110" s="608" t="e">
        <f t="shared" si="53"/>
        <v>#DIV/0!</v>
      </c>
      <c r="N110" s="609" t="e">
        <f t="shared" si="53"/>
        <v>#DIV/0!</v>
      </c>
      <c r="O110" s="377" t="s">
        <v>73</v>
      </c>
      <c r="P110" s="647" t="e">
        <f>AVERAGE(C110:N110)</f>
        <v>#DIV/0!</v>
      </c>
    </row>
    <row r="111" spans="1:20" x14ac:dyDescent="0.25">
      <c r="A111" s="639">
        <v>17</v>
      </c>
      <c r="B111" s="594" t="s">
        <v>91</v>
      </c>
      <c r="C111" s="600">
        <f t="shared" ref="C111:N111" si="54">C103-C108</f>
        <v>3997.4900000000016</v>
      </c>
      <c r="D111" s="600">
        <f t="shared" si="54"/>
        <v>2645</v>
      </c>
      <c r="E111" s="600">
        <f t="shared" si="54"/>
        <v>6334.73</v>
      </c>
      <c r="F111" s="600">
        <f t="shared" si="54"/>
        <v>6510.3189999999995</v>
      </c>
      <c r="G111" s="600">
        <f t="shared" si="54"/>
        <v>78633</v>
      </c>
      <c r="H111" s="600">
        <f t="shared" si="54"/>
        <v>0</v>
      </c>
      <c r="I111" s="600">
        <f t="shared" si="54"/>
        <v>0</v>
      </c>
      <c r="J111" s="600">
        <f t="shared" si="54"/>
        <v>0</v>
      </c>
      <c r="K111" s="600">
        <f t="shared" si="54"/>
        <v>0</v>
      </c>
      <c r="L111" s="600">
        <f t="shared" si="54"/>
        <v>0</v>
      </c>
      <c r="M111" s="600">
        <f t="shared" si="54"/>
        <v>0</v>
      </c>
      <c r="N111" s="601">
        <f t="shared" si="54"/>
        <v>0</v>
      </c>
      <c r="O111" s="602">
        <f>SUM(C111:N111)</f>
        <v>98120.539000000004</v>
      </c>
      <c r="P111" s="631" t="s">
        <v>73</v>
      </c>
    </row>
    <row r="112" spans="1:20" s="267" customFormat="1" x14ac:dyDescent="0.25">
      <c r="A112" s="559">
        <v>18</v>
      </c>
      <c r="B112" s="673" t="s">
        <v>92</v>
      </c>
      <c r="C112" s="674">
        <f t="shared" ref="C112:N112" si="55">(C111/C103)</f>
        <v>0.17435358166114134</v>
      </c>
      <c r="D112" s="674">
        <f t="shared" si="55"/>
        <v>0.12745145280200454</v>
      </c>
      <c r="E112" s="674">
        <f t="shared" si="55"/>
        <v>0.29446425442052215</v>
      </c>
      <c r="F112" s="674">
        <f t="shared" si="55"/>
        <v>0.29540905547287882</v>
      </c>
      <c r="G112" s="674">
        <f t="shared" si="55"/>
        <v>1</v>
      </c>
      <c r="H112" s="674" t="e">
        <f t="shared" si="55"/>
        <v>#DIV/0!</v>
      </c>
      <c r="I112" s="674" t="e">
        <f t="shared" si="55"/>
        <v>#DIV/0!</v>
      </c>
      <c r="J112" s="674" t="e">
        <f t="shared" si="55"/>
        <v>#DIV/0!</v>
      </c>
      <c r="K112" s="674" t="e">
        <f t="shared" si="55"/>
        <v>#DIV/0!</v>
      </c>
      <c r="L112" s="674" t="e">
        <f t="shared" si="55"/>
        <v>#DIV/0!</v>
      </c>
      <c r="M112" s="674" t="e">
        <f t="shared" si="55"/>
        <v>#DIV/0!</v>
      </c>
      <c r="N112" s="674" t="e">
        <f t="shared" si="55"/>
        <v>#DIV/0!</v>
      </c>
      <c r="O112" s="684" t="s">
        <v>73</v>
      </c>
      <c r="P112" s="682" t="e">
        <f>AVERAGE(C112:N112)</f>
        <v>#DIV/0!</v>
      </c>
      <c r="Q112" s="678"/>
      <c r="R112" s="678"/>
      <c r="S112" s="678"/>
      <c r="T112" s="678"/>
    </row>
    <row r="113" spans="1:17" x14ac:dyDescent="0.25">
      <c r="A113" s="639">
        <v>19</v>
      </c>
      <c r="B113" s="594" t="s">
        <v>30</v>
      </c>
      <c r="C113" s="305">
        <f>+[7]FLOREANA!E36*1000</f>
        <v>59</v>
      </c>
      <c r="D113" s="305">
        <f>+[7]FLOREANA!F36*1000</f>
        <v>56</v>
      </c>
      <c r="E113" s="305">
        <f>+[7]FLOREANA!G36*1000</f>
        <v>55</v>
      </c>
      <c r="F113" s="305">
        <f>+[7]FLOREANA!H36*1000</f>
        <v>61</v>
      </c>
      <c r="G113" s="305">
        <f>+[7]FLOREANA!I36*1000</f>
        <v>0</v>
      </c>
      <c r="H113" s="305">
        <f>+[7]FLOREANA!J36*1000</f>
        <v>0</v>
      </c>
      <c r="I113" s="305">
        <f>+[7]FLOREANA!K36*1000</f>
        <v>0</v>
      </c>
      <c r="J113" s="305">
        <f>+[7]FLOREANA!L36*1000</f>
        <v>0</v>
      </c>
      <c r="K113" s="305">
        <f>+[7]FLOREANA!M36*1000</f>
        <v>0</v>
      </c>
      <c r="L113" s="305">
        <f>+[7]FLOREANA!N36*1000</f>
        <v>0</v>
      </c>
      <c r="M113" s="305">
        <f>+[7]FLOREANA!O36*1000</f>
        <v>0</v>
      </c>
      <c r="N113" s="305">
        <f>+[7]FLOREANA!P36*1000</f>
        <v>0</v>
      </c>
      <c r="O113" s="307">
        <f>+MAX(C113:N113)</f>
        <v>61</v>
      </c>
      <c r="P113" s="421" t="s">
        <v>73</v>
      </c>
    </row>
    <row r="114" spans="1:17" x14ac:dyDescent="0.25">
      <c r="A114" s="639">
        <v>20</v>
      </c>
      <c r="B114" s="594" t="s">
        <v>31</v>
      </c>
      <c r="C114" s="305">
        <f>+SUM([7]FLOREANA!E15:E16)</f>
        <v>540.5</v>
      </c>
      <c r="D114" s="305">
        <f>+SUM([7]FLOREANA!F15:F16)</f>
        <v>632</v>
      </c>
      <c r="E114" s="305">
        <f>+SUM([7]FLOREANA!G15:G16)</f>
        <v>388.5</v>
      </c>
      <c r="F114" s="305">
        <f>+SUM([7]FLOREANA!H15:H16)</f>
        <v>1278.5</v>
      </c>
      <c r="G114" s="305">
        <f>+SUM([7]FLOREANA!I15:I16)</f>
        <v>0</v>
      </c>
      <c r="H114" s="305">
        <f>+SUM([7]FLOREANA!J15:J16)</f>
        <v>0</v>
      </c>
      <c r="I114" s="305">
        <f>+SUM([7]FLOREANA!K15:K16)</f>
        <v>0</v>
      </c>
      <c r="J114" s="305">
        <f>+SUM([7]FLOREANA!L15:L16)</f>
        <v>0</v>
      </c>
      <c r="K114" s="305">
        <f>+SUM([7]FLOREANA!M15:M16)</f>
        <v>0</v>
      </c>
      <c r="L114" s="305">
        <f>+SUM([7]FLOREANA!N15:N16)</f>
        <v>0</v>
      </c>
      <c r="M114" s="305">
        <f>+SUM([7]FLOREANA!O15:O16)</f>
        <v>0</v>
      </c>
      <c r="N114" s="306">
        <f>+SUM([7]FLOREANA!P15:P16)</f>
        <v>0</v>
      </c>
      <c r="O114" s="307">
        <f>SUM(C114:N114)</f>
        <v>2839.5</v>
      </c>
      <c r="P114" s="421" t="s">
        <v>73</v>
      </c>
    </row>
    <row r="115" spans="1:17" x14ac:dyDescent="0.25">
      <c r="A115" s="639">
        <v>21</v>
      </c>
      <c r="B115" s="594" t="s">
        <v>103</v>
      </c>
      <c r="C115" s="653">
        <f t="shared" ref="C115:N115" si="56">C95/C114</f>
        <v>29.530989824236819</v>
      </c>
      <c r="D115" s="653">
        <f t="shared" si="56"/>
        <v>20.666930379746834</v>
      </c>
      <c r="E115" s="653">
        <f t="shared" si="56"/>
        <v>34.362934362934361</v>
      </c>
      <c r="F115" s="653">
        <f t="shared" si="56"/>
        <v>12.752053187328901</v>
      </c>
      <c r="G115" s="653" t="e">
        <f t="shared" si="56"/>
        <v>#DIV/0!</v>
      </c>
      <c r="H115" s="653" t="e">
        <f t="shared" si="56"/>
        <v>#DIV/0!</v>
      </c>
      <c r="I115" s="653" t="e">
        <f t="shared" si="56"/>
        <v>#DIV/0!</v>
      </c>
      <c r="J115" s="653" t="e">
        <f t="shared" si="56"/>
        <v>#DIV/0!</v>
      </c>
      <c r="K115" s="653" t="e">
        <f t="shared" si="56"/>
        <v>#DIV/0!</v>
      </c>
      <c r="L115" s="653" t="e">
        <f t="shared" si="56"/>
        <v>#DIV/0!</v>
      </c>
      <c r="M115" s="653" t="e">
        <f t="shared" si="56"/>
        <v>#DIV/0!</v>
      </c>
      <c r="N115" s="654" t="e">
        <f t="shared" si="56"/>
        <v>#DIV/0!</v>
      </c>
      <c r="O115" s="377" t="s">
        <v>73</v>
      </c>
      <c r="P115" s="634" t="e">
        <f>AVERAGE(C115:N115)</f>
        <v>#DIV/0!</v>
      </c>
    </row>
    <row r="116" spans="1:17" x14ac:dyDescent="0.25">
      <c r="A116" s="639">
        <v>22</v>
      </c>
      <c r="B116" s="594" t="s">
        <v>104</v>
      </c>
      <c r="C116" s="305">
        <f>+SUM([7]FLOREANA!E13:E14)</f>
        <v>540.5</v>
      </c>
      <c r="D116" s="305">
        <f>+SUM([7]FLOREANA!F13:F14)</f>
        <v>632</v>
      </c>
      <c r="E116" s="305">
        <f>+SUM([7]FLOREANA!G13:G14)</f>
        <v>705.5</v>
      </c>
      <c r="F116" s="305">
        <f>+SUM([7]FLOREANA!H13:H14)</f>
        <v>408.5</v>
      </c>
      <c r="G116" s="305">
        <f>+SUM([7]FLOREANA!I13:I14)</f>
        <v>0</v>
      </c>
      <c r="H116" s="305">
        <f>+SUM([7]FLOREANA!J13:J14)</f>
        <v>0</v>
      </c>
      <c r="I116" s="305">
        <f>+SUM([7]FLOREANA!K13:K14)</f>
        <v>0</v>
      </c>
      <c r="J116" s="305">
        <f>+SUM([7]FLOREANA!L13:L14)</f>
        <v>0</v>
      </c>
      <c r="K116" s="305">
        <f>+SUM([7]FLOREANA!M13:M14)</f>
        <v>0</v>
      </c>
      <c r="L116" s="305">
        <f>+SUM([7]FLOREANA!N13:N14)</f>
        <v>0</v>
      </c>
      <c r="M116" s="305">
        <f>+SUM([7]FLOREANA!O13:O14)</f>
        <v>0</v>
      </c>
      <c r="N116" s="306">
        <f>+SUM([7]FLOREANA!P13:P14)</f>
        <v>0</v>
      </c>
      <c r="O116" s="307">
        <f>SUM(C116:N116)</f>
        <v>2286.5</v>
      </c>
      <c r="P116" s="421" t="s">
        <v>73</v>
      </c>
    </row>
    <row r="117" spans="1:17" x14ac:dyDescent="0.25">
      <c r="A117" s="639">
        <v>23</v>
      </c>
      <c r="B117" s="594" t="s">
        <v>105</v>
      </c>
      <c r="C117" s="653">
        <f t="shared" ref="C117:N117" si="57">C97/C116</f>
        <v>10.570767807585568</v>
      </c>
      <c r="D117" s="653">
        <f t="shared" si="57"/>
        <v>10.132120253164556</v>
      </c>
      <c r="E117" s="653">
        <f t="shared" si="57"/>
        <v>10.293408929836994</v>
      </c>
      <c r="F117" s="653">
        <f t="shared" si="57"/>
        <v>10.390452876376989</v>
      </c>
      <c r="G117" s="653" t="e">
        <f t="shared" si="57"/>
        <v>#DIV/0!</v>
      </c>
      <c r="H117" s="653" t="e">
        <f t="shared" si="57"/>
        <v>#DIV/0!</v>
      </c>
      <c r="I117" s="653" t="e">
        <f t="shared" si="57"/>
        <v>#DIV/0!</v>
      </c>
      <c r="J117" s="653" t="e">
        <f t="shared" si="57"/>
        <v>#DIV/0!</v>
      </c>
      <c r="K117" s="653" t="e">
        <f t="shared" si="57"/>
        <v>#DIV/0!</v>
      </c>
      <c r="L117" s="653" t="e">
        <f t="shared" si="57"/>
        <v>#DIV/0!</v>
      </c>
      <c r="M117" s="653" t="e">
        <f t="shared" si="57"/>
        <v>#DIV/0!</v>
      </c>
      <c r="N117" s="653" t="e">
        <f t="shared" si="57"/>
        <v>#DIV/0!</v>
      </c>
      <c r="O117" s="377" t="s">
        <v>73</v>
      </c>
      <c r="P117" s="634" t="e">
        <f>AVERAGE(C117:N117)</f>
        <v>#DIV/0!</v>
      </c>
    </row>
    <row r="118" spans="1:17" ht="15.75" thickBot="1" x14ac:dyDescent="0.3">
      <c r="A118" s="639">
        <v>24</v>
      </c>
      <c r="B118" s="616" t="s">
        <v>33</v>
      </c>
      <c r="C118" s="391">
        <f>+[7]COMERCIAL!D16</f>
        <v>76</v>
      </c>
      <c r="D118" s="391">
        <f>+[7]COMERCIAL!E16</f>
        <v>75</v>
      </c>
      <c r="E118" s="391">
        <f>+[7]COMERCIAL!F16</f>
        <v>75</v>
      </c>
      <c r="F118" s="391">
        <f>+[7]COMERCIAL!G16</f>
        <v>75</v>
      </c>
      <c r="G118" s="391">
        <f>+[7]COMERCIAL!H16</f>
        <v>0</v>
      </c>
      <c r="H118" s="391">
        <f>+[7]COMERCIAL!I16</f>
        <v>0</v>
      </c>
      <c r="I118" s="391">
        <f>+[7]COMERCIAL!J16</f>
        <v>0</v>
      </c>
      <c r="J118" s="391">
        <f>+[7]COMERCIAL!K16</f>
        <v>0</v>
      </c>
      <c r="K118" s="391">
        <f>+[7]COMERCIAL!L16</f>
        <v>0</v>
      </c>
      <c r="L118" s="391">
        <f>+[7]COMERCIAL!M16</f>
        <v>0</v>
      </c>
      <c r="M118" s="391">
        <f>+[7]COMERCIAL!N16</f>
        <v>0</v>
      </c>
      <c r="N118" s="392">
        <f>+[7]COMERCIAL!O16</f>
        <v>0</v>
      </c>
      <c r="O118" s="393" t="s">
        <v>73</v>
      </c>
      <c r="P118" s="393" t="s">
        <v>73</v>
      </c>
    </row>
    <row r="119" spans="1:17" x14ac:dyDescent="0.25">
      <c r="A119" s="639"/>
      <c r="B119" s="617"/>
      <c r="C119" s="618"/>
      <c r="D119" s="618"/>
      <c r="E119" s="618"/>
      <c r="F119" s="618"/>
      <c r="G119" s="618"/>
      <c r="H119" s="618"/>
      <c r="I119" s="620"/>
      <c r="J119" s="620"/>
      <c r="K119" s="621"/>
      <c r="L119" s="621"/>
      <c r="M119" s="621"/>
      <c r="N119" s="621"/>
      <c r="O119" s="621"/>
    </row>
    <row r="120" spans="1:17" x14ac:dyDescent="0.25">
      <c r="A120" s="639"/>
      <c r="B120" s="617"/>
      <c r="C120" s="618"/>
      <c r="D120" s="618"/>
      <c r="E120" s="618"/>
      <c r="F120" s="618"/>
      <c r="G120" s="618"/>
      <c r="H120" s="618"/>
      <c r="I120" s="618"/>
      <c r="J120" s="618"/>
      <c r="K120" s="618"/>
      <c r="L120" s="618"/>
      <c r="M120" s="618"/>
      <c r="N120" s="618"/>
      <c r="O120" s="621"/>
    </row>
    <row r="121" spans="1:17" x14ac:dyDescent="0.25">
      <c r="A121" s="639"/>
      <c r="B121" s="617"/>
      <c r="C121" s="618"/>
      <c r="D121" s="618"/>
      <c r="E121" s="618"/>
      <c r="F121" s="618"/>
      <c r="G121" s="618"/>
      <c r="H121" s="618"/>
      <c r="I121" s="620"/>
      <c r="J121" s="620"/>
      <c r="K121" s="621"/>
      <c r="L121" s="621"/>
      <c r="M121" s="621"/>
      <c r="N121" s="621"/>
      <c r="O121" s="621"/>
    </row>
    <row r="122" spans="1:17" x14ac:dyDescent="0.25">
      <c r="A122" s="639"/>
      <c r="B122" s="617"/>
      <c r="C122" s="618"/>
      <c r="D122" s="618"/>
      <c r="E122" s="618"/>
      <c r="F122" s="618"/>
      <c r="G122" s="618"/>
      <c r="H122" s="618"/>
      <c r="I122" s="620"/>
      <c r="J122" s="620"/>
      <c r="K122" s="621"/>
      <c r="L122" s="621"/>
      <c r="M122" s="621"/>
      <c r="N122" s="621"/>
      <c r="O122" s="621"/>
    </row>
    <row r="123" spans="1:17" x14ac:dyDescent="0.25">
      <c r="A123" s="639"/>
      <c r="B123" s="617"/>
      <c r="C123" s="655"/>
      <c r="D123" s="618"/>
      <c r="E123" s="618"/>
      <c r="F123" s="618"/>
      <c r="G123" s="618"/>
      <c r="H123" s="618"/>
      <c r="I123" s="620"/>
      <c r="J123" s="620"/>
      <c r="K123" s="621"/>
      <c r="L123" s="621"/>
      <c r="M123" s="621"/>
      <c r="N123" s="621"/>
      <c r="O123" s="621"/>
    </row>
    <row r="124" spans="1:17" x14ac:dyDescent="0.25">
      <c r="A124" s="639"/>
      <c r="B124" s="743" t="s">
        <v>0</v>
      </c>
      <c r="C124" s="743"/>
      <c r="D124" s="743"/>
      <c r="E124" s="743"/>
      <c r="F124" s="743"/>
      <c r="G124" s="743"/>
      <c r="H124" s="743"/>
      <c r="I124" s="743"/>
      <c r="J124" s="743"/>
      <c r="K124" s="743"/>
      <c r="L124" s="743"/>
      <c r="M124" s="743"/>
      <c r="N124" s="743"/>
      <c r="O124" s="743"/>
    </row>
    <row r="125" spans="1:17" x14ac:dyDescent="0.25">
      <c r="A125" s="639"/>
      <c r="B125" s="743" t="s">
        <v>234</v>
      </c>
      <c r="C125" s="743"/>
      <c r="D125" s="743"/>
      <c r="E125" s="743"/>
      <c r="F125" s="743"/>
      <c r="G125" s="743"/>
      <c r="H125" s="743"/>
      <c r="I125" s="743"/>
      <c r="J125" s="743"/>
      <c r="K125" s="743"/>
      <c r="L125" s="743"/>
      <c r="M125" s="743"/>
      <c r="N125" s="743"/>
      <c r="O125" s="743"/>
    </row>
    <row r="126" spans="1:17" ht="15.75" thickBot="1" x14ac:dyDescent="0.3">
      <c r="A126" s="639"/>
      <c r="C126" s="636"/>
      <c r="D126" s="636"/>
      <c r="E126" s="656"/>
      <c r="F126" s="636"/>
      <c r="G126" s="636"/>
      <c r="H126" s="636"/>
      <c r="I126" s="637"/>
      <c r="J126" s="637"/>
      <c r="K126" s="638"/>
      <c r="M126" s="638"/>
      <c r="N126" s="638"/>
      <c r="O126" s="638"/>
    </row>
    <row r="127" spans="1:17" ht="15.75" thickBot="1" x14ac:dyDescent="0.3">
      <c r="A127" s="639"/>
      <c r="B127" s="747" t="s">
        <v>52</v>
      </c>
      <c r="C127" s="748"/>
      <c r="D127" s="748"/>
      <c r="E127" s="748"/>
      <c r="F127" s="748"/>
      <c r="G127" s="748"/>
      <c r="H127" s="748"/>
      <c r="I127" s="748"/>
      <c r="J127" s="748"/>
      <c r="K127" s="748"/>
      <c r="L127" s="748"/>
      <c r="M127" s="748"/>
      <c r="N127" s="748"/>
      <c r="O127" s="748"/>
      <c r="P127" s="749"/>
    </row>
    <row r="128" spans="1:17" ht="15.75" thickBot="1" x14ac:dyDescent="0.3">
      <c r="A128" s="639"/>
      <c r="B128" s="346" t="s">
        <v>57</v>
      </c>
      <c r="C128" s="347" t="s">
        <v>58</v>
      </c>
      <c r="D128" s="347" t="s">
        <v>59</v>
      </c>
      <c r="E128" s="347" t="s">
        <v>60</v>
      </c>
      <c r="F128" s="347" t="s">
        <v>61</v>
      </c>
      <c r="G128" s="347" t="s">
        <v>62</v>
      </c>
      <c r="H128" s="347" t="s">
        <v>63</v>
      </c>
      <c r="I128" s="348" t="s">
        <v>64</v>
      </c>
      <c r="J128" s="348" t="s">
        <v>65</v>
      </c>
      <c r="K128" s="347" t="s">
        <v>66</v>
      </c>
      <c r="L128" s="347" t="s">
        <v>67</v>
      </c>
      <c r="M128" s="347" t="s">
        <v>68</v>
      </c>
      <c r="N128" s="349" t="s">
        <v>69</v>
      </c>
      <c r="O128" s="350" t="s">
        <v>70</v>
      </c>
      <c r="P128" s="350" t="s">
        <v>71</v>
      </c>
      <c r="Q128" s="385"/>
    </row>
    <row r="129" spans="1:19" x14ac:dyDescent="0.25">
      <c r="A129" s="639">
        <v>1</v>
      </c>
      <c r="B129" s="594" t="s">
        <v>100</v>
      </c>
      <c r="C129" s="600">
        <f>C130+C132+C134+C136+C138</f>
        <v>5038018.3900000006</v>
      </c>
      <c r="D129" s="600">
        <f t="shared" ref="D129:N129" si="58">D130+D132+D134+D136+D138</f>
        <v>4863417.3505859375</v>
      </c>
      <c r="E129" s="600">
        <f t="shared" si="58"/>
        <v>5477180.4720312506</v>
      </c>
      <c r="F129" s="600">
        <f>F130+F132+F134+F136+F138</f>
        <v>4977034.3893125001</v>
      </c>
      <c r="G129" s="600">
        <f t="shared" si="58"/>
        <v>0</v>
      </c>
      <c r="H129" s="600">
        <f t="shared" si="58"/>
        <v>0</v>
      </c>
      <c r="I129" s="600">
        <f t="shared" si="58"/>
        <v>0</v>
      </c>
      <c r="J129" s="600">
        <f t="shared" si="58"/>
        <v>0</v>
      </c>
      <c r="K129" s="600">
        <f t="shared" si="58"/>
        <v>0</v>
      </c>
      <c r="L129" s="600">
        <f t="shared" si="58"/>
        <v>0</v>
      </c>
      <c r="M129" s="600">
        <f t="shared" si="58"/>
        <v>0</v>
      </c>
      <c r="N129" s="600">
        <f t="shared" si="58"/>
        <v>0</v>
      </c>
      <c r="O129" s="624">
        <f>SUM(C129:N129)</f>
        <v>20355650.601929687</v>
      </c>
      <c r="P129" s="657" t="s">
        <v>73</v>
      </c>
      <c r="Q129" s="385"/>
      <c r="S129" s="588"/>
    </row>
    <row r="130" spans="1:19" x14ac:dyDescent="0.25">
      <c r="A130" s="639">
        <v>2</v>
      </c>
      <c r="B130" s="642" t="s">
        <v>99</v>
      </c>
      <c r="C130" s="305">
        <f t="shared" ref="C130:N130" si="59">C7+C35+C71+C95</f>
        <v>4354066.5</v>
      </c>
      <c r="D130" s="305">
        <f t="shared" si="59"/>
        <v>4441666.5</v>
      </c>
      <c r="E130" s="305">
        <f t="shared" si="59"/>
        <v>5166493</v>
      </c>
      <c r="F130" s="305">
        <f t="shared" si="59"/>
        <v>4501855.5</v>
      </c>
      <c r="G130" s="305">
        <f t="shared" si="59"/>
        <v>0</v>
      </c>
      <c r="H130" s="305">
        <f t="shared" si="59"/>
        <v>0</v>
      </c>
      <c r="I130" s="305">
        <f t="shared" si="59"/>
        <v>0</v>
      </c>
      <c r="J130" s="305">
        <f t="shared" si="59"/>
        <v>0</v>
      </c>
      <c r="K130" s="305">
        <f t="shared" si="59"/>
        <v>0</v>
      </c>
      <c r="L130" s="305">
        <f t="shared" si="59"/>
        <v>0</v>
      </c>
      <c r="M130" s="305">
        <f t="shared" si="59"/>
        <v>0</v>
      </c>
      <c r="N130" s="306">
        <f t="shared" si="59"/>
        <v>0</v>
      </c>
      <c r="O130" s="307">
        <f>SUM(C130:N130)</f>
        <v>18464081.5</v>
      </c>
      <c r="P130" s="449" t="s">
        <v>73</v>
      </c>
      <c r="Q130" s="385"/>
      <c r="S130" s="588"/>
    </row>
    <row r="131" spans="1:19" x14ac:dyDescent="0.25">
      <c r="A131" s="639">
        <v>3</v>
      </c>
      <c r="B131" s="590" t="s">
        <v>75</v>
      </c>
      <c r="C131" s="608">
        <f t="shared" ref="C131:N131" si="60">C130/C129</f>
        <v>0.86424188300749727</v>
      </c>
      <c r="D131" s="608">
        <f t="shared" si="60"/>
        <v>0.91328096682158577</v>
      </c>
      <c r="E131" s="608">
        <f t="shared" si="60"/>
        <v>0.94327602064278337</v>
      </c>
      <c r="F131" s="608">
        <f t="shared" si="60"/>
        <v>0.90452569700284136</v>
      </c>
      <c r="G131" s="608" t="e">
        <f t="shared" si="60"/>
        <v>#DIV/0!</v>
      </c>
      <c r="H131" s="608" t="e">
        <f t="shared" si="60"/>
        <v>#DIV/0!</v>
      </c>
      <c r="I131" s="608" t="e">
        <f t="shared" si="60"/>
        <v>#DIV/0!</v>
      </c>
      <c r="J131" s="608" t="e">
        <f t="shared" si="60"/>
        <v>#DIV/0!</v>
      </c>
      <c r="K131" s="608" t="e">
        <f t="shared" si="60"/>
        <v>#DIV/0!</v>
      </c>
      <c r="L131" s="608" t="e">
        <f t="shared" si="60"/>
        <v>#DIV/0!</v>
      </c>
      <c r="M131" s="608" t="e">
        <f t="shared" si="60"/>
        <v>#DIV/0!</v>
      </c>
      <c r="N131" s="609" t="e">
        <f t="shared" si="60"/>
        <v>#DIV/0!</v>
      </c>
      <c r="O131" s="377" t="s">
        <v>73</v>
      </c>
      <c r="P131" s="658" t="e">
        <f>AVERAGE(C131:N131)</f>
        <v>#DIV/0!</v>
      </c>
      <c r="Q131" s="385"/>
      <c r="S131" s="588"/>
    </row>
    <row r="132" spans="1:19" x14ac:dyDescent="0.25">
      <c r="A132" s="639">
        <v>4</v>
      </c>
      <c r="B132" s="642" t="s">
        <v>107</v>
      </c>
      <c r="C132" s="305">
        <f t="shared" ref="C132:N132" si="61">C97</f>
        <v>5713.5</v>
      </c>
      <c r="D132" s="305">
        <f t="shared" si="61"/>
        <v>6403.5</v>
      </c>
      <c r="E132" s="305">
        <f t="shared" si="61"/>
        <v>7262</v>
      </c>
      <c r="F132" s="305">
        <f t="shared" si="61"/>
        <v>4244.5</v>
      </c>
      <c r="G132" s="305">
        <f t="shared" si="61"/>
        <v>0</v>
      </c>
      <c r="H132" s="305">
        <f t="shared" si="61"/>
        <v>0</v>
      </c>
      <c r="I132" s="305">
        <f t="shared" si="61"/>
        <v>0</v>
      </c>
      <c r="J132" s="305">
        <f t="shared" si="61"/>
        <v>0</v>
      </c>
      <c r="K132" s="305">
        <f t="shared" si="61"/>
        <v>0</v>
      </c>
      <c r="L132" s="305">
        <f t="shared" si="61"/>
        <v>0</v>
      </c>
      <c r="M132" s="305">
        <f t="shared" si="61"/>
        <v>0</v>
      </c>
      <c r="N132" s="306">
        <f t="shared" si="61"/>
        <v>0</v>
      </c>
      <c r="O132" s="307">
        <f>SUM(C132:N132)</f>
        <v>23623.5</v>
      </c>
      <c r="P132" s="449" t="s">
        <v>73</v>
      </c>
      <c r="Q132" s="385"/>
      <c r="S132" s="588"/>
    </row>
    <row r="133" spans="1:19" x14ac:dyDescent="0.25">
      <c r="A133" s="639">
        <v>5</v>
      </c>
      <c r="B133" s="642" t="s">
        <v>229</v>
      </c>
      <c r="C133" s="608">
        <f t="shared" ref="C133:N133" si="62">C132/C129</f>
        <v>1.134076844844546E-3</v>
      </c>
      <c r="D133" s="608">
        <f t="shared" si="62"/>
        <v>1.3166667670888898E-3</v>
      </c>
      <c r="E133" s="608">
        <f t="shared" si="62"/>
        <v>1.3258646555618855E-3</v>
      </c>
      <c r="F133" s="608">
        <f t="shared" si="62"/>
        <v>8.5281709306941553E-4</v>
      </c>
      <c r="G133" s="608" t="e">
        <f t="shared" si="62"/>
        <v>#DIV/0!</v>
      </c>
      <c r="H133" s="608" t="e">
        <f t="shared" si="62"/>
        <v>#DIV/0!</v>
      </c>
      <c r="I133" s="608" t="e">
        <f t="shared" si="62"/>
        <v>#DIV/0!</v>
      </c>
      <c r="J133" s="608" t="e">
        <f t="shared" si="62"/>
        <v>#DIV/0!</v>
      </c>
      <c r="K133" s="608" t="e">
        <f t="shared" si="62"/>
        <v>#DIV/0!</v>
      </c>
      <c r="L133" s="608" t="e">
        <f t="shared" si="62"/>
        <v>#DIV/0!</v>
      </c>
      <c r="M133" s="608" t="e">
        <f t="shared" si="62"/>
        <v>#DIV/0!</v>
      </c>
      <c r="N133" s="609" t="e">
        <f t="shared" si="62"/>
        <v>#DIV/0!</v>
      </c>
      <c r="O133" s="377" t="s">
        <v>73</v>
      </c>
      <c r="P133" s="658" t="e">
        <f>AVERAGE(C133:N133)</f>
        <v>#DIV/0!</v>
      </c>
      <c r="S133" s="588"/>
    </row>
    <row r="134" spans="1:19" x14ac:dyDescent="0.25">
      <c r="A134" s="639">
        <v>6</v>
      </c>
      <c r="B134" s="594" t="s">
        <v>76</v>
      </c>
      <c r="C134" s="305">
        <f t="shared" ref="C134:N134" si="63">C9+C37</f>
        <v>509854.9</v>
      </c>
      <c r="D134" s="305">
        <f t="shared" si="63"/>
        <v>227028.3505859375</v>
      </c>
      <c r="E134" s="305">
        <f t="shared" si="63"/>
        <v>97530.742031250003</v>
      </c>
      <c r="F134" s="305">
        <f t="shared" si="63"/>
        <v>276842.0703125</v>
      </c>
      <c r="G134" s="305">
        <f t="shared" si="63"/>
        <v>0</v>
      </c>
      <c r="H134" s="305">
        <f t="shared" si="63"/>
        <v>0</v>
      </c>
      <c r="I134" s="305">
        <f t="shared" si="63"/>
        <v>0</v>
      </c>
      <c r="J134" s="305">
        <f t="shared" si="63"/>
        <v>0</v>
      </c>
      <c r="K134" s="305">
        <f t="shared" si="63"/>
        <v>0</v>
      </c>
      <c r="L134" s="305">
        <f t="shared" si="63"/>
        <v>0</v>
      </c>
      <c r="M134" s="305">
        <f t="shared" si="63"/>
        <v>0</v>
      </c>
      <c r="N134" s="305">
        <f t="shared" si="63"/>
        <v>0</v>
      </c>
      <c r="O134" s="307">
        <f>SUM(C134:N134)</f>
        <v>1111256.0629296876</v>
      </c>
      <c r="P134" s="449" t="s">
        <v>73</v>
      </c>
      <c r="S134" s="588"/>
    </row>
    <row r="135" spans="1:19" x14ac:dyDescent="0.25">
      <c r="A135" s="639">
        <v>7</v>
      </c>
      <c r="B135" s="594" t="s">
        <v>77</v>
      </c>
      <c r="C135" s="608">
        <f t="shared" ref="C135:N135" si="64">C134/C129</f>
        <v>0.1012014765591199</v>
      </c>
      <c r="D135" s="608">
        <f t="shared" si="64"/>
        <v>4.6680828360038944E-2</v>
      </c>
      <c r="E135" s="608">
        <f t="shared" si="64"/>
        <v>1.7806742452486698E-2</v>
      </c>
      <c r="F135" s="608">
        <f t="shared" si="64"/>
        <v>5.5623901435557774E-2</v>
      </c>
      <c r="G135" s="608" t="e">
        <f t="shared" si="64"/>
        <v>#DIV/0!</v>
      </c>
      <c r="H135" s="608" t="e">
        <f t="shared" si="64"/>
        <v>#DIV/0!</v>
      </c>
      <c r="I135" s="608" t="e">
        <f t="shared" si="64"/>
        <v>#DIV/0!</v>
      </c>
      <c r="J135" s="608" t="e">
        <f t="shared" si="64"/>
        <v>#DIV/0!</v>
      </c>
      <c r="K135" s="608" t="e">
        <f t="shared" si="64"/>
        <v>#DIV/0!</v>
      </c>
      <c r="L135" s="608" t="e">
        <f t="shared" si="64"/>
        <v>#DIV/0!</v>
      </c>
      <c r="M135" s="608" t="e">
        <f t="shared" si="64"/>
        <v>#DIV/0!</v>
      </c>
      <c r="N135" s="609" t="e">
        <f t="shared" si="64"/>
        <v>#DIV/0!</v>
      </c>
      <c r="O135" s="377" t="s">
        <v>73</v>
      </c>
      <c r="P135" s="658" t="e">
        <f>AVERAGE(C135:N135)</f>
        <v>#DIV/0!</v>
      </c>
      <c r="S135" s="588"/>
    </row>
    <row r="136" spans="1:19" x14ac:dyDescent="0.25">
      <c r="A136" s="639">
        <v>8</v>
      </c>
      <c r="B136" s="594" t="s">
        <v>108</v>
      </c>
      <c r="C136" s="305">
        <f t="shared" ref="C136:N136" si="65">C11+C39+C99</f>
        <v>165019.49</v>
      </c>
      <c r="D136" s="305">
        <f t="shared" si="65"/>
        <v>184955</v>
      </c>
      <c r="E136" s="305">
        <f t="shared" si="65"/>
        <v>202530.73</v>
      </c>
      <c r="F136" s="305">
        <f t="shared" si="65"/>
        <v>190728.31899999999</v>
      </c>
      <c r="G136" s="305">
        <f t="shared" si="65"/>
        <v>0</v>
      </c>
      <c r="H136" s="305">
        <f t="shared" si="65"/>
        <v>0</v>
      </c>
      <c r="I136" s="305">
        <f t="shared" si="65"/>
        <v>0</v>
      </c>
      <c r="J136" s="305">
        <f t="shared" si="65"/>
        <v>0</v>
      </c>
      <c r="K136" s="305">
        <f t="shared" si="65"/>
        <v>0</v>
      </c>
      <c r="L136" s="305">
        <f t="shared" si="65"/>
        <v>0</v>
      </c>
      <c r="M136" s="305">
        <f t="shared" si="65"/>
        <v>0</v>
      </c>
      <c r="N136" s="305">
        <f t="shared" si="65"/>
        <v>0</v>
      </c>
      <c r="O136" s="307">
        <f>SUM(C136:N136)</f>
        <v>743233.53899999999</v>
      </c>
      <c r="P136" s="449" t="s">
        <v>73</v>
      </c>
      <c r="S136" s="588"/>
    </row>
    <row r="137" spans="1:19" x14ac:dyDescent="0.25">
      <c r="A137" s="639"/>
      <c r="B137" s="597" t="s">
        <v>109</v>
      </c>
      <c r="C137" s="608">
        <f t="shared" ref="C137:N137" si="66">C136/C129</f>
        <v>3.2754840738086301E-2</v>
      </c>
      <c r="D137" s="608">
        <f t="shared" si="66"/>
        <v>3.8029843352373797E-2</v>
      </c>
      <c r="E137" s="608">
        <f t="shared" si="66"/>
        <v>3.6977187630425123E-2</v>
      </c>
      <c r="F137" s="608">
        <f t="shared" si="66"/>
        <v>3.8321679956554638E-2</v>
      </c>
      <c r="G137" s="608" t="e">
        <f t="shared" si="66"/>
        <v>#DIV/0!</v>
      </c>
      <c r="H137" s="608" t="e">
        <f t="shared" si="66"/>
        <v>#DIV/0!</v>
      </c>
      <c r="I137" s="608" t="e">
        <f t="shared" si="66"/>
        <v>#DIV/0!</v>
      </c>
      <c r="J137" s="608" t="e">
        <f t="shared" si="66"/>
        <v>#DIV/0!</v>
      </c>
      <c r="K137" s="608" t="e">
        <f t="shared" si="66"/>
        <v>#DIV/0!</v>
      </c>
      <c r="L137" s="608" t="e">
        <f t="shared" si="66"/>
        <v>#DIV/0!</v>
      </c>
      <c r="M137" s="608" t="e">
        <f t="shared" si="66"/>
        <v>#DIV/0!</v>
      </c>
      <c r="N137" s="609" t="e">
        <f t="shared" si="66"/>
        <v>#DIV/0!</v>
      </c>
      <c r="O137" s="377" t="s">
        <v>73</v>
      </c>
      <c r="P137" s="658" t="e">
        <f>AVERAGE(C137:N137)</f>
        <v>#DIV/0!</v>
      </c>
      <c r="S137" s="588"/>
    </row>
    <row r="138" spans="1:19" x14ac:dyDescent="0.25">
      <c r="A138" s="639"/>
      <c r="B138" s="597" t="s">
        <v>155</v>
      </c>
      <c r="C138" s="305">
        <f>+[7]COMERCIAL!D29</f>
        <v>3364</v>
      </c>
      <c r="D138" s="305">
        <f>+[7]COMERCIAL!E29</f>
        <v>3364</v>
      </c>
      <c r="E138" s="305">
        <f>+[7]COMERCIAL!F29</f>
        <v>3364</v>
      </c>
      <c r="F138" s="305">
        <f>+[7]COMERCIAL!G29</f>
        <v>3364</v>
      </c>
      <c r="G138" s="305">
        <f>+[7]COMERCIAL!H29</f>
        <v>0</v>
      </c>
      <c r="H138" s="305">
        <f>+[7]COMERCIAL!I29</f>
        <v>0</v>
      </c>
      <c r="I138" s="305">
        <f>+[7]COMERCIAL!J29</f>
        <v>0</v>
      </c>
      <c r="J138" s="305">
        <f>+[7]COMERCIAL!K29</f>
        <v>0</v>
      </c>
      <c r="K138" s="305">
        <f>+[7]COMERCIAL!L29</f>
        <v>0</v>
      </c>
      <c r="L138" s="305">
        <f>+[7]COMERCIAL!M29</f>
        <v>0</v>
      </c>
      <c r="M138" s="305">
        <f>+[7]COMERCIAL!N29</f>
        <v>0</v>
      </c>
      <c r="N138" s="305">
        <f>+[7]COMERCIAL!O29</f>
        <v>0</v>
      </c>
      <c r="O138" s="307">
        <f>SUM(C138:N138)</f>
        <v>13456</v>
      </c>
      <c r="P138" s="629"/>
    </row>
    <row r="139" spans="1:19" x14ac:dyDescent="0.25">
      <c r="A139" s="639">
        <v>9</v>
      </c>
      <c r="B139" s="594" t="s">
        <v>151</v>
      </c>
      <c r="C139" s="317">
        <f t="shared" ref="C139:N139" si="67">C13+C42+C74+C102</f>
        <v>54494.93</v>
      </c>
      <c r="D139" s="317">
        <f t="shared" si="67"/>
        <v>63457.099999999962</v>
      </c>
      <c r="E139" s="317">
        <f t="shared" si="67"/>
        <v>80018.250000000058</v>
      </c>
      <c r="F139" s="317">
        <f t="shared" si="67"/>
        <v>68885.579999999929</v>
      </c>
      <c r="G139" s="317">
        <f t="shared" si="67"/>
        <v>-2184671.9299999997</v>
      </c>
      <c r="H139" s="317">
        <f t="shared" si="67"/>
        <v>0</v>
      </c>
      <c r="I139" s="317">
        <f t="shared" si="67"/>
        <v>0</v>
      </c>
      <c r="J139" s="317">
        <f t="shared" si="67"/>
        <v>0</v>
      </c>
      <c r="K139" s="317">
        <f t="shared" si="67"/>
        <v>0</v>
      </c>
      <c r="L139" s="317">
        <f t="shared" si="67"/>
        <v>0</v>
      </c>
      <c r="M139" s="317">
        <f t="shared" si="67"/>
        <v>0</v>
      </c>
      <c r="N139" s="359">
        <f t="shared" si="67"/>
        <v>0</v>
      </c>
      <c r="O139" s="318">
        <f t="shared" ref="O139:O143" si="68">SUM(C139:N139)</f>
        <v>-1917816.0699999998</v>
      </c>
      <c r="P139" s="450" t="s">
        <v>73</v>
      </c>
    </row>
    <row r="140" spans="1:19" x14ac:dyDescent="0.25">
      <c r="A140" s="639">
        <v>10</v>
      </c>
      <c r="B140" s="594" t="s">
        <v>235</v>
      </c>
      <c r="C140" s="317">
        <f t="shared" ref="C140:N140" si="69">C43</f>
        <v>68393.08</v>
      </c>
      <c r="D140" s="317">
        <f t="shared" si="69"/>
        <v>84832.38</v>
      </c>
      <c r="E140" s="317">
        <f t="shared" si="69"/>
        <v>88978.718999999997</v>
      </c>
      <c r="F140" s="317">
        <f t="shared" si="69"/>
        <v>109253.001</v>
      </c>
      <c r="G140" s="317">
        <f t="shared" si="69"/>
        <v>-88512.1</v>
      </c>
      <c r="H140" s="317">
        <f t="shared" si="69"/>
        <v>0</v>
      </c>
      <c r="I140" s="317">
        <f t="shared" si="69"/>
        <v>0</v>
      </c>
      <c r="J140" s="317">
        <f t="shared" si="69"/>
        <v>0</v>
      </c>
      <c r="K140" s="317">
        <f t="shared" si="69"/>
        <v>0</v>
      </c>
      <c r="L140" s="317">
        <f t="shared" si="69"/>
        <v>0</v>
      </c>
      <c r="M140" s="317">
        <f t="shared" si="69"/>
        <v>0</v>
      </c>
      <c r="N140" s="317">
        <f t="shared" si="69"/>
        <v>0</v>
      </c>
      <c r="O140" s="318">
        <f t="shared" si="68"/>
        <v>262945.07999999996</v>
      </c>
      <c r="P140" s="450" t="s">
        <v>73</v>
      </c>
      <c r="Q140" s="385"/>
    </row>
    <row r="141" spans="1:19" x14ac:dyDescent="0.25">
      <c r="A141" s="639">
        <v>11</v>
      </c>
      <c r="B141" s="594" t="s">
        <v>81</v>
      </c>
      <c r="C141" s="600">
        <f>C129-C139-C140</f>
        <v>4915130.3800000008</v>
      </c>
      <c r="D141" s="600">
        <f>D129-D139-D140</f>
        <v>4715127.870585938</v>
      </c>
      <c r="E141" s="600">
        <f t="shared" ref="E141:N141" si="70">E129-E139-E140</f>
        <v>5308183.503031251</v>
      </c>
      <c r="F141" s="600">
        <f t="shared" si="70"/>
        <v>4798895.8083124999</v>
      </c>
      <c r="G141" s="600">
        <f t="shared" si="70"/>
        <v>2273184.0299999998</v>
      </c>
      <c r="H141" s="600">
        <f t="shared" si="70"/>
        <v>0</v>
      </c>
      <c r="I141" s="600">
        <f t="shared" si="70"/>
        <v>0</v>
      </c>
      <c r="J141" s="600">
        <f t="shared" si="70"/>
        <v>0</v>
      </c>
      <c r="K141" s="600">
        <f t="shared" si="70"/>
        <v>0</v>
      </c>
      <c r="L141" s="600">
        <f t="shared" si="70"/>
        <v>0</v>
      </c>
      <c r="M141" s="600">
        <f t="shared" si="70"/>
        <v>0</v>
      </c>
      <c r="N141" s="600">
        <f t="shared" si="70"/>
        <v>0</v>
      </c>
      <c r="O141" s="602">
        <f t="shared" si="68"/>
        <v>22010521.591929689</v>
      </c>
      <c r="P141" s="659" t="s">
        <v>73</v>
      </c>
      <c r="R141" s="685"/>
    </row>
    <row r="142" spans="1:19" x14ac:dyDescent="0.25">
      <c r="A142" s="639">
        <v>12</v>
      </c>
      <c r="B142" s="594" t="s">
        <v>82</v>
      </c>
      <c r="C142" s="400">
        <f t="shared" ref="C142:N142" si="71">+C15+C45+C76+C104</f>
        <v>4739681.648097001</v>
      </c>
      <c r="D142" s="400">
        <f t="shared" si="71"/>
        <v>4647195.61099</v>
      </c>
      <c r="E142" s="400">
        <f t="shared" si="71"/>
        <v>4982729.7901099995</v>
      </c>
      <c r="F142" s="400">
        <f t="shared" si="71"/>
        <v>4556937.872641</v>
      </c>
      <c r="G142" s="400">
        <f t="shared" si="71"/>
        <v>2744933</v>
      </c>
      <c r="H142" s="400">
        <f t="shared" si="71"/>
        <v>0</v>
      </c>
      <c r="I142" s="400">
        <f t="shared" si="71"/>
        <v>0</v>
      </c>
      <c r="J142" s="400">
        <f t="shared" si="71"/>
        <v>0</v>
      </c>
      <c r="K142" s="400">
        <f t="shared" si="71"/>
        <v>0</v>
      </c>
      <c r="L142" s="400">
        <f t="shared" si="71"/>
        <v>0</v>
      </c>
      <c r="M142" s="400">
        <f t="shared" si="71"/>
        <v>0</v>
      </c>
      <c r="N142" s="401">
        <f t="shared" si="71"/>
        <v>0</v>
      </c>
      <c r="O142" s="402">
        <f t="shared" si="68"/>
        <v>21671477.921838</v>
      </c>
      <c r="P142" s="452" t="s">
        <v>73</v>
      </c>
    </row>
    <row r="143" spans="1:19" x14ac:dyDescent="0.25">
      <c r="A143" s="639">
        <v>13</v>
      </c>
      <c r="B143" s="594" t="s">
        <v>86</v>
      </c>
      <c r="C143" s="600">
        <f t="shared" ref="C143:N143" si="72">+C19+C52+C79+C106</f>
        <v>175448.73190299919</v>
      </c>
      <c r="D143" s="600">
        <f t="shared" si="72"/>
        <v>67932.25959593759</v>
      </c>
      <c r="E143" s="600">
        <f t="shared" si="72"/>
        <v>325453.71292125003</v>
      </c>
      <c r="F143" s="600">
        <f t="shared" si="72"/>
        <v>241957.93567149976</v>
      </c>
      <c r="G143" s="600">
        <f t="shared" si="72"/>
        <v>-471748.97</v>
      </c>
      <c r="H143" s="600">
        <f t="shared" si="72"/>
        <v>0</v>
      </c>
      <c r="I143" s="600">
        <f t="shared" si="72"/>
        <v>0</v>
      </c>
      <c r="J143" s="600">
        <f t="shared" si="72"/>
        <v>0</v>
      </c>
      <c r="K143" s="600">
        <f t="shared" si="72"/>
        <v>0</v>
      </c>
      <c r="L143" s="600">
        <f t="shared" si="72"/>
        <v>0</v>
      </c>
      <c r="M143" s="600">
        <f t="shared" si="72"/>
        <v>0</v>
      </c>
      <c r="N143" s="601">
        <f t="shared" si="72"/>
        <v>0</v>
      </c>
      <c r="O143" s="402">
        <f t="shared" si="68"/>
        <v>339043.67009168654</v>
      </c>
      <c r="P143" s="452" t="s">
        <v>73</v>
      </c>
    </row>
    <row r="144" spans="1:19" x14ac:dyDescent="0.25">
      <c r="A144" s="639">
        <v>14</v>
      </c>
      <c r="B144" s="594" t="s">
        <v>87</v>
      </c>
      <c r="C144" s="632">
        <f t="shared" ref="C144:N144" si="73">+C143/C141</f>
        <v>3.5695641486319873E-2</v>
      </c>
      <c r="D144" s="632">
        <f t="shared" si="73"/>
        <v>1.4407299538940353E-2</v>
      </c>
      <c r="E144" s="632">
        <f t="shared" si="73"/>
        <v>6.1311692170287424E-2</v>
      </c>
      <c r="F144" s="632">
        <f t="shared" si="73"/>
        <v>5.0419501763799009E-2</v>
      </c>
      <c r="G144" s="632">
        <f t="shared" si="73"/>
        <v>-0.20752783926605362</v>
      </c>
      <c r="H144" s="632" t="e">
        <f t="shared" si="73"/>
        <v>#DIV/0!</v>
      </c>
      <c r="I144" s="632" t="e">
        <f t="shared" si="73"/>
        <v>#DIV/0!</v>
      </c>
      <c r="J144" s="632" t="e">
        <f t="shared" si="73"/>
        <v>#DIV/0!</v>
      </c>
      <c r="K144" s="632" t="e">
        <f t="shared" si="73"/>
        <v>#DIV/0!</v>
      </c>
      <c r="L144" s="632" t="e">
        <f t="shared" si="73"/>
        <v>#DIV/0!</v>
      </c>
      <c r="M144" s="632" t="e">
        <f t="shared" si="73"/>
        <v>#DIV/0!</v>
      </c>
      <c r="N144" s="633" t="e">
        <f t="shared" si="73"/>
        <v>#DIV/0!</v>
      </c>
      <c r="O144" s="404" t="s">
        <v>73</v>
      </c>
      <c r="P144" s="658" t="e">
        <f>AVERAGE(C144:N144)</f>
        <v>#DIV/0!</v>
      </c>
    </row>
    <row r="145" spans="1:20" x14ac:dyDescent="0.25">
      <c r="A145" s="639">
        <v>15</v>
      </c>
      <c r="B145" s="594" t="s">
        <v>88</v>
      </c>
      <c r="C145" s="317">
        <f t="shared" ref="C145:N145" si="74">C21+C54+C81+C108</f>
        <v>4198934</v>
      </c>
      <c r="D145" s="317">
        <f t="shared" si="74"/>
        <v>4506174</v>
      </c>
      <c r="E145" s="317">
        <f t="shared" si="74"/>
        <v>4683018</v>
      </c>
      <c r="F145" s="317">
        <f t="shared" si="74"/>
        <v>4747583</v>
      </c>
      <c r="G145" s="317">
        <f t="shared" si="74"/>
        <v>0</v>
      </c>
      <c r="H145" s="317">
        <f t="shared" si="74"/>
        <v>0</v>
      </c>
      <c r="I145" s="317">
        <f t="shared" si="74"/>
        <v>0</v>
      </c>
      <c r="J145" s="317">
        <f t="shared" si="74"/>
        <v>0</v>
      </c>
      <c r="K145" s="317">
        <f t="shared" si="74"/>
        <v>0</v>
      </c>
      <c r="L145" s="317">
        <f t="shared" si="74"/>
        <v>0</v>
      </c>
      <c r="M145" s="317">
        <f t="shared" si="74"/>
        <v>0</v>
      </c>
      <c r="N145" s="359">
        <f t="shared" si="74"/>
        <v>0</v>
      </c>
      <c r="O145" s="318">
        <f>SUM(C145:N145)</f>
        <v>18135709</v>
      </c>
      <c r="P145" s="450" t="s">
        <v>73</v>
      </c>
    </row>
    <row r="146" spans="1:20" x14ac:dyDescent="0.25">
      <c r="A146" s="639"/>
      <c r="B146" s="594" t="s">
        <v>228</v>
      </c>
      <c r="C146" s="610" t="e">
        <f>#REF!+#REF!+#REF!+#REF!</f>
        <v>#REF!</v>
      </c>
      <c r="D146" s="610" t="e">
        <f>#REF!+#REF!+#REF!+#REF!</f>
        <v>#REF!</v>
      </c>
      <c r="E146" s="610" t="e">
        <f>#REF!+#REF!+#REF!+#REF!</f>
        <v>#REF!</v>
      </c>
      <c r="F146" s="610" t="e">
        <f>#REF!+#REF!+#REF!+#REF!</f>
        <v>#REF!</v>
      </c>
      <c r="G146" s="610" t="e">
        <f>#REF!+#REF!+#REF!+#REF!</f>
        <v>#REF!</v>
      </c>
      <c r="H146" s="610" t="e">
        <f>#REF!+#REF!+#REF!+#REF!</f>
        <v>#REF!</v>
      </c>
      <c r="I146" s="610" t="e">
        <f>#REF!+#REF!+#REF!+#REF!</f>
        <v>#REF!</v>
      </c>
      <c r="J146" s="610" t="e">
        <f>#REF!+#REF!+#REF!+#REF!</f>
        <v>#REF!</v>
      </c>
      <c r="K146" s="610" t="e">
        <f>#REF!+#REF!+#REF!+#REF!</f>
        <v>#REF!</v>
      </c>
      <c r="L146" s="610" t="e">
        <f>#REF!+#REF!+#REF!+#REF!</f>
        <v>#REF!</v>
      </c>
      <c r="M146" s="610"/>
      <c r="N146" s="610"/>
      <c r="O146" s="611" t="e">
        <f>SUM(C146:N146)</f>
        <v>#REF!</v>
      </c>
      <c r="P146" s="612"/>
    </row>
    <row r="147" spans="1:20" x14ac:dyDescent="0.25">
      <c r="A147" s="639">
        <v>16</v>
      </c>
      <c r="B147" s="594" t="s">
        <v>89</v>
      </c>
      <c r="C147" s="600">
        <f t="shared" ref="C147:N147" si="75">+C22+C55+C82+C109</f>
        <v>540747.64809700043</v>
      </c>
      <c r="D147" s="600">
        <f t="shared" si="75"/>
        <v>141021.61098999993</v>
      </c>
      <c r="E147" s="600">
        <f t="shared" si="75"/>
        <v>299711.79010999983</v>
      </c>
      <c r="F147" s="600">
        <f t="shared" si="75"/>
        <v>-190645.12735900001</v>
      </c>
      <c r="G147" s="600">
        <f t="shared" si="75"/>
        <v>2744933</v>
      </c>
      <c r="H147" s="600">
        <f t="shared" si="75"/>
        <v>0</v>
      </c>
      <c r="I147" s="600">
        <f t="shared" si="75"/>
        <v>0</v>
      </c>
      <c r="J147" s="600">
        <f t="shared" si="75"/>
        <v>0</v>
      </c>
      <c r="K147" s="600">
        <f t="shared" si="75"/>
        <v>0</v>
      </c>
      <c r="L147" s="600">
        <f t="shared" si="75"/>
        <v>0</v>
      </c>
      <c r="M147" s="600">
        <f t="shared" si="75"/>
        <v>0</v>
      </c>
      <c r="N147" s="601">
        <f t="shared" si="75"/>
        <v>0</v>
      </c>
      <c r="O147" s="402">
        <f>SUM(C147:N147)</f>
        <v>3535768.9218380004</v>
      </c>
      <c r="P147" s="452" t="s">
        <v>73</v>
      </c>
    </row>
    <row r="148" spans="1:20" x14ac:dyDescent="0.25">
      <c r="A148" s="639">
        <v>17</v>
      </c>
      <c r="B148" s="594" t="s">
        <v>90</v>
      </c>
      <c r="C148" s="632">
        <f>+C147/C141</f>
        <v>0.11001694894958215</v>
      </c>
      <c r="D148" s="632">
        <f t="shared" ref="D148:N148" si="76">+D147/D141</f>
        <v>2.9908332257482448E-2</v>
      </c>
      <c r="E148" s="632">
        <f t="shared" si="76"/>
        <v>5.6462213474505675E-2</v>
      </c>
      <c r="F148" s="686">
        <f t="shared" si="76"/>
        <v>-3.9726873633882685E-2</v>
      </c>
      <c r="G148" s="632">
        <f t="shared" si="76"/>
        <v>1.2075278392660538</v>
      </c>
      <c r="H148" s="632" t="e">
        <f t="shared" si="76"/>
        <v>#DIV/0!</v>
      </c>
      <c r="I148" s="632" t="e">
        <f t="shared" si="76"/>
        <v>#DIV/0!</v>
      </c>
      <c r="J148" s="632" t="e">
        <f t="shared" si="76"/>
        <v>#DIV/0!</v>
      </c>
      <c r="K148" s="632" t="e">
        <f t="shared" si="76"/>
        <v>#DIV/0!</v>
      </c>
      <c r="L148" s="632" t="e">
        <f t="shared" si="76"/>
        <v>#DIV/0!</v>
      </c>
      <c r="M148" s="632" t="e">
        <f t="shared" si="76"/>
        <v>#DIV/0!</v>
      </c>
      <c r="N148" s="633" t="e">
        <f t="shared" si="76"/>
        <v>#DIV/0!</v>
      </c>
      <c r="O148" s="404" t="s">
        <v>73</v>
      </c>
      <c r="P148" s="658" t="e">
        <f>AVERAGE(C148:N148)</f>
        <v>#DIV/0!</v>
      </c>
    </row>
    <row r="149" spans="1:20" x14ac:dyDescent="0.25">
      <c r="A149" s="639">
        <v>18</v>
      </c>
      <c r="B149" s="594" t="s">
        <v>91</v>
      </c>
      <c r="C149" s="600">
        <f t="shared" ref="C149:N149" si="77">C141-C145</f>
        <v>716196.38000000082</v>
      </c>
      <c r="D149" s="600">
        <f t="shared" si="77"/>
        <v>208953.87058593798</v>
      </c>
      <c r="E149" s="600">
        <f t="shared" si="77"/>
        <v>625165.50303125102</v>
      </c>
      <c r="F149" s="600">
        <f t="shared" si="77"/>
        <v>51312.808312499896</v>
      </c>
      <c r="G149" s="600">
        <f t="shared" si="77"/>
        <v>2273184.0299999998</v>
      </c>
      <c r="H149" s="600">
        <f>H141-H145</f>
        <v>0</v>
      </c>
      <c r="I149" s="600">
        <f t="shared" si="77"/>
        <v>0</v>
      </c>
      <c r="J149" s="600">
        <f t="shared" si="77"/>
        <v>0</v>
      </c>
      <c r="K149" s="600">
        <f t="shared" si="77"/>
        <v>0</v>
      </c>
      <c r="L149" s="600">
        <f t="shared" si="77"/>
        <v>0</v>
      </c>
      <c r="M149" s="600">
        <f t="shared" si="77"/>
        <v>0</v>
      </c>
      <c r="N149" s="601">
        <f t="shared" si="77"/>
        <v>0</v>
      </c>
      <c r="O149" s="602">
        <f>SUM(C149:N149)</f>
        <v>3874812.5919296895</v>
      </c>
      <c r="P149" s="659" t="s">
        <v>73</v>
      </c>
      <c r="R149" s="687"/>
    </row>
    <row r="150" spans="1:20" s="695" customFormat="1" ht="20.100000000000001" customHeight="1" x14ac:dyDescent="0.25">
      <c r="A150" s="688">
        <v>19</v>
      </c>
      <c r="B150" s="689" t="s">
        <v>92</v>
      </c>
      <c r="C150" s="690">
        <f t="shared" ref="C150:N150" si="78">(C149/C141)</f>
        <v>0.14571259043590226</v>
      </c>
      <c r="D150" s="690">
        <f t="shared" si="78"/>
        <v>4.4315631796422901E-2</v>
      </c>
      <c r="E150" s="690">
        <f t="shared" si="78"/>
        <v>0.11777390564479331</v>
      </c>
      <c r="F150" s="690">
        <f t="shared" si="78"/>
        <v>1.0692628129916349E-2</v>
      </c>
      <c r="G150" s="690">
        <f t="shared" si="78"/>
        <v>1</v>
      </c>
      <c r="H150" s="690" t="e">
        <f t="shared" si="78"/>
        <v>#DIV/0!</v>
      </c>
      <c r="I150" s="690" t="e">
        <f t="shared" si="78"/>
        <v>#DIV/0!</v>
      </c>
      <c r="J150" s="690" t="e">
        <f t="shared" si="78"/>
        <v>#DIV/0!</v>
      </c>
      <c r="K150" s="690" t="e">
        <f t="shared" si="78"/>
        <v>#DIV/0!</v>
      </c>
      <c r="L150" s="690" t="e">
        <f t="shared" si="78"/>
        <v>#DIV/0!</v>
      </c>
      <c r="M150" s="690" t="e">
        <f t="shared" si="78"/>
        <v>#DIV/0!</v>
      </c>
      <c r="N150" s="690" t="e">
        <f t="shared" si="78"/>
        <v>#DIV/0!</v>
      </c>
      <c r="O150" s="691" t="s">
        <v>73</v>
      </c>
      <c r="P150" s="692" t="e">
        <f>AVERAGE(C150:N150)</f>
        <v>#DIV/0!</v>
      </c>
      <c r="Q150" s="693"/>
      <c r="R150" s="694"/>
      <c r="S150" s="693"/>
      <c r="T150" s="693"/>
    </row>
    <row r="151" spans="1:20" x14ac:dyDescent="0.25">
      <c r="A151" s="639">
        <v>20</v>
      </c>
      <c r="B151" s="594" t="s">
        <v>93</v>
      </c>
      <c r="C151" s="305">
        <f>+'[7]POTENCIA MAX'!E5*1000</f>
        <v>9524.4709160582406</v>
      </c>
      <c r="D151" s="305">
        <f>+'[7]POTENCIA MAX'!F5*1000</f>
        <v>9923.1925535897353</v>
      </c>
      <c r="E151" s="305">
        <f>+'[7]POTENCIA MAX'!G5*1000</f>
        <v>9948.1677799999998</v>
      </c>
      <c r="F151" s="305">
        <f>+'[7]POTENCIA MAX'!H5*1000</f>
        <v>0</v>
      </c>
      <c r="G151" s="305">
        <f>+'[7]POTENCIA MAX'!I5*1000</f>
        <v>0</v>
      </c>
      <c r="H151" s="305">
        <f>+'[7]POTENCIA MAX'!J5*1000</f>
        <v>0</v>
      </c>
      <c r="I151" s="305">
        <f>+'[7]POTENCIA MAX'!K5*1000</f>
        <v>0</v>
      </c>
      <c r="J151" s="305">
        <f>+'[7]POTENCIA MAX'!L5*1000</f>
        <v>0</v>
      </c>
      <c r="K151" s="305">
        <f>+'[7]POTENCIA MAX'!M5*1000</f>
        <v>0</v>
      </c>
      <c r="L151" s="305">
        <f>+'[7]POTENCIA MAX'!N5*1000</f>
        <v>0</v>
      </c>
      <c r="M151" s="305">
        <f>+'[7]POTENCIA MAX'!O5*1000</f>
        <v>0</v>
      </c>
      <c r="N151" s="305">
        <f>+'[7]POTENCIA MAX'!P5*1000</f>
        <v>0</v>
      </c>
      <c r="O151" s="307">
        <f>+MAX(C151:N151)</f>
        <v>9948.1677799999998</v>
      </c>
      <c r="P151" s="449" t="s">
        <v>73</v>
      </c>
    </row>
    <row r="152" spans="1:20" x14ac:dyDescent="0.25">
      <c r="A152" s="639">
        <v>21</v>
      </c>
      <c r="B152" s="594" t="s">
        <v>31</v>
      </c>
      <c r="C152" s="305">
        <f t="shared" ref="C152:N152" si="79">C27+C60+C87+C114</f>
        <v>324701.5</v>
      </c>
      <c r="D152" s="305">
        <f t="shared" si="79"/>
        <v>320905</v>
      </c>
      <c r="E152" s="305">
        <f t="shared" si="79"/>
        <v>371538.5</v>
      </c>
      <c r="F152" s="305">
        <f t="shared" si="79"/>
        <v>327335.5</v>
      </c>
      <c r="G152" s="305">
        <f t="shared" si="79"/>
        <v>0</v>
      </c>
      <c r="H152" s="305">
        <f t="shared" si="79"/>
        <v>0</v>
      </c>
      <c r="I152" s="305">
        <f t="shared" si="79"/>
        <v>0</v>
      </c>
      <c r="J152" s="305">
        <f t="shared" si="79"/>
        <v>0</v>
      </c>
      <c r="K152" s="305">
        <f t="shared" si="79"/>
        <v>0</v>
      </c>
      <c r="L152" s="305">
        <f t="shared" si="79"/>
        <v>0</v>
      </c>
      <c r="M152" s="305">
        <f t="shared" si="79"/>
        <v>0</v>
      </c>
      <c r="N152" s="306">
        <f t="shared" si="79"/>
        <v>0</v>
      </c>
      <c r="O152" s="307">
        <f>SUM(C152:N152)</f>
        <v>1344480.5</v>
      </c>
      <c r="P152" s="449" t="s">
        <v>73</v>
      </c>
    </row>
    <row r="153" spans="1:20" x14ac:dyDescent="0.25">
      <c r="A153" s="639">
        <v>22</v>
      </c>
      <c r="B153" s="594" t="s">
        <v>110</v>
      </c>
      <c r="C153" s="613">
        <f t="shared" ref="C153:N153" si="80">C130/C152</f>
        <v>13.409443750644822</v>
      </c>
      <c r="D153" s="613">
        <f t="shared" si="80"/>
        <v>13.84106355463455</v>
      </c>
      <c r="E153" s="613">
        <f t="shared" si="80"/>
        <v>13.905673301690134</v>
      </c>
      <c r="F153" s="613">
        <f t="shared" si="80"/>
        <v>13.753031675452251</v>
      </c>
      <c r="G153" s="613" t="e">
        <f t="shared" si="80"/>
        <v>#DIV/0!</v>
      </c>
      <c r="H153" s="613" t="e">
        <f t="shared" si="80"/>
        <v>#DIV/0!</v>
      </c>
      <c r="I153" s="613" t="e">
        <f t="shared" si="80"/>
        <v>#DIV/0!</v>
      </c>
      <c r="J153" s="613" t="e">
        <f t="shared" si="80"/>
        <v>#DIV/0!</v>
      </c>
      <c r="K153" s="613" t="e">
        <f t="shared" si="80"/>
        <v>#DIV/0!</v>
      </c>
      <c r="L153" s="613" t="e">
        <f t="shared" si="80"/>
        <v>#DIV/0!</v>
      </c>
      <c r="M153" s="613" t="e">
        <f t="shared" si="80"/>
        <v>#DIV/0!</v>
      </c>
      <c r="N153" s="614" t="e">
        <f t="shared" si="80"/>
        <v>#DIV/0!</v>
      </c>
      <c r="O153" s="377" t="s">
        <v>73</v>
      </c>
      <c r="P153" s="634" t="e">
        <f>AVERAGE(C153:N153)</f>
        <v>#DIV/0!</v>
      </c>
    </row>
    <row r="154" spans="1:20" x14ac:dyDescent="0.25">
      <c r="A154" s="639">
        <v>23</v>
      </c>
      <c r="B154" s="594" t="s">
        <v>111</v>
      </c>
      <c r="C154" s="305">
        <f t="shared" ref="C154:N154" si="81">C116</f>
        <v>540.5</v>
      </c>
      <c r="D154" s="305">
        <f t="shared" si="81"/>
        <v>632</v>
      </c>
      <c r="E154" s="305">
        <f t="shared" si="81"/>
        <v>705.5</v>
      </c>
      <c r="F154" s="305">
        <f t="shared" si="81"/>
        <v>408.5</v>
      </c>
      <c r="G154" s="305">
        <f t="shared" si="81"/>
        <v>0</v>
      </c>
      <c r="H154" s="305">
        <f t="shared" si="81"/>
        <v>0</v>
      </c>
      <c r="I154" s="305">
        <f t="shared" si="81"/>
        <v>0</v>
      </c>
      <c r="J154" s="305">
        <f t="shared" si="81"/>
        <v>0</v>
      </c>
      <c r="K154" s="305">
        <f t="shared" si="81"/>
        <v>0</v>
      </c>
      <c r="L154" s="305">
        <f t="shared" si="81"/>
        <v>0</v>
      </c>
      <c r="M154" s="305">
        <f t="shared" si="81"/>
        <v>0</v>
      </c>
      <c r="N154" s="306">
        <f t="shared" si="81"/>
        <v>0</v>
      </c>
      <c r="O154" s="307">
        <f>SUM(C154:N154)</f>
        <v>2286.5</v>
      </c>
      <c r="P154" s="449" t="s">
        <v>73</v>
      </c>
    </row>
    <row r="155" spans="1:20" x14ac:dyDescent="0.25">
      <c r="A155" s="639">
        <v>24</v>
      </c>
      <c r="B155" s="594" t="s">
        <v>112</v>
      </c>
      <c r="C155" s="613">
        <f t="shared" ref="C155:H155" si="82">C132/C154</f>
        <v>10.570767807585568</v>
      </c>
      <c r="D155" s="613">
        <f t="shared" si="82"/>
        <v>10.132120253164556</v>
      </c>
      <c r="E155" s="613">
        <f t="shared" si="82"/>
        <v>10.293408929836994</v>
      </c>
      <c r="F155" s="613">
        <f t="shared" si="82"/>
        <v>10.390452876376989</v>
      </c>
      <c r="G155" s="613" t="e">
        <f t="shared" si="82"/>
        <v>#DIV/0!</v>
      </c>
      <c r="H155" s="613" t="e">
        <f t="shared" si="82"/>
        <v>#DIV/0!</v>
      </c>
      <c r="I155" s="613">
        <v>0</v>
      </c>
      <c r="J155" s="613">
        <v>0</v>
      </c>
      <c r="K155" s="613">
        <v>0</v>
      </c>
      <c r="L155" s="613" t="e">
        <f>L132/L154</f>
        <v>#DIV/0!</v>
      </c>
      <c r="M155" s="613" t="e">
        <f>M132/M154</f>
        <v>#DIV/0!</v>
      </c>
      <c r="N155" s="614" t="e">
        <f>N132/N154</f>
        <v>#DIV/0!</v>
      </c>
      <c r="O155" s="377" t="s">
        <v>73</v>
      </c>
      <c r="P155" s="634" t="e">
        <f>AVERAGE(C155:N155)</f>
        <v>#DIV/0!</v>
      </c>
    </row>
    <row r="156" spans="1:20" ht="15.75" thickBot="1" x14ac:dyDescent="0.3">
      <c r="A156" s="639">
        <v>25</v>
      </c>
      <c r="B156" s="616" t="s">
        <v>33</v>
      </c>
      <c r="C156" s="335">
        <f>C29+C62+C89+C118</f>
        <v>10792</v>
      </c>
      <c r="D156" s="335">
        <f>D29+D62+D89+D118</f>
        <v>10827</v>
      </c>
      <c r="E156" s="335">
        <f>E29+E62+E89+E118</f>
        <v>10859</v>
      </c>
      <c r="F156" s="335">
        <f t="shared" ref="F156:N156" si="83">F89+F62+F29+F118</f>
        <v>10902</v>
      </c>
      <c r="G156" s="335">
        <f t="shared" si="83"/>
        <v>0</v>
      </c>
      <c r="H156" s="335">
        <f t="shared" si="83"/>
        <v>0</v>
      </c>
      <c r="I156" s="335">
        <f t="shared" si="83"/>
        <v>0</v>
      </c>
      <c r="J156" s="335">
        <f t="shared" si="83"/>
        <v>0</v>
      </c>
      <c r="K156" s="335">
        <f t="shared" si="83"/>
        <v>0</v>
      </c>
      <c r="L156" s="335">
        <f t="shared" si="83"/>
        <v>0</v>
      </c>
      <c r="M156" s="335">
        <f t="shared" si="83"/>
        <v>0</v>
      </c>
      <c r="N156" s="336">
        <f t="shared" si="83"/>
        <v>0</v>
      </c>
      <c r="O156" s="337" t="s">
        <v>73</v>
      </c>
      <c r="P156" s="465" t="s">
        <v>73</v>
      </c>
    </row>
    <row r="157" spans="1:20" x14ac:dyDescent="0.25">
      <c r="A157" s="639">
        <v>26</v>
      </c>
      <c r="B157" s="617"/>
      <c r="C157" s="660"/>
      <c r="D157" s="660"/>
      <c r="E157" s="660"/>
      <c r="F157" s="660"/>
      <c r="G157" s="660"/>
      <c r="H157" s="661"/>
      <c r="K157" s="414"/>
      <c r="L157" s="637"/>
      <c r="M157" s="414"/>
      <c r="N157" s="414"/>
      <c r="O157" s="414"/>
    </row>
    <row r="158" spans="1:20" x14ac:dyDescent="0.25">
      <c r="B158" s="617"/>
      <c r="C158" s="661"/>
      <c r="D158" s="663"/>
      <c r="E158" s="661"/>
      <c r="F158" s="661"/>
      <c r="G158" s="663"/>
      <c r="H158" s="662"/>
      <c r="I158" s="661"/>
      <c r="J158" s="661"/>
      <c r="K158" s="661"/>
      <c r="L158" s="661"/>
      <c r="M158" s="661"/>
      <c r="N158" s="661"/>
      <c r="O158" s="414"/>
    </row>
    <row r="159" spans="1:20" x14ac:dyDescent="0.25">
      <c r="C159" s="664"/>
      <c r="D159" s="664"/>
      <c r="E159" s="664"/>
      <c r="F159" s="664"/>
      <c r="G159" s="664"/>
      <c r="H159" s="664"/>
      <c r="I159" s="664"/>
      <c r="J159" s="664"/>
      <c r="K159" s="664"/>
      <c r="L159" s="664"/>
      <c r="M159" s="664"/>
      <c r="N159" s="664"/>
      <c r="O159" s="664"/>
    </row>
    <row r="160" spans="1:20" x14ac:dyDescent="0.25">
      <c r="C160" s="665"/>
      <c r="D160" s="665"/>
      <c r="E160" s="665"/>
      <c r="F160" s="665"/>
      <c r="G160" s="665"/>
      <c r="H160" s="666"/>
      <c r="I160" s="666"/>
      <c r="J160" s="665"/>
      <c r="K160" s="665"/>
      <c r="L160" s="665"/>
      <c r="M160" s="665"/>
      <c r="N160" s="665"/>
      <c r="O160" s="414"/>
    </row>
    <row r="161" spans="3:15" x14ac:dyDescent="0.25">
      <c r="C161" s="667"/>
      <c r="D161" s="668"/>
      <c r="E161" s="667"/>
      <c r="F161" s="667"/>
      <c r="G161" s="668"/>
      <c r="H161" s="668"/>
      <c r="I161" s="668"/>
      <c r="J161" s="667"/>
      <c r="K161" s="667"/>
      <c r="L161" s="667"/>
      <c r="M161" s="667"/>
      <c r="N161" s="663"/>
      <c r="O161" s="414"/>
    </row>
    <row r="162" spans="3:15" x14ac:dyDescent="0.25">
      <c r="C162" s="661"/>
      <c r="D162" s="661"/>
      <c r="E162" s="661"/>
      <c r="F162" s="661"/>
      <c r="G162" s="661"/>
      <c r="H162" s="662"/>
      <c r="K162" s="414"/>
      <c r="L162" s="637"/>
      <c r="M162" s="414"/>
      <c r="N162" s="669"/>
      <c r="O162" s="414"/>
    </row>
    <row r="163" spans="3:15" x14ac:dyDescent="0.25">
      <c r="C163" s="661"/>
      <c r="D163" s="661"/>
      <c r="E163" s="661"/>
      <c r="F163" s="661"/>
      <c r="G163" s="661"/>
      <c r="H163" s="661"/>
      <c r="K163" s="414"/>
      <c r="L163" s="637"/>
      <c r="M163" s="414"/>
      <c r="N163" s="670"/>
      <c r="O163" s="414"/>
    </row>
    <row r="164" spans="3:15" x14ac:dyDescent="0.25">
      <c r="C164" s="661"/>
      <c r="D164" s="661"/>
      <c r="E164" s="661"/>
      <c r="F164" s="661"/>
      <c r="G164" s="661"/>
      <c r="H164" s="661"/>
      <c r="K164" s="414"/>
      <c r="L164" s="637"/>
      <c r="M164" s="414"/>
      <c r="N164" s="414"/>
      <c r="O164" s="414"/>
    </row>
    <row r="165" spans="3:15" x14ac:dyDescent="0.25">
      <c r="C165" s="661"/>
      <c r="D165" s="661"/>
      <c r="E165" s="661"/>
      <c r="F165" s="661"/>
      <c r="G165" s="661"/>
      <c r="H165" s="661"/>
      <c r="K165" s="414"/>
      <c r="L165" s="637"/>
      <c r="M165" s="414"/>
      <c r="N165" s="414"/>
      <c r="O165" s="414"/>
    </row>
  </sheetData>
  <mergeCells count="11">
    <mergeCell ref="B66:O66"/>
    <mergeCell ref="B1:O1"/>
    <mergeCell ref="B2:O2"/>
    <mergeCell ref="B4:P4"/>
    <mergeCell ref="B32:P32"/>
    <mergeCell ref="B65:O65"/>
    <mergeCell ref="B68:P68"/>
    <mergeCell ref="B92:P92"/>
    <mergeCell ref="B124:O124"/>
    <mergeCell ref="B125:O125"/>
    <mergeCell ref="B127:P127"/>
  </mergeCells>
  <conditionalFormatting sqref="S129:S137 S92:S98 S70:S74 S34:S47 S6:S12 S14">
    <cfRule type="cellIs" dxfId="14" priority="4" stopIfTrue="1" operator="lessThan">
      <formula>0</formula>
    </cfRule>
  </conditionalFormatting>
  <conditionalFormatting sqref="S75">
    <cfRule type="cellIs" dxfId="13" priority="3" stopIfTrue="1" operator="lessThan">
      <formula>0</formula>
    </cfRule>
  </conditionalFormatting>
  <conditionalFormatting sqref="C150:P150">
    <cfRule type="cellIs" dxfId="12" priority="2" operator="greaterThan">
      <formula>0.07</formula>
    </cfRule>
  </conditionalFormatting>
  <conditionalFormatting sqref="C150:O150">
    <cfRule type="cellIs" dxfId="11" priority="1" operator="lessThan">
      <formula>0.0701</formula>
    </cfRule>
  </conditionalFormatting>
  <dataValidations count="1">
    <dataValidation type="decimal" operator="greaterThanOrEqual" allowBlank="1" showInputMessage="1" showErrorMessage="1" errorTitle="Valor no válido" error="El usuario sólo puede introducir valores positivos en esta celda." sqref="S129:S137 S92:S98 S70:S75 S34:S47 T13 S6:S12 S14">
      <formula1>0</formula1>
    </dataValidation>
  </dataValidations>
  <pageMargins left="0.70866141732283472" right="0.70866141732283472" top="0.39370078740157483" bottom="0.74803149606299213" header="0.31496062992125984" footer="0.31496062992125984"/>
  <pageSetup paperSize="9" scale="46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P140"/>
  <sheetViews>
    <sheetView showGridLines="0" zoomScale="55" zoomScaleNormal="55" workbookViewId="0">
      <pane xSplit="2" ySplit="5" topLeftCell="C21" activePane="bottomRight" state="frozen"/>
      <selection pane="topRight" activeCell="C1" sqref="C1"/>
      <selection pane="bottomLeft" activeCell="A6" sqref="A6"/>
      <selection pane="bottomRight" activeCell="BB50" sqref="BB50"/>
    </sheetView>
  </sheetViews>
  <sheetFormatPr baseColWidth="10" defaultRowHeight="15" x14ac:dyDescent="0.25"/>
  <cols>
    <col min="1" max="1" width="15.42578125" customWidth="1"/>
    <col min="2" max="2" width="29.85546875" bestFit="1" customWidth="1"/>
    <col min="3" max="14" width="14.42578125" hidden="1" customWidth="1"/>
    <col min="15" max="15" width="15.28515625" customWidth="1"/>
    <col min="16" max="27" width="14.42578125" hidden="1" customWidth="1"/>
    <col min="28" max="28" width="15.28515625" customWidth="1"/>
    <col min="29" max="40" width="14.42578125" hidden="1" customWidth="1"/>
    <col min="41" max="41" width="15.28515625" customWidth="1"/>
    <col min="42" max="53" width="11.42578125" hidden="1" customWidth="1"/>
    <col min="54" max="54" width="14.85546875" bestFit="1" customWidth="1"/>
    <col min="55" max="66" width="11.42578125" customWidth="1"/>
    <col min="67" max="67" width="14.42578125" bestFit="1" customWidth="1"/>
    <col min="68" max="80" width="14.42578125" customWidth="1"/>
    <col min="81" max="94" width="11.42578125" hidden="1" customWidth="1"/>
    <col min="95" max="102" width="14.85546875" hidden="1" customWidth="1"/>
    <col min="103" max="106" width="11.42578125" customWidth="1"/>
    <col min="107" max="107" width="11.5703125" customWidth="1"/>
    <col min="108" max="120" width="11.42578125" customWidth="1"/>
  </cols>
  <sheetData>
    <row r="1" spans="1:120" x14ac:dyDescent="0.25">
      <c r="CC1" t="s">
        <v>186</v>
      </c>
      <c r="CQ1" s="210">
        <f>+SUM(BO6:BO8)*(1+$CQ$4)</f>
        <v>16994836.879206017</v>
      </c>
      <c r="CR1" s="210">
        <f>(SUM(CQ6:CQ8)*(1+$CQ$4))</f>
        <v>18191273.39550212</v>
      </c>
      <c r="CS1" s="210">
        <v>19048111.914492361</v>
      </c>
      <c r="CT1" s="210">
        <v>20389098.993272625</v>
      </c>
      <c r="CU1" s="210">
        <v>21824491.562399019</v>
      </c>
      <c r="CV1" s="210">
        <v>23360935.768391911</v>
      </c>
      <c r="CW1" s="210">
        <v>25005545.646486703</v>
      </c>
      <c r="CX1" s="210">
        <v>26765936.059999369</v>
      </c>
    </row>
    <row r="2" spans="1:120" ht="19.5" thickBot="1" x14ac:dyDescent="0.35">
      <c r="A2" s="756" t="s">
        <v>114</v>
      </c>
      <c r="B2" s="756"/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  <c r="P2" s="756"/>
      <c r="Q2" s="756"/>
      <c r="R2" s="756"/>
      <c r="S2" s="756"/>
      <c r="T2" s="756"/>
      <c r="U2" s="756"/>
      <c r="V2" s="756"/>
      <c r="W2" s="756"/>
      <c r="X2" s="756"/>
      <c r="Y2" s="756"/>
      <c r="Z2" s="756"/>
      <c r="AA2" s="756"/>
      <c r="AB2" s="756"/>
      <c r="AC2" s="756"/>
      <c r="AD2" s="756"/>
      <c r="AE2" s="756"/>
      <c r="AF2" s="756"/>
      <c r="AG2" s="756"/>
      <c r="AH2" s="756"/>
      <c r="AI2" s="756"/>
      <c r="AJ2" s="756"/>
      <c r="AK2" s="756"/>
      <c r="AL2" s="756"/>
      <c r="AM2" s="756"/>
      <c r="AN2" s="756"/>
      <c r="AO2" s="756"/>
      <c r="CC2" t="s">
        <v>185</v>
      </c>
      <c r="CQ2" s="545">
        <v>0.39</v>
      </c>
      <c r="CR2" s="545">
        <v>0.05</v>
      </c>
      <c r="CS2" s="545">
        <v>7.0000000000000007E-2</v>
      </c>
      <c r="CT2" s="545">
        <v>0.09</v>
      </c>
      <c r="CU2" s="545">
        <v>0.11</v>
      </c>
      <c r="CV2" s="545">
        <v>0.13</v>
      </c>
      <c r="CW2" s="545">
        <v>0.15</v>
      </c>
      <c r="CX2" s="545">
        <v>0.17</v>
      </c>
      <c r="DA2" s="545">
        <v>20.12</v>
      </c>
      <c r="DB2" s="545">
        <v>20.13</v>
      </c>
      <c r="DC2" s="545">
        <v>20.14</v>
      </c>
      <c r="DD2" s="545">
        <v>20.149999999999999</v>
      </c>
      <c r="DE2" s="545">
        <v>20.16</v>
      </c>
      <c r="DF2" s="545">
        <v>20.170000000000002</v>
      </c>
      <c r="DG2" s="545">
        <v>20.18</v>
      </c>
      <c r="DH2" s="545">
        <v>20.190000000000001</v>
      </c>
      <c r="DI2" s="545">
        <v>20.2</v>
      </c>
      <c r="DJ2" s="545">
        <v>20.21</v>
      </c>
      <c r="DK2" s="545">
        <v>20.22</v>
      </c>
      <c r="DL2" s="545">
        <v>20.23</v>
      </c>
      <c r="DM2" s="545">
        <v>20.239999999999998</v>
      </c>
      <c r="DN2" s="545"/>
      <c r="DO2" s="545"/>
    </row>
    <row r="3" spans="1:120" x14ac:dyDescent="0.25">
      <c r="BB3">
        <f>(BB13+BB14)/1000</f>
        <v>4957.6557954824211</v>
      </c>
      <c r="BC3">
        <f>BB3*0.662</f>
        <v>3281.9681366093628</v>
      </c>
      <c r="CC3" t="s">
        <v>184</v>
      </c>
      <c r="CQ3" s="545">
        <v>0.41</v>
      </c>
      <c r="CR3" s="546">
        <f>+CQ1*CR2*$CQ$3</f>
        <v>348394.15602372336</v>
      </c>
      <c r="CS3" s="546">
        <f t="shared" ref="CS3:CX3" si="0">+CR1*CS2*$CQ$3</f>
        <v>522089.54645091086</v>
      </c>
      <c r="CT3" s="546">
        <f t="shared" si="0"/>
        <v>702875.32964476803</v>
      </c>
      <c r="CU3" s="546">
        <f t="shared" si="0"/>
        <v>919548.36459659541</v>
      </c>
      <c r="CV3" s="546">
        <f t="shared" si="0"/>
        <v>1163245.4002758677</v>
      </c>
      <c r="CW3" s="546">
        <f t="shared" si="0"/>
        <v>1436697.5497561023</v>
      </c>
      <c r="CX3" s="546">
        <f t="shared" si="0"/>
        <v>1742886.5315601232</v>
      </c>
      <c r="DA3" s="210">
        <f>+SUM(O6:O8)</f>
        <v>11083196</v>
      </c>
      <c r="DB3" s="210">
        <f>+SUM(AB6:AB8)</f>
        <v>11298047.060000001</v>
      </c>
      <c r="DC3" s="210">
        <f>+SUM(AO6:AO8)</f>
        <v>13805976.4375</v>
      </c>
      <c r="DD3" s="210">
        <f>+SUM(BB6:BB8)</f>
        <v>15867477.1</v>
      </c>
      <c r="DE3" s="210">
        <f>+SUM(BO6:BO8)</f>
        <v>15877089.760095308</v>
      </c>
    </row>
    <row r="4" spans="1:120" ht="15.75" thickBot="1" x14ac:dyDescent="0.3">
      <c r="C4" s="765">
        <v>2012</v>
      </c>
      <c r="D4" s="765"/>
      <c r="E4" s="765"/>
      <c r="F4" s="765"/>
      <c r="G4" s="765"/>
      <c r="H4" s="765"/>
      <c r="I4" s="765"/>
      <c r="J4" s="765"/>
      <c r="K4" s="765"/>
      <c r="L4" s="765"/>
      <c r="M4" s="765"/>
      <c r="N4" s="765"/>
      <c r="O4" s="765"/>
      <c r="P4" s="766">
        <v>2013</v>
      </c>
      <c r="Q4" s="766"/>
      <c r="R4" s="766"/>
      <c r="S4" s="766"/>
      <c r="T4" s="766"/>
      <c r="U4" s="766"/>
      <c r="V4" s="766"/>
      <c r="W4" s="766"/>
      <c r="X4" s="766"/>
      <c r="Y4" s="766"/>
      <c r="Z4" s="766"/>
      <c r="AA4" s="766"/>
      <c r="AB4" s="766"/>
      <c r="AC4" s="763">
        <v>2014</v>
      </c>
      <c r="AD4" s="763"/>
      <c r="AE4" s="763"/>
      <c r="AF4" s="763"/>
      <c r="AG4" s="763"/>
      <c r="AH4" s="763"/>
      <c r="AI4" s="763"/>
      <c r="AJ4" s="763"/>
      <c r="AK4" s="763"/>
      <c r="AL4" s="763"/>
      <c r="AM4" s="763"/>
      <c r="AN4" s="763"/>
      <c r="AO4" s="764"/>
      <c r="AP4" s="750">
        <v>2015</v>
      </c>
      <c r="AQ4" s="750"/>
      <c r="AR4" s="750"/>
      <c r="AS4" s="750"/>
      <c r="AT4" s="750"/>
      <c r="AU4" s="750"/>
      <c r="AV4" s="750"/>
      <c r="AW4" s="750"/>
      <c r="AX4" s="750"/>
      <c r="AY4" s="750"/>
      <c r="AZ4" s="750"/>
      <c r="BA4" s="750"/>
      <c r="BB4" s="750"/>
      <c r="BC4" s="751">
        <v>2016</v>
      </c>
      <c r="BD4" s="751"/>
      <c r="BE4" s="751"/>
      <c r="BF4" s="751"/>
      <c r="BG4" s="751"/>
      <c r="BH4" s="751"/>
      <c r="BI4" s="751"/>
      <c r="BJ4" s="751"/>
      <c r="BK4" s="751"/>
      <c r="BL4" s="751"/>
      <c r="BM4" s="751"/>
      <c r="BN4" s="751"/>
      <c r="BO4" s="751"/>
      <c r="BP4" s="751">
        <v>2017</v>
      </c>
      <c r="BQ4" s="751"/>
      <c r="BR4" s="751"/>
      <c r="BS4" s="751"/>
      <c r="BT4" s="751"/>
      <c r="BU4" s="751"/>
      <c r="BV4" s="751"/>
      <c r="BW4" s="751"/>
      <c r="BX4" s="751"/>
      <c r="BY4" s="751"/>
      <c r="BZ4" s="751"/>
      <c r="CA4" s="751"/>
      <c r="CB4" s="751"/>
      <c r="CC4" s="478" t="s">
        <v>167</v>
      </c>
      <c r="CQ4" s="480">
        <v>7.0400000000000004E-2</v>
      </c>
      <c r="DA4" s="210">
        <f>+SUM(O7:O8)</f>
        <v>2415117</v>
      </c>
      <c r="DB4" s="210">
        <f>+SUM(AB7:AB8)</f>
        <v>3468432.06</v>
      </c>
      <c r="DC4" s="210">
        <f>+SUM(AO7:AO8)</f>
        <v>3881642.9375</v>
      </c>
      <c r="DD4" s="210">
        <f>+SUM(BB7:BB8)</f>
        <v>3412616</v>
      </c>
      <c r="DE4" s="210">
        <f>+SUM(BO7:BO8)</f>
        <v>3152360.2445505536</v>
      </c>
      <c r="DF4" s="210">
        <f t="shared" ref="DF4:DM4" si="1">+SUM(CQ7:CQ8)</f>
        <v>3152360.2445505536</v>
      </c>
      <c r="DG4" s="210">
        <f t="shared" si="1"/>
        <v>3152360.2445505536</v>
      </c>
      <c r="DH4" s="210">
        <f t="shared" si="1"/>
        <v>3152360.2445505536</v>
      </c>
      <c r="DI4" s="210">
        <f t="shared" si="1"/>
        <v>3152360.2445505536</v>
      </c>
      <c r="DJ4" s="210">
        <f t="shared" si="1"/>
        <v>3152360.2445505536</v>
      </c>
      <c r="DK4" s="210">
        <f t="shared" si="1"/>
        <v>3152360.2445505536</v>
      </c>
      <c r="DL4" s="210">
        <f t="shared" si="1"/>
        <v>3152360.2445505536</v>
      </c>
      <c r="DM4" s="210">
        <f t="shared" si="1"/>
        <v>3152360.2445505536</v>
      </c>
      <c r="DN4" s="210"/>
      <c r="DO4" s="210"/>
      <c r="DP4" s="210"/>
    </row>
    <row r="5" spans="1:120" ht="15.75" thickBot="1" x14ac:dyDescent="0.3">
      <c r="C5" s="268">
        <v>2012</v>
      </c>
      <c r="D5" s="269" t="s">
        <v>59</v>
      </c>
      <c r="E5" s="269" t="s">
        <v>60</v>
      </c>
      <c r="F5" s="269" t="s">
        <v>61</v>
      </c>
      <c r="G5" s="269" t="s">
        <v>62</v>
      </c>
      <c r="H5" s="269" t="s">
        <v>63</v>
      </c>
      <c r="I5" s="269" t="s">
        <v>64</v>
      </c>
      <c r="J5" s="269" t="s">
        <v>65</v>
      </c>
      <c r="K5" s="269" t="s">
        <v>66</v>
      </c>
      <c r="L5" s="269" t="s">
        <v>67</v>
      </c>
      <c r="M5" s="269" t="s">
        <v>68</v>
      </c>
      <c r="N5" s="270" t="s">
        <v>69</v>
      </c>
      <c r="O5" s="271">
        <v>2012</v>
      </c>
      <c r="P5" s="268" t="s">
        <v>58</v>
      </c>
      <c r="Q5" s="269" t="s">
        <v>59</v>
      </c>
      <c r="R5" s="269" t="s">
        <v>60</v>
      </c>
      <c r="S5" s="269" t="s">
        <v>61</v>
      </c>
      <c r="T5" s="269" t="s">
        <v>62</v>
      </c>
      <c r="U5" s="269" t="s">
        <v>63</v>
      </c>
      <c r="V5" s="269" t="s">
        <v>64</v>
      </c>
      <c r="W5" s="269" t="s">
        <v>65</v>
      </c>
      <c r="X5" s="269" t="s">
        <v>66</v>
      </c>
      <c r="Y5" s="269" t="s">
        <v>67</v>
      </c>
      <c r="Z5" s="269" t="s">
        <v>68</v>
      </c>
      <c r="AA5" s="270" t="s">
        <v>69</v>
      </c>
      <c r="AB5" s="271">
        <v>2013</v>
      </c>
      <c r="AC5" s="268" t="s">
        <v>58</v>
      </c>
      <c r="AD5" s="269" t="s">
        <v>59</v>
      </c>
      <c r="AE5" s="269" t="s">
        <v>60</v>
      </c>
      <c r="AF5" s="269" t="s">
        <v>61</v>
      </c>
      <c r="AG5" s="269" t="s">
        <v>62</v>
      </c>
      <c r="AH5" s="269" t="s">
        <v>63</v>
      </c>
      <c r="AI5" s="269" t="s">
        <v>64</v>
      </c>
      <c r="AJ5" s="269" t="s">
        <v>65</v>
      </c>
      <c r="AK5" s="269" t="s">
        <v>66</v>
      </c>
      <c r="AL5" s="269" t="s">
        <v>67</v>
      </c>
      <c r="AM5" s="269" t="s">
        <v>68</v>
      </c>
      <c r="AN5" s="472" t="s">
        <v>69</v>
      </c>
      <c r="AO5" s="199">
        <v>2014</v>
      </c>
      <c r="AP5" s="477" t="s">
        <v>58</v>
      </c>
      <c r="AQ5" s="269" t="s">
        <v>59</v>
      </c>
      <c r="AR5" s="269" t="s">
        <v>60</v>
      </c>
      <c r="AS5" s="269" t="s">
        <v>61</v>
      </c>
      <c r="AT5" s="269" t="s">
        <v>62</v>
      </c>
      <c r="AU5" s="269" t="s">
        <v>63</v>
      </c>
      <c r="AV5" s="269" t="s">
        <v>64</v>
      </c>
      <c r="AW5" s="269" t="s">
        <v>65</v>
      </c>
      <c r="AX5" s="269" t="s">
        <v>66</v>
      </c>
      <c r="AY5" s="269" t="s">
        <v>67</v>
      </c>
      <c r="AZ5" s="269" t="s">
        <v>68</v>
      </c>
      <c r="BA5" s="270" t="s">
        <v>69</v>
      </c>
      <c r="BB5" s="271">
        <v>2015</v>
      </c>
      <c r="BC5" s="268" t="s">
        <v>58</v>
      </c>
      <c r="BD5" s="269" t="s">
        <v>59</v>
      </c>
      <c r="BE5" s="269" t="s">
        <v>60</v>
      </c>
      <c r="BF5" s="269" t="s">
        <v>61</v>
      </c>
      <c r="BG5" s="269" t="s">
        <v>62</v>
      </c>
      <c r="BH5" s="269" t="s">
        <v>63</v>
      </c>
      <c r="BI5" s="269" t="s">
        <v>64</v>
      </c>
      <c r="BJ5" s="269" t="s">
        <v>65</v>
      </c>
      <c r="BK5" s="269" t="s">
        <v>66</v>
      </c>
      <c r="BL5" s="269" t="s">
        <v>67</v>
      </c>
      <c r="BM5" s="269" t="s">
        <v>68</v>
      </c>
      <c r="BN5" s="270" t="s">
        <v>69</v>
      </c>
      <c r="BO5" s="271">
        <v>2016</v>
      </c>
      <c r="BP5" s="268" t="s">
        <v>58</v>
      </c>
      <c r="BQ5" s="269" t="s">
        <v>59</v>
      </c>
      <c r="BR5" s="269" t="s">
        <v>60</v>
      </c>
      <c r="BS5" s="269" t="s">
        <v>61</v>
      </c>
      <c r="BT5" s="269" t="s">
        <v>62</v>
      </c>
      <c r="BU5" s="269" t="s">
        <v>63</v>
      </c>
      <c r="BV5" s="269" t="s">
        <v>64</v>
      </c>
      <c r="BW5" s="269" t="s">
        <v>65</v>
      </c>
      <c r="BX5" s="269" t="s">
        <v>66</v>
      </c>
      <c r="BY5" s="269" t="s">
        <v>67</v>
      </c>
      <c r="BZ5" s="269" t="s">
        <v>68</v>
      </c>
      <c r="CA5" s="270" t="s">
        <v>69</v>
      </c>
      <c r="CB5" s="705">
        <v>2017</v>
      </c>
      <c r="CC5" s="268" t="s">
        <v>58</v>
      </c>
      <c r="CD5" s="269" t="s">
        <v>59</v>
      </c>
      <c r="CE5" s="269" t="s">
        <v>60</v>
      </c>
      <c r="CF5" s="269" t="s">
        <v>61</v>
      </c>
      <c r="CG5" s="269" t="s">
        <v>62</v>
      </c>
      <c r="CH5" s="269" t="s">
        <v>63</v>
      </c>
      <c r="CI5" s="269" t="s">
        <v>64</v>
      </c>
      <c r="CJ5" s="269" t="s">
        <v>65</v>
      </c>
      <c r="CK5" s="269" t="s">
        <v>66</v>
      </c>
      <c r="CL5" s="269" t="s">
        <v>67</v>
      </c>
      <c r="CM5" s="269" t="s">
        <v>68</v>
      </c>
      <c r="CN5" s="270" t="s">
        <v>69</v>
      </c>
      <c r="CQ5">
        <v>2017</v>
      </c>
      <c r="CR5">
        <v>2018</v>
      </c>
      <c r="CS5">
        <v>2019</v>
      </c>
      <c r="CT5">
        <v>2020</v>
      </c>
      <c r="CU5">
        <v>2021</v>
      </c>
      <c r="CV5">
        <v>2022</v>
      </c>
      <c r="CW5">
        <v>2023</v>
      </c>
      <c r="CX5">
        <v>2024</v>
      </c>
    </row>
    <row r="6" spans="1:120" ht="15" customHeight="1" thickBot="1" x14ac:dyDescent="0.3">
      <c r="A6" s="760" t="s">
        <v>115</v>
      </c>
      <c r="B6" s="200" t="s">
        <v>116</v>
      </c>
      <c r="C6" s="201">
        <f>'2012'!B7</f>
        <v>847901</v>
      </c>
      <c r="D6" s="201">
        <f>'2012'!C7</f>
        <v>881183</v>
      </c>
      <c r="E6" s="201">
        <f>'2012'!D7</f>
        <v>892303</v>
      </c>
      <c r="F6" s="201">
        <f>'2012'!E7</f>
        <v>1000277</v>
      </c>
      <c r="G6" s="201">
        <f>'2012'!F7</f>
        <v>964781</v>
      </c>
      <c r="H6" s="201">
        <f>'2012'!G7</f>
        <v>839844</v>
      </c>
      <c r="I6" s="201">
        <f>'2012'!H7</f>
        <v>635363</v>
      </c>
      <c r="J6" s="201">
        <f>'2012'!I7</f>
        <v>443539</v>
      </c>
      <c r="K6" s="201">
        <f>'2012'!J7</f>
        <v>425251</v>
      </c>
      <c r="L6" s="201">
        <f>'2012'!K7</f>
        <v>547196</v>
      </c>
      <c r="M6" s="201">
        <f>'2012'!L7</f>
        <v>522705</v>
      </c>
      <c r="N6" s="201">
        <f>'2012'!M7</f>
        <v>667736</v>
      </c>
      <c r="O6" s="204">
        <f>+SUM(C6:N6)</f>
        <v>8668079</v>
      </c>
      <c r="P6" s="201">
        <f>+'2013'!C7</f>
        <v>822417</v>
      </c>
      <c r="Q6" s="201">
        <f>+'2013'!D7</f>
        <v>867999</v>
      </c>
      <c r="R6" s="201">
        <f>+'2013'!E7</f>
        <v>1010206</v>
      </c>
      <c r="S6" s="201">
        <f>+'2013'!F7</f>
        <v>1094160</v>
      </c>
      <c r="T6" s="201">
        <f>+'2013'!G7</f>
        <v>606163</v>
      </c>
      <c r="U6" s="201">
        <f>+'2013'!H7</f>
        <v>372728</v>
      </c>
      <c r="V6" s="201">
        <f>+'2013'!I7</f>
        <v>464119</v>
      </c>
      <c r="W6" s="201">
        <f>+'2013'!J7</f>
        <v>396446</v>
      </c>
      <c r="X6" s="201">
        <f>+'2013'!K7</f>
        <v>439450</v>
      </c>
      <c r="Y6" s="201">
        <f>+'2013'!L7</f>
        <v>509600</v>
      </c>
      <c r="Z6" s="201">
        <f>+'2013'!M7</f>
        <v>517958</v>
      </c>
      <c r="AA6" s="201">
        <f>+'2013'!N7</f>
        <v>728369</v>
      </c>
      <c r="AB6" s="204">
        <f>+SUM(P6:AA6)</f>
        <v>7829615</v>
      </c>
      <c r="AC6" s="201">
        <f>'[6]SAN CRISTÓBAL'!D12</f>
        <v>889519</v>
      </c>
      <c r="AD6" s="202">
        <f>'[6]SAN CRISTÓBAL'!E12</f>
        <v>967287</v>
      </c>
      <c r="AE6" s="202">
        <f>'[6]SAN CRISTÓBAL'!F12</f>
        <v>1262791</v>
      </c>
      <c r="AF6" s="202">
        <f>'[6]SAN CRISTÓBAL'!G12</f>
        <v>987586.5</v>
      </c>
      <c r="AG6" s="202">
        <f>'[6]SAN CRISTÓBAL'!H12</f>
        <v>878566</v>
      </c>
      <c r="AH6" s="202">
        <f>'[6]SAN CRISTÓBAL'!I12</f>
        <v>736228</v>
      </c>
      <c r="AI6" s="202">
        <f>'[6]SAN CRISTÓBAL'!J12</f>
        <v>641683</v>
      </c>
      <c r="AJ6" s="202">
        <f>'[6]SAN CRISTÓBAL'!K12</f>
        <v>706460</v>
      </c>
      <c r="AK6" s="202">
        <f>'[6]SAN CRISTÓBAL'!L12</f>
        <v>488772</v>
      </c>
      <c r="AL6" s="202">
        <f>'[6]SAN CRISTÓBAL'!M12</f>
        <v>632074</v>
      </c>
      <c r="AM6" s="202">
        <f>'[6]SAN CRISTÓBAL'!N12</f>
        <v>790888</v>
      </c>
      <c r="AN6" s="203">
        <f>'[6]SAN CRISTÓBAL'!O12</f>
        <v>942479</v>
      </c>
      <c r="AO6" s="204">
        <f>+SUM(AC6:AN6)</f>
        <v>9924333.5</v>
      </c>
      <c r="AP6" s="201">
        <f>+'2015'!C7</f>
        <v>1033882</v>
      </c>
      <c r="AQ6" s="201">
        <f>+'2015'!D7</f>
        <v>1141812.1000000001</v>
      </c>
      <c r="AR6" s="201">
        <f>+'2015'!E7</f>
        <v>1381384</v>
      </c>
      <c r="AS6" s="201">
        <f>+'2015'!F7</f>
        <v>1327885</v>
      </c>
      <c r="AT6" s="201">
        <f>+'2015'!G7</f>
        <v>1395521</v>
      </c>
      <c r="AU6" s="201">
        <f>+'2015'!H7</f>
        <v>1143503</v>
      </c>
      <c r="AV6" s="201">
        <f>+'2015'!I7</f>
        <v>927310</v>
      </c>
      <c r="AW6" s="201">
        <f>+'2015'!J7</f>
        <v>646710</v>
      </c>
      <c r="AX6" s="201">
        <f>+'2015'!K7</f>
        <v>742248.00000000012</v>
      </c>
      <c r="AY6" s="201">
        <f>+'2015'!L7</f>
        <v>737572</v>
      </c>
      <c r="AZ6" s="201">
        <f>+'2015'!M7</f>
        <v>853822</v>
      </c>
      <c r="BA6" s="201">
        <f>+'2015'!N7</f>
        <v>1123212</v>
      </c>
      <c r="BB6" s="204">
        <f>+SUM(AP6:BA6)</f>
        <v>12454861.1</v>
      </c>
      <c r="BC6" s="696">
        <f>+'2016'!C7</f>
        <v>1261007</v>
      </c>
      <c r="BD6" s="696">
        <f>+'2016'!D7</f>
        <v>1155560</v>
      </c>
      <c r="BE6" s="696">
        <f>+'2016'!E7</f>
        <v>1476498</v>
      </c>
      <c r="BF6" s="696">
        <f>+'2016'!F7</f>
        <v>1313439</v>
      </c>
      <c r="BG6" s="481">
        <f t="shared" ref="BG6:BN6" si="2">+BG$30*SUM(CG6:CG8)-BG7-BG8</f>
        <v>1161102.3491922077</v>
      </c>
      <c r="BH6" s="481">
        <f t="shared" si="2"/>
        <v>1071943.5945218913</v>
      </c>
      <c r="BI6" s="481">
        <f t="shared" si="2"/>
        <v>962674.43932563486</v>
      </c>
      <c r="BJ6" s="481">
        <f t="shared" si="2"/>
        <v>901100.82515031472</v>
      </c>
      <c r="BK6" s="481">
        <f t="shared" si="2"/>
        <v>714962.52552929346</v>
      </c>
      <c r="BL6" s="481">
        <f t="shared" si="2"/>
        <v>893169.12877317856</v>
      </c>
      <c r="BM6" s="481">
        <f t="shared" si="2"/>
        <v>759463.95166501717</v>
      </c>
      <c r="BN6" s="481">
        <f t="shared" si="2"/>
        <v>1053808.7013872147</v>
      </c>
      <c r="BO6" s="204">
        <f>+SUM(BC6:BN6)</f>
        <v>12724729.515544754</v>
      </c>
      <c r="BP6" s="481">
        <f t="shared" ref="BP6:CA6" si="3">+BP$30*SUM(CC6:CC8)-BP7-BP8</f>
        <v>925192.43453940877</v>
      </c>
      <c r="BQ6" s="481">
        <f t="shared" si="3"/>
        <v>1217954.3249719972</v>
      </c>
      <c r="BR6" s="481">
        <f t="shared" si="3"/>
        <v>1522295.2994221447</v>
      </c>
      <c r="BS6" s="481">
        <f t="shared" si="3"/>
        <v>1402255.1639534431</v>
      </c>
      <c r="BT6" s="481">
        <f t="shared" si="3"/>
        <v>1257057.7103338491</v>
      </c>
      <c r="BU6" s="481">
        <f t="shared" si="3"/>
        <v>1163812.6022488582</v>
      </c>
      <c r="BV6" s="481">
        <f t="shared" si="3"/>
        <v>1049052.5225123966</v>
      </c>
      <c r="BW6" s="481">
        <f t="shared" si="3"/>
        <v>978996.28230562713</v>
      </c>
      <c r="BX6" s="481">
        <f t="shared" si="3"/>
        <v>792619.9871219768</v>
      </c>
      <c r="BY6" s="481">
        <f t="shared" si="3"/>
        <v>974168.10414188274</v>
      </c>
      <c r="BZ6" s="481">
        <f t="shared" si="3"/>
        <v>852258.76499796368</v>
      </c>
      <c r="CA6" s="481">
        <f t="shared" si="3"/>
        <v>1162388.4038406077</v>
      </c>
      <c r="CB6" s="204">
        <f>+SUM(BP6:CA6)</f>
        <v>13298051.600390157</v>
      </c>
      <c r="CC6" s="479">
        <f t="shared" ref="CC6:CN8" si="4">AVERAGE(C6/C$30,P6/P$30,AC6/AC$30)</f>
        <v>0.23113671037803643</v>
      </c>
      <c r="CD6" s="479">
        <f t="shared" si="4"/>
        <v>0.25507239800946252</v>
      </c>
      <c r="CE6" s="479">
        <f t="shared" si="4"/>
        <v>0.25286596105412756</v>
      </c>
      <c r="CF6" s="479">
        <f t="shared" si="4"/>
        <v>0.2607937055895897</v>
      </c>
      <c r="CG6" s="479">
        <f t="shared" si="4"/>
        <v>0.21048089560336392</v>
      </c>
      <c r="CH6" s="479">
        <f t="shared" si="4"/>
        <v>0.18414833513726489</v>
      </c>
      <c r="CI6" s="479">
        <f t="shared" si="4"/>
        <v>0.17376222988404744</v>
      </c>
      <c r="CJ6" s="479">
        <f t="shared" si="4"/>
        <v>0.15889542219645691</v>
      </c>
      <c r="CK6" s="479">
        <f t="shared" si="4"/>
        <v>0.15085983859841498</v>
      </c>
      <c r="CL6" s="479">
        <f t="shared" si="4"/>
        <v>0.17720548981162199</v>
      </c>
      <c r="CM6" s="479">
        <f t="shared" si="4"/>
        <v>0.18649260786998259</v>
      </c>
      <c r="CN6" s="479">
        <f t="shared" si="4"/>
        <v>0.21229808562005623</v>
      </c>
      <c r="CQ6" s="204">
        <f>+CQ1-CQ7-CQ8</f>
        <v>13842476.634655463</v>
      </c>
      <c r="CR6" s="546">
        <f t="shared" ref="CR6:CX6" si="5">+CR1-CR7-CR8-CR3</f>
        <v>14690518.994927842</v>
      </c>
      <c r="CS6" s="204">
        <f t="shared" si="5"/>
        <v>15373662.123490896</v>
      </c>
      <c r="CT6" s="204">
        <f t="shared" si="5"/>
        <v>16533863.419077301</v>
      </c>
      <c r="CU6" s="204">
        <f t="shared" si="5"/>
        <v>17752582.953251868</v>
      </c>
      <c r="CV6" s="204">
        <f t="shared" si="5"/>
        <v>19045330.123565488</v>
      </c>
      <c r="CW6" s="204">
        <f t="shared" si="5"/>
        <v>20416487.852180045</v>
      </c>
      <c r="CX6" s="204">
        <f t="shared" si="5"/>
        <v>21870689.28388869</v>
      </c>
    </row>
    <row r="7" spans="1:120" ht="15.75" thickBot="1" x14ac:dyDescent="0.3">
      <c r="A7" s="761"/>
      <c r="B7" s="205" t="s">
        <v>117</v>
      </c>
      <c r="C7" s="206">
        <f>+'2012'!B9</f>
        <v>85915</v>
      </c>
      <c r="D7" s="206">
        <f>+'2012'!C9</f>
        <v>19421</v>
      </c>
      <c r="E7" s="206">
        <f>+'2012'!D9</f>
        <v>166048</v>
      </c>
      <c r="F7" s="206">
        <f>+'2012'!E9</f>
        <v>55441</v>
      </c>
      <c r="G7" s="206">
        <f>+'2012'!F9</f>
        <v>115349</v>
      </c>
      <c r="H7" s="206">
        <f>+'2012'!G9</f>
        <v>128278</v>
      </c>
      <c r="I7" s="206">
        <f>+'2012'!H9</f>
        <v>265225</v>
      </c>
      <c r="J7" s="206">
        <f>+'2012'!I9</f>
        <v>403163</v>
      </c>
      <c r="K7" s="206">
        <f>+'2012'!J9</f>
        <v>353429</v>
      </c>
      <c r="L7" s="206">
        <f>+'2012'!K9</f>
        <v>274931</v>
      </c>
      <c r="M7" s="206">
        <f>+'2012'!L9</f>
        <v>292110</v>
      </c>
      <c r="N7" s="206">
        <f>+'2012'!M9</f>
        <v>239063</v>
      </c>
      <c r="O7" s="209">
        <f t="shared" ref="O7:O30" si="6">+SUM(C7:N7)</f>
        <v>2398373</v>
      </c>
      <c r="P7" s="206">
        <f>+'2013'!C9</f>
        <v>161375</v>
      </c>
      <c r="Q7" s="206">
        <f>+'2013'!D9</f>
        <v>68509</v>
      </c>
      <c r="R7" s="206">
        <f>+'2013'!E9</f>
        <v>109361</v>
      </c>
      <c r="S7" s="206">
        <f>+'2013'!F9</f>
        <v>39216</v>
      </c>
      <c r="T7" s="206">
        <f>+'2013'!G9</f>
        <v>386313</v>
      </c>
      <c r="U7" s="206">
        <f>+'2013'!H9</f>
        <v>494044</v>
      </c>
      <c r="V7" s="206">
        <f>+'2013'!I9</f>
        <v>394166</v>
      </c>
      <c r="W7" s="206">
        <f>+'2013'!J9</f>
        <v>430039</v>
      </c>
      <c r="X7" s="206">
        <f>+'2013'!K9</f>
        <v>370893</v>
      </c>
      <c r="Y7" s="206">
        <f>+'2013'!L9</f>
        <v>342672</v>
      </c>
      <c r="Z7" s="206">
        <f>+'2013'!M9</f>
        <v>355392</v>
      </c>
      <c r="AA7" s="206">
        <f>+'2013'!N9</f>
        <v>299471.06</v>
      </c>
      <c r="AB7" s="209">
        <f t="shared" ref="AB7:AB30" si="7">+SUM(P7:AA7)</f>
        <v>3451451.06</v>
      </c>
      <c r="AC7" s="206">
        <f>'[6]SAN CRISTÓBAL'!D45</f>
        <v>266583.234375</v>
      </c>
      <c r="AD7" s="207">
        <f>'[6]SAN CRISTÓBAL'!E45</f>
        <v>206789.703125</v>
      </c>
      <c r="AE7" s="207">
        <f>'[6]SAN CRISTÓBAL'!F45</f>
        <v>64602</v>
      </c>
      <c r="AF7" s="207">
        <f>'[6]SAN CRISTÓBAL'!G45</f>
        <v>156558</v>
      </c>
      <c r="AG7" s="207">
        <f>'[6]SAN CRISTÓBAL'!H45</f>
        <v>382341</v>
      </c>
      <c r="AH7" s="207">
        <f>'[6]SAN CRISTÓBAL'!I45</f>
        <v>409877</v>
      </c>
      <c r="AI7" s="207">
        <f>'[6]SAN CRISTÓBAL'!J45</f>
        <v>486786</v>
      </c>
      <c r="AJ7" s="207">
        <f>'[6]SAN CRISTÓBAL'!K45</f>
        <v>312229</v>
      </c>
      <c r="AK7" s="207">
        <f>'[6]SAN CRISTÓBAL'!L45</f>
        <v>494311</v>
      </c>
      <c r="AL7" s="207">
        <f>'[6]SAN CRISTÓBAL'!M45</f>
        <v>425371</v>
      </c>
      <c r="AM7" s="207">
        <f>'[6]SAN CRISTÓBAL'!N45</f>
        <v>331738</v>
      </c>
      <c r="AN7" s="208">
        <f>'[6]SAN CRISTÓBAL'!O45</f>
        <v>327207</v>
      </c>
      <c r="AO7" s="209">
        <f t="shared" ref="AO7:AO30" si="8">+SUM(AC7:AN7)</f>
        <v>3864392.9375</v>
      </c>
      <c r="AP7" s="206">
        <f>+'2015'!C9</f>
        <v>246347</v>
      </c>
      <c r="AQ7" s="206">
        <f>+'2015'!D9</f>
        <v>143360</v>
      </c>
      <c r="AR7" s="206">
        <f>+'2015'!E9</f>
        <v>73705</v>
      </c>
      <c r="AS7" s="206">
        <f>+'2015'!F9</f>
        <v>75127</v>
      </c>
      <c r="AT7" s="206">
        <f>+'2015'!G9</f>
        <v>91130</v>
      </c>
      <c r="AU7" s="206">
        <f>+'2015'!H9</f>
        <v>294439</v>
      </c>
      <c r="AV7" s="206">
        <f>+'2015'!I9</f>
        <v>441249</v>
      </c>
      <c r="AW7" s="206">
        <f>+'2015'!J9</f>
        <v>522849</v>
      </c>
      <c r="AX7" s="206">
        <f>+'2015'!K9</f>
        <v>389469</v>
      </c>
      <c r="AY7" s="206">
        <f>+'2015'!L9</f>
        <v>484197</v>
      </c>
      <c r="AZ7" s="206">
        <f>+'2015'!M9</f>
        <v>381672</v>
      </c>
      <c r="BA7" s="206">
        <f>+'2015'!N9</f>
        <v>252821</v>
      </c>
      <c r="BB7" s="209">
        <f t="shared" ref="BB7:BB26" si="9">+SUM(AP7:BA7)</f>
        <v>3396365</v>
      </c>
      <c r="BC7" s="697">
        <f>+'2016'!C9</f>
        <v>143915</v>
      </c>
      <c r="BD7" s="697">
        <f>+'2016'!D9</f>
        <v>28444</v>
      </c>
      <c r="BE7" s="697">
        <f>+'2016'!E9</f>
        <v>29534.16</v>
      </c>
      <c r="BF7" s="697">
        <f>+'2016'!F9</f>
        <v>104720</v>
      </c>
      <c r="BG7" s="482">
        <v>299630.31483489368</v>
      </c>
      <c r="BH7" s="482">
        <v>292648.40143270197</v>
      </c>
      <c r="BI7" s="482">
        <v>341042.2760629073</v>
      </c>
      <c r="BJ7" s="482">
        <v>267202.29930364498</v>
      </c>
      <c r="BK7" s="482">
        <v>408875.14572156832</v>
      </c>
      <c r="BL7" s="482">
        <v>321749.84130671667</v>
      </c>
      <c r="BM7" s="482">
        <v>528980.19420780463</v>
      </c>
      <c r="BN7" s="483">
        <v>367238.4922618788</v>
      </c>
      <c r="BO7" s="209">
        <f t="shared" ref="BO7:BO26" si="10">+SUM(BC7:BN7)</f>
        <v>3133980.1251321165</v>
      </c>
      <c r="BP7" s="490">
        <v>545285.39733333292</v>
      </c>
      <c r="BQ7" s="482">
        <v>285914.46349206334</v>
      </c>
      <c r="BR7" s="482">
        <v>109723.61549206352</v>
      </c>
      <c r="BS7" s="482">
        <v>194357.94353948417</v>
      </c>
      <c r="BT7" s="482">
        <v>299630.31483489368</v>
      </c>
      <c r="BU7" s="482">
        <v>292648.40143270197</v>
      </c>
      <c r="BV7" s="482">
        <v>341042.2760629073</v>
      </c>
      <c r="BW7" s="482">
        <v>267202.29930364498</v>
      </c>
      <c r="BX7" s="482">
        <v>408875.14572156832</v>
      </c>
      <c r="BY7" s="482">
        <v>321749.84130671667</v>
      </c>
      <c r="BZ7" s="482">
        <v>528980.19420780463</v>
      </c>
      <c r="CA7" s="483">
        <v>367238.4922618788</v>
      </c>
      <c r="CB7" s="209">
        <f t="shared" ref="CB7:CB26" si="11">+SUM(BP7:CA7)</f>
        <v>3962648.38498906</v>
      </c>
      <c r="CC7" s="479">
        <f t="shared" si="4"/>
        <v>4.4910861702956516E-2</v>
      </c>
      <c r="CD7" s="479">
        <f t="shared" si="4"/>
        <v>2.5312578465750819E-2</v>
      </c>
      <c r="CE7" s="479">
        <f t="shared" si="4"/>
        <v>2.8475085089057984E-2</v>
      </c>
      <c r="CF7" s="479">
        <f t="shared" si="4"/>
        <v>2.0508855950825064E-2</v>
      </c>
      <c r="CG7" s="479">
        <f t="shared" si="4"/>
        <v>7.589643359546043E-2</v>
      </c>
      <c r="CH7" s="479">
        <f t="shared" si="4"/>
        <v>0.10084485947931865</v>
      </c>
      <c r="CI7" s="479">
        <f t="shared" si="4"/>
        <v>0.11341321646617653</v>
      </c>
      <c r="CJ7" s="479">
        <f t="shared" si="4"/>
        <v>0.12140757708829204</v>
      </c>
      <c r="CK7" s="479">
        <f t="shared" si="4"/>
        <v>0.1349057187291792</v>
      </c>
      <c r="CL7" s="479">
        <f t="shared" si="4"/>
        <v>0.1086864462820782</v>
      </c>
      <c r="CM7" s="479">
        <f t="shared" si="4"/>
        <v>0.10140306767130647</v>
      </c>
      <c r="CN7" s="479">
        <f t="shared" si="4"/>
        <v>7.8779710061143524E-2</v>
      </c>
      <c r="CQ7" s="204">
        <f>+BO7</f>
        <v>3133980.1251321165</v>
      </c>
      <c r="CR7" s="204">
        <f>+CQ7</f>
        <v>3133980.1251321165</v>
      </c>
      <c r="CS7" s="204">
        <f t="shared" ref="CS7:CX7" si="12">+CR7</f>
        <v>3133980.1251321165</v>
      </c>
      <c r="CT7" s="204">
        <f t="shared" si="12"/>
        <v>3133980.1251321165</v>
      </c>
      <c r="CU7" s="204">
        <f t="shared" si="12"/>
        <v>3133980.1251321165</v>
      </c>
      <c r="CV7" s="204">
        <f t="shared" si="12"/>
        <v>3133980.1251321165</v>
      </c>
      <c r="CW7" s="204">
        <f t="shared" si="12"/>
        <v>3133980.1251321165</v>
      </c>
      <c r="CX7" s="204">
        <f t="shared" si="12"/>
        <v>3133980.1251321165</v>
      </c>
    </row>
    <row r="8" spans="1:120" x14ac:dyDescent="0.25">
      <c r="A8" s="761"/>
      <c r="B8" s="205" t="s">
        <v>118</v>
      </c>
      <c r="C8" s="206">
        <f>+'2012'!B11</f>
        <v>1507</v>
      </c>
      <c r="D8" s="206">
        <f>+'2012'!C11</f>
        <v>1244</v>
      </c>
      <c r="E8" s="206">
        <f>+'2012'!D11</f>
        <v>1215</v>
      </c>
      <c r="F8" s="206">
        <f>+'2012'!E11</f>
        <v>1493</v>
      </c>
      <c r="G8" s="206">
        <f>+'2012'!F11</f>
        <v>1470</v>
      </c>
      <c r="H8" s="206">
        <f>+'2012'!G11</f>
        <v>1367</v>
      </c>
      <c r="I8" s="206">
        <f>+'2012'!H11</f>
        <v>1443</v>
      </c>
      <c r="J8" s="206">
        <f>+'2012'!I11</f>
        <v>1103</v>
      </c>
      <c r="K8" s="206">
        <f>+'2012'!J11</f>
        <v>1343</v>
      </c>
      <c r="L8" s="206">
        <f>+'2012'!K11</f>
        <v>1666</v>
      </c>
      <c r="M8" s="206">
        <f>+'2012'!L11</f>
        <v>1420</v>
      </c>
      <c r="N8" s="206">
        <f>+'2012'!M11</f>
        <v>1473</v>
      </c>
      <c r="O8" s="209">
        <f t="shared" si="6"/>
        <v>16744</v>
      </c>
      <c r="P8" s="206">
        <f>+'2013'!C11</f>
        <v>1413</v>
      </c>
      <c r="Q8" s="206">
        <f>+'2013'!D11</f>
        <v>1188</v>
      </c>
      <c r="R8" s="206">
        <f>+'2013'!E11</f>
        <v>1259</v>
      </c>
      <c r="S8" s="206">
        <f>+'2013'!F11</f>
        <v>1440</v>
      </c>
      <c r="T8" s="206">
        <f>+'2013'!G11</f>
        <v>1565</v>
      </c>
      <c r="U8" s="206">
        <f>+'2013'!H11</f>
        <v>1375</v>
      </c>
      <c r="V8" s="206">
        <f>+'2013'!I11</f>
        <v>1393</v>
      </c>
      <c r="W8" s="206">
        <f>+'2013'!J11</f>
        <v>1465</v>
      </c>
      <c r="X8" s="206">
        <f>+'2013'!K11</f>
        <v>1426</v>
      </c>
      <c r="Y8" s="206">
        <f>+'2013'!L11</f>
        <v>1550</v>
      </c>
      <c r="Z8" s="206">
        <f>+'2013'!M11</f>
        <v>1491</v>
      </c>
      <c r="AA8" s="206">
        <f>+'2013'!N11</f>
        <v>1416</v>
      </c>
      <c r="AB8" s="209">
        <f t="shared" si="7"/>
        <v>16981</v>
      </c>
      <c r="AC8" s="206">
        <f>+'[6]SAN CRISTÓBAL'!D46+'[6]SAN CRISTÓBAL'!D47</f>
        <v>1534</v>
      </c>
      <c r="AD8" s="207">
        <f>+'[6]SAN CRISTÓBAL'!E46+'[6]SAN CRISTÓBAL'!E47</f>
        <v>1464</v>
      </c>
      <c r="AE8" s="207">
        <f>+'[6]SAN CRISTÓBAL'!F46+'[6]SAN CRISTÓBAL'!F47</f>
        <v>1415</v>
      </c>
      <c r="AF8" s="207">
        <f>+'[6]SAN CRISTÓBAL'!G46+'[6]SAN CRISTÓBAL'!G47</f>
        <v>1434</v>
      </c>
      <c r="AG8" s="207">
        <f>+'[6]SAN CRISTÓBAL'!H46+'[6]SAN CRISTÓBAL'!H47</f>
        <v>1297</v>
      </c>
      <c r="AH8" s="207">
        <f>+'[6]SAN CRISTÓBAL'!I46+'[6]SAN CRISTÓBAL'!I47</f>
        <v>1301</v>
      </c>
      <c r="AI8" s="207">
        <f>+'[6]SAN CRISTÓBAL'!J46+'[6]SAN CRISTÓBAL'!J47</f>
        <v>1353</v>
      </c>
      <c r="AJ8" s="207">
        <f>+'[6]SAN CRISTÓBAL'!K46+'[6]SAN CRISTÓBAL'!K47</f>
        <v>1521</v>
      </c>
      <c r="AK8" s="207">
        <f>+'[6]SAN CRISTÓBAL'!L46+'[6]SAN CRISTÓBAL'!L47</f>
        <v>1539</v>
      </c>
      <c r="AL8" s="207">
        <f>+'[6]SAN CRISTÓBAL'!M46+'[6]SAN CRISTÓBAL'!M47</f>
        <v>1530</v>
      </c>
      <c r="AM8" s="207">
        <f>+'[6]SAN CRISTÓBAL'!N46+'[6]SAN CRISTÓBAL'!N47</f>
        <v>1418</v>
      </c>
      <c r="AN8" s="208">
        <f>+'[6]SAN CRISTÓBAL'!O46+'[6]SAN CRISTÓBAL'!O47</f>
        <v>1444</v>
      </c>
      <c r="AO8" s="209">
        <f t="shared" si="8"/>
        <v>17250</v>
      </c>
      <c r="AP8" s="206">
        <v>1534</v>
      </c>
      <c r="AQ8" s="206">
        <v>1464</v>
      </c>
      <c r="AR8" s="206">
        <v>1415</v>
      </c>
      <c r="AS8" s="206">
        <v>1434</v>
      </c>
      <c r="AT8" s="206">
        <v>1297</v>
      </c>
      <c r="AU8" s="206">
        <v>1301</v>
      </c>
      <c r="AV8" s="206">
        <v>1301</v>
      </c>
      <c r="AW8" s="206">
        <v>1301</v>
      </c>
      <c r="AX8" s="206">
        <v>1301</v>
      </c>
      <c r="AY8" s="206">
        <v>1301</v>
      </c>
      <c r="AZ8" s="206">
        <v>1301</v>
      </c>
      <c r="BA8" s="206">
        <v>1301</v>
      </c>
      <c r="BB8" s="209">
        <f t="shared" si="9"/>
        <v>16251</v>
      </c>
      <c r="BC8" s="697">
        <f>+'2016'!C11</f>
        <v>1476</v>
      </c>
      <c r="BD8" s="697">
        <f>+'2016'!D11</f>
        <v>1301</v>
      </c>
      <c r="BE8" s="697">
        <f>+'2016'!E11</f>
        <v>1268</v>
      </c>
      <c r="BF8" s="697">
        <f>+'2016'!F11</f>
        <v>1400</v>
      </c>
      <c r="BG8" s="482">
        <v>1559.2178399412455</v>
      </c>
      <c r="BH8" s="482">
        <v>1375.3303985829355</v>
      </c>
      <c r="BI8" s="482">
        <v>1412.7838474631603</v>
      </c>
      <c r="BJ8" s="482">
        <v>1529.9199840389031</v>
      </c>
      <c r="BK8" s="482">
        <v>1755.3212688817887</v>
      </c>
      <c r="BL8" s="482">
        <v>1861.1601592754712</v>
      </c>
      <c r="BM8" s="482">
        <v>1756.0873211773587</v>
      </c>
      <c r="BN8" s="483">
        <v>1685.2985990762256</v>
      </c>
      <c r="BO8" s="209">
        <f t="shared" si="10"/>
        <v>18380.119418437087</v>
      </c>
      <c r="BP8" s="490">
        <v>1759.9014004005687</v>
      </c>
      <c r="BQ8" s="482">
        <v>1681.2221346409719</v>
      </c>
      <c r="BR8" s="482">
        <v>1782.6107143245279</v>
      </c>
      <c r="BS8" s="482">
        <v>1652.5648051681133</v>
      </c>
      <c r="BT8" s="482">
        <v>1559.2178399412455</v>
      </c>
      <c r="BU8" s="482">
        <v>1375.3303985829355</v>
      </c>
      <c r="BV8" s="482">
        <v>1412.7838474631603</v>
      </c>
      <c r="BW8" s="482">
        <v>1529.9199840389031</v>
      </c>
      <c r="BX8" s="482">
        <v>1755.3212688817887</v>
      </c>
      <c r="BY8" s="482">
        <v>1861.1601592754712</v>
      </c>
      <c r="BZ8" s="482">
        <v>1756.0873211773587</v>
      </c>
      <c r="CA8" s="483">
        <v>1685.2985990762256</v>
      </c>
      <c r="CB8" s="209">
        <f t="shared" si="11"/>
        <v>19811.418472971269</v>
      </c>
      <c r="CC8" s="479">
        <f t="shared" si="4"/>
        <v>4.025474269834331E-4</v>
      </c>
      <c r="CD8" s="479">
        <f t="shared" si="4"/>
        <v>3.6449883756922626E-4</v>
      </c>
      <c r="CE8" s="479">
        <f t="shared" si="4"/>
        <v>3.1305483356433339E-4</v>
      </c>
      <c r="CF8" s="479">
        <f t="shared" si="4"/>
        <v>3.6989177194178866E-4</v>
      </c>
      <c r="CG8" s="479">
        <f t="shared" si="4"/>
        <v>3.7750160674045375E-4</v>
      </c>
      <c r="CH8" s="479">
        <f t="shared" si="4"/>
        <v>3.9158051511077645E-4</v>
      </c>
      <c r="CI8" s="479">
        <f t="shared" si="4"/>
        <v>4.2215264216895719E-4</v>
      </c>
      <c r="CJ8" s="479">
        <f t="shared" si="4"/>
        <v>4.2662564968236729E-4</v>
      </c>
      <c r="CK8" s="479">
        <f t="shared" si="4"/>
        <v>4.8043356771872918E-4</v>
      </c>
      <c r="CL8" s="479">
        <f t="shared" si="4"/>
        <v>5.0227382966067547E-4</v>
      </c>
      <c r="CM8" s="479">
        <f t="shared" si="4"/>
        <v>4.4976045182006747E-4</v>
      </c>
      <c r="CN8" s="479">
        <f t="shared" si="4"/>
        <v>3.9939205032478854E-4</v>
      </c>
      <c r="CQ8" s="204">
        <f>+BO8</f>
        <v>18380.119418437087</v>
      </c>
      <c r="CR8" s="204">
        <f>+CQ8</f>
        <v>18380.119418437087</v>
      </c>
      <c r="CS8" s="204">
        <f t="shared" ref="CS8:CX8" si="13">+CR8</f>
        <v>18380.119418437087</v>
      </c>
      <c r="CT8" s="204">
        <f t="shared" si="13"/>
        <v>18380.119418437087</v>
      </c>
      <c r="CU8" s="204">
        <f t="shared" si="13"/>
        <v>18380.119418437087</v>
      </c>
      <c r="CV8" s="204">
        <f t="shared" si="13"/>
        <v>18380.119418437087</v>
      </c>
      <c r="CW8" s="204">
        <f t="shared" si="13"/>
        <v>18380.119418437087</v>
      </c>
      <c r="CX8" s="204">
        <f t="shared" si="13"/>
        <v>18380.119418437087</v>
      </c>
    </row>
    <row r="9" spans="1:120" x14ac:dyDescent="0.25">
      <c r="A9" s="761"/>
      <c r="B9" s="205" t="s">
        <v>187</v>
      </c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9">
        <f>SUM(O6:O8)</f>
        <v>11083196</v>
      </c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9">
        <f>SUM(AB6:AB8)</f>
        <v>11298047.060000001</v>
      </c>
      <c r="AC9" s="206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8"/>
      <c r="AO9" s="209">
        <f>SUM(AO6:AO8)</f>
        <v>13805976.4375</v>
      </c>
      <c r="AP9" s="206"/>
      <c r="AQ9" s="206"/>
      <c r="AR9" s="206"/>
      <c r="AS9" s="206"/>
      <c r="AT9" s="206"/>
      <c r="AU9" s="206"/>
      <c r="AV9" s="482"/>
      <c r="AW9" s="482"/>
      <c r="AX9" s="482"/>
      <c r="AY9" s="482"/>
      <c r="AZ9" s="482"/>
      <c r="BA9" s="483"/>
      <c r="BB9" s="209">
        <f>SUM(BB6:BB8)</f>
        <v>15867477.1</v>
      </c>
      <c r="BC9" s="490"/>
      <c r="BD9" s="482"/>
      <c r="BE9" s="482"/>
      <c r="BF9" s="482"/>
      <c r="BG9" s="482"/>
      <c r="BH9" s="482"/>
      <c r="BI9" s="482"/>
      <c r="BJ9" s="482"/>
      <c r="BK9" s="482"/>
      <c r="BL9" s="482"/>
      <c r="BM9" s="482"/>
      <c r="BN9" s="483"/>
      <c r="BO9" s="209">
        <f>SUM(BO6:BO8)</f>
        <v>15877089.760095308</v>
      </c>
      <c r="BP9" s="490"/>
      <c r="BQ9" s="482"/>
      <c r="BR9" s="482"/>
      <c r="BS9" s="482"/>
      <c r="BT9" s="482"/>
      <c r="BU9" s="482"/>
      <c r="BV9" s="482"/>
      <c r="BW9" s="482"/>
      <c r="BX9" s="482"/>
      <c r="BY9" s="482"/>
      <c r="BZ9" s="482"/>
      <c r="CA9" s="483"/>
      <c r="CB9" s="209">
        <f>SUM(CB6:CB8)</f>
        <v>17280511.403852187</v>
      </c>
      <c r="CC9" s="479"/>
      <c r="CD9" s="479"/>
      <c r="CE9" s="479"/>
      <c r="CF9" s="479"/>
      <c r="CG9" s="479"/>
      <c r="CH9" s="479"/>
      <c r="CI9" s="479"/>
      <c r="CJ9" s="479"/>
      <c r="CK9" s="479"/>
      <c r="CL9" s="479"/>
      <c r="CM9" s="479"/>
      <c r="CN9" s="479"/>
      <c r="CQ9" s="210">
        <f>+SUM(BO6:BO8)*(1+$CQ$4)</f>
        <v>16994836.879206017</v>
      </c>
      <c r="CR9" s="210">
        <f>(SUM(CQ6:CQ8)*(1+$CQ$4))</f>
        <v>18191273.39550212</v>
      </c>
      <c r="CS9" s="210">
        <f t="shared" ref="CS9:CX9" si="14">+SUM(CR6:CR8)*(1+$CQ$4)</f>
        <v>19099017.937937677</v>
      </c>
      <c r="CT9" s="210">
        <f t="shared" si="14"/>
        <v>19830254.34275157</v>
      </c>
      <c r="CU9" s="210">
        <f t="shared" si="14"/>
        <v>21072133.809547257</v>
      </c>
      <c r="CV9" s="210">
        <f t="shared" si="14"/>
        <v>22376651.198927715</v>
      </c>
      <c r="CW9" s="210">
        <f t="shared" si="14"/>
        <v>23760407.770031415</v>
      </c>
      <c r="CX9" s="210">
        <f t="shared" si="14"/>
        <v>25228095.002740435</v>
      </c>
    </row>
    <row r="10" spans="1:120" x14ac:dyDescent="0.25">
      <c r="A10" s="761"/>
      <c r="B10" s="205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9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9"/>
      <c r="AC10" s="206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8"/>
      <c r="AO10" s="209"/>
      <c r="AP10" s="206"/>
      <c r="AQ10" s="206"/>
      <c r="AR10" s="206"/>
      <c r="AS10" s="206"/>
      <c r="AT10" s="206"/>
      <c r="AU10" s="206"/>
      <c r="AV10" s="482"/>
      <c r="AW10" s="482"/>
      <c r="AX10" s="482"/>
      <c r="AY10" s="482"/>
      <c r="AZ10" s="482"/>
      <c r="BA10" s="483"/>
      <c r="BB10" s="209"/>
      <c r="BC10" s="490"/>
      <c r="BD10" s="482"/>
      <c r="BE10" s="482"/>
      <c r="BF10" s="482"/>
      <c r="BG10" s="482"/>
      <c r="BH10" s="482"/>
      <c r="BI10" s="482"/>
      <c r="BJ10" s="482"/>
      <c r="BK10" s="482"/>
      <c r="BL10" s="482"/>
      <c r="BM10" s="482"/>
      <c r="BN10" s="483"/>
      <c r="BO10" s="209"/>
      <c r="BP10" s="490"/>
      <c r="BQ10" s="482"/>
      <c r="BR10" s="482"/>
      <c r="BS10" s="482"/>
      <c r="BT10" s="482"/>
      <c r="BU10" s="482"/>
      <c r="BV10" s="482"/>
      <c r="BW10" s="482"/>
      <c r="BX10" s="482"/>
      <c r="BY10" s="482"/>
      <c r="BZ10" s="482"/>
      <c r="CA10" s="483"/>
      <c r="CB10" s="209"/>
      <c r="CC10" s="479"/>
      <c r="CD10" s="479"/>
      <c r="CE10" s="479"/>
      <c r="CF10" s="479"/>
      <c r="CG10" s="479"/>
      <c r="CH10" s="479"/>
      <c r="CI10" s="479"/>
      <c r="CJ10" s="479"/>
      <c r="CK10" s="479"/>
      <c r="CL10" s="479"/>
      <c r="CM10" s="479"/>
      <c r="CN10" s="479"/>
      <c r="CQ10" s="548"/>
      <c r="CR10" s="548"/>
      <c r="CS10" s="548"/>
      <c r="CT10" s="548"/>
      <c r="CU10" s="548"/>
      <c r="CV10" s="548"/>
      <c r="CW10" s="548"/>
      <c r="CX10" s="548"/>
    </row>
    <row r="11" spans="1:120" x14ac:dyDescent="0.25">
      <c r="A11" s="761"/>
      <c r="B11" s="205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9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9"/>
      <c r="AC11" s="206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8"/>
      <c r="AO11" s="209"/>
      <c r="AP11" s="206"/>
      <c r="AQ11" s="206"/>
      <c r="AR11" s="206"/>
      <c r="AS11" s="206"/>
      <c r="AT11" s="206"/>
      <c r="AU11" s="206"/>
      <c r="AV11" s="482"/>
      <c r="AW11" s="482"/>
      <c r="AX11" s="482"/>
      <c r="AY11" s="482"/>
      <c r="AZ11" s="482"/>
      <c r="BA11" s="483"/>
      <c r="BB11" s="209"/>
      <c r="BC11" s="490"/>
      <c r="BD11" s="482"/>
      <c r="BE11" s="482"/>
      <c r="BF11" s="482"/>
      <c r="BG11" s="482"/>
      <c r="BH11" s="482"/>
      <c r="BI11" s="482"/>
      <c r="BJ11" s="482"/>
      <c r="BK11" s="482"/>
      <c r="BL11" s="482"/>
      <c r="BM11" s="482"/>
      <c r="BN11" s="483"/>
      <c r="BO11" s="209"/>
      <c r="BP11" s="490"/>
      <c r="BQ11" s="482"/>
      <c r="BR11" s="482"/>
      <c r="BS11" s="482"/>
      <c r="BT11" s="482"/>
      <c r="BU11" s="482"/>
      <c r="BV11" s="482"/>
      <c r="BW11" s="482"/>
      <c r="BX11" s="482"/>
      <c r="BY11" s="482"/>
      <c r="BZ11" s="482"/>
      <c r="CA11" s="483"/>
      <c r="CB11" s="209"/>
      <c r="CC11" s="479"/>
      <c r="CD11" s="479"/>
      <c r="CE11" s="479"/>
      <c r="CF11" s="479"/>
      <c r="CG11" s="479"/>
      <c r="CH11" s="479"/>
      <c r="CI11" s="479"/>
      <c r="CJ11" s="479"/>
      <c r="CK11" s="479"/>
      <c r="CL11" s="479"/>
      <c r="CM11" s="479"/>
      <c r="CN11" s="479"/>
      <c r="CQ11" s="549">
        <v>36243526.505236194</v>
      </c>
      <c r="CR11" s="549">
        <v>38805943.829156391</v>
      </c>
      <c r="CS11" s="549">
        <v>41549524.057877749</v>
      </c>
      <c r="CT11" s="549">
        <v>44487075.408769704</v>
      </c>
      <c r="CU11" s="549">
        <v>47632311.640169725</v>
      </c>
      <c r="CV11" s="549">
        <v>50999916.073129721</v>
      </c>
      <c r="CW11" s="549">
        <v>54605610.139499992</v>
      </c>
      <c r="CX11" s="549">
        <v>58466226.776362643</v>
      </c>
    </row>
    <row r="12" spans="1:120" x14ac:dyDescent="0.25">
      <c r="A12" s="761"/>
      <c r="B12" s="211" t="s">
        <v>119</v>
      </c>
      <c r="C12" s="212">
        <f>+'2012'!B27</f>
        <v>2105920</v>
      </c>
      <c r="D12" s="212">
        <f>+'2012'!C27</f>
        <v>1894289.0000000002</v>
      </c>
      <c r="E12" s="212">
        <f>+'2012'!D27</f>
        <v>2244246</v>
      </c>
      <c r="F12" s="212">
        <f>+'2012'!E27</f>
        <v>2182743.9999999995</v>
      </c>
      <c r="G12" s="212">
        <f>+'2012'!F27</f>
        <v>2274462.0000000005</v>
      </c>
      <c r="H12" s="212">
        <f>+'2012'!G27</f>
        <v>2146540</v>
      </c>
      <c r="I12" s="212">
        <f>+'2012'!H27</f>
        <v>1927056</v>
      </c>
      <c r="J12" s="212">
        <f>+'2012'!I27</f>
        <v>1898350</v>
      </c>
      <c r="K12" s="212">
        <f>+'2012'!J27</f>
        <v>1763670</v>
      </c>
      <c r="L12" s="212">
        <f>+'2012'!K27</f>
        <v>1846564</v>
      </c>
      <c r="M12" s="212">
        <f>+'2012'!L27</f>
        <v>1848005</v>
      </c>
      <c r="N12" s="212">
        <f>+'2012'!M27</f>
        <v>2028830</v>
      </c>
      <c r="O12" s="215">
        <f t="shared" si="6"/>
        <v>24160676</v>
      </c>
      <c r="P12" s="212">
        <f>+'2013'!C35</f>
        <v>2332704</v>
      </c>
      <c r="Q12" s="212">
        <f>+'2013'!D35</f>
        <v>2218890</v>
      </c>
      <c r="R12" s="212">
        <f>+'2013'!E35</f>
        <v>2558935</v>
      </c>
      <c r="S12" s="212">
        <f>+'2013'!F35</f>
        <v>2408846</v>
      </c>
      <c r="T12" s="212">
        <f>+'2013'!G35</f>
        <v>2217156</v>
      </c>
      <c r="U12" s="212">
        <f>+'2013'!H35</f>
        <v>1917398</v>
      </c>
      <c r="V12" s="212">
        <f>+'2013'!I35</f>
        <v>1919482</v>
      </c>
      <c r="W12" s="212">
        <f>+'2013'!J35</f>
        <v>1862094</v>
      </c>
      <c r="X12" s="212">
        <f>+'2013'!K35</f>
        <v>1756917</v>
      </c>
      <c r="Y12" s="212">
        <f>+'2013'!L35</f>
        <v>1879668</v>
      </c>
      <c r="Z12" s="212">
        <f>+'2013'!M35</f>
        <v>1899350</v>
      </c>
      <c r="AA12" s="212">
        <f>+'2013'!N35</f>
        <v>2202032</v>
      </c>
      <c r="AB12" s="215">
        <f t="shared" si="7"/>
        <v>25173472</v>
      </c>
      <c r="AC12" s="212">
        <f>'[6]SANTA CRUZ'!D12</f>
        <v>2516701</v>
      </c>
      <c r="AD12" s="213">
        <f>'[6]SANTA CRUZ'!E12</f>
        <v>2530929</v>
      </c>
      <c r="AE12" s="213">
        <f>'[6]SANTA CRUZ'!F12</f>
        <v>2849603</v>
      </c>
      <c r="AF12" s="213">
        <f>'[6]SANTA CRUZ'!G12</f>
        <v>2727906</v>
      </c>
      <c r="AG12" s="213">
        <f>'[6]SANTA CRUZ'!H12</f>
        <v>2585665</v>
      </c>
      <c r="AH12" s="213">
        <f>'[6]SANTA CRUZ'!I12</f>
        <v>2225548</v>
      </c>
      <c r="AI12" s="213">
        <f>'[6]SANTA CRUZ'!J12</f>
        <v>2155410</v>
      </c>
      <c r="AJ12" s="213">
        <f>'[6]SANTA CRUZ'!K12</f>
        <v>2026399</v>
      </c>
      <c r="AK12" s="213">
        <f>'[6]SANTA CRUZ'!L12</f>
        <v>1839590</v>
      </c>
      <c r="AL12" s="213">
        <f>'[6]SANTA CRUZ'!M12</f>
        <v>1963830</v>
      </c>
      <c r="AM12" s="213">
        <f>'[6]SANTA CRUZ'!N12</f>
        <v>2038010</v>
      </c>
      <c r="AN12" s="214">
        <f>'[6]SANTA CRUZ'!O12</f>
        <v>2272463</v>
      </c>
      <c r="AO12" s="215">
        <f t="shared" si="8"/>
        <v>27732054</v>
      </c>
      <c r="AP12" s="212">
        <f>+'2015'!C36</f>
        <v>2336318</v>
      </c>
      <c r="AQ12" s="212">
        <f>+'2015'!D36</f>
        <v>2314861</v>
      </c>
      <c r="AR12" s="212">
        <f>+'2015'!E36</f>
        <v>2743225</v>
      </c>
      <c r="AS12" s="212">
        <f>+'2015'!F36</f>
        <v>2650753</v>
      </c>
      <c r="AT12" s="212">
        <f>+'2015'!G36</f>
        <v>2704473</v>
      </c>
      <c r="AU12" s="212">
        <f>+'2015'!H36</f>
        <v>2663639</v>
      </c>
      <c r="AV12" s="212">
        <f>+'2015'!I36</f>
        <v>2239042</v>
      </c>
      <c r="AW12" s="212">
        <f>+'2015'!J36</f>
        <v>1888255</v>
      </c>
      <c r="AX12" s="212">
        <f>+'2015'!K36</f>
        <v>1833459</v>
      </c>
      <c r="AY12" s="212">
        <f>+'2015'!L36</f>
        <v>2023347</v>
      </c>
      <c r="AZ12" s="212">
        <f>+'2015'!M36</f>
        <v>2048264</v>
      </c>
      <c r="BA12" s="212">
        <f>+'2015'!N36</f>
        <v>2446907</v>
      </c>
      <c r="BB12" s="215">
        <f t="shared" si="9"/>
        <v>27892543</v>
      </c>
      <c r="BC12" s="699">
        <f>+'2016'!C35</f>
        <v>2595038</v>
      </c>
      <c r="BD12" s="699">
        <f>+'2016'!D35</f>
        <v>2785495</v>
      </c>
      <c r="BE12" s="699">
        <f>+'2016'!E35</f>
        <v>3129040</v>
      </c>
      <c r="BF12" s="699">
        <f>+'2016'!F35</f>
        <v>2696865</v>
      </c>
      <c r="BG12" s="484">
        <f t="shared" ref="BG12:BN12" si="15">+BG30*SUM(CG12:CG15)-BG13-BG14-BG15+BG30*(1-CG30)</f>
        <v>2569969.1915574088</v>
      </c>
      <c r="BH12" s="484">
        <f t="shared" si="15"/>
        <v>2439123.4884911054</v>
      </c>
      <c r="BI12" s="484">
        <f t="shared" si="15"/>
        <v>2224556.3876497978</v>
      </c>
      <c r="BJ12" s="484">
        <f t="shared" si="15"/>
        <v>2007896.2361120495</v>
      </c>
      <c r="BK12" s="484">
        <f t="shared" si="15"/>
        <v>1728458.5247011976</v>
      </c>
      <c r="BL12" s="484">
        <f t="shared" si="15"/>
        <v>1998301.9489069579</v>
      </c>
      <c r="BM12" s="484">
        <f t="shared" si="15"/>
        <v>1970333.6741937317</v>
      </c>
      <c r="BN12" s="484">
        <f t="shared" si="15"/>
        <v>2369568.7429911806</v>
      </c>
      <c r="BO12" s="215">
        <f t="shared" si="10"/>
        <v>28514646.194603428</v>
      </c>
      <c r="BP12" s="484">
        <f t="shared" ref="BP12:CA12" si="16">+BP30*SUM(CC12:CC15)-BP13-BP14-BP15+BP30*(1-CC30)</f>
        <v>2523358.4646895924</v>
      </c>
      <c r="BQ12" s="484">
        <f t="shared" si="16"/>
        <v>2780697.1803137166</v>
      </c>
      <c r="BR12" s="484">
        <f t="shared" si="16"/>
        <v>3191025.2372858245</v>
      </c>
      <c r="BS12" s="484">
        <f t="shared" si="16"/>
        <v>3073840.691857005</v>
      </c>
      <c r="BT12" s="484">
        <f t="shared" si="16"/>
        <v>2776469.6534397206</v>
      </c>
      <c r="BU12" s="484">
        <f t="shared" si="16"/>
        <v>2638881.5459344708</v>
      </c>
      <c r="BV12" s="484">
        <f t="shared" si="16"/>
        <v>2409621.9499127255</v>
      </c>
      <c r="BW12" s="484">
        <f t="shared" si="16"/>
        <v>2181217.1819328829</v>
      </c>
      <c r="BX12" s="484">
        <f t="shared" si="16"/>
        <v>1896745.5165228713</v>
      </c>
      <c r="BY12" s="484">
        <f t="shared" si="16"/>
        <v>2173892.2888210346</v>
      </c>
      <c r="BZ12" s="484">
        <f t="shared" si="16"/>
        <v>2169208.9379250668</v>
      </c>
      <c r="CA12" s="484">
        <f t="shared" si="16"/>
        <v>2598705.069369935</v>
      </c>
      <c r="CB12" s="215">
        <f t="shared" si="11"/>
        <v>30413663.718004849</v>
      </c>
      <c r="CC12" s="479">
        <f t="shared" ref="CC12:CN15" si="17">AVERAGE(C12/C$30,P12/P$30,AC12/AC$30)</f>
        <v>0.62551668197935717</v>
      </c>
      <c r="CD12" s="479">
        <f t="shared" si="17"/>
        <v>0.61840345773938099</v>
      </c>
      <c r="CE12" s="479">
        <f t="shared" si="17"/>
        <v>0.6140771722901458</v>
      </c>
      <c r="CF12" s="479">
        <f t="shared" si="17"/>
        <v>0.61509779273992837</v>
      </c>
      <c r="CG12" s="479">
        <f t="shared" si="17"/>
        <v>0.60958713433250777</v>
      </c>
      <c r="CH12" s="479">
        <f t="shared" si="17"/>
        <v>0.60439106304904378</v>
      </c>
      <c r="CI12" s="479">
        <f t="shared" si="17"/>
        <v>0.60073055319316759</v>
      </c>
      <c r="CJ12" s="479">
        <f t="shared" si="17"/>
        <v>0.60541906777719479</v>
      </c>
      <c r="CK12" s="479">
        <f t="shared" si="17"/>
        <v>0.59912805532034208</v>
      </c>
      <c r="CL12" s="479">
        <f t="shared" si="17"/>
        <v>0.59967012513121054</v>
      </c>
      <c r="CM12" s="479">
        <f t="shared" si="17"/>
        <v>0.59826850594376069</v>
      </c>
      <c r="CN12" s="479">
        <f t="shared" si="17"/>
        <v>0.59635655256392539</v>
      </c>
      <c r="CQ12" s="210">
        <f>+CQ11-SUM(CQ13:CQ15)</f>
        <v>30311703.110236194</v>
      </c>
      <c r="CR12" s="210">
        <f t="shared" ref="CR12:CX12" si="18">+CR11-SUM(CR13:CR15)</f>
        <v>32874120.434156392</v>
      </c>
      <c r="CS12" s="210">
        <f t="shared" si="18"/>
        <v>35617700.662877753</v>
      </c>
      <c r="CT12" s="210">
        <f t="shared" si="18"/>
        <v>38555252.013769701</v>
      </c>
      <c r="CU12" s="210">
        <f t="shared" si="18"/>
        <v>41700488.245169729</v>
      </c>
      <c r="CV12" s="210">
        <f t="shared" si="18"/>
        <v>45068092.678129718</v>
      </c>
      <c r="CW12" s="210">
        <f t="shared" si="18"/>
        <v>48673786.744499996</v>
      </c>
      <c r="CX12" s="210">
        <f t="shared" si="18"/>
        <v>52534403.381362647</v>
      </c>
    </row>
    <row r="13" spans="1:120" x14ac:dyDescent="0.25">
      <c r="A13" s="761"/>
      <c r="B13" s="211" t="s">
        <v>120</v>
      </c>
      <c r="C13" s="216">
        <v>0</v>
      </c>
      <c r="D13" s="216">
        <v>0</v>
      </c>
      <c r="E13" s="216">
        <v>0</v>
      </c>
      <c r="F13" s="216">
        <v>0</v>
      </c>
      <c r="G13" s="216">
        <v>0</v>
      </c>
      <c r="H13" s="216">
        <v>0</v>
      </c>
      <c r="I13" s="216">
        <v>0</v>
      </c>
      <c r="J13" s="216">
        <v>0</v>
      </c>
      <c r="K13" s="216">
        <v>0</v>
      </c>
      <c r="L13" s="216">
        <v>0</v>
      </c>
      <c r="M13" s="216">
        <v>0</v>
      </c>
      <c r="N13" s="216">
        <v>0</v>
      </c>
      <c r="O13" s="215">
        <f t="shared" si="6"/>
        <v>0</v>
      </c>
      <c r="P13" s="216">
        <v>0</v>
      </c>
      <c r="Q13" s="216">
        <v>0</v>
      </c>
      <c r="R13" s="216">
        <v>0</v>
      </c>
      <c r="S13" s="216">
        <v>0</v>
      </c>
      <c r="T13" s="216">
        <v>0</v>
      </c>
      <c r="U13" s="216">
        <v>0</v>
      </c>
      <c r="V13" s="216">
        <v>0</v>
      </c>
      <c r="W13" s="216">
        <v>0</v>
      </c>
      <c r="X13" s="216">
        <v>0</v>
      </c>
      <c r="Y13" s="216">
        <v>0</v>
      </c>
      <c r="Z13" s="216">
        <v>0</v>
      </c>
      <c r="AA13" s="216">
        <v>0</v>
      </c>
      <c r="AB13" s="215">
        <f t="shared" si="7"/>
        <v>0</v>
      </c>
      <c r="AC13" s="216">
        <f>'[6]SANTA CRUZ'!D57</f>
        <v>0</v>
      </c>
      <c r="AD13" s="216">
        <f>'[6]SANTA CRUZ'!E57</f>
        <v>0</v>
      </c>
      <c r="AE13" s="216">
        <f>'[6]SANTA CRUZ'!F57</f>
        <v>0</v>
      </c>
      <c r="AF13" s="216">
        <f>'[6]SANTA CRUZ'!G57</f>
        <v>0</v>
      </c>
      <c r="AG13" s="216">
        <f>'[6]SANTA CRUZ'!H57</f>
        <v>54180</v>
      </c>
      <c r="AH13" s="216">
        <f>'[6]SANTA CRUZ'!I57</f>
        <v>144866</v>
      </c>
      <c r="AI13" s="216">
        <f>'[6]SANTA CRUZ'!J57</f>
        <v>143491.20000000001</v>
      </c>
      <c r="AJ13" s="216">
        <f>'[6]SANTA CRUZ'!K57</f>
        <v>174447.7</v>
      </c>
      <c r="AK13" s="216">
        <f>'[6]SANTA CRUZ'!L57</f>
        <v>172962.9</v>
      </c>
      <c r="AL13" s="216">
        <f>'[6]SANTA CRUZ'!M57</f>
        <v>181621.1</v>
      </c>
      <c r="AM13" s="216">
        <f>'[6]SANTA CRUZ'!N57</f>
        <v>178027.97999999998</v>
      </c>
      <c r="AN13" s="471">
        <f>'[6]SANTA CRUZ'!O57</f>
        <v>158336.70000000001</v>
      </c>
      <c r="AO13" s="215">
        <f t="shared" si="8"/>
        <v>1207933.5799999998</v>
      </c>
      <c r="AP13" s="216">
        <f>+'2015'!C40</f>
        <v>203407.9</v>
      </c>
      <c r="AQ13" s="216">
        <f>+'2015'!D40</f>
        <v>198245.6</v>
      </c>
      <c r="AR13" s="216">
        <f>+'2015'!E40</f>
        <v>234197.4</v>
      </c>
      <c r="AS13" s="216">
        <f>+'2015'!F40</f>
        <v>212176</v>
      </c>
      <c r="AT13" s="216">
        <f>+'2015'!G40</f>
        <v>153012.6</v>
      </c>
      <c r="AU13" s="216">
        <f>+'2015'!H40</f>
        <v>151396.29999999999</v>
      </c>
      <c r="AV13" s="216">
        <f>+'2015'!I40</f>
        <v>141458.20000000001</v>
      </c>
      <c r="AW13" s="216">
        <f>+'2015'!J40</f>
        <v>162853.70000000001</v>
      </c>
      <c r="AX13" s="216">
        <f>+'2015'!K40</f>
        <v>150657.60000000001</v>
      </c>
      <c r="AY13" s="216">
        <f>+'2015'!L40</f>
        <v>151102</v>
      </c>
      <c r="AZ13" s="216">
        <f>+'2015'!M40</f>
        <v>125733</v>
      </c>
      <c r="BA13" s="216">
        <f>+'2015'!N40</f>
        <v>126252</v>
      </c>
      <c r="BB13" s="215">
        <f t="shared" si="9"/>
        <v>2010492.3</v>
      </c>
      <c r="BC13" s="698">
        <f>+'2016'!C39</f>
        <v>161978</v>
      </c>
      <c r="BD13" s="698">
        <f>+'2016'!D39</f>
        <v>181992</v>
      </c>
      <c r="BE13" s="698">
        <f>+'2016'!E39</f>
        <v>199846</v>
      </c>
      <c r="BF13" s="698">
        <f>+'2016'!F39</f>
        <v>187283</v>
      </c>
      <c r="BG13" s="485">
        <v>205751.10359477342</v>
      </c>
      <c r="BH13" s="485">
        <v>181197.8842820689</v>
      </c>
      <c r="BI13" s="485">
        <v>186144.40770133995</v>
      </c>
      <c r="BJ13" s="485">
        <v>188938.71321029382</v>
      </c>
      <c r="BK13" s="485">
        <v>231628.49922844314</v>
      </c>
      <c r="BL13" s="485">
        <v>245211.13229466561</v>
      </c>
      <c r="BM13" s="485">
        <v>226110.40531330401</v>
      </c>
      <c r="BN13" s="485">
        <v>208052.21855440686</v>
      </c>
      <c r="BO13" s="215">
        <f t="shared" si="10"/>
        <v>2404133.364179296</v>
      </c>
      <c r="BP13" s="485">
        <v>231000.03171305559</v>
      </c>
      <c r="BQ13" s="485">
        <v>219982.93765150386</v>
      </c>
      <c r="BR13" s="485">
        <v>235229.55699760283</v>
      </c>
      <c r="BS13" s="485">
        <v>202688.40619577983</v>
      </c>
      <c r="BT13" s="485">
        <v>205751.10359477342</v>
      </c>
      <c r="BU13" s="485">
        <v>181197.8842820689</v>
      </c>
      <c r="BV13" s="485">
        <v>186144.40770133995</v>
      </c>
      <c r="BW13" s="485">
        <v>188938.71321029382</v>
      </c>
      <c r="BX13" s="485">
        <v>231628.49922844314</v>
      </c>
      <c r="BY13" s="485">
        <v>245211.13229466561</v>
      </c>
      <c r="BZ13" s="485">
        <v>226110.40531330401</v>
      </c>
      <c r="CA13" s="485">
        <v>208052.21855440686</v>
      </c>
      <c r="CB13" s="215">
        <f t="shared" si="11"/>
        <v>2561935.2967372378</v>
      </c>
      <c r="CC13" s="479">
        <f t="shared" si="17"/>
        <v>0</v>
      </c>
      <c r="CD13" s="479">
        <f t="shared" si="17"/>
        <v>0</v>
      </c>
      <c r="CE13" s="479">
        <f t="shared" si="17"/>
        <v>0</v>
      </c>
      <c r="CF13" s="479">
        <f t="shared" si="17"/>
        <v>0</v>
      </c>
      <c r="CG13" s="479">
        <f t="shared" si="17"/>
        <v>4.1752524051049044E-3</v>
      </c>
      <c r="CH13" s="479">
        <f t="shared" si="17"/>
        <v>1.2403347518507267E-2</v>
      </c>
      <c r="CI13" s="479">
        <f t="shared" si="17"/>
        <v>1.2582077673921747E-2</v>
      </c>
      <c r="CJ13" s="479">
        <f t="shared" si="17"/>
        <v>1.6288169244112822E-2</v>
      </c>
      <c r="CK13" s="479">
        <f t="shared" si="17"/>
        <v>1.7402340384372578E-2</v>
      </c>
      <c r="CL13" s="479">
        <f t="shared" si="17"/>
        <v>1.7074283093274099E-2</v>
      </c>
      <c r="CM13" s="479">
        <f t="shared" si="17"/>
        <v>1.6071594808428871E-2</v>
      </c>
      <c r="CN13" s="479">
        <f t="shared" si="17"/>
        <v>1.2765596979174018E-2</v>
      </c>
      <c r="CQ13">
        <v>2352907.77</v>
      </c>
      <c r="CR13">
        <v>2352907.77</v>
      </c>
      <c r="CS13">
        <v>2352907.77</v>
      </c>
      <c r="CT13">
        <v>2352907.77</v>
      </c>
      <c r="CU13">
        <v>2352907.77</v>
      </c>
      <c r="CV13">
        <v>2352907.77</v>
      </c>
      <c r="CW13">
        <v>2352907.77</v>
      </c>
      <c r="CX13">
        <v>2352907.77</v>
      </c>
    </row>
    <row r="14" spans="1:120" x14ac:dyDescent="0.25">
      <c r="A14" s="761"/>
      <c r="B14" s="211" t="s">
        <v>121</v>
      </c>
      <c r="C14" s="216">
        <v>0</v>
      </c>
      <c r="D14" s="216">
        <v>0</v>
      </c>
      <c r="E14" s="216">
        <v>0</v>
      </c>
      <c r="F14" s="216">
        <v>0</v>
      </c>
      <c r="G14" s="216">
        <v>0</v>
      </c>
      <c r="H14" s="216">
        <v>0</v>
      </c>
      <c r="I14" s="216">
        <v>0</v>
      </c>
      <c r="J14" s="216">
        <v>0</v>
      </c>
      <c r="K14" s="216">
        <v>0</v>
      </c>
      <c r="L14" s="216">
        <v>0</v>
      </c>
      <c r="M14" s="216">
        <v>0</v>
      </c>
      <c r="N14" s="216">
        <v>0</v>
      </c>
      <c r="O14" s="215">
        <f t="shared" si="6"/>
        <v>0</v>
      </c>
      <c r="P14" s="216">
        <v>0</v>
      </c>
      <c r="Q14" s="216">
        <v>0</v>
      </c>
      <c r="R14" s="216">
        <v>0</v>
      </c>
      <c r="S14" s="216">
        <v>0</v>
      </c>
      <c r="T14" s="216">
        <v>0</v>
      </c>
      <c r="U14" s="216">
        <v>0</v>
      </c>
      <c r="V14" s="216">
        <v>0</v>
      </c>
      <c r="W14" s="216">
        <v>0</v>
      </c>
      <c r="X14" s="216">
        <v>0</v>
      </c>
      <c r="Y14" s="216">
        <v>0</v>
      </c>
      <c r="Z14" s="216">
        <v>0</v>
      </c>
      <c r="AA14" s="216">
        <v>0</v>
      </c>
      <c r="AB14" s="215">
        <f t="shared" si="7"/>
        <v>0</v>
      </c>
      <c r="AC14" s="216">
        <f>+'[6]SANTA CRUZ'!D67</f>
        <v>0</v>
      </c>
      <c r="AD14" s="216">
        <f>+'[6]SANTA CRUZ'!E67</f>
        <v>0</v>
      </c>
      <c r="AE14" s="216">
        <f>+'[6]SANTA CRUZ'!F67</f>
        <v>0</v>
      </c>
      <c r="AF14" s="216">
        <f>+'[6]SANTA CRUZ'!G67</f>
        <v>0</v>
      </c>
      <c r="AG14" s="216">
        <f>+'[6]SANTA CRUZ'!H67</f>
        <v>0</v>
      </c>
      <c r="AH14" s="216">
        <f>+'[6]SANTA CRUZ'!I67</f>
        <v>0</v>
      </c>
      <c r="AI14" s="216">
        <f>+'[6]SANTA CRUZ'!J67</f>
        <v>0</v>
      </c>
      <c r="AJ14" s="216">
        <f>+'[6]SANTA CRUZ'!K67</f>
        <v>0</v>
      </c>
      <c r="AK14" s="216">
        <f>+'[6]SANTA CRUZ'!L67</f>
        <v>0</v>
      </c>
      <c r="AL14" s="216">
        <f>+'[6]SANTA CRUZ'!M67</f>
        <v>0</v>
      </c>
      <c r="AM14" s="216">
        <f>+'[6]SANTA CRUZ'!N67</f>
        <v>0</v>
      </c>
      <c r="AN14" s="471">
        <f>+'[6]SANTA CRUZ'!O67</f>
        <v>38267</v>
      </c>
      <c r="AO14" s="215">
        <f t="shared" si="8"/>
        <v>38267</v>
      </c>
      <c r="AP14" s="216">
        <f>+'2015'!C38</f>
        <v>111564.1</v>
      </c>
      <c r="AQ14" s="216">
        <f>+'2015'!D38</f>
        <v>158336.55000000002</v>
      </c>
      <c r="AR14" s="216">
        <f>+'2015'!E38</f>
        <v>94888.97</v>
      </c>
      <c r="AS14" s="216">
        <f>+'2015'!F38</f>
        <v>95174.770999999993</v>
      </c>
      <c r="AT14" s="216">
        <f>+'2015'!G38</f>
        <v>0</v>
      </c>
      <c r="AU14" s="216">
        <f>+'2015'!H38</f>
        <v>17714.57</v>
      </c>
      <c r="AV14" s="216">
        <f>+'2015'!I38</f>
        <v>445449.04000000004</v>
      </c>
      <c r="AW14" s="216">
        <f>+'2015'!J38</f>
        <v>432761.65</v>
      </c>
      <c r="AX14" s="216">
        <f>+'2015'!K38</f>
        <v>359599.21264648437</v>
      </c>
      <c r="AY14" s="216">
        <f>+'2015'!L38</f>
        <v>352445.75</v>
      </c>
      <c r="AZ14" s="216">
        <f>+'2015'!M38</f>
        <v>440185.24169921875</v>
      </c>
      <c r="BA14" s="216">
        <f>+'2015'!N38</f>
        <v>439043.64013671852</v>
      </c>
      <c r="BB14" s="215">
        <f t="shared" si="9"/>
        <v>2947163.4954824215</v>
      </c>
      <c r="BC14" s="698">
        <f>+'2016'!C37</f>
        <v>365939.9</v>
      </c>
      <c r="BD14" s="698">
        <f>+'2016'!D37</f>
        <v>198584.3505859375</v>
      </c>
      <c r="BE14" s="698">
        <f>+'2016'!E37</f>
        <v>67996.58203125</v>
      </c>
      <c r="BF14" s="698">
        <f>+'2016'!F37</f>
        <v>172122.0703125</v>
      </c>
      <c r="BG14" s="485">
        <v>368880.78793940996</v>
      </c>
      <c r="BH14" s="485">
        <v>347489.53856051894</v>
      </c>
      <c r="BI14" s="485">
        <v>383226.9991248388</v>
      </c>
      <c r="BJ14" s="485">
        <v>403776.94322937803</v>
      </c>
      <c r="BK14" s="485">
        <v>476800.42428999447</v>
      </c>
      <c r="BL14" s="485">
        <v>391914.31864932709</v>
      </c>
      <c r="BM14" s="485">
        <v>566357.18564438203</v>
      </c>
      <c r="BN14" s="485">
        <v>422459.0204710266</v>
      </c>
      <c r="BO14" s="215">
        <f t="shared" si="10"/>
        <v>4165548.1208385634</v>
      </c>
      <c r="BP14" s="485">
        <v>592299.83412043564</v>
      </c>
      <c r="BQ14" s="485">
        <v>329312.66924670921</v>
      </c>
      <c r="BR14" s="485">
        <v>152117.70895956436</v>
      </c>
      <c r="BS14" s="485">
        <v>230581.89677836248</v>
      </c>
      <c r="BT14" s="485">
        <v>368880.78793940996</v>
      </c>
      <c r="BU14" s="485">
        <v>347489.53856051894</v>
      </c>
      <c r="BV14" s="485">
        <v>383226.9991248388</v>
      </c>
      <c r="BW14" s="485">
        <v>403776.94322937803</v>
      </c>
      <c r="BX14" s="485">
        <v>476800.42428999447</v>
      </c>
      <c r="BY14" s="485">
        <v>391914.31864932709</v>
      </c>
      <c r="BZ14" s="485">
        <v>566357.18564438203</v>
      </c>
      <c r="CA14" s="485">
        <v>422459.0204710266</v>
      </c>
      <c r="CB14" s="215">
        <f t="shared" si="11"/>
        <v>4665217.3270139471</v>
      </c>
      <c r="CC14" s="479">
        <f t="shared" si="17"/>
        <v>0</v>
      </c>
      <c r="CD14" s="479">
        <f t="shared" si="17"/>
        <v>0</v>
      </c>
      <c r="CE14" s="479">
        <f t="shared" si="17"/>
        <v>0</v>
      </c>
      <c r="CF14" s="479">
        <f t="shared" si="17"/>
        <v>0</v>
      </c>
      <c r="CG14" s="479">
        <f t="shared" si="17"/>
        <v>0</v>
      </c>
      <c r="CH14" s="479">
        <f t="shared" si="17"/>
        <v>0</v>
      </c>
      <c r="CI14" s="479">
        <f t="shared" si="17"/>
        <v>0</v>
      </c>
      <c r="CJ14" s="479">
        <f t="shared" si="17"/>
        <v>0</v>
      </c>
      <c r="CK14" s="479">
        <f t="shared" si="17"/>
        <v>0</v>
      </c>
      <c r="CL14" s="479">
        <f t="shared" si="17"/>
        <v>0</v>
      </c>
      <c r="CM14" s="479">
        <f t="shared" si="17"/>
        <v>0</v>
      </c>
      <c r="CN14" s="479">
        <f t="shared" si="17"/>
        <v>3.085204501559349E-3</v>
      </c>
      <c r="CQ14">
        <v>3551075.625</v>
      </c>
      <c r="CR14">
        <v>3551075.625</v>
      </c>
      <c r="CS14">
        <v>3551075.625</v>
      </c>
      <c r="CT14">
        <v>3551075.625</v>
      </c>
      <c r="CU14">
        <v>3551075.625</v>
      </c>
      <c r="CV14">
        <v>3551075.625</v>
      </c>
      <c r="CW14">
        <v>3551075.625</v>
      </c>
      <c r="CX14">
        <v>3551075.625</v>
      </c>
      <c r="CY14">
        <f>CB14/14.3</f>
        <v>326238.97391705919</v>
      </c>
    </row>
    <row r="15" spans="1:120" x14ac:dyDescent="0.25">
      <c r="A15" s="761"/>
      <c r="B15" s="211" t="s">
        <v>164</v>
      </c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5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5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471"/>
      <c r="AO15" s="215"/>
      <c r="AP15" s="216">
        <f>+'2015'!C42</f>
        <v>1508</v>
      </c>
      <c r="AQ15" s="216">
        <f>+'2015'!D42</f>
        <v>1508</v>
      </c>
      <c r="AR15" s="216">
        <f>+'2015'!E42</f>
        <v>2320</v>
      </c>
      <c r="AS15" s="216">
        <f>+'2015'!F42</f>
        <v>2320</v>
      </c>
      <c r="AT15" s="216">
        <f>+'2015'!G42</f>
        <v>2320</v>
      </c>
      <c r="AU15" s="216">
        <f>+'2015'!H42</f>
        <v>2320</v>
      </c>
      <c r="AV15" s="216">
        <f>+'2015'!I42</f>
        <v>2320</v>
      </c>
      <c r="AW15" s="216">
        <f>+'2015'!J42</f>
        <v>2320</v>
      </c>
      <c r="AX15" s="216">
        <f>+'2015'!K42</f>
        <v>2320</v>
      </c>
      <c r="AY15" s="216">
        <f>+'2015'!L42</f>
        <v>2320</v>
      </c>
      <c r="AZ15" s="216">
        <f>+'2015'!M42</f>
        <v>1508</v>
      </c>
      <c r="BA15" s="216">
        <f>+'2015'!N42</f>
        <v>1508</v>
      </c>
      <c r="BB15" s="215">
        <f t="shared" si="9"/>
        <v>24592</v>
      </c>
      <c r="BC15" s="698">
        <f>+'2016'!C41</f>
        <v>1508</v>
      </c>
      <c r="BD15" s="698">
        <f>+'2016'!D41</f>
        <v>1508</v>
      </c>
      <c r="BE15" s="698">
        <f>+'2016'!E41</f>
        <v>1508</v>
      </c>
      <c r="BF15" s="698">
        <f>+'2016'!F41</f>
        <v>1508</v>
      </c>
      <c r="BG15" s="485">
        <v>2320</v>
      </c>
      <c r="BH15" s="485">
        <v>2320</v>
      </c>
      <c r="BI15" s="485">
        <v>2320</v>
      </c>
      <c r="BJ15" s="485">
        <v>2320</v>
      </c>
      <c r="BK15" s="485">
        <v>2320</v>
      </c>
      <c r="BL15" s="485">
        <v>2320</v>
      </c>
      <c r="BM15" s="485">
        <v>2320</v>
      </c>
      <c r="BN15" s="486">
        <v>2320</v>
      </c>
      <c r="BO15" s="215">
        <f t="shared" si="10"/>
        <v>24592</v>
      </c>
      <c r="BP15" s="485">
        <v>2320</v>
      </c>
      <c r="BQ15" s="485">
        <v>2320</v>
      </c>
      <c r="BR15" s="485">
        <v>2320</v>
      </c>
      <c r="BS15" s="485">
        <v>2320</v>
      </c>
      <c r="BT15" s="485">
        <v>2320</v>
      </c>
      <c r="BU15" s="485">
        <v>2320</v>
      </c>
      <c r="BV15" s="485">
        <v>2320</v>
      </c>
      <c r="BW15" s="485">
        <v>2320</v>
      </c>
      <c r="BX15" s="485">
        <v>2320</v>
      </c>
      <c r="BY15" s="485">
        <v>2320</v>
      </c>
      <c r="BZ15" s="485">
        <v>2320</v>
      </c>
      <c r="CA15" s="486">
        <v>2320</v>
      </c>
      <c r="CB15" s="215">
        <f t="shared" si="11"/>
        <v>27840</v>
      </c>
      <c r="CC15" s="479">
        <f t="shared" si="17"/>
        <v>0</v>
      </c>
      <c r="CD15" s="479">
        <f t="shared" si="17"/>
        <v>0</v>
      </c>
      <c r="CE15" s="479">
        <f t="shared" si="17"/>
        <v>0</v>
      </c>
      <c r="CF15" s="479">
        <f t="shared" si="17"/>
        <v>0</v>
      </c>
      <c r="CG15" s="479">
        <f t="shared" si="17"/>
        <v>0</v>
      </c>
      <c r="CH15" s="479">
        <f t="shared" si="17"/>
        <v>0</v>
      </c>
      <c r="CI15" s="479">
        <f t="shared" si="17"/>
        <v>0</v>
      </c>
      <c r="CJ15" s="479">
        <f t="shared" si="17"/>
        <v>0</v>
      </c>
      <c r="CK15" s="479">
        <f t="shared" si="17"/>
        <v>0</v>
      </c>
      <c r="CL15" s="479">
        <f t="shared" si="17"/>
        <v>0</v>
      </c>
      <c r="CM15" s="479">
        <f t="shared" si="17"/>
        <v>0</v>
      </c>
      <c r="CN15" s="479">
        <f t="shared" si="17"/>
        <v>0</v>
      </c>
      <c r="CQ15">
        <v>27840</v>
      </c>
      <c r="CR15">
        <v>27840</v>
      </c>
      <c r="CS15">
        <v>27840</v>
      </c>
      <c r="CT15">
        <v>27840</v>
      </c>
      <c r="CU15">
        <v>27840</v>
      </c>
      <c r="CV15">
        <v>27840</v>
      </c>
      <c r="CW15">
        <v>27840</v>
      </c>
      <c r="CX15">
        <v>27840</v>
      </c>
    </row>
    <row r="16" spans="1:120" x14ac:dyDescent="0.25">
      <c r="A16" s="761"/>
      <c r="B16" s="211" t="s">
        <v>187</v>
      </c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5">
        <f>+SUM(O12:O15)</f>
        <v>24160676</v>
      </c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5">
        <f>+SUM(AB12:AB15)</f>
        <v>25173472</v>
      </c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471"/>
      <c r="AO16" s="215">
        <f>+SUM(AO12:AO15)</f>
        <v>28978254.579999998</v>
      </c>
      <c r="AP16" s="216"/>
      <c r="AQ16" s="216"/>
      <c r="AR16" s="216"/>
      <c r="AS16" s="216"/>
      <c r="AT16" s="216"/>
      <c r="AU16" s="216"/>
      <c r="AV16" s="485"/>
      <c r="AW16" s="485"/>
      <c r="AX16" s="485"/>
      <c r="AY16" s="485"/>
      <c r="AZ16" s="485"/>
      <c r="BA16" s="486"/>
      <c r="BB16" s="215">
        <f>+SUM(BB12:BB15)</f>
        <v>32874790.795482423</v>
      </c>
      <c r="BC16" s="485"/>
      <c r="BD16" s="485"/>
      <c r="BE16" s="485"/>
      <c r="BF16" s="485"/>
      <c r="BG16" s="485"/>
      <c r="BH16" s="485"/>
      <c r="BI16" s="485"/>
      <c r="BJ16" s="485"/>
      <c r="BK16" s="485"/>
      <c r="BL16" s="485"/>
      <c r="BM16" s="485"/>
      <c r="BN16" s="486"/>
      <c r="BO16" s="215">
        <f>+SUM(BO12:BO15)</f>
        <v>35108919.679621287</v>
      </c>
      <c r="BP16" s="485"/>
      <c r="BQ16" s="485"/>
      <c r="BR16" s="485"/>
      <c r="BS16" s="485"/>
      <c r="BT16" s="485"/>
      <c r="BU16" s="485"/>
      <c r="BV16" s="485"/>
      <c r="BW16" s="485"/>
      <c r="BX16" s="485"/>
      <c r="BY16" s="485"/>
      <c r="BZ16" s="485"/>
      <c r="CA16" s="486"/>
      <c r="CB16" s="215">
        <f>+SUM(CB12:CB15)</f>
        <v>37668656.341756031</v>
      </c>
      <c r="CC16" s="479"/>
      <c r="CD16" s="479"/>
      <c r="CE16" s="479"/>
      <c r="CF16" s="479"/>
      <c r="CG16" s="479"/>
      <c r="CH16" s="479"/>
      <c r="CI16" s="479"/>
      <c r="CJ16" s="479"/>
      <c r="CK16" s="479"/>
      <c r="CL16" s="479"/>
      <c r="CM16" s="479"/>
      <c r="CN16" s="479"/>
      <c r="CQ16" s="550">
        <f>SUM(CQ12:CQ15)</f>
        <v>36243526.505236194</v>
      </c>
      <c r="CR16" s="551">
        <f t="shared" ref="CR16:CX16" si="19">SUM(CR12:CR15)</f>
        <v>38805943.829156391</v>
      </c>
      <c r="CS16" s="551">
        <f t="shared" si="19"/>
        <v>41549524.057877757</v>
      </c>
      <c r="CT16" s="551">
        <f t="shared" si="19"/>
        <v>44487075.408769704</v>
      </c>
      <c r="CU16" s="551">
        <f t="shared" si="19"/>
        <v>47632311.640169732</v>
      </c>
      <c r="CV16" s="551">
        <f t="shared" si="19"/>
        <v>50999916.073129721</v>
      </c>
      <c r="CW16" s="551">
        <f t="shared" si="19"/>
        <v>54605610.1395</v>
      </c>
      <c r="CX16" s="551">
        <f t="shared" si="19"/>
        <v>58466226.77636265</v>
      </c>
    </row>
    <row r="17" spans="1:102" x14ac:dyDescent="0.25">
      <c r="A17" s="761"/>
      <c r="B17" s="217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21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21"/>
      <c r="AC17" s="218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20"/>
      <c r="AO17" s="221"/>
      <c r="AP17" s="218"/>
      <c r="AQ17" s="218"/>
      <c r="AR17" s="218"/>
      <c r="AS17" s="218"/>
      <c r="AT17" s="218"/>
      <c r="AU17" s="218"/>
      <c r="AV17" s="487"/>
      <c r="AW17" s="487"/>
      <c r="AX17" s="487"/>
      <c r="AY17" s="487"/>
      <c r="AZ17" s="487"/>
      <c r="BA17" s="487"/>
      <c r="BB17" s="221"/>
      <c r="BC17" s="487"/>
      <c r="BD17" s="487"/>
      <c r="BE17" s="487"/>
      <c r="BF17" s="487"/>
      <c r="BG17" s="487"/>
      <c r="BH17" s="487"/>
      <c r="BI17" s="487"/>
      <c r="BJ17" s="487"/>
      <c r="BK17" s="487"/>
      <c r="BL17" s="487"/>
      <c r="BM17" s="487"/>
      <c r="BN17" s="487"/>
      <c r="BO17" s="221"/>
      <c r="BP17" s="487"/>
      <c r="BQ17" s="487"/>
      <c r="BR17" s="487"/>
      <c r="BS17" s="487"/>
      <c r="BT17" s="487"/>
      <c r="BU17" s="487"/>
      <c r="BV17" s="487"/>
      <c r="BW17" s="487"/>
      <c r="BX17" s="487"/>
      <c r="BY17" s="487"/>
      <c r="BZ17" s="487"/>
      <c r="CA17" s="487"/>
      <c r="CB17" s="221"/>
      <c r="CC17" s="479"/>
      <c r="CD17" s="479"/>
      <c r="CE17" s="479"/>
      <c r="CF17" s="479"/>
      <c r="CG17" s="479"/>
      <c r="CH17" s="479"/>
      <c r="CI17" s="479"/>
      <c r="CJ17" s="479"/>
      <c r="CK17" s="479"/>
      <c r="CL17" s="479"/>
      <c r="CM17" s="479"/>
      <c r="CN17" s="479"/>
    </row>
    <row r="18" spans="1:102" x14ac:dyDescent="0.25">
      <c r="A18" s="761"/>
      <c r="B18" s="217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21"/>
      <c r="P18" s="218"/>
      <c r="Q18" s="218"/>
      <c r="R18" s="218"/>
      <c r="S18" s="218"/>
      <c r="T18" s="218"/>
      <c r="U18" s="218"/>
      <c r="V18" s="218"/>
      <c r="W18" s="218"/>
      <c r="X18" s="218"/>
      <c r="Y18" s="218"/>
      <c r="Z18" s="218"/>
      <c r="AA18" s="218"/>
      <c r="AB18" s="221"/>
      <c r="AC18" s="218"/>
      <c r="AD18" s="219"/>
      <c r="AE18" s="219"/>
      <c r="AF18" s="219"/>
      <c r="AG18" s="219"/>
      <c r="AH18" s="219"/>
      <c r="AI18" s="219"/>
      <c r="AJ18" s="219"/>
      <c r="AK18" s="219"/>
      <c r="AL18" s="219"/>
      <c r="AM18" s="219"/>
      <c r="AN18" s="220"/>
      <c r="AO18" s="221"/>
      <c r="AP18" s="218"/>
      <c r="AQ18" s="218"/>
      <c r="AR18" s="218"/>
      <c r="AS18" s="218"/>
      <c r="AT18" s="218"/>
      <c r="AU18" s="218"/>
      <c r="AV18" s="487"/>
      <c r="AW18" s="487"/>
      <c r="AX18" s="487"/>
      <c r="AY18" s="487"/>
      <c r="AZ18" s="487"/>
      <c r="BA18" s="487"/>
      <c r="BB18" s="221"/>
      <c r="BC18" s="487"/>
      <c r="BD18" s="487"/>
      <c r="BE18" s="487"/>
      <c r="BF18" s="487"/>
      <c r="BG18" s="487"/>
      <c r="BH18" s="487"/>
      <c r="BI18" s="487"/>
      <c r="BJ18" s="487"/>
      <c r="BK18" s="487"/>
      <c r="BL18" s="487"/>
      <c r="BM18" s="487"/>
      <c r="BN18" s="487"/>
      <c r="BO18" s="221"/>
      <c r="BP18" s="487"/>
      <c r="BQ18" s="487"/>
      <c r="BR18" s="487"/>
      <c r="BS18" s="487"/>
      <c r="BT18" s="487"/>
      <c r="BU18" s="487"/>
      <c r="BV18" s="487"/>
      <c r="BW18" s="487"/>
      <c r="BX18" s="487"/>
      <c r="BY18" s="487"/>
      <c r="BZ18" s="487"/>
      <c r="CA18" s="487"/>
      <c r="CB18" s="221"/>
      <c r="CC18" s="479"/>
      <c r="CD18" s="479"/>
      <c r="CE18" s="479"/>
      <c r="CF18" s="479"/>
      <c r="CG18" s="479"/>
      <c r="CH18" s="479"/>
      <c r="CI18" s="479"/>
      <c r="CJ18" s="479"/>
      <c r="CK18" s="479"/>
      <c r="CL18" s="479"/>
      <c r="CM18" s="479"/>
      <c r="CN18" s="479"/>
    </row>
    <row r="19" spans="1:102" x14ac:dyDescent="0.25">
      <c r="A19" s="761"/>
      <c r="B19" s="217" t="s">
        <v>122</v>
      </c>
      <c r="C19" s="218">
        <f>+'2012'!B49</f>
        <v>304437</v>
      </c>
      <c r="D19" s="218">
        <f>+'2012'!C49</f>
        <v>295495</v>
      </c>
      <c r="E19" s="218">
        <f>+'2012'!D49</f>
        <v>360881</v>
      </c>
      <c r="F19" s="218">
        <f>+'2012'!E49</f>
        <v>338576</v>
      </c>
      <c r="G19" s="218">
        <f>+'2012'!F49</f>
        <v>347962</v>
      </c>
      <c r="H19" s="218">
        <f>+'2012'!G49</f>
        <v>316095</v>
      </c>
      <c r="I19" s="218">
        <f>+'2012'!H49</f>
        <v>288484</v>
      </c>
      <c r="J19" s="218">
        <f>+'2012'!I49</f>
        <v>262480</v>
      </c>
      <c r="K19" s="218">
        <f>+'2012'!J49</f>
        <v>242829</v>
      </c>
      <c r="L19" s="218">
        <f>+'2012'!K49</f>
        <v>247751</v>
      </c>
      <c r="M19" s="218">
        <f>+'2012'!L49</f>
        <v>254798</v>
      </c>
      <c r="N19" s="218">
        <f>+'2012'!M49</f>
        <v>273915</v>
      </c>
      <c r="O19" s="221">
        <f t="shared" si="6"/>
        <v>3533703</v>
      </c>
      <c r="P19" s="218">
        <f>+'2013'!C63</f>
        <v>317976</v>
      </c>
      <c r="Q19" s="218">
        <f>+'2013'!D63</f>
        <v>319738</v>
      </c>
      <c r="R19" s="218">
        <f>+'2013'!E63</f>
        <v>397618</v>
      </c>
      <c r="S19" s="218">
        <f>+'2013'!F63</f>
        <v>381119</v>
      </c>
      <c r="T19" s="218">
        <f>+'2013'!G63</f>
        <v>322784</v>
      </c>
      <c r="U19" s="218">
        <f>+'2013'!H63</f>
        <v>271332</v>
      </c>
      <c r="V19" s="218">
        <f>+'2013'!I63</f>
        <v>274042</v>
      </c>
      <c r="W19" s="218">
        <f>+'2013'!J63</f>
        <v>266979</v>
      </c>
      <c r="X19" s="218">
        <f>+'2013'!K63</f>
        <v>254906</v>
      </c>
      <c r="Y19" s="218">
        <f>+'2013'!L63</f>
        <v>271493</v>
      </c>
      <c r="Z19" s="218">
        <f>+'2013'!M63</f>
        <v>278573</v>
      </c>
      <c r="AA19" s="218">
        <f>+'2013'!N63</f>
        <v>327352</v>
      </c>
      <c r="AB19" s="221">
        <f t="shared" si="7"/>
        <v>3683912</v>
      </c>
      <c r="AC19" s="218">
        <f>[6]ISABELA!D9</f>
        <v>383229</v>
      </c>
      <c r="AD19" s="219">
        <f>[6]ISABELA!E9</f>
        <v>392555</v>
      </c>
      <c r="AE19" s="219">
        <f>[6]ISABELA!F9</f>
        <v>450197</v>
      </c>
      <c r="AF19" s="219">
        <f>[6]ISABELA!G9</f>
        <v>418605</v>
      </c>
      <c r="AG19" s="219">
        <f>[6]ISABELA!H9</f>
        <v>396396</v>
      </c>
      <c r="AH19" s="219">
        <f>[6]ISABELA!I9</f>
        <v>352103</v>
      </c>
      <c r="AI19" s="219">
        <f>[6]ISABELA!J9</f>
        <v>353364</v>
      </c>
      <c r="AJ19" s="219">
        <f>[6]ISABELA!K9</f>
        <v>330040</v>
      </c>
      <c r="AK19" s="219">
        <f>[6]ISABELA!L9</f>
        <v>299682</v>
      </c>
      <c r="AL19" s="219">
        <f>[6]ISABELA!M9</f>
        <v>325447</v>
      </c>
      <c r="AM19" s="219">
        <f>[6]ISABELA!N9</f>
        <v>335442</v>
      </c>
      <c r="AN19" s="220">
        <f>[6]ISABELA!O9</f>
        <v>374775</v>
      </c>
      <c r="AO19" s="221">
        <f t="shared" si="8"/>
        <v>4411835</v>
      </c>
      <c r="AP19" s="218">
        <f>+'2015'!C70</f>
        <v>399318</v>
      </c>
      <c r="AQ19" s="218">
        <f>+'2015'!D70</f>
        <v>387434</v>
      </c>
      <c r="AR19" s="218">
        <f>+'2015'!E70</f>
        <v>448944</v>
      </c>
      <c r="AS19" s="218">
        <f>+'2015'!F70</f>
        <v>441115</v>
      </c>
      <c r="AT19" s="218">
        <f>+'2015'!G70</f>
        <v>422899</v>
      </c>
      <c r="AU19" s="218">
        <f>+'2015'!H70</f>
        <v>413947</v>
      </c>
      <c r="AV19" s="218">
        <f>+'2015'!I70</f>
        <v>411910</v>
      </c>
      <c r="AW19" s="218">
        <f>+'2015'!J70</f>
        <v>355720</v>
      </c>
      <c r="AX19" s="218">
        <f>+'2015'!K70</f>
        <v>337980</v>
      </c>
      <c r="AY19" s="218">
        <f>+'2015'!L70</f>
        <v>373600</v>
      </c>
      <c r="AZ19" s="218">
        <f>+'2015'!M70</f>
        <v>415562</v>
      </c>
      <c r="BA19" s="218">
        <f>+'2015'!N70</f>
        <v>476850</v>
      </c>
      <c r="BB19" s="221">
        <f t="shared" si="9"/>
        <v>4885279</v>
      </c>
      <c r="BC19" s="700">
        <f>+'2016'!C71</f>
        <v>482060</v>
      </c>
      <c r="BD19" s="700">
        <f>+'2016'!D71</f>
        <v>487550</v>
      </c>
      <c r="BE19" s="700">
        <f>+'2016'!E71</f>
        <v>547605</v>
      </c>
      <c r="BF19" s="700">
        <f>+'2016'!F71</f>
        <v>475248</v>
      </c>
      <c r="BG19" s="487">
        <f t="shared" ref="BG19:BN19" si="20">+BG30*SUM(CG19:CG20)-BG20</f>
        <v>466321.9755658292</v>
      </c>
      <c r="BH19" s="487">
        <f t="shared" si="20"/>
        <v>428543.16541620786</v>
      </c>
      <c r="BI19" s="487">
        <f t="shared" si="20"/>
        <v>412049.19385450799</v>
      </c>
      <c r="BJ19" s="487">
        <f t="shared" si="20"/>
        <v>370912.31667855516</v>
      </c>
      <c r="BK19" s="487">
        <f t="shared" si="20"/>
        <v>346970.76888345566</v>
      </c>
      <c r="BL19" s="487">
        <f t="shared" si="20"/>
        <v>373849.19158175518</v>
      </c>
      <c r="BM19" s="487">
        <f t="shared" si="20"/>
        <v>397428.13948700187</v>
      </c>
      <c r="BN19" s="487">
        <f t="shared" si="20"/>
        <v>431641.87945650629</v>
      </c>
      <c r="BO19" s="221">
        <f t="shared" si="10"/>
        <v>5220179.6309238197</v>
      </c>
      <c r="BP19" s="487">
        <f t="shared" ref="BP19:CA19" si="21">+BP30*SUM(CC19:CC20)-BP20</f>
        <v>478946.39017898531</v>
      </c>
      <c r="BQ19" s="487">
        <f t="shared" si="21"/>
        <v>501135.50058545795</v>
      </c>
      <c r="BR19" s="487">
        <f t="shared" si="21"/>
        <v>561197.52763114322</v>
      </c>
      <c r="BS19" s="487">
        <f t="shared" si="21"/>
        <v>541226.19874582789</v>
      </c>
      <c r="BT19" s="487">
        <f t="shared" si="21"/>
        <v>497036.12809517561</v>
      </c>
      <c r="BU19" s="487">
        <f t="shared" si="21"/>
        <v>457482.13539431174</v>
      </c>
      <c r="BV19" s="487">
        <f t="shared" si="21"/>
        <v>439435.22522493562</v>
      </c>
      <c r="BW19" s="487">
        <f t="shared" si="21"/>
        <v>395726.04775383667</v>
      </c>
      <c r="BX19" s="487">
        <f t="shared" si="21"/>
        <v>371029.19259565463</v>
      </c>
      <c r="BY19" s="487">
        <f t="shared" si="21"/>
        <v>398851.52266987233</v>
      </c>
      <c r="BZ19" s="487">
        <f t="shared" si="21"/>
        <v>426137.42975000117</v>
      </c>
      <c r="CA19" s="487">
        <f t="shared" si="21"/>
        <v>464716.59713988611</v>
      </c>
      <c r="CB19" s="221">
        <f t="shared" si="11"/>
        <v>5532919.8957650866</v>
      </c>
      <c r="CC19" s="479">
        <f t="shared" ref="CC19:CN20" si="22">AVERAGE(C19/C$30,P19/P$30,AC19/AC$30)</f>
        <v>9.0261108656277136E-2</v>
      </c>
      <c r="CD19" s="479">
        <f t="shared" si="22"/>
        <v>9.3774389388019949E-2</v>
      </c>
      <c r="CE19" s="479">
        <f t="shared" si="22"/>
        <v>9.7045853345024524E-2</v>
      </c>
      <c r="CF19" s="479">
        <f t="shared" si="22"/>
        <v>9.5690362320374658E-2</v>
      </c>
      <c r="CG19" s="479">
        <f t="shared" si="22"/>
        <v>9.1786759041928068E-2</v>
      </c>
      <c r="CH19" s="479">
        <f t="shared" si="22"/>
        <v>8.9896926548818978E-2</v>
      </c>
      <c r="CI19" s="479">
        <f t="shared" si="22"/>
        <v>9.1182352947517586E-2</v>
      </c>
      <c r="CJ19" s="479">
        <f t="shared" si="22"/>
        <v>8.9426902060520744E-2</v>
      </c>
      <c r="CK19" s="479">
        <f t="shared" si="22"/>
        <v>8.8679531800799086E-2</v>
      </c>
      <c r="CL19" s="479">
        <f t="shared" si="22"/>
        <v>8.8402635041112357E-2</v>
      </c>
      <c r="CM19" s="479">
        <f t="shared" si="22"/>
        <v>8.9209649985880254E-2</v>
      </c>
      <c r="CN19" s="479">
        <f t="shared" si="22"/>
        <v>8.8787549399518897E-2</v>
      </c>
    </row>
    <row r="20" spans="1:102" x14ac:dyDescent="0.25">
      <c r="A20" s="761"/>
      <c r="B20" s="217" t="s">
        <v>165</v>
      </c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21"/>
      <c r="P20" s="218"/>
      <c r="Q20" s="218"/>
      <c r="R20" s="218"/>
      <c r="S20" s="218"/>
      <c r="T20" s="218"/>
      <c r="U20" s="218"/>
      <c r="V20" s="218"/>
      <c r="W20" s="218"/>
      <c r="X20" s="218"/>
      <c r="Y20" s="218"/>
      <c r="Z20" s="218"/>
      <c r="AA20" s="218"/>
      <c r="AB20" s="221"/>
      <c r="AC20" s="218"/>
      <c r="AD20" s="218"/>
      <c r="AE20" s="218"/>
      <c r="AF20" s="218"/>
      <c r="AG20" s="218"/>
      <c r="AH20" s="218"/>
      <c r="AI20" s="218"/>
      <c r="AJ20" s="218"/>
      <c r="AK20" s="218"/>
      <c r="AL20" s="218"/>
      <c r="AM20" s="218"/>
      <c r="AN20" s="273"/>
      <c r="AO20" s="221"/>
      <c r="AP20" s="218">
        <f>+'2015'!C72</f>
        <v>1740</v>
      </c>
      <c r="AQ20" s="218">
        <f>+'2015'!D72</f>
        <v>1740</v>
      </c>
      <c r="AR20" s="218">
        <f>+'2015'!E72</f>
        <v>1740</v>
      </c>
      <c r="AS20" s="218">
        <f>+'2015'!F72</f>
        <v>1740</v>
      </c>
      <c r="AT20" s="218">
        <f>+'2015'!G72</f>
        <v>1740</v>
      </c>
      <c r="AU20" s="218">
        <f>+'2015'!H72</f>
        <v>1740</v>
      </c>
      <c r="AV20" s="218">
        <f>+'2015'!I72</f>
        <v>1740</v>
      </c>
      <c r="AW20" s="218">
        <f>+'2015'!J72</f>
        <v>1740</v>
      </c>
      <c r="AX20" s="218">
        <f>+'2015'!K72</f>
        <v>1740</v>
      </c>
      <c r="AY20" s="218">
        <f>+'2015'!L72</f>
        <v>1740</v>
      </c>
      <c r="AZ20" s="218">
        <f>+'2015'!M72</f>
        <v>1740</v>
      </c>
      <c r="BA20" s="218">
        <f>+'2015'!N72</f>
        <v>1276</v>
      </c>
      <c r="BB20" s="221">
        <f t="shared" si="9"/>
        <v>20416</v>
      </c>
      <c r="BC20" s="700">
        <f>+'2016'!C73</f>
        <v>1276</v>
      </c>
      <c r="BD20" s="700">
        <f>+'2016'!D73</f>
        <v>1276</v>
      </c>
      <c r="BE20" s="700">
        <f>+'2016'!E73</f>
        <v>1276</v>
      </c>
      <c r="BF20" s="700">
        <f>+'2016'!F73</f>
        <v>1276</v>
      </c>
      <c r="BG20" s="487">
        <v>1740</v>
      </c>
      <c r="BH20" s="487">
        <v>1740</v>
      </c>
      <c r="BI20" s="487">
        <v>1740</v>
      </c>
      <c r="BJ20" s="487">
        <v>1740</v>
      </c>
      <c r="BK20" s="487">
        <v>1740</v>
      </c>
      <c r="BL20" s="487">
        <v>1740</v>
      </c>
      <c r="BM20" s="487">
        <v>1740</v>
      </c>
      <c r="BN20" s="488">
        <v>1740</v>
      </c>
      <c r="BO20" s="221">
        <f t="shared" si="10"/>
        <v>19024</v>
      </c>
      <c r="BP20" s="487">
        <v>1740</v>
      </c>
      <c r="BQ20" s="487">
        <v>1740</v>
      </c>
      <c r="BR20" s="487">
        <v>1740</v>
      </c>
      <c r="BS20" s="487">
        <v>1740</v>
      </c>
      <c r="BT20" s="487">
        <v>1740</v>
      </c>
      <c r="BU20" s="487">
        <v>1740</v>
      </c>
      <c r="BV20" s="487">
        <v>1740</v>
      </c>
      <c r="BW20" s="487">
        <v>1740</v>
      </c>
      <c r="BX20" s="487">
        <v>1740</v>
      </c>
      <c r="BY20" s="487">
        <v>1740</v>
      </c>
      <c r="BZ20" s="487">
        <v>1740</v>
      </c>
      <c r="CA20" s="488">
        <v>1740</v>
      </c>
      <c r="CB20" s="221">
        <f t="shared" si="11"/>
        <v>20880</v>
      </c>
      <c r="CC20" s="479">
        <f t="shared" si="22"/>
        <v>0</v>
      </c>
      <c r="CD20" s="479">
        <f t="shared" si="22"/>
        <v>0</v>
      </c>
      <c r="CE20" s="479">
        <f t="shared" si="22"/>
        <v>0</v>
      </c>
      <c r="CF20" s="479">
        <f t="shared" si="22"/>
        <v>0</v>
      </c>
      <c r="CG20" s="479">
        <f t="shared" si="22"/>
        <v>0</v>
      </c>
      <c r="CH20" s="479">
        <f t="shared" si="22"/>
        <v>0</v>
      </c>
      <c r="CI20" s="479">
        <f t="shared" si="22"/>
        <v>0</v>
      </c>
      <c r="CJ20" s="479">
        <f t="shared" si="22"/>
        <v>0</v>
      </c>
      <c r="CK20" s="479">
        <f t="shared" si="22"/>
        <v>0</v>
      </c>
      <c r="CL20" s="479">
        <f t="shared" si="22"/>
        <v>0</v>
      </c>
      <c r="CM20" s="479">
        <f t="shared" si="22"/>
        <v>0</v>
      </c>
      <c r="CN20" s="479">
        <f t="shared" si="22"/>
        <v>0</v>
      </c>
    </row>
    <row r="21" spans="1:102" x14ac:dyDescent="0.25">
      <c r="A21" s="761"/>
      <c r="B21" s="217" t="s">
        <v>187</v>
      </c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21">
        <f>+SUM(O17:O20)</f>
        <v>3533703</v>
      </c>
      <c r="P21" s="218"/>
      <c r="Q21" s="218"/>
      <c r="R21" s="218"/>
      <c r="S21" s="218"/>
      <c r="T21" s="218"/>
      <c r="U21" s="218"/>
      <c r="V21" s="218"/>
      <c r="W21" s="218"/>
      <c r="X21" s="218"/>
      <c r="Y21" s="218"/>
      <c r="Z21" s="218"/>
      <c r="AA21" s="218"/>
      <c r="AB21" s="221">
        <f>+SUM(AB17:AB20)</f>
        <v>3683912</v>
      </c>
      <c r="AC21" s="218"/>
      <c r="AD21" s="218"/>
      <c r="AE21" s="218"/>
      <c r="AF21" s="218"/>
      <c r="AG21" s="218"/>
      <c r="AH21" s="218"/>
      <c r="AI21" s="218"/>
      <c r="AJ21" s="218"/>
      <c r="AK21" s="218"/>
      <c r="AL21" s="218"/>
      <c r="AM21" s="218"/>
      <c r="AN21" s="273"/>
      <c r="AO21" s="221">
        <f>+SUM(AO17:AO20)</f>
        <v>4411835</v>
      </c>
      <c r="AP21" s="218"/>
      <c r="AQ21" s="218"/>
      <c r="AR21" s="218"/>
      <c r="AS21" s="218"/>
      <c r="AT21" s="218"/>
      <c r="AU21" s="218"/>
      <c r="AV21" s="487"/>
      <c r="AW21" s="487"/>
      <c r="AX21" s="487"/>
      <c r="AY21" s="487"/>
      <c r="AZ21" s="487"/>
      <c r="BA21" s="488"/>
      <c r="BB21" s="221">
        <f>+SUM(BB17:BB20)</f>
        <v>4905695</v>
      </c>
      <c r="BC21" s="487"/>
      <c r="BD21" s="487"/>
      <c r="BE21" s="487"/>
      <c r="BF21" s="487"/>
      <c r="BG21" s="487"/>
      <c r="BH21" s="487"/>
      <c r="BI21" s="487"/>
      <c r="BJ21" s="487"/>
      <c r="BK21" s="487"/>
      <c r="BL21" s="487"/>
      <c r="BM21" s="487"/>
      <c r="BN21" s="488"/>
      <c r="BO21" s="221">
        <f>+SUM(BO17:BO20)</f>
        <v>5239203.6309238197</v>
      </c>
      <c r="BP21" s="487"/>
      <c r="BQ21" s="487"/>
      <c r="BR21" s="487"/>
      <c r="BS21" s="487"/>
      <c r="BT21" s="487"/>
      <c r="BU21" s="487"/>
      <c r="BV21" s="487"/>
      <c r="BW21" s="487"/>
      <c r="BX21" s="487"/>
      <c r="BY21" s="487"/>
      <c r="BZ21" s="487"/>
      <c r="CA21" s="488"/>
      <c r="CB21" s="221">
        <f>+SUM(CB17:CB20)</f>
        <v>5553799.8957650866</v>
      </c>
      <c r="CC21" s="479"/>
      <c r="CD21" s="479"/>
      <c r="CE21" s="479"/>
      <c r="CF21" s="479"/>
      <c r="CG21" s="479"/>
      <c r="CH21" s="479"/>
      <c r="CI21" s="479"/>
      <c r="CJ21" s="479"/>
      <c r="CK21" s="479"/>
      <c r="CL21" s="479"/>
      <c r="CM21" s="479"/>
      <c r="CN21" s="479"/>
      <c r="CQ21">
        <f>+BO21*1.1049</f>
        <v>5788796.0918077286</v>
      </c>
      <c r="CR21">
        <f>+CQ21*1.1049</f>
        <v>6396040.8018383589</v>
      </c>
      <c r="CS21">
        <f t="shared" ref="CS21:CX21" si="23">+CR21*1.1049</f>
        <v>7066985.4819512023</v>
      </c>
      <c r="CT21">
        <f t="shared" si="23"/>
        <v>7808312.2590078833</v>
      </c>
      <c r="CU21">
        <f t="shared" si="23"/>
        <v>8627404.2149778102</v>
      </c>
      <c r="CV21">
        <f t="shared" si="23"/>
        <v>9532418.917128982</v>
      </c>
      <c r="CW21">
        <f t="shared" si="23"/>
        <v>10532369.661535813</v>
      </c>
      <c r="CX21">
        <f t="shared" si="23"/>
        <v>11637215.23903092</v>
      </c>
    </row>
    <row r="22" spans="1:102" x14ac:dyDescent="0.25">
      <c r="A22" s="761"/>
      <c r="B22" s="217"/>
      <c r="C22" s="218"/>
      <c r="D22" s="218"/>
      <c r="E22" s="218"/>
      <c r="F22" s="218"/>
      <c r="G22" s="218"/>
      <c r="H22" s="218"/>
      <c r="I22" s="218"/>
      <c r="J22" s="218"/>
      <c r="K22" s="218"/>
      <c r="L22" s="218"/>
      <c r="M22" s="218"/>
      <c r="N22" s="218"/>
      <c r="O22" s="221"/>
      <c r="P22" s="218"/>
      <c r="Q22" s="218"/>
      <c r="R22" s="218"/>
      <c r="S22" s="218"/>
      <c r="T22" s="218"/>
      <c r="U22" s="218"/>
      <c r="V22" s="218"/>
      <c r="W22" s="218"/>
      <c r="X22" s="218"/>
      <c r="Y22" s="218"/>
      <c r="Z22" s="218"/>
      <c r="AA22" s="218"/>
      <c r="AB22" s="221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73"/>
      <c r="AO22" s="221"/>
      <c r="AP22" s="218"/>
      <c r="AQ22" s="218"/>
      <c r="AR22" s="218"/>
      <c r="AS22" s="218"/>
      <c r="AT22" s="218"/>
      <c r="AU22" s="218"/>
      <c r="AV22" s="487"/>
      <c r="AW22" s="487"/>
      <c r="AX22" s="487"/>
      <c r="AY22" s="487"/>
      <c r="AZ22" s="487"/>
      <c r="BA22" s="488"/>
      <c r="BB22" s="221"/>
      <c r="BC22" s="487"/>
      <c r="BD22" s="487"/>
      <c r="BE22" s="487"/>
      <c r="BF22" s="487"/>
      <c r="BG22" s="487"/>
      <c r="BH22" s="487"/>
      <c r="BI22" s="487"/>
      <c r="BJ22" s="487"/>
      <c r="BK22" s="487"/>
      <c r="BL22" s="487"/>
      <c r="BM22" s="487"/>
      <c r="BN22" s="488"/>
      <c r="BO22" s="221"/>
      <c r="BP22" s="487"/>
      <c r="BQ22" s="487"/>
      <c r="BR22" s="487"/>
      <c r="BS22" s="487"/>
      <c r="BT22" s="487"/>
      <c r="BU22" s="487"/>
      <c r="BV22" s="487"/>
      <c r="BW22" s="487"/>
      <c r="BX22" s="487"/>
      <c r="BY22" s="487"/>
      <c r="BZ22" s="487"/>
      <c r="CA22" s="488"/>
      <c r="CB22" s="221"/>
      <c r="CC22" s="479"/>
      <c r="CD22" s="479"/>
      <c r="CE22" s="479"/>
      <c r="CF22" s="479"/>
      <c r="CG22" s="479"/>
      <c r="CH22" s="479"/>
      <c r="CI22" s="479"/>
      <c r="CJ22" s="479"/>
      <c r="CK22" s="479"/>
      <c r="CL22" s="479"/>
      <c r="CM22" s="479"/>
      <c r="CN22" s="479"/>
    </row>
    <row r="23" spans="1:102" x14ac:dyDescent="0.25">
      <c r="A23" s="761"/>
      <c r="B23" s="222" t="s">
        <v>123</v>
      </c>
      <c r="C23" s="223">
        <f>+'2012'!B69</f>
        <v>0</v>
      </c>
      <c r="D23" s="223">
        <f>+'2012'!C69</f>
        <v>16011</v>
      </c>
      <c r="E23" s="223">
        <f>+'2012'!D69</f>
        <v>12416</v>
      </c>
      <c r="F23" s="223">
        <f>+'2012'!E69</f>
        <v>20564</v>
      </c>
      <c r="G23" s="223">
        <f>+'2012'!F69</f>
        <v>26057</v>
      </c>
      <c r="H23" s="223">
        <f>+'2012'!G69</f>
        <v>23342.799999999999</v>
      </c>
      <c r="I23" s="223">
        <f>+'2012'!H69</f>
        <v>23931</v>
      </c>
      <c r="J23" s="223">
        <f>+'2012'!I69</f>
        <v>24469</v>
      </c>
      <c r="K23" s="223">
        <f>+'2012'!J69</f>
        <v>31488</v>
      </c>
      <c r="L23" s="223">
        <f>+'2012'!K69</f>
        <v>33642</v>
      </c>
      <c r="M23" s="223">
        <f>+'2012'!L69</f>
        <v>31991</v>
      </c>
      <c r="N23" s="223">
        <f>+'2012'!M69</f>
        <v>32576</v>
      </c>
      <c r="O23" s="224">
        <f t="shared" si="6"/>
        <v>276487.8</v>
      </c>
      <c r="P23" s="223">
        <f>+'2013'!C86</f>
        <v>32252</v>
      </c>
      <c r="Q23" s="223">
        <f>+'2013'!D86</f>
        <v>28697</v>
      </c>
      <c r="R23" s="223">
        <f>+'2013'!E86</f>
        <v>17308.7</v>
      </c>
      <c r="S23" s="223">
        <f>+'2013'!F86</f>
        <v>15591</v>
      </c>
      <c r="T23" s="223">
        <f>+'2013'!G86</f>
        <v>14089</v>
      </c>
      <c r="U23" s="223">
        <f>+'2013'!H86</f>
        <v>13323</v>
      </c>
      <c r="V23" s="223">
        <f>+'2013'!I86</f>
        <v>14049.5</v>
      </c>
      <c r="W23" s="223">
        <f>+'2013'!J86</f>
        <v>6997</v>
      </c>
      <c r="X23" s="223">
        <f>+'2013'!K86</f>
        <v>6827.75</v>
      </c>
      <c r="Y23" s="223">
        <f>+'2013'!L86</f>
        <v>7552.5</v>
      </c>
      <c r="Z23" s="223">
        <f>+'2013'!M86</f>
        <v>6850.5</v>
      </c>
      <c r="AA23" s="223">
        <f>+'2013'!N86</f>
        <v>7020.25</v>
      </c>
      <c r="AB23" s="224">
        <f t="shared" si="7"/>
        <v>170558.2</v>
      </c>
      <c r="AC23" s="223">
        <f>+[6]FLOREANA!E7+[6]FLOREANA!E8+[6]FLOREANA!E9</f>
        <v>6834.5</v>
      </c>
      <c r="AD23" s="223">
        <f>+[6]FLOREANA!F7+[6]FLOREANA!F8+[6]FLOREANA!F9</f>
        <v>22613.25</v>
      </c>
      <c r="AE23" s="223">
        <f>+[6]FLOREANA!G7+[6]FLOREANA!G8+[6]FLOREANA!G9</f>
        <v>25427</v>
      </c>
      <c r="AF23" s="223">
        <f>+[6]FLOREANA!H7+[6]FLOREANA!H8+[6]FLOREANA!H9</f>
        <v>26111</v>
      </c>
      <c r="AG23" s="223">
        <f>+[6]FLOREANA!I7+[6]FLOREANA!I8+[6]FLOREANA!I9</f>
        <v>27042</v>
      </c>
      <c r="AH23" s="223">
        <f>+[6]FLOREANA!J7+[6]FLOREANA!J8+[6]FLOREANA!J9</f>
        <v>23216</v>
      </c>
      <c r="AI23" s="223">
        <f>+[6]FLOREANA!K7+[6]FLOREANA!K8+[6]FLOREANA!K9</f>
        <v>19050</v>
      </c>
      <c r="AJ23" s="223">
        <f>+[6]FLOREANA!L7+[6]FLOREANA!L8+[6]FLOREANA!L9</f>
        <v>18419</v>
      </c>
      <c r="AK23" s="223">
        <f>+[6]FLOREANA!M7+[6]FLOREANA!M8+[6]FLOREANA!M9</f>
        <v>11707.5</v>
      </c>
      <c r="AL23" s="223">
        <f>+[6]FLOREANA!N7+[6]FLOREANA!N8+[6]FLOREANA!N9</f>
        <v>10266.75</v>
      </c>
      <c r="AM23" s="223">
        <f>+[6]FLOREANA!O7+[6]FLOREANA!O8+[6]FLOREANA!O9</f>
        <v>7845.75</v>
      </c>
      <c r="AN23" s="274">
        <f>+[6]FLOREANA!P7+[6]FLOREANA!P8+[6]FLOREANA!P9</f>
        <v>9482</v>
      </c>
      <c r="AO23" s="224">
        <f t="shared" si="8"/>
        <v>208014.75</v>
      </c>
      <c r="AP23" s="223">
        <f>+'2015'!C95</f>
        <v>9655</v>
      </c>
      <c r="AQ23" s="223">
        <f>+'2015'!D95</f>
        <v>11058</v>
      </c>
      <c r="AR23" s="223">
        <f>+'2015'!E95</f>
        <v>14135.55</v>
      </c>
      <c r="AS23" s="223">
        <f>+'2015'!F95</f>
        <v>14023.099999999999</v>
      </c>
      <c r="AT23" s="223">
        <f>+'2015'!G95</f>
        <v>14595.699999999999</v>
      </c>
      <c r="AU23" s="223">
        <f>+'2015'!H95</f>
        <v>13781.599999999999</v>
      </c>
      <c r="AV23" s="223">
        <f>+'2015'!I95</f>
        <v>19002</v>
      </c>
      <c r="AW23" s="223">
        <f>+'2015'!J95</f>
        <v>17495</v>
      </c>
      <c r="AX23" s="223">
        <f>+'2015'!K95</f>
        <v>16695</v>
      </c>
      <c r="AY23" s="223">
        <f>+'2015'!L95</f>
        <v>14252</v>
      </c>
      <c r="AZ23" s="223">
        <f>+'2015'!M95</f>
        <v>10841</v>
      </c>
      <c r="BA23" s="223">
        <f>+'2015'!N95</f>
        <v>11932.5</v>
      </c>
      <c r="BB23" s="224">
        <f t="shared" si="9"/>
        <v>167466.45000000001</v>
      </c>
      <c r="BC23" s="701">
        <f>+'2016'!C95</f>
        <v>15961.5</v>
      </c>
      <c r="BD23" s="701">
        <f>+'2016'!D95</f>
        <v>13061.5</v>
      </c>
      <c r="BE23" s="701">
        <f>+'2016'!E95</f>
        <v>13350</v>
      </c>
      <c r="BF23" s="701">
        <f>+'2016'!F95</f>
        <v>16303.5</v>
      </c>
      <c r="BG23" s="489">
        <f t="shared" ref="BG23:BN23" si="24">+(BG30*SUM(CG23:CG26)-BG25-BG26)*0.75</f>
        <v>14128.174526588224</v>
      </c>
      <c r="BH23" s="489">
        <f t="shared" si="24"/>
        <v>12759.13170582907</v>
      </c>
      <c r="BI23" s="489">
        <f t="shared" si="24"/>
        <v>14913.235560947447</v>
      </c>
      <c r="BJ23" s="489">
        <f t="shared" si="24"/>
        <v>13810.257239224775</v>
      </c>
      <c r="BK23" s="489">
        <f t="shared" si="24"/>
        <v>11296.733173308487</v>
      </c>
      <c r="BL23" s="489">
        <f t="shared" si="24"/>
        <v>10973.873322233036</v>
      </c>
      <c r="BM23" s="489">
        <f t="shared" si="24"/>
        <v>12239.951388527665</v>
      </c>
      <c r="BN23" s="489">
        <f t="shared" si="24"/>
        <v>14277.20787477562</v>
      </c>
      <c r="BO23" s="224">
        <f t="shared" si="10"/>
        <v>163075.06479143433</v>
      </c>
      <c r="BP23" s="489">
        <f t="shared" ref="BP23:CA23" si="25">+(BP30*SUM(CC23:CC26)-BP25-BP26)*0.75</f>
        <v>14936.087450368243</v>
      </c>
      <c r="BQ23" s="489">
        <f t="shared" si="25"/>
        <v>13739.123168673395</v>
      </c>
      <c r="BR23" s="489">
        <f t="shared" si="25"/>
        <v>14680.206313110029</v>
      </c>
      <c r="BS23" s="489">
        <f t="shared" si="25"/>
        <v>15025.595683527925</v>
      </c>
      <c r="BT23" s="489">
        <f t="shared" si="25"/>
        <v>15219.51055880602</v>
      </c>
      <c r="BU23" s="489">
        <f t="shared" si="25"/>
        <v>13769.194009680596</v>
      </c>
      <c r="BV23" s="489">
        <f t="shared" si="25"/>
        <v>16048.638708823119</v>
      </c>
      <c r="BW23" s="489">
        <f t="shared" si="25"/>
        <v>14893.918660465544</v>
      </c>
      <c r="BX23" s="489">
        <f t="shared" si="25"/>
        <v>12266.756763461381</v>
      </c>
      <c r="BY23" s="489">
        <f t="shared" si="25"/>
        <v>11897.665440935743</v>
      </c>
      <c r="BZ23" s="489">
        <f t="shared" si="25"/>
        <v>13319.086670319879</v>
      </c>
      <c r="CA23" s="489">
        <f t="shared" si="25"/>
        <v>15570.598344076958</v>
      </c>
      <c r="CB23" s="224">
        <f t="shared" si="11"/>
        <v>171366.3817722488</v>
      </c>
      <c r="CC23" s="479">
        <f t="shared" ref="CC23:CH24" si="26">AVERAGE(AP23/AP$30)</f>
        <v>2.2164104697794591E-3</v>
      </c>
      <c r="CD23" s="479">
        <f t="shared" si="26"/>
        <v>2.5313550778901599E-3</v>
      </c>
      <c r="CE23" s="479">
        <f t="shared" si="26"/>
        <v>2.8248372545881229E-3</v>
      </c>
      <c r="CF23" s="479">
        <f t="shared" si="26"/>
        <v>2.9035973797460679E-3</v>
      </c>
      <c r="CG23" s="479">
        <f t="shared" si="26"/>
        <v>3.0439447799215638E-3</v>
      </c>
      <c r="CH23" s="479">
        <f t="shared" si="26"/>
        <v>2.9250758263338144E-3</v>
      </c>
      <c r="CI23" s="479">
        <f t="shared" ref="CI23:CN24" si="27">AVERAGE(AI23/AI$30)</f>
        <v>5.0112183817866722E-3</v>
      </c>
      <c r="CJ23" s="479">
        <f t="shared" si="27"/>
        <v>5.159342129027451E-3</v>
      </c>
      <c r="CK23" s="479">
        <f t="shared" si="27"/>
        <v>3.5337849917532944E-3</v>
      </c>
      <c r="CL23" s="479">
        <f t="shared" si="27"/>
        <v>2.8955456598578886E-3</v>
      </c>
      <c r="CM23" s="479">
        <f t="shared" si="27"/>
        <v>2.1248409654745985E-3</v>
      </c>
      <c r="CN23" s="479">
        <f t="shared" si="27"/>
        <v>2.2934049507763146E-3</v>
      </c>
    </row>
    <row r="24" spans="1:102" x14ac:dyDescent="0.25">
      <c r="A24" s="761"/>
      <c r="B24" s="222" t="s">
        <v>124</v>
      </c>
      <c r="C24" s="223">
        <f>+'2012'!B71</f>
        <v>26408</v>
      </c>
      <c r="D24" s="223">
        <f>+'2012'!C71</f>
        <v>6470</v>
      </c>
      <c r="E24" s="223">
        <f>+'2012'!D71</f>
        <v>18075</v>
      </c>
      <c r="F24" s="223">
        <f>+'2012'!E71</f>
        <v>10803</v>
      </c>
      <c r="G24" s="223">
        <f>+'2012'!F71</f>
        <v>6532</v>
      </c>
      <c r="H24" s="223">
        <f>+'2012'!G71</f>
        <v>8359.2000000000007</v>
      </c>
      <c r="I24" s="223">
        <f>+'2012'!H71</f>
        <v>5983</v>
      </c>
      <c r="J24" s="223">
        <f>+'2012'!I71</f>
        <v>5091</v>
      </c>
      <c r="K24" s="223">
        <f>+'2012'!J71</f>
        <v>0</v>
      </c>
      <c r="L24" s="223">
        <f>+'2012'!K71</f>
        <v>0</v>
      </c>
      <c r="M24" s="223">
        <f>+'2012'!L71</f>
        <v>0</v>
      </c>
      <c r="N24" s="223">
        <f>+'2012'!M71</f>
        <v>0</v>
      </c>
      <c r="O24" s="224">
        <f t="shared" si="6"/>
        <v>87721.2</v>
      </c>
      <c r="P24" s="223">
        <f>+'2013'!C88</f>
        <v>0</v>
      </c>
      <c r="Q24" s="223">
        <f>+'2013'!D88</f>
        <v>0</v>
      </c>
      <c r="R24" s="223">
        <f>+'2013'!E88</f>
        <v>15381.3</v>
      </c>
      <c r="S24" s="223">
        <f>+'2013'!F88</f>
        <v>15591</v>
      </c>
      <c r="T24" s="223">
        <f>+'2013'!G88</f>
        <v>14823</v>
      </c>
      <c r="U24" s="223">
        <f>+'2013'!H88</f>
        <v>13323</v>
      </c>
      <c r="V24" s="223">
        <f>+'2013'!I88</f>
        <v>14049.5</v>
      </c>
      <c r="W24" s="223">
        <f>+'2013'!J88</f>
        <v>20991</v>
      </c>
      <c r="X24" s="223">
        <f>+'2013'!K88</f>
        <v>20483.25</v>
      </c>
      <c r="Y24" s="223">
        <f>+'2013'!L88</f>
        <v>21311.25</v>
      </c>
      <c r="Z24" s="223">
        <f>+'2013'!M88</f>
        <v>20578.5</v>
      </c>
      <c r="AA24" s="223">
        <f>+'2013'!N88</f>
        <v>21049.25</v>
      </c>
      <c r="AB24" s="224">
        <f t="shared" si="7"/>
        <v>177581.05</v>
      </c>
      <c r="AC24" s="223">
        <f>+[6]FLOREANA!E5+[6]FLOREANA!E6</f>
        <v>20503.5</v>
      </c>
      <c r="AD24" s="223">
        <f>+[6]FLOREANA!F5+[6]FLOREANA!F6</f>
        <v>1347.75</v>
      </c>
      <c r="AE24" s="223">
        <f>+[6]FLOREANA!G5+[6]FLOREANA!G6</f>
        <v>0</v>
      </c>
      <c r="AF24" s="223">
        <f>+[6]FLOREANA!H5+[6]FLOREANA!H6</f>
        <v>0</v>
      </c>
      <c r="AG24" s="223">
        <f>+[6]FLOREANA!I5+[6]FLOREANA!I6</f>
        <v>0</v>
      </c>
      <c r="AH24" s="223">
        <f>+[6]FLOREANA!J5+[6]FLOREANA!J6</f>
        <v>0</v>
      </c>
      <c r="AI24" s="223">
        <f>+[6]FLOREANA!K5+[6]FLOREANA!K6</f>
        <v>0</v>
      </c>
      <c r="AJ24" s="223">
        <f>+[6]FLOREANA!L5+[6]FLOREANA!L6</f>
        <v>0</v>
      </c>
      <c r="AK24" s="223">
        <f>+[6]FLOREANA!M5+[6]FLOREANA!M6</f>
        <v>3902.5</v>
      </c>
      <c r="AL24" s="223">
        <f>+[6]FLOREANA!N5+[6]FLOREANA!N6</f>
        <v>4980.25</v>
      </c>
      <c r="AM24" s="223">
        <f>+[6]FLOREANA!O5+[6]FLOREANA!O6</f>
        <v>8482.25</v>
      </c>
      <c r="AN24" s="274">
        <f>+[6]FLOREANA!P5+[6]FLOREANA!P6</f>
        <v>9482</v>
      </c>
      <c r="AO24" s="224">
        <f t="shared" si="8"/>
        <v>48698.25</v>
      </c>
      <c r="AP24" s="223">
        <f>+'2015'!C97</f>
        <v>9655</v>
      </c>
      <c r="AQ24" s="223">
        <f>+'2015'!D97</f>
        <v>6759</v>
      </c>
      <c r="AR24" s="223">
        <f>+'2015'!E97</f>
        <v>5969.4500000000007</v>
      </c>
      <c r="AS24" s="223">
        <f>+'2015'!F97</f>
        <v>6009.9000000000005</v>
      </c>
      <c r="AT24" s="223">
        <f>+'2015'!G97</f>
        <v>6255.3000000000011</v>
      </c>
      <c r="AU24" s="223">
        <f>+'2015'!H97</f>
        <v>5906.4000000000015</v>
      </c>
      <c r="AV24" s="223">
        <f>+'2015'!I97</f>
        <v>0</v>
      </c>
      <c r="AW24" s="223">
        <f>+'2015'!J97</f>
        <v>0</v>
      </c>
      <c r="AX24" s="223">
        <f>+'2015'!K97</f>
        <v>0</v>
      </c>
      <c r="AY24" s="223">
        <f>+'2015'!L97</f>
        <v>3126</v>
      </c>
      <c r="AZ24" s="223">
        <f>+'2015'!M97</f>
        <v>7277</v>
      </c>
      <c r="BA24" s="223">
        <f>+'2015'!N97</f>
        <v>8380.5</v>
      </c>
      <c r="BB24" s="224">
        <f t="shared" si="9"/>
        <v>59338.55</v>
      </c>
      <c r="BC24" s="701">
        <f>+'2016'!C97</f>
        <v>5713.5</v>
      </c>
      <c r="BD24" s="701">
        <f>+'2016'!D97</f>
        <v>6403.5</v>
      </c>
      <c r="BE24" s="701">
        <f>+'2016'!E97</f>
        <v>7262</v>
      </c>
      <c r="BF24" s="701">
        <f>+'2016'!F97</f>
        <v>4244.5</v>
      </c>
      <c r="BG24" s="489">
        <f t="shared" ref="BG24:BN24" si="28">+(BG30*SUM(CG23:CG26)-BG25-BG26)*0.25</f>
        <v>4709.3915088627409</v>
      </c>
      <c r="BH24" s="489">
        <f t="shared" si="28"/>
        <v>4253.0439019430232</v>
      </c>
      <c r="BI24" s="489">
        <f t="shared" si="28"/>
        <v>4971.0785203158157</v>
      </c>
      <c r="BJ24" s="489">
        <f t="shared" si="28"/>
        <v>4603.4190797415913</v>
      </c>
      <c r="BK24" s="489">
        <f t="shared" si="28"/>
        <v>3765.5777244361625</v>
      </c>
      <c r="BL24" s="489">
        <f t="shared" si="28"/>
        <v>3657.9577740776786</v>
      </c>
      <c r="BM24" s="489">
        <f t="shared" si="28"/>
        <v>4079.9837961758885</v>
      </c>
      <c r="BN24" s="489">
        <f t="shared" si="28"/>
        <v>4759.0692915918735</v>
      </c>
      <c r="BO24" s="224">
        <f t="shared" si="10"/>
        <v>58423.021597144776</v>
      </c>
      <c r="BP24" s="489">
        <f t="shared" ref="BP24:CA24" si="29">+(BP30*SUM(CC23:CC26)-BP25-BP26)*0.25</f>
        <v>4978.6958167894145</v>
      </c>
      <c r="BQ24" s="489">
        <f t="shared" si="29"/>
        <v>4579.7077228911321</v>
      </c>
      <c r="BR24" s="489">
        <f t="shared" si="29"/>
        <v>4893.4021043700095</v>
      </c>
      <c r="BS24" s="489">
        <f t="shared" si="29"/>
        <v>5008.5318945093086</v>
      </c>
      <c r="BT24" s="489">
        <f t="shared" si="29"/>
        <v>5073.1701862686732</v>
      </c>
      <c r="BU24" s="489">
        <f t="shared" si="29"/>
        <v>4589.7313365601985</v>
      </c>
      <c r="BV24" s="489">
        <f t="shared" si="29"/>
        <v>5349.5462362743729</v>
      </c>
      <c r="BW24" s="489">
        <f t="shared" si="29"/>
        <v>4964.639553488515</v>
      </c>
      <c r="BX24" s="489">
        <f t="shared" si="29"/>
        <v>4088.9189211537932</v>
      </c>
      <c r="BY24" s="489">
        <f t="shared" si="29"/>
        <v>3965.8884803119145</v>
      </c>
      <c r="BZ24" s="489">
        <f t="shared" si="29"/>
        <v>4439.695556773293</v>
      </c>
      <c r="CA24" s="489">
        <f t="shared" si="29"/>
        <v>5190.1994480256526</v>
      </c>
      <c r="CB24" s="224">
        <f t="shared" si="11"/>
        <v>57122.127257416287</v>
      </c>
      <c r="CC24" s="479">
        <f t="shared" si="26"/>
        <v>2.2164104697794591E-3</v>
      </c>
      <c r="CD24" s="479">
        <f t="shared" si="26"/>
        <v>1.5472444358346528E-3</v>
      </c>
      <c r="CE24" s="479">
        <f t="shared" si="26"/>
        <v>1.1929302184493049E-3</v>
      </c>
      <c r="CF24" s="479">
        <f t="shared" si="26"/>
        <v>1.2443988770340292E-3</v>
      </c>
      <c r="CG24" s="479">
        <f t="shared" si="26"/>
        <v>1.3045477628235277E-3</v>
      </c>
      <c r="CH24" s="479">
        <f t="shared" si="26"/>
        <v>1.253603925571635E-3</v>
      </c>
      <c r="CI24" s="479">
        <f t="shared" si="27"/>
        <v>0</v>
      </c>
      <c r="CJ24" s="479">
        <f t="shared" si="27"/>
        <v>0</v>
      </c>
      <c r="CK24" s="479">
        <f t="shared" si="27"/>
        <v>1.1779283305844315E-3</v>
      </c>
      <c r="CL24" s="479">
        <f t="shared" si="27"/>
        <v>1.4045867750268829E-3</v>
      </c>
      <c r="CM24" s="479">
        <f t="shared" si="27"/>
        <v>2.2972223534266211E-3</v>
      </c>
      <c r="CN24" s="479">
        <f t="shared" si="27"/>
        <v>2.2934049507763146E-3</v>
      </c>
      <c r="CQ24" s="545"/>
      <c r="CR24" s="545"/>
      <c r="CS24" s="545"/>
      <c r="CT24" s="545"/>
      <c r="CU24" s="545"/>
      <c r="CV24" s="545"/>
      <c r="CW24" s="545"/>
      <c r="CX24" s="545"/>
    </row>
    <row r="25" spans="1:102" x14ac:dyDescent="0.25">
      <c r="A25" s="761"/>
      <c r="B25" s="222" t="s">
        <v>125</v>
      </c>
      <c r="C25" s="223">
        <v>0</v>
      </c>
      <c r="D25" s="223">
        <v>0</v>
      </c>
      <c r="E25" s="223">
        <v>0</v>
      </c>
      <c r="F25" s="223">
        <v>0</v>
      </c>
      <c r="G25" s="223">
        <v>0</v>
      </c>
      <c r="H25" s="223">
        <v>0</v>
      </c>
      <c r="I25" s="223">
        <v>0</v>
      </c>
      <c r="J25" s="223">
        <v>0</v>
      </c>
      <c r="K25" s="223">
        <v>0</v>
      </c>
      <c r="L25" s="223">
        <v>0</v>
      </c>
      <c r="M25" s="223">
        <v>0</v>
      </c>
      <c r="N25" s="223">
        <v>0</v>
      </c>
      <c r="O25" s="224">
        <f t="shared" si="6"/>
        <v>0</v>
      </c>
      <c r="P25" s="223">
        <v>0</v>
      </c>
      <c r="Q25" s="223">
        <v>0</v>
      </c>
      <c r="R25" s="223">
        <v>0</v>
      </c>
      <c r="S25" s="223">
        <v>0</v>
      </c>
      <c r="T25" s="223">
        <v>0</v>
      </c>
      <c r="U25" s="223">
        <v>0</v>
      </c>
      <c r="V25" s="223">
        <v>0</v>
      </c>
      <c r="W25" s="223">
        <v>0</v>
      </c>
      <c r="X25" s="223">
        <v>0</v>
      </c>
      <c r="Y25" s="223">
        <v>0</v>
      </c>
      <c r="Z25" s="223">
        <v>0</v>
      </c>
      <c r="AA25" s="223">
        <v>0</v>
      </c>
      <c r="AB25" s="224">
        <f t="shared" si="7"/>
        <v>0</v>
      </c>
      <c r="AC25" s="223">
        <f>+[6]FLOREANA!E56</f>
        <v>0</v>
      </c>
      <c r="AD25" s="223">
        <f>+[6]FLOREANA!F56</f>
        <v>0</v>
      </c>
      <c r="AE25" s="223">
        <f>+[6]FLOREANA!G56</f>
        <v>0</v>
      </c>
      <c r="AF25" s="223">
        <f>+[6]FLOREANA!H56</f>
        <v>0</v>
      </c>
      <c r="AG25" s="223">
        <f>+[6]FLOREANA!I56</f>
        <v>0</v>
      </c>
      <c r="AH25" s="223">
        <f>+[6]FLOREANA!J56</f>
        <v>57.3</v>
      </c>
      <c r="AI25" s="223">
        <f>+[6]FLOREANA!K56</f>
        <v>333.53</v>
      </c>
      <c r="AJ25" s="223">
        <f>+[6]FLOREANA!L56</f>
        <v>513.10200000000009</v>
      </c>
      <c r="AK25" s="223">
        <f>+[6]FLOREANA!M56</f>
        <v>553</v>
      </c>
      <c r="AL25" s="223">
        <f>+[6]FLOREANA!N56</f>
        <v>584.65000000000009</v>
      </c>
      <c r="AM25" s="223">
        <f>+[6]FLOREANA!O56</f>
        <v>542.005</v>
      </c>
      <c r="AN25" s="274">
        <f>+[6]FLOREANA!P56</f>
        <v>528.21</v>
      </c>
      <c r="AO25" s="224">
        <f t="shared" si="8"/>
        <v>3111.797</v>
      </c>
      <c r="AP25" s="223">
        <f>+'2015'!C99</f>
        <v>517.56999999999994</v>
      </c>
      <c r="AQ25" s="223">
        <f>+'2015'!D99</f>
        <v>1137</v>
      </c>
      <c r="AR25" s="223">
        <f>+'2015'!E99</f>
        <v>1518.42</v>
      </c>
      <c r="AS25" s="223">
        <f>+'2015'!F99</f>
        <v>1223</v>
      </c>
      <c r="AT25" s="223">
        <f>+'2015'!G99</f>
        <v>1171.4000000000001</v>
      </c>
      <c r="AU25" s="223">
        <f>+'2015'!H99</f>
        <v>1268.1100000000001</v>
      </c>
      <c r="AV25" s="223">
        <f>+'2015'!I99</f>
        <v>1317.88</v>
      </c>
      <c r="AW25" s="223">
        <f>+'2015'!J99</f>
        <v>1206.3800000000001</v>
      </c>
      <c r="AX25" s="223">
        <f>+'2015'!K99</f>
        <v>1105.76</v>
      </c>
      <c r="AY25" s="223">
        <f>+'2015'!L99</f>
        <v>1163.5900000000001</v>
      </c>
      <c r="AZ25" s="223">
        <f>+'2015'!M99</f>
        <v>1183.67</v>
      </c>
      <c r="BA25" s="223">
        <f>+'2015'!N99</f>
        <v>1355.1799999999998</v>
      </c>
      <c r="BB25" s="224">
        <f t="shared" si="9"/>
        <v>14167.960000000001</v>
      </c>
      <c r="BC25" s="701">
        <f>+'2016'!C99</f>
        <v>1565.49</v>
      </c>
      <c r="BD25" s="701">
        <f>+'2016'!D99</f>
        <v>1662</v>
      </c>
      <c r="BE25" s="701">
        <f>+'2016'!E99</f>
        <v>1416.73</v>
      </c>
      <c r="BF25" s="701">
        <f>+'2016'!F99</f>
        <v>2045.319</v>
      </c>
      <c r="BG25" s="489">
        <v>2757.3536537908371</v>
      </c>
      <c r="BH25" s="489">
        <v>2432.1632311782437</v>
      </c>
      <c r="BI25" s="489">
        <v>2409.5151301581554</v>
      </c>
      <c r="BJ25" s="489">
        <v>2705.5427086161649</v>
      </c>
      <c r="BK25" s="489">
        <v>3104.1470860225299</v>
      </c>
      <c r="BL25" s="489">
        <v>3291.3148079818861</v>
      </c>
      <c r="BM25" s="489">
        <v>3105.5017890294343</v>
      </c>
      <c r="BN25" s="489">
        <v>2980.3175225769037</v>
      </c>
      <c r="BO25" s="224">
        <f t="shared" si="10"/>
        <v>29475.394929354152</v>
      </c>
      <c r="BP25" s="489">
        <v>3112.2466870241637</v>
      </c>
      <c r="BQ25" s="489">
        <v>2973.108617049299</v>
      </c>
      <c r="BR25" s="489">
        <v>3152.4063158581152</v>
      </c>
      <c r="BS25" s="489">
        <v>2922.4303922972917</v>
      </c>
      <c r="BT25" s="489">
        <v>2757.3536537908371</v>
      </c>
      <c r="BU25" s="489">
        <v>2432.1632311782437</v>
      </c>
      <c r="BV25" s="489">
        <v>2409.5151301581554</v>
      </c>
      <c r="BW25" s="489">
        <v>2705.5427086161649</v>
      </c>
      <c r="BX25" s="489">
        <v>3104.1470860225299</v>
      </c>
      <c r="BY25" s="489">
        <v>3291.3148079818861</v>
      </c>
      <c r="BZ25" s="489">
        <v>3105.5017890294343</v>
      </c>
      <c r="CA25" s="489">
        <v>2980.3175225769037</v>
      </c>
      <c r="CB25" s="224">
        <f t="shared" si="11"/>
        <v>34946.04794158302</v>
      </c>
      <c r="CC25" s="479">
        <f t="shared" ref="CC25:CN26" si="30">AVERAGE(C25/C$30,P25/P$30,AC25/AC$30)</f>
        <v>0</v>
      </c>
      <c r="CD25" s="479">
        <f t="shared" si="30"/>
        <v>0</v>
      </c>
      <c r="CE25" s="479">
        <f t="shared" si="30"/>
        <v>0</v>
      </c>
      <c r="CF25" s="479">
        <f t="shared" si="30"/>
        <v>0</v>
      </c>
      <c r="CG25" s="479">
        <f t="shared" si="30"/>
        <v>0</v>
      </c>
      <c r="CH25" s="479">
        <f t="shared" si="30"/>
        <v>4.905994593696701E-6</v>
      </c>
      <c r="CI25" s="479">
        <f t="shared" si="30"/>
        <v>2.9245698458045644E-5</v>
      </c>
      <c r="CJ25" s="479">
        <f t="shared" si="30"/>
        <v>4.7908296959448455E-5</v>
      </c>
      <c r="CK25" s="479">
        <f t="shared" si="30"/>
        <v>5.5639066138218288E-5</v>
      </c>
      <c r="CL25" s="479">
        <f t="shared" si="30"/>
        <v>5.4963215234808643E-5</v>
      </c>
      <c r="CM25" s="479">
        <f t="shared" si="30"/>
        <v>4.8929863407664861E-5</v>
      </c>
      <c r="CN25" s="479">
        <f t="shared" si="30"/>
        <v>4.2585932259353061E-5</v>
      </c>
      <c r="CQ25" s="553"/>
      <c r="CR25" s="553"/>
      <c r="CS25" s="553"/>
      <c r="CT25" s="553"/>
      <c r="CU25" s="553"/>
      <c r="CV25" s="553"/>
      <c r="CW25" s="553"/>
      <c r="CX25" s="553"/>
    </row>
    <row r="26" spans="1:102" ht="15.75" thickBot="1" x14ac:dyDescent="0.3">
      <c r="A26" s="762"/>
      <c r="B26" s="222" t="s">
        <v>166</v>
      </c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M26" s="223"/>
      <c r="N26" s="223"/>
      <c r="O26" s="224"/>
      <c r="P26" s="223"/>
      <c r="Q26" s="223"/>
      <c r="R26" s="223"/>
      <c r="S26" s="223"/>
      <c r="T26" s="223"/>
      <c r="U26" s="223"/>
      <c r="V26" s="223"/>
      <c r="W26" s="223"/>
      <c r="X26" s="223"/>
      <c r="Y26" s="223"/>
      <c r="Z26" s="223"/>
      <c r="AA26" s="223"/>
      <c r="AB26" s="224"/>
      <c r="AC26" s="223"/>
      <c r="AD26" s="223"/>
      <c r="AE26" s="223"/>
      <c r="AF26" s="223"/>
      <c r="AG26" s="223"/>
      <c r="AH26" s="223"/>
      <c r="AI26" s="223"/>
      <c r="AJ26" s="223"/>
      <c r="AK26" s="223"/>
      <c r="AL26" s="223"/>
      <c r="AM26" s="223"/>
      <c r="AN26" s="274"/>
      <c r="AO26" s="224"/>
      <c r="AP26" s="223">
        <f>+'2015'!C101</f>
        <v>696</v>
      </c>
      <c r="AQ26" s="223">
        <f>+'2015'!D101</f>
        <v>696</v>
      </c>
      <c r="AR26" s="223">
        <f>+'2015'!E101</f>
        <v>580</v>
      </c>
      <c r="AS26" s="223">
        <f>+'2015'!F101</f>
        <v>580</v>
      </c>
      <c r="AT26" s="223">
        <f>+'2015'!G101</f>
        <v>580</v>
      </c>
      <c r="AU26" s="223">
        <f>+'2015'!H101</f>
        <v>580</v>
      </c>
      <c r="AV26" s="223">
        <f>+'2015'!I101</f>
        <v>580</v>
      </c>
      <c r="AW26" s="223">
        <f>+'2015'!J101</f>
        <v>580</v>
      </c>
      <c r="AX26" s="223">
        <f>+'2015'!K101</f>
        <v>580</v>
      </c>
      <c r="AY26" s="223">
        <f>+'2015'!L101</f>
        <v>580</v>
      </c>
      <c r="AZ26" s="223">
        <f>+'2015'!M101</f>
        <v>580</v>
      </c>
      <c r="BA26" s="223">
        <f>+'2015'!N101</f>
        <v>580</v>
      </c>
      <c r="BB26" s="224">
        <f t="shared" si="9"/>
        <v>7192</v>
      </c>
      <c r="BC26" s="701">
        <f>+'2016'!C101</f>
        <v>580</v>
      </c>
      <c r="BD26" s="701">
        <f>+'2016'!D101</f>
        <v>580</v>
      </c>
      <c r="BE26" s="701">
        <f>+'2016'!E101</f>
        <v>580</v>
      </c>
      <c r="BF26" s="701">
        <f>+'2016'!F101</f>
        <v>580</v>
      </c>
      <c r="BG26" s="489">
        <v>580</v>
      </c>
      <c r="BH26" s="489">
        <v>580</v>
      </c>
      <c r="BI26" s="489">
        <v>580</v>
      </c>
      <c r="BJ26" s="489">
        <v>580</v>
      </c>
      <c r="BK26" s="489">
        <v>580</v>
      </c>
      <c r="BL26" s="489">
        <v>580</v>
      </c>
      <c r="BM26" s="489">
        <v>580</v>
      </c>
      <c r="BN26" s="489">
        <v>580</v>
      </c>
      <c r="BO26" s="224">
        <f t="shared" si="10"/>
        <v>6960</v>
      </c>
      <c r="BP26" s="489">
        <v>580</v>
      </c>
      <c r="BQ26" s="489">
        <v>580</v>
      </c>
      <c r="BR26" s="489">
        <v>580</v>
      </c>
      <c r="BS26" s="489">
        <v>580</v>
      </c>
      <c r="BT26" s="489">
        <v>580</v>
      </c>
      <c r="BU26" s="489">
        <v>580</v>
      </c>
      <c r="BV26" s="489">
        <v>580</v>
      </c>
      <c r="BW26" s="489">
        <v>580</v>
      </c>
      <c r="BX26" s="489">
        <v>580</v>
      </c>
      <c r="BY26" s="489">
        <v>580</v>
      </c>
      <c r="BZ26" s="489">
        <v>580</v>
      </c>
      <c r="CA26" s="489">
        <v>580</v>
      </c>
      <c r="CB26" s="224">
        <f t="shared" si="11"/>
        <v>6960</v>
      </c>
      <c r="CC26" s="479">
        <f t="shared" si="30"/>
        <v>0</v>
      </c>
      <c r="CD26" s="479">
        <f t="shared" si="30"/>
        <v>0</v>
      </c>
      <c r="CE26" s="479">
        <f t="shared" si="30"/>
        <v>0</v>
      </c>
      <c r="CF26" s="479">
        <f t="shared" si="30"/>
        <v>0</v>
      </c>
      <c r="CG26" s="479">
        <f t="shared" si="30"/>
        <v>0</v>
      </c>
      <c r="CH26" s="479">
        <f t="shared" si="30"/>
        <v>0</v>
      </c>
      <c r="CI26" s="479">
        <f t="shared" si="30"/>
        <v>0</v>
      </c>
      <c r="CJ26" s="479">
        <f t="shared" si="30"/>
        <v>0</v>
      </c>
      <c r="CK26" s="479">
        <f t="shared" si="30"/>
        <v>0</v>
      </c>
      <c r="CL26" s="479">
        <f t="shared" si="30"/>
        <v>0</v>
      </c>
      <c r="CM26" s="479">
        <f t="shared" si="30"/>
        <v>0</v>
      </c>
      <c r="CN26" s="479">
        <f t="shared" si="30"/>
        <v>0</v>
      </c>
      <c r="CQ26" s="553"/>
      <c r="CR26" s="553"/>
      <c r="CS26" s="553"/>
      <c r="CT26" s="553"/>
      <c r="CU26" s="553"/>
      <c r="CV26" s="553"/>
      <c r="CW26" s="553"/>
      <c r="CX26" s="553"/>
    </row>
    <row r="27" spans="1:102" ht="15.75" thickBot="1" x14ac:dyDescent="0.3">
      <c r="A27" s="552"/>
      <c r="B27" s="222" t="s">
        <v>187</v>
      </c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4">
        <f>+SUM(O23:O26)</f>
        <v>364209</v>
      </c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4">
        <f>+SUM(AB23:AB26)</f>
        <v>348139.25</v>
      </c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74"/>
      <c r="AO27" s="224">
        <f>+SUM(AO23:AO26)</f>
        <v>259824.79699999999</v>
      </c>
      <c r="AP27" s="223"/>
      <c r="AQ27" s="223"/>
      <c r="AR27" s="223"/>
      <c r="AS27" s="223"/>
      <c r="AT27" s="223"/>
      <c r="AU27" s="223"/>
      <c r="AV27" s="489"/>
      <c r="AW27" s="489"/>
      <c r="AX27" s="489"/>
      <c r="AY27" s="489"/>
      <c r="AZ27" s="489"/>
      <c r="BA27" s="489"/>
      <c r="BB27" s="224">
        <f>+SUM(BB23:BB26)</f>
        <v>248164.96</v>
      </c>
      <c r="BC27" s="489"/>
      <c r="BD27" s="489"/>
      <c r="BE27" s="489"/>
      <c r="BF27" s="489"/>
      <c r="BG27" s="489"/>
      <c r="BH27" s="489"/>
      <c r="BI27" s="489"/>
      <c r="BJ27" s="489"/>
      <c r="BK27" s="489"/>
      <c r="BL27" s="489"/>
      <c r="BM27" s="489"/>
      <c r="BN27" s="489"/>
      <c r="BO27" s="224">
        <f>+SUM(BO23:BO26)</f>
        <v>257933.48131793324</v>
      </c>
      <c r="BP27" s="489"/>
      <c r="BQ27" s="489"/>
      <c r="BR27" s="489"/>
      <c r="BS27" s="489"/>
      <c r="BT27" s="489"/>
      <c r="BU27" s="489"/>
      <c r="BV27" s="489"/>
      <c r="BW27" s="489"/>
      <c r="BX27" s="489"/>
      <c r="BY27" s="489"/>
      <c r="BZ27" s="489"/>
      <c r="CA27" s="489"/>
      <c r="CB27" s="224">
        <f>+SUM(CB23:CB26)</f>
        <v>270394.55697124812</v>
      </c>
      <c r="CC27" s="479"/>
      <c r="CD27" s="479"/>
      <c r="CE27" s="479"/>
      <c r="CF27" s="479"/>
      <c r="CG27" s="479"/>
      <c r="CH27" s="479"/>
      <c r="CI27" s="479"/>
      <c r="CJ27" s="479"/>
      <c r="CK27" s="479"/>
      <c r="CL27" s="479"/>
      <c r="CM27" s="479"/>
      <c r="CN27" s="479"/>
      <c r="CQ27">
        <f>+BO27*1.04</f>
        <v>268250.82057065057</v>
      </c>
      <c r="CR27">
        <f>+CQ27*1.04</f>
        <v>278980.85339347657</v>
      </c>
      <c r="CS27">
        <f t="shared" ref="CS27:CX27" si="31">+CR27*1.04</f>
        <v>290140.08752921567</v>
      </c>
      <c r="CT27">
        <f t="shared" si="31"/>
        <v>301745.69103038433</v>
      </c>
      <c r="CU27">
        <f t="shared" si="31"/>
        <v>313815.51867159974</v>
      </c>
      <c r="CV27">
        <f t="shared" si="31"/>
        <v>326368.13941846375</v>
      </c>
      <c r="CW27">
        <f t="shared" si="31"/>
        <v>339422.86499520228</v>
      </c>
      <c r="CX27">
        <f t="shared" si="31"/>
        <v>352999.77959501039</v>
      </c>
    </row>
    <row r="28" spans="1:102" ht="15.75" thickBot="1" x14ac:dyDescent="0.3">
      <c r="A28" s="552"/>
      <c r="B28" s="222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4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4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74"/>
      <c r="AO28" s="224"/>
      <c r="AP28" s="223"/>
      <c r="AQ28" s="223"/>
      <c r="AR28" s="223"/>
      <c r="AS28" s="223"/>
      <c r="AT28" s="223"/>
      <c r="AU28" s="223"/>
      <c r="AV28" s="489"/>
      <c r="AW28" s="489"/>
      <c r="AX28" s="489"/>
      <c r="AY28" s="489"/>
      <c r="AZ28" s="489"/>
      <c r="BA28" s="489"/>
      <c r="BB28" s="224"/>
      <c r="BC28" s="489"/>
      <c r="BD28" s="489"/>
      <c r="BE28" s="489"/>
      <c r="BF28" s="489"/>
      <c r="BG28" s="489"/>
      <c r="BH28" s="489"/>
      <c r="BI28" s="489"/>
      <c r="BJ28" s="489"/>
      <c r="BK28" s="489"/>
      <c r="BL28" s="489"/>
      <c r="BM28" s="489"/>
      <c r="BN28" s="489"/>
      <c r="BO28" s="224"/>
      <c r="BP28" s="489"/>
      <c r="BQ28" s="489"/>
      <c r="BR28" s="489"/>
      <c r="BS28" s="489"/>
      <c r="BT28" s="489"/>
      <c r="BU28" s="489"/>
      <c r="BV28" s="489"/>
      <c r="BW28" s="489"/>
      <c r="BX28" s="489"/>
      <c r="BY28" s="489"/>
      <c r="BZ28" s="489"/>
      <c r="CA28" s="489"/>
      <c r="CB28" s="224"/>
      <c r="CC28" s="479"/>
      <c r="CD28" s="479"/>
      <c r="CE28" s="479"/>
      <c r="CF28" s="479"/>
      <c r="CG28" s="479"/>
      <c r="CH28" s="479"/>
      <c r="CI28" s="479"/>
      <c r="CJ28" s="479"/>
      <c r="CK28" s="479"/>
      <c r="CL28" s="479"/>
      <c r="CM28" s="479"/>
      <c r="CN28" s="479"/>
      <c r="CQ28" s="553"/>
      <c r="CR28" s="553"/>
      <c r="CS28" s="553"/>
      <c r="CT28" s="553"/>
      <c r="CU28" s="553"/>
      <c r="CV28" s="553"/>
      <c r="CW28" s="553"/>
      <c r="CX28" s="553"/>
    </row>
    <row r="29" spans="1:102" ht="15.75" customHeight="1" thickBot="1" x14ac:dyDescent="0.3">
      <c r="A29" s="767" t="s">
        <v>126</v>
      </c>
      <c r="B29" s="768"/>
      <c r="C29" s="554"/>
      <c r="D29" s="554"/>
      <c r="E29" s="554"/>
      <c r="F29" s="554"/>
      <c r="G29" s="554"/>
      <c r="H29" s="554"/>
      <c r="I29" s="554"/>
      <c r="J29" s="554"/>
      <c r="K29" s="554"/>
      <c r="L29" s="554"/>
      <c r="M29" s="554"/>
      <c r="N29" s="554"/>
      <c r="O29" s="464">
        <f>+SUM(O9,O16,O21,O27)</f>
        <v>39141784</v>
      </c>
      <c r="P29" s="554"/>
      <c r="Q29" s="554"/>
      <c r="R29" s="554"/>
      <c r="S29" s="554"/>
      <c r="T29" s="554"/>
      <c r="U29" s="554"/>
      <c r="V29" s="554"/>
      <c r="W29" s="554"/>
      <c r="X29" s="554"/>
      <c r="Y29" s="554"/>
      <c r="Z29" s="554"/>
      <c r="AA29" s="554"/>
      <c r="AB29" s="464">
        <f>+SUM(AB9,AB16,AB21,AB27)</f>
        <v>40503570.310000002</v>
      </c>
      <c r="AC29" s="554"/>
      <c r="AD29" s="554"/>
      <c r="AE29" s="554"/>
      <c r="AF29" s="554"/>
      <c r="AG29" s="554"/>
      <c r="AH29" s="554"/>
      <c r="AI29" s="554"/>
      <c r="AJ29" s="554"/>
      <c r="AK29" s="554"/>
      <c r="AL29" s="554"/>
      <c r="AM29" s="554"/>
      <c r="AN29" s="555"/>
      <c r="AO29" s="464">
        <f>+SUM(AO9,AO16,AO21,AO27)</f>
        <v>47455890.814499997</v>
      </c>
      <c r="AP29" s="554"/>
      <c r="AQ29" s="554"/>
      <c r="AR29" s="554"/>
      <c r="AS29" s="554"/>
      <c r="AT29" s="554"/>
      <c r="AU29" s="554"/>
      <c r="AV29" s="556"/>
      <c r="AW29" s="556"/>
      <c r="AX29" s="556"/>
      <c r="AY29" s="556"/>
      <c r="AZ29" s="556"/>
      <c r="BA29" s="556"/>
      <c r="BB29" s="464">
        <f>+SUM(BB9,BB16,BB21,BB27)</f>
        <v>53896127.855482422</v>
      </c>
      <c r="BC29" s="556"/>
      <c r="BD29" s="556"/>
      <c r="BE29" s="556"/>
      <c r="BF29" s="556"/>
      <c r="BG29" s="556"/>
      <c r="BH29" s="556"/>
      <c r="BI29" s="556"/>
      <c r="BJ29" s="556"/>
      <c r="BK29" s="556"/>
      <c r="BL29" s="556"/>
      <c r="BM29" s="556"/>
      <c r="BN29" s="556"/>
      <c r="BO29" s="464">
        <f>+SUM(BO9,BO16,BO21,BO27)</f>
        <v>56483146.551958345</v>
      </c>
      <c r="BP29" s="464"/>
      <c r="BQ29" s="464"/>
      <c r="BR29" s="464"/>
      <c r="BS29" s="464"/>
      <c r="BT29" s="464"/>
      <c r="BU29" s="464"/>
      <c r="BV29" s="464"/>
      <c r="BW29" s="464"/>
      <c r="BX29" s="464"/>
      <c r="BY29" s="464"/>
      <c r="BZ29" s="464"/>
      <c r="CA29" s="464"/>
      <c r="CB29" s="464">
        <f>+SUM(CB9,CB16,CB21,CB27)</f>
        <v>60773362.198344551</v>
      </c>
      <c r="CC29" s="557"/>
      <c r="CD29" s="557"/>
      <c r="CE29" s="557"/>
      <c r="CF29" s="557"/>
      <c r="CG29" s="557"/>
      <c r="CH29" s="557"/>
      <c r="CI29" s="557"/>
      <c r="CJ29" s="557"/>
      <c r="CK29" s="557"/>
      <c r="CL29" s="557"/>
      <c r="CM29" s="557"/>
      <c r="CN29" s="557"/>
      <c r="CO29" s="464"/>
      <c r="CP29" s="464"/>
      <c r="CQ29" s="558">
        <f>+SUM(CQ9,CQ16,CQ21,CQ27)</f>
        <v>59295410.296820588</v>
      </c>
      <c r="CR29" s="558">
        <f t="shared" ref="CR29:CX29" si="32">+SUM(CR9,CR16,CR21,CR27)</f>
        <v>63672238.879890352</v>
      </c>
      <c r="CS29" s="558">
        <f t="shared" si="32"/>
        <v>68005667.565295845</v>
      </c>
      <c r="CT29" s="558">
        <f t="shared" si="32"/>
        <v>72427387.701559544</v>
      </c>
      <c r="CU29" s="558">
        <f t="shared" si="32"/>
        <v>77645665.183366403</v>
      </c>
      <c r="CV29" s="558">
        <f t="shared" si="32"/>
        <v>83235354.328604892</v>
      </c>
      <c r="CW29" s="558">
        <f t="shared" si="32"/>
        <v>89237810.436062425</v>
      </c>
      <c r="CX29" s="558">
        <f t="shared" si="32"/>
        <v>95684536.797729015</v>
      </c>
    </row>
    <row r="30" spans="1:102" ht="27" customHeight="1" thickBot="1" x14ac:dyDescent="0.3">
      <c r="A30" s="754" t="s">
        <v>126</v>
      </c>
      <c r="B30" s="757"/>
      <c r="C30" s="225">
        <f t="shared" ref="C30:N30" si="33">SUM(C6:C25)</f>
        <v>3372088</v>
      </c>
      <c r="D30" s="226">
        <f t="shared" si="33"/>
        <v>3114113</v>
      </c>
      <c r="E30" s="226">
        <f t="shared" si="33"/>
        <v>3695184</v>
      </c>
      <c r="F30" s="226">
        <f t="shared" si="33"/>
        <v>3609897.9999999995</v>
      </c>
      <c r="G30" s="226">
        <f t="shared" si="33"/>
        <v>3736613.0000000005</v>
      </c>
      <c r="H30" s="226">
        <f t="shared" si="33"/>
        <v>3463826</v>
      </c>
      <c r="I30" s="226">
        <f t="shared" si="33"/>
        <v>3147485</v>
      </c>
      <c r="J30" s="226">
        <f t="shared" si="33"/>
        <v>3038195</v>
      </c>
      <c r="K30" s="226">
        <f t="shared" si="33"/>
        <v>2818010</v>
      </c>
      <c r="L30" s="226">
        <f t="shared" si="33"/>
        <v>2951750</v>
      </c>
      <c r="M30" s="226">
        <f t="shared" si="33"/>
        <v>2951029</v>
      </c>
      <c r="N30" s="226">
        <f t="shared" si="33"/>
        <v>3243593</v>
      </c>
      <c r="O30" s="227">
        <f t="shared" si="6"/>
        <v>39141784</v>
      </c>
      <c r="P30" s="225">
        <f t="shared" ref="P30:AA30" si="34">SUM(P6:P25)</f>
        <v>3668137</v>
      </c>
      <c r="Q30" s="226">
        <f t="shared" si="34"/>
        <v>3505021</v>
      </c>
      <c r="R30" s="226">
        <f t="shared" si="34"/>
        <v>4110069</v>
      </c>
      <c r="S30" s="226">
        <f t="shared" si="34"/>
        <v>3955963</v>
      </c>
      <c r="T30" s="226">
        <f t="shared" si="34"/>
        <v>3562893</v>
      </c>
      <c r="U30" s="226">
        <f t="shared" si="34"/>
        <v>3083523</v>
      </c>
      <c r="V30" s="226">
        <f t="shared" si="34"/>
        <v>3081301</v>
      </c>
      <c r="W30" s="226">
        <f t="shared" si="34"/>
        <v>2985011</v>
      </c>
      <c r="X30" s="226">
        <f t="shared" si="34"/>
        <v>2850903</v>
      </c>
      <c r="Y30" s="226">
        <f t="shared" si="34"/>
        <v>3033846.75</v>
      </c>
      <c r="Z30" s="226">
        <f t="shared" si="34"/>
        <v>3080193</v>
      </c>
      <c r="AA30" s="226">
        <f t="shared" si="34"/>
        <v>3586709.56</v>
      </c>
      <c r="AB30" s="227">
        <f t="shared" si="7"/>
        <v>40503570.310000002</v>
      </c>
      <c r="AC30" s="225">
        <f t="shared" ref="AC30:AN30" si="35">SUM(AC6:AC25)</f>
        <v>4084904.234375</v>
      </c>
      <c r="AD30" s="226">
        <f t="shared" si="35"/>
        <v>4122985.703125</v>
      </c>
      <c r="AE30" s="226">
        <f t="shared" si="35"/>
        <v>4654035</v>
      </c>
      <c r="AF30" s="226">
        <f t="shared" si="35"/>
        <v>4318200.5</v>
      </c>
      <c r="AG30" s="226">
        <f t="shared" si="35"/>
        <v>4325487</v>
      </c>
      <c r="AH30" s="226">
        <f t="shared" si="35"/>
        <v>3893196.3</v>
      </c>
      <c r="AI30" s="226">
        <f t="shared" si="35"/>
        <v>3801470.73</v>
      </c>
      <c r="AJ30" s="226">
        <f t="shared" si="35"/>
        <v>3570028.8020000001</v>
      </c>
      <c r="AK30" s="226">
        <f t="shared" si="35"/>
        <v>3313019.9</v>
      </c>
      <c r="AL30" s="226">
        <f t="shared" si="35"/>
        <v>3545704.75</v>
      </c>
      <c r="AM30" s="226">
        <f t="shared" si="35"/>
        <v>3692393.9849999999</v>
      </c>
      <c r="AN30" s="473">
        <f t="shared" si="35"/>
        <v>4134463.91</v>
      </c>
      <c r="AO30" s="474">
        <f t="shared" si="8"/>
        <v>47455890.814500004</v>
      </c>
      <c r="AP30" s="242">
        <f t="shared" ref="AP30:BA30" si="36">SUM(AP6:AP26)</f>
        <v>4356142.57</v>
      </c>
      <c r="AQ30" s="242">
        <f t="shared" si="36"/>
        <v>4368411.25</v>
      </c>
      <c r="AR30" s="242">
        <f t="shared" si="36"/>
        <v>5004022.79</v>
      </c>
      <c r="AS30" s="242">
        <f t="shared" si="36"/>
        <v>4829560.7709999997</v>
      </c>
      <c r="AT30" s="242">
        <f t="shared" si="36"/>
        <v>4794995</v>
      </c>
      <c r="AU30" s="242">
        <f t="shared" si="36"/>
        <v>4711535.9800000004</v>
      </c>
      <c r="AV30" s="242">
        <f t="shared" si="36"/>
        <v>4632679.12</v>
      </c>
      <c r="AW30" s="242">
        <f t="shared" si="36"/>
        <v>4033791.73</v>
      </c>
      <c r="AX30" s="242">
        <f t="shared" si="36"/>
        <v>3837154.5726464842</v>
      </c>
      <c r="AY30" s="242">
        <f t="shared" si="36"/>
        <v>4146746.34</v>
      </c>
      <c r="AZ30" s="242">
        <f t="shared" si="36"/>
        <v>4289668.9116992187</v>
      </c>
      <c r="BA30" s="242">
        <f t="shared" si="36"/>
        <v>4891418.8201367185</v>
      </c>
      <c r="BB30" s="227">
        <f>+SUM(AP30:BA30)</f>
        <v>53896127.855482422</v>
      </c>
      <c r="BC30" s="242">
        <v>5103576.6787096309</v>
      </c>
      <c r="BD30" s="242">
        <v>5129169.2380211223</v>
      </c>
      <c r="BE30" s="242">
        <v>5539717.0897604525</v>
      </c>
      <c r="BF30" s="242">
        <v>5392507.0765571184</v>
      </c>
      <c r="BG30" s="226">
        <v>5099449.8602137063</v>
      </c>
      <c r="BH30" s="226">
        <v>4786405.7419420276</v>
      </c>
      <c r="BI30" s="226">
        <v>4538040.316777911</v>
      </c>
      <c r="BJ30" s="226">
        <v>4167116.4726958578</v>
      </c>
      <c r="BK30" s="226">
        <v>3932257.6676066015</v>
      </c>
      <c r="BL30" s="226">
        <v>4248619.8675761689</v>
      </c>
      <c r="BM30" s="226">
        <v>4474495.0748061519</v>
      </c>
      <c r="BN30" s="226">
        <v>4881110.9484102353</v>
      </c>
      <c r="BO30" s="227">
        <f>+SUM(BC30:BN30)</f>
        <v>57292466.033076987</v>
      </c>
      <c r="BP30" s="225">
        <v>5325509.4839293929</v>
      </c>
      <c r="BQ30" s="226">
        <v>5362610.2379047032</v>
      </c>
      <c r="BR30" s="226">
        <v>5800737.571236006</v>
      </c>
      <c r="BS30" s="226">
        <v>5674199.4238454048</v>
      </c>
      <c r="BT30" s="226">
        <v>5434074.9504766297</v>
      </c>
      <c r="BU30" s="226">
        <v>5108318.5268289326</v>
      </c>
      <c r="BV30" s="226">
        <v>4838383.8644618625</v>
      </c>
      <c r="BW30" s="226">
        <v>4444591.4886422735</v>
      </c>
      <c r="BX30" s="226">
        <v>4203553.9095200282</v>
      </c>
      <c r="BY30" s="226">
        <v>4531443.2367720036</v>
      </c>
      <c r="BZ30" s="226">
        <v>4796313.2891758224</v>
      </c>
      <c r="CA30" s="226">
        <v>5253626.2155514974</v>
      </c>
      <c r="CB30" s="227">
        <f>+SUM(BP30:CA30)</f>
        <v>60773362.198344566</v>
      </c>
      <c r="CC30" s="480">
        <f t="shared" ref="CC30:CN30" si="37">SUM(CC6:CC26)</f>
        <v>0.99666073108316966</v>
      </c>
      <c r="CD30" s="480">
        <f t="shared" si="37"/>
        <v>0.99700592195390825</v>
      </c>
      <c r="CE30" s="480">
        <f t="shared" si="37"/>
        <v>0.99679489408495758</v>
      </c>
      <c r="CF30" s="480">
        <f t="shared" si="37"/>
        <v>0.99660860462943968</v>
      </c>
      <c r="CG30" s="480">
        <f t="shared" si="37"/>
        <v>0.99665246912785066</v>
      </c>
      <c r="CH30" s="480">
        <f t="shared" si="37"/>
        <v>0.99625969799456349</v>
      </c>
      <c r="CI30" s="480">
        <f t="shared" si="37"/>
        <v>0.99713304688724447</v>
      </c>
      <c r="CJ30" s="480">
        <f t="shared" si="37"/>
        <v>0.99707101444224655</v>
      </c>
      <c r="CK30" s="480">
        <f t="shared" si="37"/>
        <v>0.99622327078930262</v>
      </c>
      <c r="CL30" s="480">
        <f t="shared" si="37"/>
        <v>0.99589634883907729</v>
      </c>
      <c r="CM30" s="480">
        <f t="shared" si="37"/>
        <v>0.99636617991348775</v>
      </c>
      <c r="CN30" s="480">
        <f t="shared" si="37"/>
        <v>0.99710148700951429</v>
      </c>
    </row>
    <row r="32" spans="1:102" ht="15.75" thickBot="1" x14ac:dyDescent="0.3"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  <c r="BI32" s="210"/>
      <c r="BJ32" s="210"/>
      <c r="BK32" s="210"/>
      <c r="BL32" s="210"/>
      <c r="BM32" s="210"/>
      <c r="BN32" s="210"/>
      <c r="BO32" s="210"/>
      <c r="BP32" s="210"/>
      <c r="BQ32" s="210"/>
      <c r="BR32" s="210"/>
      <c r="BS32" s="210"/>
      <c r="BT32" s="210"/>
      <c r="BU32" s="210"/>
      <c r="BV32" s="210"/>
      <c r="BW32" s="210"/>
      <c r="BX32" s="210"/>
      <c r="BY32" s="210"/>
      <c r="BZ32" s="210"/>
      <c r="CA32" s="210"/>
      <c r="CB32" s="210"/>
    </row>
    <row r="33" spans="1:93" x14ac:dyDescent="0.25">
      <c r="A33" s="758" t="s">
        <v>127</v>
      </c>
      <c r="B33" s="200" t="s">
        <v>128</v>
      </c>
      <c r="C33" s="201">
        <f>+'2012'!B20</f>
        <v>76250</v>
      </c>
      <c r="D33" s="201">
        <f>+'2012'!C20</f>
        <v>78924</v>
      </c>
      <c r="E33" s="201">
        <f>+'2012'!D20</f>
        <v>81578</v>
      </c>
      <c r="F33" s="201">
        <f>+'2012'!E20</f>
        <v>89558</v>
      </c>
      <c r="G33" s="201">
        <f>+'2012'!F20</f>
        <v>86153</v>
      </c>
      <c r="H33" s="201">
        <f>+'2012'!G20</f>
        <v>76273</v>
      </c>
      <c r="I33" s="201">
        <f>+'2012'!H20</f>
        <v>58021</v>
      </c>
      <c r="J33" s="201">
        <f>+'2012'!I20</f>
        <v>44494</v>
      </c>
      <c r="K33" s="201">
        <f>+'2012'!J20</f>
        <v>43300</v>
      </c>
      <c r="L33" s="201">
        <f>+'2012'!K20</f>
        <v>54427</v>
      </c>
      <c r="M33" s="201">
        <f>+'2012'!L20</f>
        <v>52318</v>
      </c>
      <c r="N33" s="201">
        <f>+'2012'!M20</f>
        <v>62938</v>
      </c>
      <c r="O33" s="204">
        <f t="shared" ref="O33:O38" si="38">+SUM(C33:N33)</f>
        <v>804234</v>
      </c>
      <c r="P33" s="201">
        <f>+'2013'!C27</f>
        <v>76622</v>
      </c>
      <c r="Q33" s="201">
        <f>+'2013'!D27</f>
        <v>79470</v>
      </c>
      <c r="R33" s="201">
        <f>+'2013'!E27</f>
        <v>91350</v>
      </c>
      <c r="S33" s="201">
        <f>+'2013'!F27</f>
        <v>82041</v>
      </c>
      <c r="T33" s="201">
        <f>+'2013'!G27</f>
        <v>48567</v>
      </c>
      <c r="U33" s="201">
        <f>+'2013'!H27</f>
        <v>32765</v>
      </c>
      <c r="V33" s="201">
        <f>+'2013'!I27</f>
        <v>38288</v>
      </c>
      <c r="W33" s="201">
        <f>+'2013'!J27</f>
        <v>32788</v>
      </c>
      <c r="X33" s="201">
        <f>+'2013'!K27</f>
        <v>36433</v>
      </c>
      <c r="Y33" s="201">
        <f>+'2013'!L27</f>
        <v>40629</v>
      </c>
      <c r="Z33" s="201">
        <f>+'2013'!M27</f>
        <v>41002</v>
      </c>
      <c r="AA33" s="201">
        <f>+'2013'!N27</f>
        <v>53402</v>
      </c>
      <c r="AB33" s="204">
        <f t="shared" ref="AB33:AB38" si="39">+SUM(P33:AA33)</f>
        <v>653357</v>
      </c>
      <c r="AC33" s="201">
        <f>'[6]SAN CRISTÓBAL'!D21</f>
        <v>63417</v>
      </c>
      <c r="AD33" s="202">
        <f>'[6]SAN CRISTÓBAL'!E21</f>
        <v>81111</v>
      </c>
      <c r="AE33" s="202">
        <f>'[6]SAN CRISTÓBAL'!F21</f>
        <v>98608</v>
      </c>
      <c r="AF33" s="202">
        <f>'[6]SAN CRISTÓBAL'!G21</f>
        <v>72463.5</v>
      </c>
      <c r="AG33" s="202">
        <f>'[6]SAN CRISTÓBAL'!H21</f>
        <v>68373</v>
      </c>
      <c r="AH33" s="202">
        <f>'[6]SAN CRISTÓBAL'!I21</f>
        <v>56543</v>
      </c>
      <c r="AI33" s="202">
        <f>'[6]SAN CRISTÓBAL'!J21</f>
        <v>51966</v>
      </c>
      <c r="AJ33" s="202">
        <f>'[6]SAN CRISTÓBAL'!K21</f>
        <v>56068</v>
      </c>
      <c r="AK33" s="202">
        <f>'[6]SAN CRISTÓBAL'!L21</f>
        <v>39339</v>
      </c>
      <c r="AL33" s="202">
        <f>'[6]SAN CRISTÓBAL'!M21</f>
        <v>50334</v>
      </c>
      <c r="AM33" s="202">
        <f>'[6]SAN CRISTÓBAL'!N21</f>
        <v>62248</v>
      </c>
      <c r="AN33" s="203">
        <f>'[6]SAN CRISTÓBAL'!O21</f>
        <v>73507</v>
      </c>
      <c r="AO33" s="204">
        <f t="shared" ref="AO33:AO38" si="40">+SUM(AC33:AN33)</f>
        <v>773977.5</v>
      </c>
      <c r="AP33" s="201">
        <f>+'2015'!C28</f>
        <v>81556</v>
      </c>
      <c r="AQ33" s="201">
        <f>+'2015'!D28</f>
        <v>88573</v>
      </c>
      <c r="AR33" s="201">
        <f>+'2015'!E28</f>
        <v>107663</v>
      </c>
      <c r="AS33" s="201">
        <f>+'2015'!F28</f>
        <v>104500</v>
      </c>
      <c r="AT33" s="201">
        <f>+'2015'!G28</f>
        <v>105434</v>
      </c>
      <c r="AU33" s="201">
        <f>+'2015'!H28</f>
        <v>88964</v>
      </c>
      <c r="AV33" s="201">
        <f>+'2015'!I28</f>
        <v>74347</v>
      </c>
      <c r="AW33" s="201">
        <f>+'2015'!J28</f>
        <v>55517</v>
      </c>
      <c r="AX33" s="201">
        <f>+'2015'!K28</f>
        <v>62727</v>
      </c>
      <c r="AY33" s="201">
        <f>+'2015'!L28</f>
        <v>61965</v>
      </c>
      <c r="AZ33" s="201">
        <f>+'2015'!M28</f>
        <v>71153</v>
      </c>
      <c r="BA33" s="201">
        <f>+'2015'!N28</f>
        <v>92676</v>
      </c>
      <c r="BB33" s="204">
        <f t="shared" ref="BB33:BB38" si="41">+SUM(AP33:BA33)</f>
        <v>995075</v>
      </c>
      <c r="BC33" s="696">
        <f>+'2016'!C27</f>
        <v>100157</v>
      </c>
      <c r="BD33" s="696">
        <f>+'2016'!D27</f>
        <v>92286</v>
      </c>
      <c r="BE33" s="696">
        <f>+'2016'!E27</f>
        <v>116639</v>
      </c>
      <c r="BF33" s="696">
        <f>+'2016'!F27</f>
        <v>106256</v>
      </c>
      <c r="BG33" s="493">
        <f t="shared" ref="BG33:BN33" si="42">+BG6/BG41</f>
        <v>91273.981312583841</v>
      </c>
      <c r="BH33" s="493">
        <f t="shared" si="42"/>
        <v>84265.232675313993</v>
      </c>
      <c r="BI33" s="493">
        <f t="shared" si="42"/>
        <v>75675.610204595927</v>
      </c>
      <c r="BJ33" s="493">
        <f t="shared" si="42"/>
        <v>70835.32294353201</v>
      </c>
      <c r="BK33" s="493">
        <f t="shared" si="42"/>
        <v>56203.035193029158</v>
      </c>
      <c r="BL33" s="493">
        <f t="shared" si="42"/>
        <v>70211.814165509582</v>
      </c>
      <c r="BM33" s="493">
        <f t="shared" si="42"/>
        <v>59701.281786295665</v>
      </c>
      <c r="BN33" s="494">
        <f t="shared" si="42"/>
        <v>82839.653011099421</v>
      </c>
      <c r="BO33" s="204">
        <f t="shared" ref="BO33:BO38" si="43">+SUM(BC33:BN33)</f>
        <v>1006343.9312919597</v>
      </c>
      <c r="BP33" s="481">
        <f t="shared" ref="BP33:CA33" si="44">+BP6/BP41</f>
        <v>72729.158664991075</v>
      </c>
      <c r="BQ33" s="493">
        <f t="shared" si="44"/>
        <v>95743.101695053221</v>
      </c>
      <c r="BR33" s="493">
        <f t="shared" si="44"/>
        <v>119667.27378370853</v>
      </c>
      <c r="BS33" s="493">
        <f t="shared" si="44"/>
        <v>110230.94709885349</v>
      </c>
      <c r="BT33" s="493">
        <f t="shared" si="44"/>
        <v>98817.009578591242</v>
      </c>
      <c r="BU33" s="493">
        <f t="shared" si="44"/>
        <v>91487.033664960181</v>
      </c>
      <c r="BV33" s="493">
        <f t="shared" si="44"/>
        <v>82465.770913589702</v>
      </c>
      <c r="BW33" s="493">
        <f t="shared" si="44"/>
        <v>76958.666424557217</v>
      </c>
      <c r="BX33" s="493">
        <f t="shared" si="44"/>
        <v>62307.669899112181</v>
      </c>
      <c r="BY33" s="493">
        <f t="shared" si="44"/>
        <v>76579.12447995774</v>
      </c>
      <c r="BZ33" s="493">
        <f t="shared" si="44"/>
        <v>66995.860135868876</v>
      </c>
      <c r="CA33" s="494">
        <f t="shared" si="44"/>
        <v>91375.077764612128</v>
      </c>
      <c r="CB33" s="204">
        <f t="shared" ref="CB33:CB38" si="45">+SUM(BP33:CA33)</f>
        <v>1045356.6941038556</v>
      </c>
    </row>
    <row r="34" spans="1:93" x14ac:dyDescent="0.25">
      <c r="A34" s="759"/>
      <c r="B34" s="228" t="s">
        <v>129</v>
      </c>
      <c r="C34" s="229">
        <f>+'2012'!B39</f>
        <v>162270</v>
      </c>
      <c r="D34" s="229">
        <f>+'2012'!C39</f>
        <v>146252</v>
      </c>
      <c r="E34" s="229">
        <f>+'2012'!D39</f>
        <v>170985</v>
      </c>
      <c r="F34" s="229">
        <f>+'2012'!E39</f>
        <v>169570</v>
      </c>
      <c r="G34" s="229">
        <f>+'2012'!F39</f>
        <v>170413</v>
      </c>
      <c r="H34" s="229">
        <f>+'2012'!G39</f>
        <v>150385</v>
      </c>
      <c r="I34" s="229">
        <f>+'2012'!H39</f>
        <v>139975</v>
      </c>
      <c r="J34" s="229">
        <f>+'2012'!I39</f>
        <v>128771</v>
      </c>
      <c r="K34" s="229">
        <f>+'2012'!J39</f>
        <v>122716</v>
      </c>
      <c r="L34" s="229">
        <f>+'2012'!K39</f>
        <v>129695</v>
      </c>
      <c r="M34" s="229">
        <f>+'2012'!L39</f>
        <v>128338</v>
      </c>
      <c r="N34" s="229">
        <f>+'2012'!M39</f>
        <v>137161</v>
      </c>
      <c r="O34" s="232">
        <f t="shared" si="38"/>
        <v>1756531</v>
      </c>
      <c r="P34" s="229">
        <f>+'2013'!C52</f>
        <v>160841</v>
      </c>
      <c r="Q34" s="229">
        <f>+'2013'!D52</f>
        <v>153584</v>
      </c>
      <c r="R34" s="229">
        <f>+'2013'!E52</f>
        <v>178509</v>
      </c>
      <c r="S34" s="229">
        <f>+'2013'!F52</f>
        <v>169555</v>
      </c>
      <c r="T34" s="229">
        <f>+'2013'!G52</f>
        <v>152872</v>
      </c>
      <c r="U34" s="229">
        <f>+'2013'!H52</f>
        <v>127289</v>
      </c>
      <c r="V34" s="229">
        <f>+'2013'!I52</f>
        <v>127566</v>
      </c>
      <c r="W34" s="229">
        <f>+'2013'!J52</f>
        <v>122047</v>
      </c>
      <c r="X34" s="229">
        <f>+'2013'!K52</f>
        <v>116788</v>
      </c>
      <c r="Y34" s="229">
        <f>+'2013'!L52</f>
        <v>125144</v>
      </c>
      <c r="Z34" s="229">
        <f>+'2013'!M52</f>
        <v>129947</v>
      </c>
      <c r="AA34" s="229">
        <f>+'2013'!N52</f>
        <v>151550</v>
      </c>
      <c r="AB34" s="232">
        <f t="shared" si="39"/>
        <v>1715692</v>
      </c>
      <c r="AC34" s="229">
        <f>'[6]SANTA CRUZ'!D22</f>
        <v>177190</v>
      </c>
      <c r="AD34" s="230">
        <f>'[6]SANTA CRUZ'!E22</f>
        <v>179944</v>
      </c>
      <c r="AE34" s="230">
        <f>'[6]SANTA CRUZ'!F22</f>
        <v>207830</v>
      </c>
      <c r="AF34" s="230">
        <f>'[6]SANTA CRUZ'!G22</f>
        <v>200081</v>
      </c>
      <c r="AG34" s="230">
        <f>'[6]SANTA CRUZ'!H22</f>
        <v>195614</v>
      </c>
      <c r="AH34" s="230">
        <f>'[6]SANTA CRUZ'!I22</f>
        <v>169057</v>
      </c>
      <c r="AI34" s="230">
        <f>'[6]SANTA CRUZ'!J22</f>
        <v>158238</v>
      </c>
      <c r="AJ34" s="230">
        <f>'[6]SANTA CRUZ'!K22</f>
        <v>138471</v>
      </c>
      <c r="AK34" s="230">
        <f>'[6]SANTA CRUZ'!L22</f>
        <v>125141</v>
      </c>
      <c r="AL34" s="230">
        <f>'[6]SANTA CRUZ'!M22</f>
        <v>135377</v>
      </c>
      <c r="AM34" s="230">
        <f>'[6]SANTA CRUZ'!N22</f>
        <v>141856</v>
      </c>
      <c r="AN34" s="231">
        <f>'[6]SANTA CRUZ'!O22</f>
        <v>161209</v>
      </c>
      <c r="AO34" s="232">
        <f t="shared" si="40"/>
        <v>1990008</v>
      </c>
      <c r="AP34" s="229">
        <f>+'2015'!C59</f>
        <v>168330</v>
      </c>
      <c r="AQ34" s="229">
        <f>+'2015'!D59</f>
        <v>159288</v>
      </c>
      <c r="AR34" s="229">
        <f>+'2015'!E59</f>
        <v>190997</v>
      </c>
      <c r="AS34" s="229">
        <f>+'2015'!F59</f>
        <v>188153</v>
      </c>
      <c r="AT34" s="229">
        <f>+'2015'!G59</f>
        <v>182758</v>
      </c>
      <c r="AU34" s="229">
        <f>+'2015'!H59</f>
        <v>177782</v>
      </c>
      <c r="AV34" s="229">
        <f>+'2015'!I59</f>
        <v>151603</v>
      </c>
      <c r="AW34" s="229">
        <f>+'2015'!J59</f>
        <v>130717</v>
      </c>
      <c r="AX34" s="229">
        <f>+'2015'!K59</f>
        <v>127701</v>
      </c>
      <c r="AY34" s="229">
        <f>+'2015'!L59</f>
        <v>141653</v>
      </c>
      <c r="AZ34" s="229">
        <f>+'2015'!M59</f>
        <v>145743</v>
      </c>
      <c r="BA34" s="229">
        <f>+'2015'!N59</f>
        <v>178019</v>
      </c>
      <c r="BB34" s="232">
        <f t="shared" si="41"/>
        <v>1942744</v>
      </c>
      <c r="BC34" s="702">
        <f>+'2016'!C60</f>
        <v>186542.99999999997</v>
      </c>
      <c r="BD34" s="702">
        <f>+'2016'!D60</f>
        <v>190833</v>
      </c>
      <c r="BE34" s="702">
        <f>+'2016'!E60</f>
        <v>212753</v>
      </c>
      <c r="BF34" s="702">
        <f>+'2016'!F60</f>
        <v>183144</v>
      </c>
      <c r="BG34" s="495">
        <f t="shared" ref="BG34:BN34" si="46">+BG12/BG42</f>
        <v>178709.31419347238</v>
      </c>
      <c r="BH34" s="495">
        <f t="shared" si="46"/>
        <v>169610.62696525257</v>
      </c>
      <c r="BI34" s="495">
        <f t="shared" si="46"/>
        <v>154690.16038308531</v>
      </c>
      <c r="BJ34" s="495">
        <f t="shared" si="46"/>
        <v>139624.14822170962</v>
      </c>
      <c r="BK34" s="495">
        <f t="shared" si="46"/>
        <v>120192.73949895984</v>
      </c>
      <c r="BL34" s="495">
        <f t="shared" si="46"/>
        <v>138956.98517079456</v>
      </c>
      <c r="BM34" s="495">
        <f t="shared" si="46"/>
        <v>137012.14038059441</v>
      </c>
      <c r="BN34" s="496">
        <f t="shared" si="46"/>
        <v>164773.96164333855</v>
      </c>
      <c r="BO34" s="232">
        <f t="shared" si="43"/>
        <v>1976843.0764572071</v>
      </c>
      <c r="BP34" s="706">
        <f t="shared" ref="BP34:CA34" si="47">+BP12/BP42</f>
        <v>175468.11929511686</v>
      </c>
      <c r="BQ34" s="495">
        <f t="shared" si="47"/>
        <v>193362.81839722823</v>
      </c>
      <c r="BR34" s="495">
        <f t="shared" si="47"/>
        <v>221896.01867710691</v>
      </c>
      <c r="BS34" s="495">
        <f t="shared" si="47"/>
        <v>213747.29463152128</v>
      </c>
      <c r="BT34" s="495">
        <f t="shared" si="47"/>
        <v>193068.84661310405</v>
      </c>
      <c r="BU34" s="495">
        <f t="shared" si="47"/>
        <v>183501.30922229963</v>
      </c>
      <c r="BV34" s="495">
        <f t="shared" si="47"/>
        <v>167559.16279038455</v>
      </c>
      <c r="BW34" s="495">
        <f t="shared" si="47"/>
        <v>151676.45899055377</v>
      </c>
      <c r="BX34" s="495">
        <f t="shared" si="47"/>
        <v>131895.00153187884</v>
      </c>
      <c r="BY34" s="495">
        <f t="shared" si="47"/>
        <v>151167.10400339705</v>
      </c>
      <c r="BZ34" s="495">
        <f t="shared" si="47"/>
        <v>150841.43534188342</v>
      </c>
      <c r="CA34" s="496">
        <f t="shared" si="47"/>
        <v>180707.53620854329</v>
      </c>
      <c r="CB34" s="232">
        <f t="shared" si="45"/>
        <v>2114891.1057030181</v>
      </c>
    </row>
    <row r="35" spans="1:93" x14ac:dyDescent="0.25">
      <c r="A35" s="759"/>
      <c r="B35" s="217" t="s">
        <v>130</v>
      </c>
      <c r="C35" s="218">
        <f>+'2012'!B61</f>
        <v>23462</v>
      </c>
      <c r="D35" s="218">
        <f>+'2012'!C61</f>
        <v>22383</v>
      </c>
      <c r="E35" s="218">
        <f>+'2012'!D61</f>
        <v>27610</v>
      </c>
      <c r="F35" s="218">
        <f>+'2012'!E61</f>
        <v>26147</v>
      </c>
      <c r="G35" s="218">
        <f>+'2012'!F61</f>
        <v>26895</v>
      </c>
      <c r="H35" s="218">
        <f>+'2012'!G61</f>
        <v>24835</v>
      </c>
      <c r="I35" s="218">
        <f>+'2012'!H61</f>
        <v>22187</v>
      </c>
      <c r="J35" s="218">
        <f>+'2012'!I61</f>
        <v>20071</v>
      </c>
      <c r="K35" s="218">
        <f>+'2012'!J61</f>
        <v>18206</v>
      </c>
      <c r="L35" s="218">
        <f>+'2012'!K61</f>
        <v>19002</v>
      </c>
      <c r="M35" s="218">
        <f>+'2012'!L61</f>
        <v>19013</v>
      </c>
      <c r="N35" s="218">
        <f>+'2012'!M61</f>
        <v>21356</v>
      </c>
      <c r="O35" s="221">
        <f t="shared" si="38"/>
        <v>271167</v>
      </c>
      <c r="P35" s="218">
        <f>+'2013'!C78</f>
        <v>24638</v>
      </c>
      <c r="Q35" s="218">
        <f>+'2013'!D78</f>
        <v>24323</v>
      </c>
      <c r="R35" s="218">
        <f>+'2013'!E78</f>
        <v>31080</v>
      </c>
      <c r="S35" s="218">
        <f>+'2013'!F78</f>
        <v>27708</v>
      </c>
      <c r="T35" s="218">
        <f>+'2013'!G78</f>
        <v>25144</v>
      </c>
      <c r="U35" s="218">
        <f>+'2013'!H78</f>
        <v>20521</v>
      </c>
      <c r="V35" s="218">
        <f>+'2013'!I78</f>
        <v>21266</v>
      </c>
      <c r="W35" s="218">
        <f>+'2013'!J78</f>
        <v>21037</v>
      </c>
      <c r="X35" s="218">
        <f>+'2013'!K78</f>
        <v>20201</v>
      </c>
      <c r="Y35" s="218">
        <f>+'2013'!L78</f>
        <v>21491</v>
      </c>
      <c r="Z35" s="218">
        <f>+'2013'!M78</f>
        <v>22292</v>
      </c>
      <c r="AA35" s="218">
        <f>+'2013'!N78</f>
        <v>26182</v>
      </c>
      <c r="AB35" s="221">
        <f t="shared" si="39"/>
        <v>285883</v>
      </c>
      <c r="AC35" s="218">
        <f>[6]ISABELA!D16</f>
        <v>28605</v>
      </c>
      <c r="AD35" s="219">
        <f>[6]ISABELA!E16</f>
        <v>29564</v>
      </c>
      <c r="AE35" s="219">
        <f>[6]ISABELA!F16</f>
        <v>36030</v>
      </c>
      <c r="AF35" s="219">
        <f>[6]ISABELA!G16</f>
        <v>32577</v>
      </c>
      <c r="AG35" s="219">
        <f>[6]ISABELA!H16</f>
        <v>31621</v>
      </c>
      <c r="AH35" s="219">
        <f>[6]ISABELA!I16</f>
        <v>27634</v>
      </c>
      <c r="AI35" s="219">
        <f>[6]ISABELA!J16</f>
        <v>29340</v>
      </c>
      <c r="AJ35" s="219">
        <f>[6]ISABELA!K16</f>
        <v>27420</v>
      </c>
      <c r="AK35" s="219">
        <f>[6]ISABELA!L16</f>
        <v>24682</v>
      </c>
      <c r="AL35" s="219">
        <f>[6]ISABELA!M16</f>
        <v>27029</v>
      </c>
      <c r="AM35" s="219">
        <f>[6]ISABELA!N16</f>
        <v>28004</v>
      </c>
      <c r="AN35" s="220">
        <f>[6]ISABELA!O16</f>
        <v>31489</v>
      </c>
      <c r="AO35" s="221">
        <f t="shared" si="40"/>
        <v>353995</v>
      </c>
      <c r="AP35" s="218">
        <f>+'2015'!C87</f>
        <v>32988</v>
      </c>
      <c r="AQ35" s="218">
        <f>+'2015'!D87</f>
        <v>31733</v>
      </c>
      <c r="AR35" s="218">
        <f>+'2015'!E87</f>
        <v>36755</v>
      </c>
      <c r="AS35" s="218">
        <f>+'2015'!F87</f>
        <v>33564</v>
      </c>
      <c r="AT35" s="218">
        <f>+'2015'!G87</f>
        <v>31729</v>
      </c>
      <c r="AU35" s="218">
        <f>+'2015'!H87</f>
        <v>30784</v>
      </c>
      <c r="AV35" s="218">
        <f>+'2015'!I87</f>
        <v>31884</v>
      </c>
      <c r="AW35" s="218">
        <f>+'2015'!J87</f>
        <v>27641</v>
      </c>
      <c r="AX35" s="218">
        <f>+'2015'!K87</f>
        <v>26061</v>
      </c>
      <c r="AY35" s="218">
        <f>+'2015'!L87</f>
        <v>28737</v>
      </c>
      <c r="AZ35" s="218">
        <f>+'2015'!M87</f>
        <v>32195</v>
      </c>
      <c r="BA35" s="218">
        <f>+'2015'!N87</f>
        <v>37063</v>
      </c>
      <c r="BB35" s="221">
        <f t="shared" si="41"/>
        <v>381134</v>
      </c>
      <c r="BC35" s="700">
        <f>+'2016'!C87</f>
        <v>37461</v>
      </c>
      <c r="BD35" s="700">
        <f>+'2016'!D87</f>
        <v>37154</v>
      </c>
      <c r="BE35" s="700">
        <f>+'2016'!E87</f>
        <v>41758</v>
      </c>
      <c r="BF35" s="700">
        <f>+'2016'!F87</f>
        <v>36657</v>
      </c>
      <c r="BG35" s="497">
        <f t="shared" ref="BG35:BN35" si="48">+BG19/BG43</f>
        <v>37659.968024216832</v>
      </c>
      <c r="BH35" s="497">
        <f t="shared" si="48"/>
        <v>34608.967091864564</v>
      </c>
      <c r="BI35" s="497">
        <f t="shared" si="48"/>
        <v>33276.920835943965</v>
      </c>
      <c r="BJ35" s="497">
        <f t="shared" si="48"/>
        <v>29954.723812776178</v>
      </c>
      <c r="BK35" s="497">
        <f t="shared" si="48"/>
        <v>28021.214410137218</v>
      </c>
      <c r="BL35" s="497">
        <f t="shared" si="48"/>
        <v>30191.904603605162</v>
      </c>
      <c r="BM35" s="497">
        <f t="shared" si="48"/>
        <v>32096.130590550769</v>
      </c>
      <c r="BN35" s="498">
        <f t="shared" si="48"/>
        <v>34859.217943826305</v>
      </c>
      <c r="BO35" s="221">
        <f t="shared" si="43"/>
        <v>413699.04731292091</v>
      </c>
      <c r="BP35" s="487">
        <f t="shared" ref="BP35:CA35" si="49">+BP19/BP43</f>
        <v>38679.510476787349</v>
      </c>
      <c r="BQ35" s="497">
        <f t="shared" si="49"/>
        <v>40471.493767687636</v>
      </c>
      <c r="BR35" s="497">
        <f t="shared" si="49"/>
        <v>45322.077991743456</v>
      </c>
      <c r="BS35" s="497">
        <f t="shared" si="49"/>
        <v>43709.201810410843</v>
      </c>
      <c r="BT35" s="497">
        <f t="shared" si="49"/>
        <v>40140.43015715103</v>
      </c>
      <c r="BU35" s="497">
        <f t="shared" si="49"/>
        <v>36946.06622322496</v>
      </c>
      <c r="BV35" s="497">
        <f t="shared" si="49"/>
        <v>35488.605293810375</v>
      </c>
      <c r="BW35" s="497">
        <f t="shared" si="49"/>
        <v>31958.670372924294</v>
      </c>
      <c r="BX35" s="497">
        <f t="shared" si="49"/>
        <v>29964.162663037154</v>
      </c>
      <c r="BY35" s="497">
        <f t="shared" si="49"/>
        <v>32211.082422036012</v>
      </c>
      <c r="BZ35" s="497">
        <f t="shared" si="49"/>
        <v>34414.680884026879</v>
      </c>
      <c r="CA35" s="498">
        <f t="shared" si="49"/>
        <v>37530.318332896961</v>
      </c>
      <c r="CB35" s="221">
        <f t="shared" si="45"/>
        <v>446836.30039573694</v>
      </c>
    </row>
    <row r="36" spans="1:93" x14ac:dyDescent="0.25">
      <c r="A36" s="759"/>
      <c r="B36" s="233" t="s">
        <v>123</v>
      </c>
      <c r="C36" s="234">
        <f>+'2012'!B81</f>
        <v>0</v>
      </c>
      <c r="D36" s="234">
        <f>+'2012'!C81</f>
        <v>1381</v>
      </c>
      <c r="E36" s="234">
        <f>+'2012'!D81</f>
        <v>1125</v>
      </c>
      <c r="F36" s="234">
        <f>+'2012'!E81</f>
        <v>1866</v>
      </c>
      <c r="G36" s="234">
        <f>+'2012'!F81</f>
        <v>2339</v>
      </c>
      <c r="H36" s="234">
        <f>+'2012'!G81</f>
        <v>2016.3</v>
      </c>
      <c r="I36" s="234">
        <f>+'2012'!H81</f>
        <v>2056</v>
      </c>
      <c r="J36" s="234">
        <f>+'2012'!I81</f>
        <v>2102</v>
      </c>
      <c r="K36" s="234">
        <f>+'2012'!J81</f>
        <v>2618</v>
      </c>
      <c r="L36" s="234">
        <f>+'2012'!K81</f>
        <v>2751</v>
      </c>
      <c r="M36" s="234">
        <f>+'2012'!L81</f>
        <v>2626</v>
      </c>
      <c r="N36" s="234">
        <f>+'2012'!M81</f>
        <v>2699</v>
      </c>
      <c r="O36" s="236">
        <f t="shared" si="38"/>
        <v>23579.3</v>
      </c>
      <c r="P36" s="234">
        <f>+'2013'!C102</f>
        <v>2689</v>
      </c>
      <c r="Q36" s="234">
        <f>+'2013'!D102</f>
        <v>2408</v>
      </c>
      <c r="R36" s="234">
        <f>+'2013'!E102</f>
        <v>1477.8000000000002</v>
      </c>
      <c r="S36" s="234">
        <f>+'2013'!F102</f>
        <v>1370</v>
      </c>
      <c r="T36" s="234">
        <f>+'2013'!G102</f>
        <v>1266</v>
      </c>
      <c r="U36" s="234">
        <f>+'2013'!H102</f>
        <v>1164</v>
      </c>
      <c r="V36" s="234">
        <f>+'2013'!I102</f>
        <v>1221.5</v>
      </c>
      <c r="W36" s="234">
        <f>+'2013'!J102</f>
        <v>621.5</v>
      </c>
      <c r="X36" s="234">
        <f>+'2013'!K102</f>
        <v>615</v>
      </c>
      <c r="Y36" s="234">
        <f>+'2013'!L102</f>
        <v>641.75</v>
      </c>
      <c r="Z36" s="234">
        <f>+'2013'!M102</f>
        <v>617.25</v>
      </c>
      <c r="AA36" s="234">
        <f>+'2013'!N102</f>
        <v>628.5</v>
      </c>
      <c r="AB36" s="236">
        <f t="shared" si="39"/>
        <v>14720.3</v>
      </c>
      <c r="AC36" s="234">
        <f>[6]FLOREANA!E14+[6]FLOREANA!E15+[6]FLOREANA!E16</f>
        <v>613</v>
      </c>
      <c r="AD36" s="234">
        <f>[6]FLOREANA!F14+[6]FLOREANA!F15+[6]FLOREANA!F16</f>
        <v>1984</v>
      </c>
      <c r="AE36" s="234">
        <f>[6]FLOREANA!G14+[6]FLOREANA!G15+[6]FLOREANA!G16</f>
        <v>2278</v>
      </c>
      <c r="AF36" s="234">
        <f>[6]FLOREANA!H14+[6]FLOREANA!H15+[6]FLOREANA!H16</f>
        <v>2341.5</v>
      </c>
      <c r="AG36" s="234">
        <f>[6]FLOREANA!I14+[6]FLOREANA!I15+[6]FLOREANA!I16</f>
        <v>2479</v>
      </c>
      <c r="AH36" s="234">
        <f>[6]FLOREANA!J14+[6]FLOREANA!J15+[6]FLOREANA!J16</f>
        <v>2063</v>
      </c>
      <c r="AI36" s="234">
        <f>[6]FLOREANA!K14+[6]FLOREANA!K15+[6]FLOREANA!K16</f>
        <v>1893</v>
      </c>
      <c r="AJ36" s="234">
        <f>[6]FLOREANA!L14+[6]FLOREANA!L15+[6]FLOREANA!L16</f>
        <v>1884</v>
      </c>
      <c r="AK36" s="234">
        <f>[6]FLOREANA!M14+[6]FLOREANA!M15+[6]FLOREANA!M16</f>
        <v>1285.5</v>
      </c>
      <c r="AL36" s="234">
        <f>[6]FLOREANA!N14+[6]FLOREANA!N15+[6]FLOREANA!N16</f>
        <v>1156.25</v>
      </c>
      <c r="AM36" s="234">
        <f>[6]FLOREANA!O14+[6]FLOREANA!O15+[6]FLOREANA!O16</f>
        <v>843.5</v>
      </c>
      <c r="AN36" s="235">
        <f>[6]FLOREANA!P14+[6]FLOREANA!P15+[6]FLOREANA!P16</f>
        <v>977</v>
      </c>
      <c r="AO36" s="236">
        <f t="shared" si="40"/>
        <v>19797.75</v>
      </c>
      <c r="AP36" s="234">
        <f>+'2015'!C115</f>
        <v>976</v>
      </c>
      <c r="AQ36" s="234">
        <f>+'2015'!D115</f>
        <v>1115.5</v>
      </c>
      <c r="AR36" s="234">
        <f>+'2015'!E115</f>
        <v>1375.2999999999997</v>
      </c>
      <c r="AS36" s="234">
        <f>+'2015'!F115</f>
        <v>1357.2999999999997</v>
      </c>
      <c r="AT36" s="234">
        <f>+'2015'!G115</f>
        <v>1392.3</v>
      </c>
      <c r="AU36" s="234">
        <f>+'2015'!H115</f>
        <v>1329</v>
      </c>
      <c r="AV36" s="234">
        <f>+'2015'!I115</f>
        <v>1828</v>
      </c>
      <c r="AW36" s="234">
        <f>+'2015'!J115</f>
        <v>1367</v>
      </c>
      <c r="AX36" s="234">
        <f>+'2015'!K115</f>
        <v>967</v>
      </c>
      <c r="AY36" s="234">
        <f>+'2015'!L115</f>
        <v>1059.5</v>
      </c>
      <c r="AZ36" s="234">
        <f>+'2015'!M115</f>
        <v>708</v>
      </c>
      <c r="BA36" s="234">
        <f>+'2015'!N115</f>
        <v>797</v>
      </c>
      <c r="BB36" s="236">
        <f t="shared" si="41"/>
        <v>14271.9</v>
      </c>
      <c r="BC36" s="703">
        <f>+'2016'!C114</f>
        <v>540.5</v>
      </c>
      <c r="BD36" s="703">
        <f>+'2016'!D114</f>
        <v>632</v>
      </c>
      <c r="BE36" s="703">
        <f>+'2016'!E114</f>
        <v>388.5</v>
      </c>
      <c r="BF36" s="703">
        <f>+'2016'!F114</f>
        <v>1278.5</v>
      </c>
      <c r="BG36" s="499">
        <f t="shared" ref="BG36:BN36" si="50">+BG23/BG44</f>
        <v>1435.5278770582363</v>
      </c>
      <c r="BH36" s="499">
        <f t="shared" si="50"/>
        <v>1296.4229183540772</v>
      </c>
      <c r="BI36" s="499">
        <f t="shared" si="50"/>
        <v>1515.2959318691355</v>
      </c>
      <c r="BJ36" s="499">
        <f t="shared" si="50"/>
        <v>1403.2251101473314</v>
      </c>
      <c r="BK36" s="499">
        <f t="shared" si="50"/>
        <v>1147.8323232385092</v>
      </c>
      <c r="BL36" s="499">
        <f t="shared" si="50"/>
        <v>1115.0273550007898</v>
      </c>
      <c r="BM36" s="499">
        <f t="shared" si="50"/>
        <v>1243.6703269061509</v>
      </c>
      <c r="BN36" s="500">
        <f t="shared" si="50"/>
        <v>1450.6707764846067</v>
      </c>
      <c r="BO36" s="236">
        <f t="shared" si="43"/>
        <v>13447.172619058836</v>
      </c>
      <c r="BP36" s="499">
        <f t="shared" ref="BP36:CA37" si="51">+BP23/BP44</f>
        <v>1517.6178542268519</v>
      </c>
      <c r="BQ36" s="499">
        <f t="shared" si="51"/>
        <v>1395.9973581760516</v>
      </c>
      <c r="BR36" s="499">
        <f t="shared" si="51"/>
        <v>1491.6184227322699</v>
      </c>
      <c r="BS36" s="499">
        <f t="shared" si="51"/>
        <v>1526.7125581240284</v>
      </c>
      <c r="BT36" s="499">
        <f t="shared" si="51"/>
        <v>1546.4157553569125</v>
      </c>
      <c r="BU36" s="499">
        <f t="shared" si="51"/>
        <v>1399.0527798422536</v>
      </c>
      <c r="BV36" s="499">
        <f t="shared" si="51"/>
        <v>1630.6613577001824</v>
      </c>
      <c r="BW36" s="499">
        <f t="shared" si="51"/>
        <v>1513.3331907458612</v>
      </c>
      <c r="BX36" s="499">
        <f t="shared" si="51"/>
        <v>1246.3939528707035</v>
      </c>
      <c r="BY36" s="499">
        <f t="shared" si="51"/>
        <v>1208.8915224138373</v>
      </c>
      <c r="BZ36" s="499">
        <f t="shared" si="51"/>
        <v>1353.3185179880538</v>
      </c>
      <c r="CA36" s="500">
        <f t="shared" si="51"/>
        <v>1582.0888921873347</v>
      </c>
      <c r="CB36" s="236">
        <f t="shared" si="45"/>
        <v>17412.102162364339</v>
      </c>
    </row>
    <row r="37" spans="1:93" ht="15.75" thickBot="1" x14ac:dyDescent="0.3">
      <c r="A37" s="759"/>
      <c r="B37" s="237" t="s">
        <v>124</v>
      </c>
      <c r="C37" s="234">
        <f>+'2012'!B82</f>
        <v>2556</v>
      </c>
      <c r="D37" s="234">
        <f>+'2012'!C82</f>
        <v>623</v>
      </c>
      <c r="E37" s="234">
        <f>+'2012'!D82</f>
        <v>1640</v>
      </c>
      <c r="F37" s="234">
        <f>+'2012'!E82</f>
        <v>1021</v>
      </c>
      <c r="G37" s="234">
        <f>+'2012'!F82</f>
        <v>620</v>
      </c>
      <c r="H37" s="234">
        <f>+'2012'!G82</f>
        <v>710.09999999999991</v>
      </c>
      <c r="I37" s="234">
        <f>+'2012'!H82</f>
        <v>514</v>
      </c>
      <c r="J37" s="234">
        <f>+'2012'!I82</f>
        <v>441</v>
      </c>
      <c r="K37" s="234">
        <f>+'2012'!J82</f>
        <v>0</v>
      </c>
      <c r="L37" s="234">
        <f>+'2012'!K82</f>
        <v>0</v>
      </c>
      <c r="M37" s="234">
        <f>+'2012'!L82</f>
        <v>0</v>
      </c>
      <c r="N37" s="234">
        <f>+'2012'!M82</f>
        <v>0</v>
      </c>
      <c r="O37" s="241">
        <f t="shared" si="38"/>
        <v>8125.1</v>
      </c>
      <c r="P37" s="234">
        <f>+'2013'!C104</f>
        <v>0</v>
      </c>
      <c r="Q37" s="234">
        <f>+'2013'!D104</f>
        <v>0</v>
      </c>
      <c r="R37" s="234">
        <f>+'2013'!E104</f>
        <v>1317.1999999999998</v>
      </c>
      <c r="S37" s="234">
        <f>+'2013'!F104</f>
        <v>1286</v>
      </c>
      <c r="T37" s="234">
        <f>+'2013'!G104</f>
        <v>1266</v>
      </c>
      <c r="U37" s="234">
        <f>+'2013'!H104</f>
        <v>1164</v>
      </c>
      <c r="V37" s="234">
        <f>+'2013'!I104</f>
        <v>1221.5</v>
      </c>
      <c r="W37" s="234">
        <f>+'2013'!J104</f>
        <v>1864.5</v>
      </c>
      <c r="X37" s="234">
        <f>+'2013'!K104</f>
        <v>1845</v>
      </c>
      <c r="Y37" s="234">
        <f>+'2013'!L104</f>
        <v>1925.75</v>
      </c>
      <c r="Z37" s="234">
        <f>+'2013'!M104</f>
        <v>1851.75</v>
      </c>
      <c r="AA37" s="234">
        <f>+'2013'!N104</f>
        <v>1885.5</v>
      </c>
      <c r="AB37" s="241">
        <f t="shared" si="39"/>
        <v>15627.2</v>
      </c>
      <c r="AC37" s="234">
        <f>[6]FLOREANA!E12+[6]FLOREANA!E13</f>
        <v>1839</v>
      </c>
      <c r="AD37" s="238">
        <f>[6]FLOREANA!F12+[6]FLOREANA!F13</f>
        <v>123</v>
      </c>
      <c r="AE37" s="239">
        <f>[6]FLOREANA!G12+[6]FLOREANA!G13</f>
        <v>0</v>
      </c>
      <c r="AF37" s="239">
        <f>[6]FLOREANA!H12+[6]FLOREANA!H13</f>
        <v>0</v>
      </c>
      <c r="AG37" s="239">
        <f>[6]FLOREANA!I12+[6]FLOREANA!I13</f>
        <v>0</v>
      </c>
      <c r="AH37" s="239">
        <f>[6]FLOREANA!J12+[6]FLOREANA!J13</f>
        <v>0</v>
      </c>
      <c r="AI37" s="239">
        <f>[6]FLOREANA!K12+[6]FLOREANA!K13</f>
        <v>0</v>
      </c>
      <c r="AJ37" s="238">
        <f>[6]FLOREANA!L12+[6]FLOREANA!L13</f>
        <v>0</v>
      </c>
      <c r="AK37" s="238">
        <f>[6]FLOREANA!M12+[6]FLOREANA!M13</f>
        <v>428.5</v>
      </c>
      <c r="AL37" s="238">
        <f>[6]FLOREANA!N12+[6]FLOREANA!N13</f>
        <v>563.75</v>
      </c>
      <c r="AM37" s="238">
        <f>[6]FLOREANA!O12+[6]FLOREANA!O13</f>
        <v>920.5</v>
      </c>
      <c r="AN37" s="240">
        <f>[6]FLOREANA!P12+[6]FLOREANA!P13</f>
        <v>977</v>
      </c>
      <c r="AO37" s="241">
        <f t="shared" si="40"/>
        <v>4851.75</v>
      </c>
      <c r="AP37" s="234">
        <f>+'2015'!C117</f>
        <v>976</v>
      </c>
      <c r="AQ37" s="234">
        <f>+'2015'!D117</f>
        <v>685.5</v>
      </c>
      <c r="AR37" s="234">
        <f>+'2015'!E117</f>
        <v>580.70000000000005</v>
      </c>
      <c r="AS37" s="234">
        <f>+'2015'!F117</f>
        <v>581.70000000000016</v>
      </c>
      <c r="AT37" s="234">
        <f>+'2015'!G117</f>
        <v>596.70000000000005</v>
      </c>
      <c r="AU37" s="234">
        <f>+'2015'!H117</f>
        <v>575</v>
      </c>
      <c r="AV37" s="234">
        <f>+'2015'!I117</f>
        <v>0</v>
      </c>
      <c r="AW37" s="234">
        <f>+'2015'!J117</f>
        <v>0</v>
      </c>
      <c r="AX37" s="234">
        <f>+'2015'!K117</f>
        <v>0</v>
      </c>
      <c r="AY37" s="234">
        <f>+'2015'!L117</f>
        <v>312.5</v>
      </c>
      <c r="AZ37" s="234">
        <f>+'2015'!M117</f>
        <v>708</v>
      </c>
      <c r="BA37" s="234">
        <f>+'2015'!N117</f>
        <v>797</v>
      </c>
      <c r="BB37" s="241">
        <f t="shared" si="41"/>
        <v>5813.1</v>
      </c>
      <c r="BC37" s="703">
        <f>+'2016'!C116</f>
        <v>540.5</v>
      </c>
      <c r="BD37" s="703">
        <f>+'2016'!D116</f>
        <v>632</v>
      </c>
      <c r="BE37" s="703">
        <f>+'2016'!E116</f>
        <v>705.5</v>
      </c>
      <c r="BF37" s="703">
        <f>+'2016'!F116</f>
        <v>408.5</v>
      </c>
      <c r="BG37" s="501">
        <f t="shared" ref="BG37:BN37" si="52">+BG24/BG45</f>
        <v>499.10602651471771</v>
      </c>
      <c r="BH37" s="501">
        <f t="shared" si="52"/>
        <v>450.7418502999007</v>
      </c>
      <c r="BI37" s="501">
        <f t="shared" si="52"/>
        <v>526.83987795413566</v>
      </c>
      <c r="BJ37" s="502">
        <f t="shared" si="52"/>
        <v>487.87496239120378</v>
      </c>
      <c r="BK37" s="502">
        <f t="shared" si="52"/>
        <v>399.07969682255674</v>
      </c>
      <c r="BL37" s="502">
        <f t="shared" si="52"/>
        <v>387.67402674903485</v>
      </c>
      <c r="BM37" s="502">
        <f t="shared" si="52"/>
        <v>432.40076704634254</v>
      </c>
      <c r="BN37" s="503">
        <f t="shared" si="52"/>
        <v>504.37092765902423</v>
      </c>
      <c r="BO37" s="241">
        <f t="shared" si="43"/>
        <v>5974.5881354369167</v>
      </c>
      <c r="BP37" s="499">
        <f t="shared" si="51"/>
        <v>527.64716665981405</v>
      </c>
      <c r="BQ37" s="502">
        <f t="shared" si="51"/>
        <v>485.36200905559059</v>
      </c>
      <c r="BR37" s="501">
        <f t="shared" si="51"/>
        <v>518.6076536330836</v>
      </c>
      <c r="BS37" s="501">
        <f t="shared" si="51"/>
        <v>530.80922404441162</v>
      </c>
      <c r="BT37" s="501">
        <f t="shared" si="51"/>
        <v>537.65965491217912</v>
      </c>
      <c r="BU37" s="501">
        <f t="shared" si="51"/>
        <v>486.42432166652372</v>
      </c>
      <c r="BV37" s="501">
        <f t="shared" si="51"/>
        <v>566.95026536208172</v>
      </c>
      <c r="BW37" s="502">
        <f t="shared" si="51"/>
        <v>526.15746980395613</v>
      </c>
      <c r="BX37" s="502">
        <f t="shared" si="51"/>
        <v>433.34772053613881</v>
      </c>
      <c r="BY37" s="502">
        <f t="shared" si="51"/>
        <v>420.30883125428915</v>
      </c>
      <c r="BZ37" s="502">
        <f t="shared" si="51"/>
        <v>470.52337952918947</v>
      </c>
      <c r="CA37" s="503">
        <f t="shared" si="51"/>
        <v>550.06253322704276</v>
      </c>
      <c r="CB37" s="241">
        <f t="shared" si="45"/>
        <v>6053.860229684301</v>
      </c>
    </row>
    <row r="38" spans="1:93" ht="30.75" customHeight="1" thickBot="1" x14ac:dyDescent="0.3">
      <c r="A38" s="754" t="s">
        <v>126</v>
      </c>
      <c r="B38" s="755"/>
      <c r="C38" s="242">
        <f>SUM(C33:C37)</f>
        <v>264538</v>
      </c>
      <c r="D38" s="242">
        <f t="shared" ref="D38:N38" si="53">SUM(D33:D37)</f>
        <v>249563</v>
      </c>
      <c r="E38" s="242">
        <f t="shared" si="53"/>
        <v>282938</v>
      </c>
      <c r="F38" s="242">
        <f t="shared" si="53"/>
        <v>288162</v>
      </c>
      <c r="G38" s="242">
        <f t="shared" si="53"/>
        <v>286420</v>
      </c>
      <c r="H38" s="242">
        <f t="shared" si="53"/>
        <v>254219.4</v>
      </c>
      <c r="I38" s="242">
        <f t="shared" si="53"/>
        <v>222753</v>
      </c>
      <c r="J38" s="242">
        <f t="shared" si="53"/>
        <v>195879</v>
      </c>
      <c r="K38" s="242">
        <f t="shared" si="53"/>
        <v>186840</v>
      </c>
      <c r="L38" s="242">
        <f t="shared" si="53"/>
        <v>205875</v>
      </c>
      <c r="M38" s="242">
        <f t="shared" si="53"/>
        <v>202295</v>
      </c>
      <c r="N38" s="243">
        <f t="shared" si="53"/>
        <v>224154</v>
      </c>
      <c r="O38" s="227">
        <f t="shared" si="38"/>
        <v>2863636.4</v>
      </c>
      <c r="P38" s="242">
        <f>SUM(P33:P37)</f>
        <v>264790</v>
      </c>
      <c r="Q38" s="242">
        <f t="shared" ref="Q38:AA38" si="54">SUM(Q33:Q37)</f>
        <v>259785</v>
      </c>
      <c r="R38" s="242">
        <f t="shared" si="54"/>
        <v>303734</v>
      </c>
      <c r="S38" s="242">
        <f t="shared" si="54"/>
        <v>281960</v>
      </c>
      <c r="T38" s="242">
        <f t="shared" si="54"/>
        <v>229115</v>
      </c>
      <c r="U38" s="242">
        <f t="shared" si="54"/>
        <v>182903</v>
      </c>
      <c r="V38" s="242">
        <f t="shared" si="54"/>
        <v>189563</v>
      </c>
      <c r="W38" s="242">
        <f t="shared" si="54"/>
        <v>178358</v>
      </c>
      <c r="X38" s="242">
        <f t="shared" si="54"/>
        <v>175882</v>
      </c>
      <c r="Y38" s="242">
        <f t="shared" si="54"/>
        <v>189831.5</v>
      </c>
      <c r="Z38" s="242">
        <f t="shared" si="54"/>
        <v>195710</v>
      </c>
      <c r="AA38" s="243">
        <f t="shared" si="54"/>
        <v>233648</v>
      </c>
      <c r="AB38" s="227">
        <f t="shared" si="39"/>
        <v>2685279.5</v>
      </c>
      <c r="AC38" s="242">
        <f>SUM(AC33:AC37)</f>
        <v>271664</v>
      </c>
      <c r="AD38" s="242">
        <f t="shared" ref="AD38:AN38" si="55">SUM(AD33:AD37)</f>
        <v>292726</v>
      </c>
      <c r="AE38" s="242">
        <f t="shared" si="55"/>
        <v>344746</v>
      </c>
      <c r="AF38" s="242">
        <f t="shared" si="55"/>
        <v>307463</v>
      </c>
      <c r="AG38" s="242">
        <f t="shared" si="55"/>
        <v>298087</v>
      </c>
      <c r="AH38" s="242">
        <f t="shared" si="55"/>
        <v>255297</v>
      </c>
      <c r="AI38" s="242">
        <f t="shared" si="55"/>
        <v>241437</v>
      </c>
      <c r="AJ38" s="242">
        <f t="shared" si="55"/>
        <v>223843</v>
      </c>
      <c r="AK38" s="242">
        <f t="shared" si="55"/>
        <v>190876</v>
      </c>
      <c r="AL38" s="242">
        <f t="shared" si="55"/>
        <v>214460</v>
      </c>
      <c r="AM38" s="242">
        <f t="shared" si="55"/>
        <v>233872</v>
      </c>
      <c r="AN38" s="243">
        <f t="shared" si="55"/>
        <v>268159</v>
      </c>
      <c r="AO38" s="227">
        <f t="shared" si="40"/>
        <v>3142630</v>
      </c>
      <c r="AP38" s="242">
        <f>SUM(AP33:AP37)</f>
        <v>284826</v>
      </c>
      <c r="AQ38" s="242">
        <f t="shared" ref="AQ38:BA38" si="56">SUM(AQ33:AQ37)</f>
        <v>281395</v>
      </c>
      <c r="AR38" s="242">
        <f t="shared" si="56"/>
        <v>337371</v>
      </c>
      <c r="AS38" s="242">
        <f t="shared" si="56"/>
        <v>328156</v>
      </c>
      <c r="AT38" s="242">
        <f t="shared" si="56"/>
        <v>321910</v>
      </c>
      <c r="AU38" s="242">
        <f t="shared" si="56"/>
        <v>299434</v>
      </c>
      <c r="AV38" s="242">
        <f t="shared" si="56"/>
        <v>259662</v>
      </c>
      <c r="AW38" s="242">
        <f t="shared" si="56"/>
        <v>215242</v>
      </c>
      <c r="AX38" s="242">
        <f t="shared" si="56"/>
        <v>217456</v>
      </c>
      <c r="AY38" s="242">
        <f t="shared" si="56"/>
        <v>233727</v>
      </c>
      <c r="AZ38" s="242">
        <f t="shared" si="56"/>
        <v>250507</v>
      </c>
      <c r="BA38" s="243">
        <f t="shared" si="56"/>
        <v>309352</v>
      </c>
      <c r="BB38" s="227">
        <f t="shared" si="41"/>
        <v>3339038</v>
      </c>
      <c r="BC38" s="242">
        <f>SUM(BC33:BC37)</f>
        <v>325242</v>
      </c>
      <c r="BD38" s="242">
        <f t="shared" ref="BD38:BN38" si="57">SUM(BD33:BD37)</f>
        <v>321537</v>
      </c>
      <c r="BE38" s="242">
        <f t="shared" si="57"/>
        <v>372244</v>
      </c>
      <c r="BF38" s="242">
        <f t="shared" si="57"/>
        <v>327744</v>
      </c>
      <c r="BG38" s="242">
        <f t="shared" si="57"/>
        <v>309577.89743384602</v>
      </c>
      <c r="BH38" s="242">
        <f t="shared" si="57"/>
        <v>290231.99150108511</v>
      </c>
      <c r="BI38" s="242">
        <f t="shared" si="57"/>
        <v>265684.82723344851</v>
      </c>
      <c r="BJ38" s="242">
        <f t="shared" si="57"/>
        <v>242305.29505055633</v>
      </c>
      <c r="BK38" s="242">
        <f t="shared" si="57"/>
        <v>205963.90112218729</v>
      </c>
      <c r="BL38" s="242">
        <f t="shared" si="57"/>
        <v>240863.40532165911</v>
      </c>
      <c r="BM38" s="242">
        <f t="shared" si="57"/>
        <v>230485.62385139335</v>
      </c>
      <c r="BN38" s="243">
        <f t="shared" si="57"/>
        <v>284427.8743024079</v>
      </c>
      <c r="BO38" s="227">
        <f t="shared" si="43"/>
        <v>3416307.8158165836</v>
      </c>
      <c r="BP38" s="242">
        <f>SUM(BP33:BP37)</f>
        <v>288922.05345778196</v>
      </c>
      <c r="BQ38" s="242">
        <f t="shared" ref="BQ38:CA38" si="58">SUM(BQ33:BQ37)</f>
        <v>331458.77322720067</v>
      </c>
      <c r="BR38" s="242">
        <f t="shared" si="58"/>
        <v>388895.5965289243</v>
      </c>
      <c r="BS38" s="242">
        <f t="shared" si="58"/>
        <v>369744.96532295406</v>
      </c>
      <c r="BT38" s="242">
        <f t="shared" si="58"/>
        <v>334110.36175911542</v>
      </c>
      <c r="BU38" s="242">
        <f t="shared" si="58"/>
        <v>313819.88621199352</v>
      </c>
      <c r="BV38" s="242">
        <f t="shared" si="58"/>
        <v>287711.15062084689</v>
      </c>
      <c r="BW38" s="242">
        <f t="shared" si="58"/>
        <v>262633.2864485851</v>
      </c>
      <c r="BX38" s="242">
        <f t="shared" si="58"/>
        <v>225846.57576743505</v>
      </c>
      <c r="BY38" s="242">
        <f t="shared" si="58"/>
        <v>261586.51125905893</v>
      </c>
      <c r="BZ38" s="242">
        <f t="shared" si="58"/>
        <v>254075.81825929639</v>
      </c>
      <c r="CA38" s="243">
        <f t="shared" si="58"/>
        <v>311745.08373146673</v>
      </c>
      <c r="CB38" s="227">
        <f t="shared" si="45"/>
        <v>3630550.0625946596</v>
      </c>
    </row>
    <row r="40" spans="1:93" ht="15.75" thickBot="1" x14ac:dyDescent="0.3"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210"/>
      <c r="AF40" s="210"/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  <c r="BI40" s="210"/>
      <c r="BJ40" s="210"/>
      <c r="BK40" s="210"/>
      <c r="BL40" s="210"/>
      <c r="BM40" s="210"/>
      <c r="BN40" s="210"/>
      <c r="BO40" s="210"/>
      <c r="BP40" s="210"/>
      <c r="BQ40" s="210"/>
      <c r="BR40" s="210"/>
      <c r="BS40" s="210"/>
      <c r="BT40" s="210"/>
      <c r="BU40" s="210"/>
      <c r="BV40" s="210"/>
      <c r="BW40" s="210"/>
      <c r="BX40" s="210"/>
      <c r="BY40" s="210"/>
      <c r="BZ40" s="210"/>
      <c r="CA40" s="210"/>
      <c r="CB40" s="210"/>
      <c r="CO40" s="267"/>
    </row>
    <row r="41" spans="1:93" ht="15" customHeight="1" x14ac:dyDescent="0.25">
      <c r="A41" s="752" t="s">
        <v>131</v>
      </c>
      <c r="B41" s="200" t="s">
        <v>128</v>
      </c>
      <c r="C41" s="244">
        <f>+'2012'!B21</f>
        <v>11.120013114754098</v>
      </c>
      <c r="D41" s="244">
        <f>+'2012'!C21</f>
        <v>11.164956160356798</v>
      </c>
      <c r="E41" s="244">
        <f>+'2012'!D21</f>
        <v>10.938034764274683</v>
      </c>
      <c r="F41" s="244">
        <f>+'2012'!E21</f>
        <v>11.169041291676901</v>
      </c>
      <c r="G41" s="244">
        <f>+'2012'!F21</f>
        <v>11.198460877740764</v>
      </c>
      <c r="H41" s="244">
        <f>+'2012'!G21</f>
        <v>11.011026182266333</v>
      </c>
      <c r="I41" s="244">
        <f>+'2012'!H21</f>
        <v>10.950569621343996</v>
      </c>
      <c r="J41" s="244">
        <f>+'2012'!I21</f>
        <v>9.9685126084415874</v>
      </c>
      <c r="K41" s="244">
        <f>+'2012'!J21</f>
        <v>9.821039260969977</v>
      </c>
      <c r="L41" s="244">
        <f>+'2012'!K21</f>
        <v>10.053760082312088</v>
      </c>
      <c r="M41" s="244">
        <f>+'2012'!L21</f>
        <v>9.9909209067624918</v>
      </c>
      <c r="N41" s="244">
        <f>+'2012'!M21</f>
        <v>10.609425148558898</v>
      </c>
      <c r="O41" s="244">
        <f>+'2012'!N21</f>
        <v>10.778055889206374</v>
      </c>
      <c r="P41" s="244">
        <f>+'2013'!C28</f>
        <v>10.733431651483908</v>
      </c>
      <c r="Q41" s="244">
        <f>+'2013'!D28</f>
        <v>10.92234805587014</v>
      </c>
      <c r="R41" s="244">
        <f>+'2013'!E28</f>
        <v>11.058631636562671</v>
      </c>
      <c r="S41" s="244">
        <f>+'2013'!F28</f>
        <v>13.336746261015833</v>
      </c>
      <c r="T41" s="244">
        <f>+'2013'!G28</f>
        <v>12.480964440875491</v>
      </c>
      <c r="U41" s="244">
        <f>+'2013'!H28</f>
        <v>11.375797344727605</v>
      </c>
      <c r="V41" s="244">
        <f>+'2013'!I28</f>
        <v>12.121787505223569</v>
      </c>
      <c r="W41" s="244">
        <f>+'2013'!J28</f>
        <v>12.091191899475417</v>
      </c>
      <c r="X41" s="244">
        <f>+'2013'!K28</f>
        <v>12.061866988719018</v>
      </c>
      <c r="Y41" s="244">
        <f>+'2013'!L28</f>
        <v>12.542765020059564</v>
      </c>
      <c r="Z41" s="244">
        <f>+'2013'!M28</f>
        <v>12.632505731427734</v>
      </c>
      <c r="AA41" s="244">
        <f>+'2013'!N28</f>
        <v>13.639358076476537</v>
      </c>
      <c r="AB41" s="204">
        <f t="shared" ref="AB41:AB46" si="59">+AVERAGE(P41:AA41)</f>
        <v>12.083116217659791</v>
      </c>
      <c r="AC41" s="244">
        <f>+'[6]SAN CRISTÓBAL'!D39</f>
        <v>14.026507088004793</v>
      </c>
      <c r="AD41" s="245">
        <f>+'[6]SAN CRISTÓBAL'!E39</f>
        <v>11.925472500647261</v>
      </c>
      <c r="AE41" s="245">
        <f>+'[6]SAN CRISTÓBAL'!F39</f>
        <v>12.806171913029369</v>
      </c>
      <c r="AF41" s="245">
        <f>+'[6]SAN CRISTÓBAL'!G39</f>
        <v>13.628744126353267</v>
      </c>
      <c r="AG41" s="245">
        <f>+'[6]SAN CRISTÓBAL'!H39</f>
        <v>12.849604375996373</v>
      </c>
      <c r="AH41" s="245">
        <f>+'[6]SAN CRISTÓBAL'!I39</f>
        <v>13.020674530887996</v>
      </c>
      <c r="AI41" s="245">
        <f>+'[6]SAN CRISTÓBAL'!J39</f>
        <v>12.348131470576917</v>
      </c>
      <c r="AJ41" s="245">
        <f>+'[6]SAN CRISTÓBAL'!K39</f>
        <v>12.600057073553542</v>
      </c>
      <c r="AK41" s="245">
        <f>+'[6]SAN CRISTÓBAL'!L39</f>
        <v>12.424616792495996</v>
      </c>
      <c r="AL41" s="245">
        <f>+'[6]SAN CRISTÓBAL'!M39</f>
        <v>12.557595263638893</v>
      </c>
      <c r="AM41" s="245">
        <f>+'[6]SAN CRISTÓBAL'!N39</f>
        <v>12.705436319239173</v>
      </c>
      <c r="AN41" s="246">
        <f>+'[6]SAN CRISTÓBAL'!O39</f>
        <v>12.821622430516822</v>
      </c>
      <c r="AO41" s="247">
        <f>+'[6]SAN CRISTÓBAL'!P39</f>
        <v>12.809552823745035</v>
      </c>
      <c r="AP41" s="244">
        <f>+'2015'!C29</f>
        <v>12.67695816371573</v>
      </c>
      <c r="AQ41" s="244">
        <f>+'2015'!D29</f>
        <v>12.891198220676731</v>
      </c>
      <c r="AR41" s="244">
        <f>+'2015'!E29</f>
        <v>12.830628906866798</v>
      </c>
      <c r="AS41" s="244">
        <f>+'2015'!F29</f>
        <v>12.707033492822967</v>
      </c>
      <c r="AT41" s="244">
        <f>+'2015'!G29</f>
        <v>13.2359675247074</v>
      </c>
      <c r="AU41" s="244">
        <f>+'2015'!H29</f>
        <v>12.853547502360506</v>
      </c>
      <c r="AV41" s="244">
        <f>+'2015'!I29</f>
        <v>12.472729229155178</v>
      </c>
      <c r="AW41" s="244">
        <f>+'2015'!J29</f>
        <v>11.648864311832412</v>
      </c>
      <c r="AX41" s="244">
        <f>+'2015'!K29</f>
        <v>11.832990578219906</v>
      </c>
      <c r="AY41" s="244">
        <f>+'2015'!L29</f>
        <v>11.903042039861212</v>
      </c>
      <c r="AZ41" s="244">
        <f>+'2015'!M29</f>
        <v>11.999803240903406</v>
      </c>
      <c r="BA41" s="244">
        <f>+'2015'!N29</f>
        <v>12.119772109283957</v>
      </c>
      <c r="BB41" s="514">
        <f t="shared" ref="BB41:BB46" si="60">+AVERAGE(AP41:BA41)</f>
        <v>12.431044610033851</v>
      </c>
      <c r="BC41" s="513">
        <f t="shared" ref="BC41:BN45" si="61">+$CO41</f>
        <v>12.721066096764289</v>
      </c>
      <c r="BD41" s="513">
        <f t="shared" si="61"/>
        <v>12.721066096764289</v>
      </c>
      <c r="BE41" s="513">
        <f t="shared" si="61"/>
        <v>12.721066096764289</v>
      </c>
      <c r="BF41" s="513">
        <f t="shared" si="61"/>
        <v>12.721066096764289</v>
      </c>
      <c r="BG41" s="513">
        <f t="shared" si="61"/>
        <v>12.721066096764289</v>
      </c>
      <c r="BH41" s="513">
        <f t="shared" si="61"/>
        <v>12.721066096764289</v>
      </c>
      <c r="BI41" s="513">
        <f t="shared" si="61"/>
        <v>12.721066096764289</v>
      </c>
      <c r="BJ41" s="513">
        <f t="shared" si="61"/>
        <v>12.721066096764289</v>
      </c>
      <c r="BK41" s="513">
        <f t="shared" si="61"/>
        <v>12.721066096764289</v>
      </c>
      <c r="BL41" s="513">
        <f t="shared" si="61"/>
        <v>12.721066096764289</v>
      </c>
      <c r="BM41" s="513">
        <f t="shared" si="61"/>
        <v>12.721066096764289</v>
      </c>
      <c r="BN41" s="513">
        <f t="shared" si="61"/>
        <v>12.721066096764289</v>
      </c>
      <c r="BO41" s="247">
        <f t="shared" ref="BO41:BO46" si="62">+AVERAGE(BC41:BN41)</f>
        <v>12.721066096764289</v>
      </c>
      <c r="BP41" s="513">
        <f>+$CO41</f>
        <v>12.721066096764289</v>
      </c>
      <c r="BQ41" s="513">
        <f t="shared" ref="BQ41:CA42" si="63">+$CO41</f>
        <v>12.721066096764289</v>
      </c>
      <c r="BR41" s="513">
        <f t="shared" si="63"/>
        <v>12.721066096764289</v>
      </c>
      <c r="BS41" s="513">
        <f t="shared" si="63"/>
        <v>12.721066096764289</v>
      </c>
      <c r="BT41" s="513">
        <f t="shared" si="63"/>
        <v>12.721066096764289</v>
      </c>
      <c r="BU41" s="513">
        <f t="shared" si="63"/>
        <v>12.721066096764289</v>
      </c>
      <c r="BV41" s="513">
        <f t="shared" si="63"/>
        <v>12.721066096764289</v>
      </c>
      <c r="BW41" s="513">
        <f t="shared" si="63"/>
        <v>12.721066096764289</v>
      </c>
      <c r="BX41" s="513">
        <f t="shared" si="63"/>
        <v>12.721066096764289</v>
      </c>
      <c r="BY41" s="513">
        <f t="shared" si="63"/>
        <v>12.721066096764289</v>
      </c>
      <c r="BZ41" s="513">
        <f t="shared" si="63"/>
        <v>12.721066096764289</v>
      </c>
      <c r="CA41" s="513">
        <f t="shared" si="63"/>
        <v>12.721066096764289</v>
      </c>
      <c r="CB41" s="247">
        <f t="shared" ref="CB41:CB46" si="64">+AVERAGE(BP41:CA41)</f>
        <v>12.721066096764289</v>
      </c>
      <c r="CC41" s="491">
        <f t="shared" ref="CC41:CH44" si="65">+AP41</f>
        <v>12.67695816371573</v>
      </c>
      <c r="CD41" s="491">
        <f t="shared" si="65"/>
        <v>12.891198220676731</v>
      </c>
      <c r="CE41" s="491">
        <f t="shared" si="65"/>
        <v>12.830628906866798</v>
      </c>
      <c r="CF41" s="491">
        <f t="shared" si="65"/>
        <v>12.707033492822967</v>
      </c>
      <c r="CG41" s="491">
        <f t="shared" si="65"/>
        <v>13.2359675247074</v>
      </c>
      <c r="CH41" s="491">
        <f t="shared" si="65"/>
        <v>12.853547502360506</v>
      </c>
      <c r="CI41" s="491">
        <f t="shared" ref="CI41:CN44" si="66">+AI41</f>
        <v>12.348131470576917</v>
      </c>
      <c r="CJ41" s="491">
        <f t="shared" si="66"/>
        <v>12.600057073553542</v>
      </c>
      <c r="CK41" s="491">
        <f t="shared" si="66"/>
        <v>12.424616792495996</v>
      </c>
      <c r="CL41" s="491">
        <f t="shared" si="66"/>
        <v>12.557595263638893</v>
      </c>
      <c r="CM41" s="491">
        <f t="shared" si="66"/>
        <v>12.705436319239173</v>
      </c>
      <c r="CN41" s="491">
        <f t="shared" si="66"/>
        <v>12.821622430516822</v>
      </c>
      <c r="CO41" s="492">
        <f>+AVERAGE(CC41:CN41)</f>
        <v>12.721066096764289</v>
      </c>
    </row>
    <row r="42" spans="1:93" x14ac:dyDescent="0.25">
      <c r="A42" s="753"/>
      <c r="B42" s="228" t="s">
        <v>129</v>
      </c>
      <c r="C42" s="248">
        <f>+'2012'!B40</f>
        <v>12.977876378874715</v>
      </c>
      <c r="D42" s="248">
        <f>+'2012'!C40</f>
        <v>12.952226294341276</v>
      </c>
      <c r="E42" s="248">
        <f>+'2012'!D40</f>
        <v>13.125396964646022</v>
      </c>
      <c r="F42" s="248">
        <f>+'2012'!E40</f>
        <v>12.872229757622218</v>
      </c>
      <c r="G42" s="248">
        <f>+'2012'!F40</f>
        <v>13.346763451145161</v>
      </c>
      <c r="H42" s="248">
        <f>+'2012'!G40</f>
        <v>14.273631013731423</v>
      </c>
      <c r="I42" s="248">
        <f>+'2012'!H40</f>
        <v>13.767144132880871</v>
      </c>
      <c r="J42" s="248">
        <f>+'2012'!I40</f>
        <v>14.742061488999852</v>
      </c>
      <c r="K42" s="248">
        <f>+'2012'!J40</f>
        <v>14.371964536001826</v>
      </c>
      <c r="L42" s="248">
        <f>+'2012'!K40</f>
        <v>14.237742395620494</v>
      </c>
      <c r="M42" s="248">
        <f>+'2012'!L40</f>
        <v>14.399515342299241</v>
      </c>
      <c r="N42" s="248">
        <f>+'2012'!M40</f>
        <v>14.791595278541276</v>
      </c>
      <c r="O42" s="248">
        <f>+'2012'!N40</f>
        <v>13.754767778080774</v>
      </c>
      <c r="P42" s="248">
        <f>+'2013'!C53</f>
        <v>14.503167724647323</v>
      </c>
      <c r="Q42" s="248">
        <f>+'2013'!D53</f>
        <v>14.447403375351598</v>
      </c>
      <c r="R42" s="248">
        <f>+'2013'!E53</f>
        <v>14.335047532617404</v>
      </c>
      <c r="S42" s="248">
        <f>+'2013'!F53</f>
        <v>14.206870926837899</v>
      </c>
      <c r="T42" s="248">
        <f>+'2013'!G53</f>
        <v>14.503349207179863</v>
      </c>
      <c r="U42" s="248">
        <f>+'2013'!H53</f>
        <v>15.063344043868677</v>
      </c>
      <c r="V42" s="248">
        <f>+'2013'!I53</f>
        <v>15.046971763636078</v>
      </c>
      <c r="W42" s="248">
        <f>+'2013'!J53</f>
        <v>15.257187804698191</v>
      </c>
      <c r="X42" s="248">
        <f>+'2013'!K53</f>
        <v>15.043643182518752</v>
      </c>
      <c r="Y42" s="248">
        <f>+'2013'!L53</f>
        <v>15.020040912868376</v>
      </c>
      <c r="Z42" s="248">
        <f>+'2013'!M53</f>
        <v>14.616343586231309</v>
      </c>
      <c r="AA42" s="248">
        <f>+'2013'!N53</f>
        <v>14.530069284064664</v>
      </c>
      <c r="AB42" s="232">
        <f t="shared" si="59"/>
        <v>14.714453278710016</v>
      </c>
      <c r="AC42" s="248">
        <f>+'[6]SANTA CRUZ'!D42</f>
        <v>14.203403126587279</v>
      </c>
      <c r="AD42" s="249">
        <f>+'[6]SANTA CRUZ'!E42</f>
        <v>14.065092473213889</v>
      </c>
      <c r="AE42" s="249">
        <f>+'[6]SANTA CRUZ'!F42</f>
        <v>13.711220709233508</v>
      </c>
      <c r="AF42" s="249">
        <f>+'[6]SANTA CRUZ'!G42</f>
        <v>13.634008226668199</v>
      </c>
      <c r="AG42" s="249">
        <f>+'[6]SANTA CRUZ'!H42</f>
        <v>13.218200128825135</v>
      </c>
      <c r="AH42" s="249">
        <f>+'[6]SANTA CRUZ'!I42</f>
        <v>13.164482985028718</v>
      </c>
      <c r="AI42" s="249">
        <f>+'[6]SANTA CRUZ'!J42</f>
        <v>13.621317256284836</v>
      </c>
      <c r="AJ42" s="249">
        <f>+'[6]SANTA CRUZ'!K42</f>
        <v>14.634103891789616</v>
      </c>
      <c r="AK42" s="249">
        <f>+'[6]SANTA CRUZ'!L42</f>
        <v>14.7001382440607</v>
      </c>
      <c r="AL42" s="249">
        <f>+'[6]SANTA CRUZ'!M42</f>
        <v>14.506378483789714</v>
      </c>
      <c r="AM42" s="249">
        <f>+'[6]SANTA CRUZ'!N42</f>
        <v>14.36675219941349</v>
      </c>
      <c r="AN42" s="250">
        <f>+'[6]SANTA CRUZ'!O42</f>
        <v>14.096377993784467</v>
      </c>
      <c r="AO42" s="251">
        <f>+'[6]SANTA CRUZ'!P42</f>
        <v>13.993456309889964</v>
      </c>
      <c r="AP42" s="248">
        <f>+'2015'!C60</f>
        <v>13.8793916711222</v>
      </c>
      <c r="AQ42" s="248">
        <f>+'2015'!D60</f>
        <v>14.532551102405705</v>
      </c>
      <c r="AR42" s="248">
        <f>+'2015'!E60</f>
        <v>14.362660146494447</v>
      </c>
      <c r="AS42" s="248">
        <f>+'2015'!F60</f>
        <v>14.08828453439488</v>
      </c>
      <c r="AT42" s="248">
        <f>+'2015'!G60</f>
        <v>14.798110069053065</v>
      </c>
      <c r="AU42" s="248">
        <f>+'2015'!H60</f>
        <v>14.982613537928474</v>
      </c>
      <c r="AV42" s="248">
        <f>+'2015'!I60</f>
        <v>14.769114067663569</v>
      </c>
      <c r="AW42" s="248">
        <f>+'2015'!J60</f>
        <v>14.445366708232289</v>
      </c>
      <c r="AX42" s="248">
        <f>+'2015'!K60</f>
        <v>14.357436511851905</v>
      </c>
      <c r="AY42" s="248">
        <f>+'2015'!L60</f>
        <v>14.283827380994401</v>
      </c>
      <c r="AZ42" s="248">
        <f>+'2015'!M60</f>
        <v>14.053944271766055</v>
      </c>
      <c r="BA42" s="248">
        <f>+'2015'!N60</f>
        <v>13.745201354911554</v>
      </c>
      <c r="BB42" s="515">
        <f t="shared" si="60"/>
        <v>14.358208446401546</v>
      </c>
      <c r="BC42" s="508">
        <f t="shared" ref="BC42:BK45" si="67">+$CO42</f>
        <v>14.380723260876801</v>
      </c>
      <c r="BD42" s="508">
        <f t="shared" si="67"/>
        <v>14.380723260876801</v>
      </c>
      <c r="BE42" s="508">
        <f t="shared" si="67"/>
        <v>14.380723260876801</v>
      </c>
      <c r="BF42" s="508">
        <f t="shared" si="67"/>
        <v>14.380723260876801</v>
      </c>
      <c r="BG42" s="508">
        <f t="shared" si="67"/>
        <v>14.380723260876801</v>
      </c>
      <c r="BH42" s="508">
        <f t="shared" si="67"/>
        <v>14.380723260876801</v>
      </c>
      <c r="BI42" s="508">
        <f t="shared" si="67"/>
        <v>14.380723260876801</v>
      </c>
      <c r="BJ42" s="508">
        <f t="shared" si="67"/>
        <v>14.380723260876801</v>
      </c>
      <c r="BK42" s="508">
        <f t="shared" si="67"/>
        <v>14.380723260876801</v>
      </c>
      <c r="BL42" s="508">
        <f t="shared" si="61"/>
        <v>14.380723260876801</v>
      </c>
      <c r="BM42" s="508">
        <f t="shared" si="61"/>
        <v>14.380723260876801</v>
      </c>
      <c r="BN42" s="508">
        <f t="shared" si="61"/>
        <v>14.380723260876801</v>
      </c>
      <c r="BO42" s="251">
        <f t="shared" si="62"/>
        <v>14.380723260876804</v>
      </c>
      <c r="BP42" s="508">
        <f>+$CO42</f>
        <v>14.380723260876801</v>
      </c>
      <c r="BQ42" s="508">
        <f t="shared" si="63"/>
        <v>14.380723260876801</v>
      </c>
      <c r="BR42" s="508">
        <f t="shared" si="63"/>
        <v>14.380723260876801</v>
      </c>
      <c r="BS42" s="508">
        <f t="shared" si="63"/>
        <v>14.380723260876801</v>
      </c>
      <c r="BT42" s="508">
        <f t="shared" si="63"/>
        <v>14.380723260876801</v>
      </c>
      <c r="BU42" s="508">
        <f t="shared" si="63"/>
        <v>14.380723260876801</v>
      </c>
      <c r="BV42" s="508">
        <f t="shared" si="63"/>
        <v>14.380723260876801</v>
      </c>
      <c r="BW42" s="508">
        <f t="shared" si="63"/>
        <v>14.380723260876801</v>
      </c>
      <c r="BX42" s="508">
        <f t="shared" si="63"/>
        <v>14.380723260876801</v>
      </c>
      <c r="BY42" s="508">
        <f t="shared" si="63"/>
        <v>14.380723260876801</v>
      </c>
      <c r="BZ42" s="508">
        <f t="shared" si="63"/>
        <v>14.380723260876801</v>
      </c>
      <c r="CA42" s="508">
        <f t="shared" si="63"/>
        <v>14.380723260876801</v>
      </c>
      <c r="CB42" s="251">
        <f t="shared" si="64"/>
        <v>14.380723260876804</v>
      </c>
      <c r="CC42" s="491">
        <f t="shared" si="65"/>
        <v>13.8793916711222</v>
      </c>
      <c r="CD42" s="491">
        <f t="shared" si="65"/>
        <v>14.532551102405705</v>
      </c>
      <c r="CE42" s="491">
        <f t="shared" si="65"/>
        <v>14.362660146494447</v>
      </c>
      <c r="CF42" s="491">
        <f t="shared" si="65"/>
        <v>14.08828453439488</v>
      </c>
      <c r="CG42" s="491">
        <f t="shared" si="65"/>
        <v>14.798110069053065</v>
      </c>
      <c r="CH42" s="491">
        <f t="shared" si="65"/>
        <v>14.982613537928474</v>
      </c>
      <c r="CI42" s="491">
        <f t="shared" si="66"/>
        <v>13.621317256284836</v>
      </c>
      <c r="CJ42" s="491">
        <f t="shared" si="66"/>
        <v>14.634103891789616</v>
      </c>
      <c r="CK42" s="491">
        <f t="shared" si="66"/>
        <v>14.7001382440607</v>
      </c>
      <c r="CL42" s="491">
        <f t="shared" si="66"/>
        <v>14.506378483789714</v>
      </c>
      <c r="CM42" s="491">
        <f t="shared" si="66"/>
        <v>14.36675219941349</v>
      </c>
      <c r="CN42" s="491">
        <f t="shared" si="66"/>
        <v>14.096377993784467</v>
      </c>
      <c r="CO42" s="492">
        <f>+AVERAGE(CC42:CN42)</f>
        <v>14.380723260876801</v>
      </c>
    </row>
    <row r="43" spans="1:93" x14ac:dyDescent="0.25">
      <c r="A43" s="753"/>
      <c r="B43" s="217" t="s">
        <v>130</v>
      </c>
      <c r="C43" s="252">
        <f>+'2012'!B62</f>
        <v>12.975748018071776</v>
      </c>
      <c r="D43" s="252">
        <f>+'2012'!C62</f>
        <v>13.20176026448644</v>
      </c>
      <c r="E43" s="252">
        <f>+'2012'!D62</f>
        <v>13.070662803332127</v>
      </c>
      <c r="F43" s="252">
        <f>+'2012'!E62</f>
        <v>12.948942517306001</v>
      </c>
      <c r="G43" s="252">
        <f>+'2012'!F62</f>
        <v>12.937795129206172</v>
      </c>
      <c r="H43" s="252">
        <f>+'2012'!G62</f>
        <v>12.727803503120596</v>
      </c>
      <c r="I43" s="252">
        <f>+'2012'!H62</f>
        <v>13.002388786226168</v>
      </c>
      <c r="J43" s="252">
        <f>+'2012'!I62</f>
        <v>13.077574610134024</v>
      </c>
      <c r="K43" s="252">
        <f>+'2012'!J62</f>
        <v>13.337855651982863</v>
      </c>
      <c r="L43" s="252">
        <f>+'2012'!K62</f>
        <v>13.0381538785391</v>
      </c>
      <c r="M43" s="252">
        <f>+'2012'!L62</f>
        <v>13.401251775101246</v>
      </c>
      <c r="N43" s="252">
        <f>+'2012'!M62</f>
        <v>12.826137853530623</v>
      </c>
      <c r="O43" s="252">
        <f>+'2012'!N62</f>
        <v>13.0314640055759</v>
      </c>
      <c r="P43" s="252">
        <f>+'2013'!C79</f>
        <v>12.905917688124037</v>
      </c>
      <c r="Q43" s="252">
        <f>+'2013'!D79</f>
        <v>13.145500143896724</v>
      </c>
      <c r="R43" s="252">
        <f>+'2013'!E79</f>
        <v>12.793371943371943</v>
      </c>
      <c r="S43" s="252">
        <f>+'2013'!F79</f>
        <v>13.754836148404793</v>
      </c>
      <c r="T43" s="252">
        <f>+'2013'!G79</f>
        <v>12.837416481069042</v>
      </c>
      <c r="U43" s="252">
        <f>+'2013'!H79</f>
        <v>13.222162662638272</v>
      </c>
      <c r="V43" s="252">
        <f>+'2013'!I79</f>
        <v>12.886391422928618</v>
      </c>
      <c r="W43" s="252">
        <f>+'2013'!J79</f>
        <v>12.690925512192804</v>
      </c>
      <c r="X43" s="252">
        <f>+'2013'!K79</f>
        <v>12.61848423345379</v>
      </c>
      <c r="Y43" s="252">
        <f>+'2013'!L79</f>
        <v>12.632869573309758</v>
      </c>
      <c r="Z43" s="252">
        <f>+'2013'!M79</f>
        <v>12.496545846043423</v>
      </c>
      <c r="AA43" s="252">
        <f>+'2013'!N79</f>
        <v>12.502940951798946</v>
      </c>
      <c r="AB43" s="221">
        <f t="shared" si="59"/>
        <v>12.873946883936009</v>
      </c>
      <c r="AC43" s="252">
        <f>+[6]ISABELA!D30</f>
        <v>13.397273203985318</v>
      </c>
      <c r="AD43" s="253">
        <f>+[6]ISABELA!E30</f>
        <v>13.278142335272628</v>
      </c>
      <c r="AE43" s="253">
        <f>+[6]ISABELA!F30</f>
        <v>12.495059672495143</v>
      </c>
      <c r="AF43" s="253">
        <f>+[6]ISABELA!G30</f>
        <v>12.849709918040336</v>
      </c>
      <c r="AG43" s="253">
        <f>+[6]ISABELA!H30</f>
        <v>12.53584643116916</v>
      </c>
      <c r="AH43" s="253">
        <f>+[6]ISABELA!I30</f>
        <v>12.74165882608381</v>
      </c>
      <c r="AI43" s="253">
        <f>+[6]ISABELA!J30</f>
        <v>12.043762781186095</v>
      </c>
      <c r="AJ43" s="253">
        <f>+[6]ISABELA!K30</f>
        <v>12.036469730123997</v>
      </c>
      <c r="AK43" s="253">
        <f>+[6]ISABELA!L30</f>
        <v>12.141722712908193</v>
      </c>
      <c r="AL43" s="253">
        <f>+[6]ISABELA!M30</f>
        <v>12.040660031817678</v>
      </c>
      <c r="AM43" s="253">
        <f>+[6]ISABELA!N30</f>
        <v>11.97836023425225</v>
      </c>
      <c r="AN43" s="254">
        <f>+[6]ISABELA!O30</f>
        <v>11.901775223093779</v>
      </c>
      <c r="AO43" s="255">
        <f>+[6]ISABELA!P30</f>
        <v>12.453370091702366</v>
      </c>
      <c r="AP43" s="218">
        <f>+'2015'!C88</f>
        <v>12.104947253546744</v>
      </c>
      <c r="AQ43" s="218">
        <f>+'2015'!D88</f>
        <v>12.209182869567957</v>
      </c>
      <c r="AR43" s="218">
        <f>+'2015'!E88</f>
        <v>12.214501428377092</v>
      </c>
      <c r="AS43" s="218">
        <f>+'2015'!F88</f>
        <v>13.142503873197473</v>
      </c>
      <c r="AT43" s="218">
        <f>+'2015'!G88</f>
        <v>13.328469223738535</v>
      </c>
      <c r="AU43" s="218">
        <f>+'2015'!H88</f>
        <v>13.446823024948024</v>
      </c>
      <c r="AV43" s="218">
        <f>+'2015'!I88</f>
        <v>12.919018943670807</v>
      </c>
      <c r="AW43" s="218">
        <f>+'2015'!J88</f>
        <v>12.869288375963244</v>
      </c>
      <c r="AX43" s="218">
        <f>+'2015'!K88</f>
        <v>12.968803959940141</v>
      </c>
      <c r="AY43" s="218">
        <f>+'2015'!L88</f>
        <v>13.000661168528378</v>
      </c>
      <c r="AZ43" s="218">
        <f>+'2015'!M88</f>
        <v>12.907656468395714</v>
      </c>
      <c r="BA43" s="218">
        <f>+'2015'!N88</f>
        <v>12.86593098238135</v>
      </c>
      <c r="BB43" s="516">
        <f t="shared" si="60"/>
        <v>12.831482297687955</v>
      </c>
      <c r="BC43" s="511">
        <f t="shared" si="67"/>
        <v>12.382431532229818</v>
      </c>
      <c r="BD43" s="511">
        <f t="shared" si="61"/>
        <v>12.382431532229818</v>
      </c>
      <c r="BE43" s="511">
        <f t="shared" si="61"/>
        <v>12.382431532229818</v>
      </c>
      <c r="BF43" s="511">
        <f t="shared" si="61"/>
        <v>12.382431532229818</v>
      </c>
      <c r="BG43" s="511">
        <f t="shared" si="61"/>
        <v>12.382431532229818</v>
      </c>
      <c r="BH43" s="511">
        <f t="shared" si="61"/>
        <v>12.382431532229818</v>
      </c>
      <c r="BI43" s="511">
        <f t="shared" si="61"/>
        <v>12.382431532229818</v>
      </c>
      <c r="BJ43" s="511">
        <f t="shared" si="61"/>
        <v>12.382431532229818</v>
      </c>
      <c r="BK43" s="511">
        <f t="shared" si="61"/>
        <v>12.382431532229818</v>
      </c>
      <c r="BL43" s="511">
        <f t="shared" si="61"/>
        <v>12.382431532229818</v>
      </c>
      <c r="BM43" s="511">
        <f t="shared" si="61"/>
        <v>12.382431532229818</v>
      </c>
      <c r="BN43" s="511">
        <f t="shared" si="61"/>
        <v>12.382431532229818</v>
      </c>
      <c r="BO43" s="255">
        <f t="shared" si="62"/>
        <v>12.382431532229818</v>
      </c>
      <c r="BP43" s="511">
        <f>+$CO43</f>
        <v>12.382431532229818</v>
      </c>
      <c r="BQ43" s="511">
        <f t="shared" ref="BQ43:CA45" si="68">+$CO43</f>
        <v>12.382431532229818</v>
      </c>
      <c r="BR43" s="511">
        <f t="shared" si="68"/>
        <v>12.382431532229818</v>
      </c>
      <c r="BS43" s="511">
        <f t="shared" si="68"/>
        <v>12.382431532229818</v>
      </c>
      <c r="BT43" s="511">
        <f t="shared" si="68"/>
        <v>12.382431532229818</v>
      </c>
      <c r="BU43" s="511">
        <f t="shared" si="68"/>
        <v>12.382431532229818</v>
      </c>
      <c r="BV43" s="511">
        <f t="shared" si="68"/>
        <v>12.382431532229818</v>
      </c>
      <c r="BW43" s="511">
        <f t="shared" si="68"/>
        <v>12.382431532229818</v>
      </c>
      <c r="BX43" s="511">
        <f t="shared" si="68"/>
        <v>12.382431532229818</v>
      </c>
      <c r="BY43" s="511">
        <f t="shared" si="68"/>
        <v>12.382431532229818</v>
      </c>
      <c r="BZ43" s="511">
        <f t="shared" si="68"/>
        <v>12.382431532229818</v>
      </c>
      <c r="CA43" s="511">
        <f t="shared" si="68"/>
        <v>12.382431532229818</v>
      </c>
      <c r="CB43" s="255">
        <f t="shared" si="64"/>
        <v>12.382431532229818</v>
      </c>
      <c r="CC43" s="491">
        <f t="shared" si="65"/>
        <v>12.104947253546744</v>
      </c>
      <c r="CD43" s="491">
        <f t="shared" si="65"/>
        <v>12.209182869567957</v>
      </c>
      <c r="CE43" s="491">
        <f t="shared" si="65"/>
        <v>12.214501428377092</v>
      </c>
      <c r="CF43" s="491">
        <f t="shared" si="65"/>
        <v>13.142503873197473</v>
      </c>
      <c r="CG43" s="491">
        <f t="shared" si="65"/>
        <v>13.328469223738535</v>
      </c>
      <c r="CH43" s="491">
        <f t="shared" si="65"/>
        <v>13.446823024948024</v>
      </c>
      <c r="CI43" s="491">
        <f t="shared" si="66"/>
        <v>12.043762781186095</v>
      </c>
      <c r="CJ43" s="491">
        <f t="shared" si="66"/>
        <v>12.036469730123997</v>
      </c>
      <c r="CK43" s="491">
        <f t="shared" si="66"/>
        <v>12.141722712908193</v>
      </c>
      <c r="CL43" s="491">
        <f t="shared" si="66"/>
        <v>12.040660031817678</v>
      </c>
      <c r="CM43" s="491">
        <f t="shared" si="66"/>
        <v>11.97836023425225</v>
      </c>
      <c r="CN43" s="491">
        <f t="shared" si="66"/>
        <v>11.901775223093779</v>
      </c>
      <c r="CO43" s="492">
        <f>+AVERAGE(CC43:CN43)</f>
        <v>12.382431532229818</v>
      </c>
    </row>
    <row r="44" spans="1:93" x14ac:dyDescent="0.25">
      <c r="A44" s="753"/>
      <c r="B44" s="233" t="s">
        <v>123</v>
      </c>
      <c r="C44" s="256">
        <f>+'2012'!B83</f>
        <v>0</v>
      </c>
      <c r="D44" s="256">
        <f>+'2012'!C83</f>
        <v>11.593772628530051</v>
      </c>
      <c r="E44" s="256">
        <f>+'2012'!D83</f>
        <v>11.036444444444445</v>
      </c>
      <c r="F44" s="256">
        <f>+'2012'!E83</f>
        <v>11.020364415862808</v>
      </c>
      <c r="G44" s="256">
        <f>+'2012'!F83</f>
        <v>11.140230867892262</v>
      </c>
      <c r="H44" s="256">
        <f>+'2012'!G83</f>
        <v>11.577047066408769</v>
      </c>
      <c r="I44" s="256">
        <f>+'2012'!H83</f>
        <v>11.639591439688717</v>
      </c>
      <c r="J44" s="256">
        <f>+'2012'!I83</f>
        <v>11.64081826831589</v>
      </c>
      <c r="K44" s="256">
        <f>+'2012'!J83</f>
        <v>12.027501909854852</v>
      </c>
      <c r="L44" s="256">
        <f>+'2012'!K83</f>
        <v>12.229007633587786</v>
      </c>
      <c r="M44" s="256">
        <f>+'2012'!L83</f>
        <v>12.182406702208683</v>
      </c>
      <c r="N44" s="256">
        <f>+'2012'!M83</f>
        <v>12.069655427936272</v>
      </c>
      <c r="O44" s="256">
        <f>+'2012'!N83</f>
        <v>11.725869724716171</v>
      </c>
      <c r="P44" s="256">
        <f>+'2013'!C103</f>
        <v>11.994049832651543</v>
      </c>
      <c r="Q44" s="256">
        <f>+'2013'!D103</f>
        <v>11.91735880398671</v>
      </c>
      <c r="R44" s="256">
        <f>+'2013'!E103</f>
        <v>11.712478007849505</v>
      </c>
      <c r="S44" s="256">
        <f>+'2013'!F103</f>
        <v>11.38029197080292</v>
      </c>
      <c r="T44" s="256">
        <f>+'2013'!G103</f>
        <v>11.128751974723539</v>
      </c>
      <c r="U44" s="256">
        <f>+'2013'!H103</f>
        <v>11.445876288659793</v>
      </c>
      <c r="V44" s="256">
        <f>+'2013'!I103</f>
        <v>11.501841997544004</v>
      </c>
      <c r="W44" s="256">
        <f>+'2013'!J103</f>
        <v>11.25824617860016</v>
      </c>
      <c r="X44" s="256">
        <f>+'2013'!K103</f>
        <v>11.102032520325203</v>
      </c>
      <c r="Y44" s="256">
        <f>+'2013'!L103</f>
        <v>11.768601480327231</v>
      </c>
      <c r="Z44" s="256">
        <f>+'2013'!M103</f>
        <v>11.098420413122721</v>
      </c>
      <c r="AA44" s="256">
        <f>+'2013'!N103</f>
        <v>11.169848846459825</v>
      </c>
      <c r="AB44" s="236">
        <f t="shared" si="59"/>
        <v>11.456483192921096</v>
      </c>
      <c r="AC44" s="256">
        <f>+[6]FLOREANA!E32</f>
        <v>11.149265905383361</v>
      </c>
      <c r="AD44" s="256">
        <f>+[6]FLOREANA!F32</f>
        <v>11.39780745967742</v>
      </c>
      <c r="AE44" s="256">
        <f>+[6]FLOREANA!G32</f>
        <v>11.16198419666374</v>
      </c>
      <c r="AF44" s="256">
        <f>+[6]FLOREANA!H32</f>
        <v>11.151398676062353</v>
      </c>
      <c r="AG44" s="256">
        <f>+[6]FLOREANA!I32</f>
        <v>10.90843081887858</v>
      </c>
      <c r="AH44" s="256">
        <f>+[6]FLOREANA!J32</f>
        <v>11.253514299563742</v>
      </c>
      <c r="AI44" s="256">
        <f>+[6]FLOREANA!K32</f>
        <v>10.063391442155309</v>
      </c>
      <c r="AJ44" s="256">
        <f>+[6]FLOREANA!L32</f>
        <v>9.7765392781316347</v>
      </c>
      <c r="AK44" s="256">
        <f>+[6]FLOREANA!M32</f>
        <v>9.1073512252042015</v>
      </c>
      <c r="AL44" s="256">
        <f>+[6]FLOREANA!N32</f>
        <v>8.8793513513513513</v>
      </c>
      <c r="AM44" s="256">
        <f>+[6]FLOREANA!O32</f>
        <v>9.3014226437462959</v>
      </c>
      <c r="AN44" s="257">
        <f>+[6]FLOREANA!P32</f>
        <v>9.7052200614124864</v>
      </c>
      <c r="AO44" s="258">
        <f>+[6]FLOREANA!Q32</f>
        <v>10.321306446519205</v>
      </c>
      <c r="AP44" s="234">
        <f>+'2015'!C116</f>
        <v>9.8924180327868854</v>
      </c>
      <c r="AQ44" s="234">
        <f>+'2015'!D116</f>
        <v>9.9130434782608692</v>
      </c>
      <c r="AR44" s="234">
        <f>+'2015'!E116</f>
        <v>10.278157492910639</v>
      </c>
      <c r="AS44" s="234">
        <f>+'2015'!F116</f>
        <v>10.331614234141311</v>
      </c>
      <c r="AT44" s="234">
        <f>+'2015'!G116</f>
        <v>10.483157365510307</v>
      </c>
      <c r="AU44" s="234">
        <f>+'2015'!H116</f>
        <v>10.369902182091797</v>
      </c>
      <c r="AV44" s="234">
        <f>+'2015'!I116</f>
        <v>10.394967177242888</v>
      </c>
      <c r="AW44" s="234">
        <f>+'2015'!J116</f>
        <v>12.798098024871983</v>
      </c>
      <c r="AX44" s="234">
        <f>+'2015'!K116</f>
        <v>17.264736297828335</v>
      </c>
      <c r="AY44" s="234">
        <f>+'2015'!L116</f>
        <v>13.451628126474752</v>
      </c>
      <c r="AZ44" s="234">
        <f>+'2015'!M116</f>
        <v>15.312146892655367</v>
      </c>
      <c r="BA44" s="234">
        <f>+'2015'!N116</f>
        <v>14.971769134253451</v>
      </c>
      <c r="BB44" s="517">
        <f t="shared" si="60"/>
        <v>12.121803203252384</v>
      </c>
      <c r="BC44" s="512">
        <f t="shared" si="67"/>
        <v>9.8417973989752578</v>
      </c>
      <c r="BD44" s="512">
        <f t="shared" si="61"/>
        <v>9.8417973989752578</v>
      </c>
      <c r="BE44" s="512">
        <f t="shared" si="61"/>
        <v>9.8417973989752578</v>
      </c>
      <c r="BF44" s="512">
        <f t="shared" si="61"/>
        <v>9.8417973989752578</v>
      </c>
      <c r="BG44" s="512">
        <f t="shared" si="61"/>
        <v>9.8417973989752578</v>
      </c>
      <c r="BH44" s="512">
        <f t="shared" si="61"/>
        <v>9.8417973989752578</v>
      </c>
      <c r="BI44" s="512">
        <f t="shared" si="61"/>
        <v>9.8417973989752578</v>
      </c>
      <c r="BJ44" s="512">
        <f t="shared" si="61"/>
        <v>9.8417973989752578</v>
      </c>
      <c r="BK44" s="512">
        <f t="shared" si="61"/>
        <v>9.8417973989752578</v>
      </c>
      <c r="BL44" s="512">
        <f t="shared" si="61"/>
        <v>9.8417973989752578</v>
      </c>
      <c r="BM44" s="512">
        <f t="shared" si="61"/>
        <v>9.8417973989752578</v>
      </c>
      <c r="BN44" s="512">
        <f t="shared" si="61"/>
        <v>9.8417973989752578</v>
      </c>
      <c r="BO44" s="258">
        <f t="shared" si="62"/>
        <v>9.8417973989752578</v>
      </c>
      <c r="BP44" s="512">
        <f>+$CO44</f>
        <v>9.8417973989752578</v>
      </c>
      <c r="BQ44" s="512">
        <f t="shared" si="68"/>
        <v>9.8417973989752578</v>
      </c>
      <c r="BR44" s="512">
        <f t="shared" si="68"/>
        <v>9.8417973989752578</v>
      </c>
      <c r="BS44" s="512">
        <f t="shared" si="68"/>
        <v>9.8417973989752578</v>
      </c>
      <c r="BT44" s="512">
        <f t="shared" si="68"/>
        <v>9.8417973989752578</v>
      </c>
      <c r="BU44" s="512">
        <f t="shared" si="68"/>
        <v>9.8417973989752578</v>
      </c>
      <c r="BV44" s="512">
        <f t="shared" si="68"/>
        <v>9.8417973989752578</v>
      </c>
      <c r="BW44" s="512">
        <f t="shared" si="68"/>
        <v>9.8417973989752578</v>
      </c>
      <c r="BX44" s="512">
        <f t="shared" si="68"/>
        <v>9.8417973989752578</v>
      </c>
      <c r="BY44" s="512">
        <f t="shared" si="68"/>
        <v>9.8417973989752578</v>
      </c>
      <c r="BZ44" s="512">
        <f t="shared" si="68"/>
        <v>9.8417973989752578</v>
      </c>
      <c r="CA44" s="512">
        <f t="shared" si="68"/>
        <v>9.8417973989752578</v>
      </c>
      <c r="CB44" s="258">
        <f t="shared" si="64"/>
        <v>9.8417973989752578</v>
      </c>
      <c r="CC44" s="491">
        <f t="shared" si="65"/>
        <v>9.8924180327868854</v>
      </c>
      <c r="CD44" s="491">
        <f t="shared" si="65"/>
        <v>9.9130434782608692</v>
      </c>
      <c r="CE44" s="491">
        <f t="shared" si="65"/>
        <v>10.278157492910639</v>
      </c>
      <c r="CF44" s="491">
        <f t="shared" si="65"/>
        <v>10.331614234141311</v>
      </c>
      <c r="CG44" s="491">
        <f t="shared" si="65"/>
        <v>10.483157365510307</v>
      </c>
      <c r="CH44" s="491">
        <f t="shared" si="65"/>
        <v>10.369902182091797</v>
      </c>
      <c r="CI44" s="491">
        <f t="shared" si="66"/>
        <v>10.063391442155309</v>
      </c>
      <c r="CJ44" s="491">
        <f t="shared" si="66"/>
        <v>9.7765392781316347</v>
      </c>
      <c r="CK44" s="491">
        <f t="shared" si="66"/>
        <v>9.1073512252042015</v>
      </c>
      <c r="CL44" s="491">
        <f t="shared" si="66"/>
        <v>8.8793513513513513</v>
      </c>
      <c r="CM44" s="491">
        <f t="shared" si="66"/>
        <v>9.3014226437462959</v>
      </c>
      <c r="CN44" s="491">
        <f t="shared" si="66"/>
        <v>9.7052200614124864</v>
      </c>
      <c r="CO44" s="492">
        <f>+AVERAGE(CC44:CN44)</f>
        <v>9.8417973989752578</v>
      </c>
    </row>
    <row r="45" spans="1:93" ht="15.75" thickBot="1" x14ac:dyDescent="0.3">
      <c r="A45" s="753"/>
      <c r="B45" s="237" t="s">
        <v>124</v>
      </c>
      <c r="C45" s="256">
        <f>+'2012'!B84</f>
        <v>10.331768388106417</v>
      </c>
      <c r="D45" s="256">
        <f>+'2012'!C84</f>
        <v>10.385232744783307</v>
      </c>
      <c r="E45" s="256">
        <f>+'2012'!D84</f>
        <v>11.021341463414634</v>
      </c>
      <c r="F45" s="256">
        <f>+'2012'!E84</f>
        <v>10.580803134182174</v>
      </c>
      <c r="G45" s="256">
        <f>+'2012'!F84</f>
        <v>10.535483870967742</v>
      </c>
      <c r="H45" s="256">
        <f>+'2012'!G84</f>
        <v>11.771863117870724</v>
      </c>
      <c r="I45" s="256">
        <f>+'2012'!H84</f>
        <v>11.640077821011673</v>
      </c>
      <c r="J45" s="256">
        <f>+'2012'!I84</f>
        <v>11.544217687074831</v>
      </c>
      <c r="K45" s="256">
        <f>+'2012'!J84</f>
        <v>0</v>
      </c>
      <c r="L45" s="256">
        <f>+'2012'!K84</f>
        <v>0</v>
      </c>
      <c r="M45" s="256">
        <f>+'2012'!L84</f>
        <v>0</v>
      </c>
      <c r="N45" s="256">
        <f>+'2012'!M84</f>
        <v>0</v>
      </c>
      <c r="O45" s="256">
        <f>+'2012'!N84</f>
        <v>10.796322506799916</v>
      </c>
      <c r="P45" s="256">
        <f>+'2013'!C105</f>
        <v>0</v>
      </c>
      <c r="Q45" s="256">
        <f>+'2013'!D105</f>
        <v>0</v>
      </c>
      <c r="R45" s="256">
        <f>+'2013'!E105</f>
        <v>11.67726996659581</v>
      </c>
      <c r="S45" s="256">
        <f>+'2013'!F105</f>
        <v>12.123639191290824</v>
      </c>
      <c r="T45" s="256">
        <f>+'2013'!G105</f>
        <v>11.708530805687204</v>
      </c>
      <c r="U45" s="256">
        <f>+'2013'!H105</f>
        <v>11.445876288659793</v>
      </c>
      <c r="V45" s="256">
        <f>+'2013'!I105</f>
        <v>11.501841997544004</v>
      </c>
      <c r="W45" s="256">
        <f>+'2013'!J105</f>
        <v>11.25824617860016</v>
      </c>
      <c r="X45" s="256">
        <f>+'2013'!K105</f>
        <v>11.102032520325203</v>
      </c>
      <c r="Y45" s="256">
        <f>+'2013'!L105</f>
        <v>11.06646761002207</v>
      </c>
      <c r="Z45" s="256">
        <f>+'2013'!M105</f>
        <v>11.113001215066829</v>
      </c>
      <c r="AA45" s="256">
        <f>+'2013'!N105</f>
        <v>11.163749668522938</v>
      </c>
      <c r="AB45" s="241">
        <f t="shared" si="59"/>
        <v>9.5133879535262373</v>
      </c>
      <c r="AC45" s="256">
        <f>+[6]FLOREANA!E31</f>
        <v>11.149265905383361</v>
      </c>
      <c r="AD45" s="256">
        <f>+[6]FLOREANA!F31</f>
        <v>10.957317073170731</v>
      </c>
      <c r="AE45" s="256" t="str">
        <f>+[6]FLOREANA!G31</f>
        <v/>
      </c>
      <c r="AF45" s="256" t="str">
        <f>+[6]FLOREANA!H31</f>
        <v/>
      </c>
      <c r="AG45" s="256" t="str">
        <f>+[6]FLOREANA!I31</f>
        <v/>
      </c>
      <c r="AH45" s="256" t="str">
        <f>+[6]FLOREANA!J31</f>
        <v/>
      </c>
      <c r="AI45" s="256" t="str">
        <f>+[6]FLOREANA!K31</f>
        <v/>
      </c>
      <c r="AJ45" s="256" t="str">
        <f>+[6]FLOREANA!L31</f>
        <v/>
      </c>
      <c r="AK45" s="256">
        <f>+[6]FLOREANA!M31</f>
        <v>9.1073512252042015</v>
      </c>
      <c r="AL45" s="256">
        <f>+[6]FLOREANA!N31</f>
        <v>8.8341463414634145</v>
      </c>
      <c r="AM45" s="256">
        <f>+[6]FLOREANA!O31</f>
        <v>9.2148288973384034</v>
      </c>
      <c r="AN45" s="256">
        <f>+[6]FLOREANA!P31</f>
        <v>9.7052200614124864</v>
      </c>
      <c r="AO45" s="259">
        <f>+[6]FLOREANA!Q31</f>
        <v>9.8280215839954348</v>
      </c>
      <c r="AP45" s="234">
        <f>+'2015'!C118</f>
        <v>9.8924180327868854</v>
      </c>
      <c r="AQ45" s="234">
        <f>+'2015'!D118</f>
        <v>9.8599562363238515</v>
      </c>
      <c r="AR45" s="234"/>
      <c r="AS45" s="234"/>
      <c r="AT45" s="234"/>
      <c r="AU45" s="234"/>
      <c r="AV45" s="234"/>
      <c r="AW45" s="234"/>
      <c r="AX45" s="234"/>
      <c r="AY45" s="234">
        <f>+'2015'!L118</f>
        <v>10.0032</v>
      </c>
      <c r="AZ45" s="234">
        <f>+'2015'!M118</f>
        <v>10.278248587570621</v>
      </c>
      <c r="BA45" s="234">
        <f>+'2015'!N118</f>
        <v>10.515056461731493</v>
      </c>
      <c r="BB45" s="518">
        <f t="shared" si="60"/>
        <v>10.109775863682572</v>
      </c>
      <c r="BC45" s="512">
        <f t="shared" si="67"/>
        <v>9.435653465754875</v>
      </c>
      <c r="BD45" s="512">
        <f t="shared" si="61"/>
        <v>9.435653465754875</v>
      </c>
      <c r="BE45" s="512">
        <f t="shared" si="61"/>
        <v>9.435653465754875</v>
      </c>
      <c r="BF45" s="512">
        <f t="shared" si="61"/>
        <v>9.435653465754875</v>
      </c>
      <c r="BG45" s="512">
        <f t="shared" si="61"/>
        <v>9.435653465754875</v>
      </c>
      <c r="BH45" s="512">
        <f t="shared" si="61"/>
        <v>9.435653465754875</v>
      </c>
      <c r="BI45" s="512">
        <f t="shared" si="61"/>
        <v>9.435653465754875</v>
      </c>
      <c r="BJ45" s="512">
        <f t="shared" si="61"/>
        <v>9.435653465754875</v>
      </c>
      <c r="BK45" s="512">
        <f t="shared" si="61"/>
        <v>9.435653465754875</v>
      </c>
      <c r="BL45" s="512">
        <f t="shared" si="61"/>
        <v>9.435653465754875</v>
      </c>
      <c r="BM45" s="512">
        <f t="shared" si="61"/>
        <v>9.435653465754875</v>
      </c>
      <c r="BN45" s="512">
        <f t="shared" si="61"/>
        <v>9.435653465754875</v>
      </c>
      <c r="BO45" s="259">
        <f t="shared" si="62"/>
        <v>9.4356534657548767</v>
      </c>
      <c r="BP45" s="512">
        <f>+$CO45</f>
        <v>9.435653465754875</v>
      </c>
      <c r="BQ45" s="512">
        <f t="shared" si="68"/>
        <v>9.435653465754875</v>
      </c>
      <c r="BR45" s="512">
        <f t="shared" si="68"/>
        <v>9.435653465754875</v>
      </c>
      <c r="BS45" s="512">
        <f t="shared" si="68"/>
        <v>9.435653465754875</v>
      </c>
      <c r="BT45" s="512">
        <f t="shared" si="68"/>
        <v>9.435653465754875</v>
      </c>
      <c r="BU45" s="512">
        <f t="shared" si="68"/>
        <v>9.435653465754875</v>
      </c>
      <c r="BV45" s="512">
        <f t="shared" si="68"/>
        <v>9.435653465754875</v>
      </c>
      <c r="BW45" s="512">
        <f t="shared" si="68"/>
        <v>9.435653465754875</v>
      </c>
      <c r="BX45" s="512">
        <f t="shared" si="68"/>
        <v>9.435653465754875</v>
      </c>
      <c r="BY45" s="512">
        <f t="shared" si="68"/>
        <v>9.435653465754875</v>
      </c>
      <c r="BZ45" s="512">
        <f t="shared" si="68"/>
        <v>9.435653465754875</v>
      </c>
      <c r="CA45" s="512">
        <f t="shared" si="68"/>
        <v>9.435653465754875</v>
      </c>
      <c r="CB45" s="259">
        <f t="shared" si="64"/>
        <v>9.4356534657548767</v>
      </c>
      <c r="CC45" s="491">
        <f>+AP45</f>
        <v>9.8924180327868854</v>
      </c>
      <c r="CD45" s="491">
        <f>+AQ45</f>
        <v>9.8599562363238515</v>
      </c>
      <c r="CE45" s="491"/>
      <c r="CF45" s="491"/>
      <c r="CG45" s="491"/>
      <c r="CH45" s="491"/>
      <c r="CI45" s="491"/>
      <c r="CJ45" s="491"/>
      <c r="CK45" s="491">
        <f>+AK45</f>
        <v>9.1073512252042015</v>
      </c>
      <c r="CL45" s="491">
        <f>+AL45</f>
        <v>8.8341463414634145</v>
      </c>
      <c r="CM45" s="491">
        <f>+AM45</f>
        <v>9.2148288973384034</v>
      </c>
      <c r="CN45" s="491">
        <f>+AN45</f>
        <v>9.7052200614124864</v>
      </c>
      <c r="CO45" s="492">
        <f>+AVERAGE(CC45:CN45)</f>
        <v>9.435653465754875</v>
      </c>
    </row>
    <row r="46" spans="1:93" ht="15.75" thickBot="1" x14ac:dyDescent="0.3">
      <c r="A46" s="754" t="s">
        <v>126</v>
      </c>
      <c r="B46" s="755"/>
      <c r="C46" s="260">
        <f t="shared" ref="C46:N46" si="69">+AVERAGE(C41:C45)</f>
        <v>9.4810811799614019</v>
      </c>
      <c r="D46" s="260">
        <f t="shared" si="69"/>
        <v>11.859589618499575</v>
      </c>
      <c r="E46" s="260">
        <f t="shared" si="69"/>
        <v>11.838376088022383</v>
      </c>
      <c r="F46" s="260">
        <f t="shared" si="69"/>
        <v>11.718276223330021</v>
      </c>
      <c r="G46" s="260">
        <f t="shared" si="69"/>
        <v>11.831746839390423</v>
      </c>
      <c r="H46" s="260">
        <f t="shared" si="69"/>
        <v>12.272274176679568</v>
      </c>
      <c r="I46" s="260">
        <f t="shared" si="69"/>
        <v>12.199954360230285</v>
      </c>
      <c r="J46" s="260">
        <f t="shared" si="69"/>
        <v>12.194636932593236</v>
      </c>
      <c r="K46" s="260">
        <f t="shared" si="69"/>
        <v>9.9116722717619048</v>
      </c>
      <c r="L46" s="260">
        <f t="shared" si="69"/>
        <v>9.9117327980118937</v>
      </c>
      <c r="M46" s="260">
        <f t="shared" si="69"/>
        <v>9.9948189452743321</v>
      </c>
      <c r="N46" s="260">
        <f t="shared" si="69"/>
        <v>10.059362741713414</v>
      </c>
      <c r="O46" s="261">
        <f>+AVERAGE(C46:N46)</f>
        <v>11.106126847955702</v>
      </c>
      <c r="P46" s="260">
        <f t="shared" ref="P46:AA46" si="70">+AVERAGE(P41:P45)</f>
        <v>10.027313379381361</v>
      </c>
      <c r="Q46" s="260">
        <f t="shared" si="70"/>
        <v>10.086522075821033</v>
      </c>
      <c r="R46" s="260">
        <f t="shared" si="70"/>
        <v>12.315359817399466</v>
      </c>
      <c r="S46" s="260">
        <f t="shared" si="70"/>
        <v>12.960476899670454</v>
      </c>
      <c r="T46" s="260">
        <f t="shared" si="70"/>
        <v>12.531802581907026</v>
      </c>
      <c r="U46" s="260">
        <f t="shared" si="70"/>
        <v>12.510611325710826</v>
      </c>
      <c r="V46" s="260">
        <f t="shared" si="70"/>
        <v>12.611766937375254</v>
      </c>
      <c r="W46" s="260">
        <f t="shared" si="70"/>
        <v>12.511159514713347</v>
      </c>
      <c r="X46" s="260">
        <f t="shared" si="70"/>
        <v>12.385611889068393</v>
      </c>
      <c r="Y46" s="260">
        <f t="shared" si="70"/>
        <v>12.6061489193174</v>
      </c>
      <c r="Z46" s="260">
        <f t="shared" si="70"/>
        <v>12.391363358378404</v>
      </c>
      <c r="AA46" s="260">
        <f t="shared" si="70"/>
        <v>12.601193365464582</v>
      </c>
      <c r="AB46" s="227">
        <f t="shared" si="59"/>
        <v>12.12827750535063</v>
      </c>
      <c r="AC46" s="260">
        <f>+AVERAGE(AC41:AC45)</f>
        <v>12.785143045868821</v>
      </c>
      <c r="AD46" s="260">
        <f t="shared" ref="AD46:AN46" si="71">+AVERAGE(AD41:AD45)</f>
        <v>12.324766368396386</v>
      </c>
      <c r="AE46" s="260">
        <f t="shared" si="71"/>
        <v>12.54360912285544</v>
      </c>
      <c r="AF46" s="260">
        <f t="shared" si="71"/>
        <v>12.815965236781039</v>
      </c>
      <c r="AG46" s="260">
        <f t="shared" si="71"/>
        <v>12.378020438717313</v>
      </c>
      <c r="AH46" s="260">
        <f t="shared" si="71"/>
        <v>12.545082660391065</v>
      </c>
      <c r="AI46" s="260">
        <f t="shared" si="71"/>
        <v>12.019150737550788</v>
      </c>
      <c r="AJ46" s="260">
        <f t="shared" si="71"/>
        <v>12.261792493399698</v>
      </c>
      <c r="AK46" s="260">
        <f t="shared" si="71"/>
        <v>11.496236039974658</v>
      </c>
      <c r="AL46" s="260">
        <f t="shared" si="71"/>
        <v>11.36362629441221</v>
      </c>
      <c r="AM46" s="260">
        <f t="shared" si="71"/>
        <v>11.513360058797923</v>
      </c>
      <c r="AN46" s="260">
        <f t="shared" si="71"/>
        <v>11.646043154044008</v>
      </c>
      <c r="AO46" s="261">
        <f>+AVERAGE(AC46:AN46)</f>
        <v>12.141066304265779</v>
      </c>
      <c r="AP46" s="260">
        <f t="shared" ref="AP46:BA46" si="72">+AVERAGE(AP41:AP45)</f>
        <v>11.689226630791689</v>
      </c>
      <c r="AQ46" s="260">
        <f t="shared" si="72"/>
        <v>11.881186381447023</v>
      </c>
      <c r="AR46" s="260">
        <f t="shared" si="72"/>
        <v>12.421486993662244</v>
      </c>
      <c r="AS46" s="260">
        <f t="shared" si="72"/>
        <v>12.567359033639157</v>
      </c>
      <c r="AT46" s="260">
        <f t="shared" si="72"/>
        <v>12.961426045752328</v>
      </c>
      <c r="AU46" s="260">
        <f t="shared" si="72"/>
        <v>12.9132215618322</v>
      </c>
      <c r="AV46" s="260">
        <f t="shared" si="72"/>
        <v>12.63895735443311</v>
      </c>
      <c r="AW46" s="260">
        <f t="shared" si="72"/>
        <v>12.940404355224983</v>
      </c>
      <c r="AX46" s="260">
        <f t="shared" si="72"/>
        <v>14.105991836960072</v>
      </c>
      <c r="AY46" s="260">
        <f t="shared" si="72"/>
        <v>12.52847174317175</v>
      </c>
      <c r="AZ46" s="260">
        <f t="shared" si="72"/>
        <v>12.910359892258231</v>
      </c>
      <c r="BA46" s="260">
        <f t="shared" si="72"/>
        <v>12.843546008512359</v>
      </c>
      <c r="BB46" s="519">
        <f t="shared" si="60"/>
        <v>12.700136486473761</v>
      </c>
      <c r="BC46" s="260">
        <f t="shared" ref="BC46:BN46" si="73">+AVERAGE(BC41:BC45)</f>
        <v>11.752334350920208</v>
      </c>
      <c r="BD46" s="260">
        <f t="shared" si="73"/>
        <v>11.752334350920208</v>
      </c>
      <c r="BE46" s="260">
        <f t="shared" si="73"/>
        <v>11.752334350920208</v>
      </c>
      <c r="BF46" s="260">
        <f t="shared" si="73"/>
        <v>11.752334350920208</v>
      </c>
      <c r="BG46" s="260">
        <f t="shared" si="73"/>
        <v>11.752334350920208</v>
      </c>
      <c r="BH46" s="260">
        <f t="shared" si="73"/>
        <v>11.752334350920208</v>
      </c>
      <c r="BI46" s="260">
        <f t="shared" si="73"/>
        <v>11.752334350920208</v>
      </c>
      <c r="BJ46" s="260">
        <f t="shared" si="73"/>
        <v>11.752334350920208</v>
      </c>
      <c r="BK46" s="260">
        <f t="shared" si="73"/>
        <v>11.752334350920208</v>
      </c>
      <c r="BL46" s="260">
        <f t="shared" si="73"/>
        <v>11.752334350920208</v>
      </c>
      <c r="BM46" s="260">
        <f t="shared" si="73"/>
        <v>11.752334350920208</v>
      </c>
      <c r="BN46" s="260">
        <f t="shared" si="73"/>
        <v>11.752334350920208</v>
      </c>
      <c r="BO46" s="261">
        <f t="shared" si="62"/>
        <v>11.752334350920208</v>
      </c>
      <c r="BP46" s="260">
        <f t="shared" ref="BP46:CA46" si="74">+AVERAGE(BP41:BP45)</f>
        <v>11.752334350920208</v>
      </c>
      <c r="BQ46" s="260">
        <f t="shared" si="74"/>
        <v>11.752334350920208</v>
      </c>
      <c r="BR46" s="260">
        <f t="shared" si="74"/>
        <v>11.752334350920208</v>
      </c>
      <c r="BS46" s="260">
        <f t="shared" si="74"/>
        <v>11.752334350920208</v>
      </c>
      <c r="BT46" s="260">
        <f t="shared" si="74"/>
        <v>11.752334350920208</v>
      </c>
      <c r="BU46" s="260">
        <f t="shared" si="74"/>
        <v>11.752334350920208</v>
      </c>
      <c r="BV46" s="260">
        <f t="shared" si="74"/>
        <v>11.752334350920208</v>
      </c>
      <c r="BW46" s="260">
        <f t="shared" si="74"/>
        <v>11.752334350920208</v>
      </c>
      <c r="BX46" s="260">
        <f t="shared" si="74"/>
        <v>11.752334350920208</v>
      </c>
      <c r="BY46" s="260">
        <f t="shared" si="74"/>
        <v>11.752334350920208</v>
      </c>
      <c r="BZ46" s="260">
        <f t="shared" si="74"/>
        <v>11.752334350920208</v>
      </c>
      <c r="CA46" s="260">
        <f t="shared" si="74"/>
        <v>11.752334350920208</v>
      </c>
      <c r="CB46" s="261">
        <f t="shared" si="64"/>
        <v>11.752334350920208</v>
      </c>
      <c r="CO46" s="267"/>
    </row>
    <row r="47" spans="1:93" x14ac:dyDescent="0.25">
      <c r="BB47" s="520"/>
    </row>
    <row r="48" spans="1:93" ht="15.75" thickBot="1" x14ac:dyDescent="0.3">
      <c r="BB48" s="520"/>
    </row>
    <row r="49" spans="1:80" x14ac:dyDescent="0.25">
      <c r="A49" s="752" t="s">
        <v>132</v>
      </c>
      <c r="B49" s="200" t="s">
        <v>2</v>
      </c>
      <c r="C49" s="201">
        <f t="shared" ref="C49:N49" si="75">SUM(C7:C8)/C41</f>
        <v>7861.6813755379462</v>
      </c>
      <c r="D49" s="201">
        <f t="shared" si="75"/>
        <v>1850.8805321936534</v>
      </c>
      <c r="E49" s="201">
        <f t="shared" si="75"/>
        <v>15291.869481555032</v>
      </c>
      <c r="F49" s="201">
        <f t="shared" si="75"/>
        <v>5097.4831691621421</v>
      </c>
      <c r="G49" s="201">
        <f t="shared" si="75"/>
        <v>10431.701398555733</v>
      </c>
      <c r="H49" s="201">
        <f t="shared" si="75"/>
        <v>11774.106959149556</v>
      </c>
      <c r="I49" s="201">
        <f t="shared" si="75"/>
        <v>24351.975214168906</v>
      </c>
      <c r="J49" s="201">
        <f t="shared" si="75"/>
        <v>40554.294896277439</v>
      </c>
      <c r="K49" s="201">
        <f t="shared" si="75"/>
        <v>36123.671902006106</v>
      </c>
      <c r="L49" s="201">
        <f t="shared" si="75"/>
        <v>27511.796356333012</v>
      </c>
      <c r="M49" s="201">
        <f t="shared" si="75"/>
        <v>29379.674080026016</v>
      </c>
      <c r="N49" s="201">
        <f t="shared" si="75"/>
        <v>22671.916398097452</v>
      </c>
      <c r="O49" s="247">
        <f>+SUM(C49:N49)</f>
        <v>232901.05176306298</v>
      </c>
      <c r="P49" s="201">
        <f t="shared" ref="P49:AA49" si="76">SUM(P7:P8)/P41</f>
        <v>15166.444925141383</v>
      </c>
      <c r="Q49" s="201">
        <f t="shared" si="76"/>
        <v>6381.1370635219628</v>
      </c>
      <c r="R49" s="201">
        <f t="shared" si="76"/>
        <v>10003.045913407761</v>
      </c>
      <c r="S49" s="201">
        <f t="shared" si="76"/>
        <v>3048.4196973020403</v>
      </c>
      <c r="T49" s="201">
        <f t="shared" si="76"/>
        <v>31077.566308072252</v>
      </c>
      <c r="U49" s="201">
        <f t="shared" si="76"/>
        <v>43550.265971432251</v>
      </c>
      <c r="V49" s="201">
        <f t="shared" si="76"/>
        <v>32632.068482436614</v>
      </c>
      <c r="W49" s="201">
        <f t="shared" si="76"/>
        <v>35687.466015548147</v>
      </c>
      <c r="X49" s="201">
        <f t="shared" si="76"/>
        <v>30867.443684150643</v>
      </c>
      <c r="Y49" s="201">
        <f t="shared" si="76"/>
        <v>27443.868991365776</v>
      </c>
      <c r="Z49" s="201">
        <f t="shared" si="76"/>
        <v>28251.164700612793</v>
      </c>
      <c r="AA49" s="201">
        <f t="shared" si="76"/>
        <v>22060.206815666235</v>
      </c>
      <c r="AB49" s="247">
        <f>+SUM(P49:AA49)</f>
        <v>286169.09856865782</v>
      </c>
      <c r="AC49" s="201">
        <f t="shared" ref="AC49:AN49" si="77">SUM(AC7:AC8)/AC41</f>
        <v>19115.039310413129</v>
      </c>
      <c r="AD49" s="201">
        <f t="shared" si="77"/>
        <v>17462.930975162362</v>
      </c>
      <c r="AE49" s="201">
        <f t="shared" si="77"/>
        <v>5155.0924388913127</v>
      </c>
      <c r="AF49" s="201">
        <f t="shared" si="77"/>
        <v>11592.557504583143</v>
      </c>
      <c r="AG49" s="201">
        <f t="shared" si="77"/>
        <v>29856.01647912621</v>
      </c>
      <c r="AH49" s="201">
        <f t="shared" si="77"/>
        <v>31578.855536600076</v>
      </c>
      <c r="AI49" s="201">
        <f t="shared" si="77"/>
        <v>39531.406121090942</v>
      </c>
      <c r="AJ49" s="201">
        <f t="shared" si="77"/>
        <v>24900.680859496646</v>
      </c>
      <c r="AK49" s="201">
        <f t="shared" si="77"/>
        <v>39908.675517419164</v>
      </c>
      <c r="AL49" s="201">
        <f t="shared" si="77"/>
        <v>33995.441884969165</v>
      </c>
      <c r="AM49" s="201">
        <f t="shared" si="77"/>
        <v>26221.53160498073</v>
      </c>
      <c r="AN49" s="272">
        <f t="shared" si="77"/>
        <v>25632.559512731848</v>
      </c>
      <c r="AO49" s="247">
        <f>+SUM(AC49:AN49)</f>
        <v>304950.78774546471</v>
      </c>
      <c r="AP49" s="201">
        <f t="shared" ref="AP49:BA49" si="78">SUM(AP7:AP8)/AP41</f>
        <v>19553.665540168025</v>
      </c>
      <c r="AQ49" s="201">
        <f t="shared" si="78"/>
        <v>11234.331946561084</v>
      </c>
      <c r="AR49" s="201">
        <f t="shared" si="78"/>
        <v>5854.7402894488423</v>
      </c>
      <c r="AS49" s="201">
        <f t="shared" si="78"/>
        <v>6025.0883924436221</v>
      </c>
      <c r="AT49" s="201">
        <f t="shared" si="78"/>
        <v>6983.0180398575158</v>
      </c>
      <c r="AU49" s="201">
        <f t="shared" si="78"/>
        <v>23008.434048708223</v>
      </c>
      <c r="AV49" s="481">
        <f t="shared" si="78"/>
        <v>35481.408428680807</v>
      </c>
      <c r="AW49" s="481">
        <f t="shared" si="78"/>
        <v>44995.802678171051</v>
      </c>
      <c r="AX49" s="481">
        <f t="shared" si="78"/>
        <v>33023.773442299607</v>
      </c>
      <c r="AY49" s="481">
        <f t="shared" si="78"/>
        <v>40787.724547569589</v>
      </c>
      <c r="AZ49" s="481">
        <f t="shared" si="78"/>
        <v>31914.939962896246</v>
      </c>
      <c r="BA49" s="481">
        <f t="shared" si="78"/>
        <v>20967.555966282413</v>
      </c>
      <c r="BB49" s="514">
        <f>+SUM(AP49:BA49)</f>
        <v>279830.48328308703</v>
      </c>
      <c r="BC49" s="481">
        <f t="shared" ref="BC49:BN49" si="79">SUM(BC7:BC8)/BC41</f>
        <v>11429.152155492804</v>
      </c>
      <c r="BD49" s="481">
        <f t="shared" si="79"/>
        <v>2338.2474215400775</v>
      </c>
      <c r="BE49" s="481">
        <f t="shared" si="79"/>
        <v>2421.3505193432484</v>
      </c>
      <c r="BF49" s="481">
        <f t="shared" si="79"/>
        <v>8342.0681248557084</v>
      </c>
      <c r="BG49" s="481">
        <f t="shared" si="79"/>
        <v>23676.437995353634</v>
      </c>
      <c r="BH49" s="481">
        <f t="shared" si="79"/>
        <v>23113.136084252586</v>
      </c>
      <c r="BI49" s="481">
        <f t="shared" si="79"/>
        <v>26920.3113406884</v>
      </c>
      <c r="BJ49" s="481">
        <f t="shared" si="79"/>
        <v>21124.976259343406</v>
      </c>
      <c r="BK49" s="481">
        <f t="shared" si="79"/>
        <v>32279.563982054729</v>
      </c>
      <c r="BL49" s="481">
        <f t="shared" si="79"/>
        <v>25438.984359047179</v>
      </c>
      <c r="BM49" s="481">
        <f t="shared" si="79"/>
        <v>41721.053683069789</v>
      </c>
      <c r="BN49" s="481">
        <f t="shared" si="79"/>
        <v>29001.012026405075</v>
      </c>
      <c r="BO49" s="247">
        <f>+SUM(BC49:BN49)</f>
        <v>247806.29395144666</v>
      </c>
      <c r="BP49" s="481">
        <f t="shared" ref="BP49:CA49" si="80">SUM(BP7:BP8)/BP41</f>
        <v>43003.101671870019</v>
      </c>
      <c r="BQ49" s="481">
        <f t="shared" si="80"/>
        <v>22607.828890996541</v>
      </c>
      <c r="BR49" s="481">
        <f t="shared" si="80"/>
        <v>8765.4780942259713</v>
      </c>
      <c r="BS49" s="481">
        <f t="shared" si="80"/>
        <v>15408.339745558684</v>
      </c>
      <c r="BT49" s="481">
        <f t="shared" si="80"/>
        <v>23676.437995353634</v>
      </c>
      <c r="BU49" s="481">
        <f t="shared" si="80"/>
        <v>23113.136084252586</v>
      </c>
      <c r="BV49" s="481">
        <f t="shared" si="80"/>
        <v>26920.3113406884</v>
      </c>
      <c r="BW49" s="481">
        <f t="shared" si="80"/>
        <v>21124.976259343406</v>
      </c>
      <c r="BX49" s="481">
        <f t="shared" si="80"/>
        <v>32279.563982054729</v>
      </c>
      <c r="BY49" s="481">
        <f t="shared" si="80"/>
        <v>25438.984359047179</v>
      </c>
      <c r="BZ49" s="481">
        <f t="shared" si="80"/>
        <v>41721.053683069789</v>
      </c>
      <c r="CA49" s="481">
        <f t="shared" si="80"/>
        <v>29001.012026405075</v>
      </c>
      <c r="CB49" s="247">
        <f>+SUM(BP49:CA49)</f>
        <v>313060.22413286602</v>
      </c>
    </row>
    <row r="50" spans="1:80" x14ac:dyDescent="0.25">
      <c r="A50" s="753"/>
      <c r="B50" s="228" t="s">
        <v>133</v>
      </c>
      <c r="C50" s="248">
        <f t="shared" ref="C50:N50" si="81">SUM(C13:C15)/C42</f>
        <v>0</v>
      </c>
      <c r="D50" s="248">
        <f t="shared" si="81"/>
        <v>0</v>
      </c>
      <c r="E50" s="248">
        <f t="shared" si="81"/>
        <v>0</v>
      </c>
      <c r="F50" s="248">
        <f t="shared" si="81"/>
        <v>0</v>
      </c>
      <c r="G50" s="248">
        <f t="shared" si="81"/>
        <v>0</v>
      </c>
      <c r="H50" s="248">
        <f t="shared" si="81"/>
        <v>0</v>
      </c>
      <c r="I50" s="248">
        <f t="shared" si="81"/>
        <v>0</v>
      </c>
      <c r="J50" s="248">
        <f t="shared" si="81"/>
        <v>0</v>
      </c>
      <c r="K50" s="248">
        <f t="shared" si="81"/>
        <v>0</v>
      </c>
      <c r="L50" s="248">
        <f t="shared" si="81"/>
        <v>0</v>
      </c>
      <c r="M50" s="248">
        <f t="shared" si="81"/>
        <v>0</v>
      </c>
      <c r="N50" s="248">
        <f t="shared" si="81"/>
        <v>0</v>
      </c>
      <c r="O50" s="251">
        <f>+SUM(C50:N50)</f>
        <v>0</v>
      </c>
      <c r="P50" s="248">
        <f t="shared" ref="P50:AA50" si="82">SUM(P13:P15)/P42</f>
        <v>0</v>
      </c>
      <c r="Q50" s="248">
        <f t="shared" si="82"/>
        <v>0</v>
      </c>
      <c r="R50" s="248">
        <f t="shared" si="82"/>
        <v>0</v>
      </c>
      <c r="S50" s="248">
        <f t="shared" si="82"/>
        <v>0</v>
      </c>
      <c r="T50" s="248">
        <f t="shared" si="82"/>
        <v>0</v>
      </c>
      <c r="U50" s="248">
        <f t="shared" si="82"/>
        <v>0</v>
      </c>
      <c r="V50" s="248">
        <f t="shared" si="82"/>
        <v>0</v>
      </c>
      <c r="W50" s="248">
        <f t="shared" si="82"/>
        <v>0</v>
      </c>
      <c r="X50" s="248">
        <f t="shared" si="82"/>
        <v>0</v>
      </c>
      <c r="Y50" s="248">
        <f t="shared" si="82"/>
        <v>0</v>
      </c>
      <c r="Z50" s="248">
        <f t="shared" si="82"/>
        <v>0</v>
      </c>
      <c r="AA50" s="248">
        <f t="shared" si="82"/>
        <v>0</v>
      </c>
      <c r="AB50" s="251">
        <f>+SUM(P50:AA50)</f>
        <v>0</v>
      </c>
      <c r="AC50" s="248">
        <f t="shared" ref="AC50:AN50" si="83">SUM(AC13:AC15)/AC42</f>
        <v>0</v>
      </c>
      <c r="AD50" s="248">
        <f t="shared" si="83"/>
        <v>0</v>
      </c>
      <c r="AE50" s="248">
        <f t="shared" si="83"/>
        <v>0</v>
      </c>
      <c r="AF50" s="248">
        <f t="shared" si="83"/>
        <v>0</v>
      </c>
      <c r="AG50" s="248">
        <f t="shared" si="83"/>
        <v>4098.8939093037961</v>
      </c>
      <c r="AH50" s="248">
        <f t="shared" si="83"/>
        <v>11004.306068437976</v>
      </c>
      <c r="AI50" s="248">
        <f t="shared" si="83"/>
        <v>10534.311572090694</v>
      </c>
      <c r="AJ50" s="248">
        <f t="shared" si="83"/>
        <v>11920.627411827583</v>
      </c>
      <c r="AK50" s="248">
        <f t="shared" si="83"/>
        <v>11766.073021107964</v>
      </c>
      <c r="AL50" s="248">
        <f t="shared" si="83"/>
        <v>12520.085574973393</v>
      </c>
      <c r="AM50" s="248">
        <f t="shared" si="83"/>
        <v>12391.66497263507</v>
      </c>
      <c r="AN50" s="275">
        <f t="shared" si="83"/>
        <v>13947.107553918369</v>
      </c>
      <c r="AO50" s="251">
        <f>+SUM(AC50:AN50)</f>
        <v>88183.070084294843</v>
      </c>
      <c r="AP50" s="248">
        <f t="shared" ref="AP50:BA50" si="84">SUM(AP13:AP15)/AP42</f>
        <v>22802.152104294022</v>
      </c>
      <c r="AQ50" s="248">
        <f t="shared" si="84"/>
        <v>24640.556738914347</v>
      </c>
      <c r="AR50" s="248">
        <f t="shared" si="84"/>
        <v>23074.16360338288</v>
      </c>
      <c r="AS50" s="248">
        <f t="shared" si="84"/>
        <v>21980.729466669662</v>
      </c>
      <c r="AT50" s="248">
        <f t="shared" si="84"/>
        <v>10496.786364959089</v>
      </c>
      <c r="AU50" s="248">
        <f t="shared" si="84"/>
        <v>11441.987044918624</v>
      </c>
      <c r="AV50" s="508">
        <f t="shared" si="84"/>
        <v>39895.909619256803</v>
      </c>
      <c r="AW50" s="508">
        <f t="shared" si="84"/>
        <v>41392.881335386381</v>
      </c>
      <c r="AX50" s="508">
        <f t="shared" si="84"/>
        <v>35701.137332096703</v>
      </c>
      <c r="AY50" s="508">
        <f t="shared" si="84"/>
        <v>35415.420286658693</v>
      </c>
      <c r="AZ50" s="508">
        <f t="shared" si="84"/>
        <v>40374.874891112297</v>
      </c>
      <c r="BA50" s="508">
        <f t="shared" si="84"/>
        <v>41236.474133875337</v>
      </c>
      <c r="BB50" s="515">
        <f>+SUM(AP50:BA50)</f>
        <v>348453.07292152487</v>
      </c>
      <c r="BC50" s="508">
        <f t="shared" ref="BC50:BN50" si="85">SUM(BC13:BC15)/BC42</f>
        <v>36814.970317961648</v>
      </c>
      <c r="BD50" s="508">
        <f t="shared" si="85"/>
        <v>26569.20265098277</v>
      </c>
      <c r="BE50" s="508">
        <f t="shared" si="85"/>
        <v>18729.974643488658</v>
      </c>
      <c r="BF50" s="508">
        <f t="shared" si="85"/>
        <v>25097.004077282752</v>
      </c>
      <c r="BG50" s="508">
        <f t="shared" si="85"/>
        <v>40119.810462092595</v>
      </c>
      <c r="BH50" s="508">
        <f t="shared" si="85"/>
        <v>36924.945512803919</v>
      </c>
      <c r="BI50" s="508">
        <f t="shared" si="85"/>
        <v>39754.00933981414</v>
      </c>
      <c r="BJ50" s="508">
        <f t="shared" si="85"/>
        <v>41377.310837938494</v>
      </c>
      <c r="BK50" s="508">
        <f t="shared" si="85"/>
        <v>49423.725818579092</v>
      </c>
      <c r="BL50" s="508">
        <f t="shared" si="85"/>
        <v>44465.458332240058</v>
      </c>
      <c r="BM50" s="508">
        <f t="shared" si="85"/>
        <v>55267.567321869697</v>
      </c>
      <c r="BN50" s="508">
        <f t="shared" si="85"/>
        <v>44005.522361108931</v>
      </c>
      <c r="BO50" s="251">
        <f>+SUM(BC50:BN50)</f>
        <v>458549.50167616276</v>
      </c>
      <c r="BP50" s="508">
        <f t="shared" ref="BP50:CA50" si="86">SUM(BP13:BP15)/BP42</f>
        <v>57411.567614239226</v>
      </c>
      <c r="BQ50" s="508">
        <f t="shared" si="86"/>
        <v>38357.987765392871</v>
      </c>
      <c r="BR50" s="508">
        <f t="shared" si="86"/>
        <v>27096.499869187315</v>
      </c>
      <c r="BS50" s="508">
        <f t="shared" si="86"/>
        <v>30289.874512722119</v>
      </c>
      <c r="BT50" s="508">
        <f t="shared" si="86"/>
        <v>40119.810462092595</v>
      </c>
      <c r="BU50" s="508">
        <f t="shared" si="86"/>
        <v>36924.945512803919</v>
      </c>
      <c r="BV50" s="508">
        <f t="shared" si="86"/>
        <v>39754.00933981414</v>
      </c>
      <c r="BW50" s="508">
        <f t="shared" si="86"/>
        <v>41377.310837938494</v>
      </c>
      <c r="BX50" s="508">
        <f t="shared" si="86"/>
        <v>49423.725818579092</v>
      </c>
      <c r="BY50" s="508">
        <f t="shared" si="86"/>
        <v>44465.458332240058</v>
      </c>
      <c r="BZ50" s="508">
        <f t="shared" si="86"/>
        <v>55267.567321869697</v>
      </c>
      <c r="CA50" s="508">
        <f t="shared" si="86"/>
        <v>44005.522361108931</v>
      </c>
      <c r="CB50" s="251">
        <f>+SUM(BP50:CA50)</f>
        <v>504494.2797479885</v>
      </c>
    </row>
    <row r="51" spans="1:80" x14ac:dyDescent="0.25">
      <c r="A51" s="753"/>
      <c r="B51" s="217" t="s">
        <v>40</v>
      </c>
      <c r="C51" s="252">
        <f t="shared" ref="C51:N51" si="87">SUM(C20)/C43</f>
        <v>0</v>
      </c>
      <c r="D51" s="253">
        <f t="shared" si="87"/>
        <v>0</v>
      </c>
      <c r="E51" s="253">
        <f t="shared" si="87"/>
        <v>0</v>
      </c>
      <c r="F51" s="253">
        <f t="shared" si="87"/>
        <v>0</v>
      </c>
      <c r="G51" s="253">
        <f t="shared" si="87"/>
        <v>0</v>
      </c>
      <c r="H51" s="253">
        <f t="shared" si="87"/>
        <v>0</v>
      </c>
      <c r="I51" s="253">
        <f t="shared" si="87"/>
        <v>0</v>
      </c>
      <c r="J51" s="253">
        <f t="shared" si="87"/>
        <v>0</v>
      </c>
      <c r="K51" s="253">
        <f t="shared" si="87"/>
        <v>0</v>
      </c>
      <c r="L51" s="253">
        <f t="shared" si="87"/>
        <v>0</v>
      </c>
      <c r="M51" s="253">
        <f t="shared" si="87"/>
        <v>0</v>
      </c>
      <c r="N51" s="254">
        <f t="shared" si="87"/>
        <v>0</v>
      </c>
      <c r="O51" s="255"/>
      <c r="P51" s="252">
        <f t="shared" ref="P51:AA51" si="88">SUM(P20)/P43</f>
        <v>0</v>
      </c>
      <c r="Q51" s="253">
        <f t="shared" si="88"/>
        <v>0</v>
      </c>
      <c r="R51" s="253">
        <f t="shared" si="88"/>
        <v>0</v>
      </c>
      <c r="S51" s="253">
        <f t="shared" si="88"/>
        <v>0</v>
      </c>
      <c r="T51" s="253">
        <f t="shared" si="88"/>
        <v>0</v>
      </c>
      <c r="U51" s="253">
        <f t="shared" si="88"/>
        <v>0</v>
      </c>
      <c r="V51" s="253">
        <f t="shared" si="88"/>
        <v>0</v>
      </c>
      <c r="W51" s="253">
        <f t="shared" si="88"/>
        <v>0</v>
      </c>
      <c r="X51" s="253">
        <f t="shared" si="88"/>
        <v>0</v>
      </c>
      <c r="Y51" s="253">
        <f t="shared" si="88"/>
        <v>0</v>
      </c>
      <c r="Z51" s="253">
        <f t="shared" si="88"/>
        <v>0</v>
      </c>
      <c r="AA51" s="254">
        <f t="shared" si="88"/>
        <v>0</v>
      </c>
      <c r="AB51" s="255"/>
      <c r="AC51" s="252">
        <f t="shared" ref="AC51:AN51" si="89">SUM(AC20)/AC43</f>
        <v>0</v>
      </c>
      <c r="AD51" s="253">
        <f t="shared" si="89"/>
        <v>0</v>
      </c>
      <c r="AE51" s="253">
        <f t="shared" si="89"/>
        <v>0</v>
      </c>
      <c r="AF51" s="253">
        <f t="shared" si="89"/>
        <v>0</v>
      </c>
      <c r="AG51" s="253">
        <f t="shared" si="89"/>
        <v>0</v>
      </c>
      <c r="AH51" s="253">
        <f t="shared" si="89"/>
        <v>0</v>
      </c>
      <c r="AI51" s="253">
        <f t="shared" si="89"/>
        <v>0</v>
      </c>
      <c r="AJ51" s="253">
        <f t="shared" si="89"/>
        <v>0</v>
      </c>
      <c r="AK51" s="253">
        <f t="shared" si="89"/>
        <v>0</v>
      </c>
      <c r="AL51" s="253">
        <f t="shared" si="89"/>
        <v>0</v>
      </c>
      <c r="AM51" s="253">
        <f t="shared" si="89"/>
        <v>0</v>
      </c>
      <c r="AN51" s="254">
        <f t="shared" si="89"/>
        <v>0</v>
      </c>
      <c r="AO51" s="255"/>
      <c r="AP51" s="253">
        <f t="shared" ref="AP51:BA51" si="90">SUM(AP20)/AP43</f>
        <v>143.74288161315042</v>
      </c>
      <c r="AQ51" s="253">
        <f t="shared" si="90"/>
        <v>142.51568009002824</v>
      </c>
      <c r="AR51" s="253">
        <f t="shared" si="90"/>
        <v>142.45362450550624</v>
      </c>
      <c r="AS51" s="253">
        <f t="shared" si="90"/>
        <v>132.39486301758046</v>
      </c>
      <c r="AT51" s="253">
        <f t="shared" si="90"/>
        <v>130.54762484659457</v>
      </c>
      <c r="AU51" s="253">
        <f t="shared" si="90"/>
        <v>129.39859450605996</v>
      </c>
      <c r="AV51" s="509">
        <f t="shared" si="90"/>
        <v>134.68514966861693</v>
      </c>
      <c r="AW51" s="509">
        <f t="shared" si="90"/>
        <v>135.20561115484088</v>
      </c>
      <c r="AX51" s="509">
        <f t="shared" si="90"/>
        <v>134.16811645659507</v>
      </c>
      <c r="AY51" s="509">
        <f t="shared" si="90"/>
        <v>133.83934689507495</v>
      </c>
      <c r="AZ51" s="509">
        <f t="shared" si="90"/>
        <v>134.80371160019442</v>
      </c>
      <c r="BA51" s="510">
        <f t="shared" si="90"/>
        <v>99.176655132641301</v>
      </c>
      <c r="BB51" s="516">
        <f>+SUM(AP51:BA51)</f>
        <v>1592.9318594868835</v>
      </c>
      <c r="BC51" s="511">
        <f t="shared" ref="BC51:BN51" si="91">SUM(BC20)/BC43</f>
        <v>103.0492271795521</v>
      </c>
      <c r="BD51" s="509">
        <f t="shared" si="91"/>
        <v>103.0492271795521</v>
      </c>
      <c r="BE51" s="509">
        <f t="shared" si="91"/>
        <v>103.0492271795521</v>
      </c>
      <c r="BF51" s="509">
        <f t="shared" si="91"/>
        <v>103.0492271795521</v>
      </c>
      <c r="BG51" s="509">
        <f t="shared" si="91"/>
        <v>140.52167342666198</v>
      </c>
      <c r="BH51" s="509">
        <f t="shared" si="91"/>
        <v>140.52167342666198</v>
      </c>
      <c r="BI51" s="509">
        <f t="shared" si="91"/>
        <v>140.52167342666198</v>
      </c>
      <c r="BJ51" s="509">
        <f t="shared" si="91"/>
        <v>140.52167342666198</v>
      </c>
      <c r="BK51" s="509">
        <f t="shared" si="91"/>
        <v>140.52167342666198</v>
      </c>
      <c r="BL51" s="509">
        <f t="shared" si="91"/>
        <v>140.52167342666198</v>
      </c>
      <c r="BM51" s="509">
        <f t="shared" si="91"/>
        <v>140.52167342666198</v>
      </c>
      <c r="BN51" s="510">
        <f t="shared" si="91"/>
        <v>140.52167342666198</v>
      </c>
      <c r="BO51" s="255">
        <f>+SUM(BC51:BN51)</f>
        <v>1536.3702961315041</v>
      </c>
      <c r="BP51" s="511">
        <f t="shared" ref="BP51:CA51" si="92">SUM(BP20)/BP43</f>
        <v>140.52167342666198</v>
      </c>
      <c r="BQ51" s="509">
        <f t="shared" si="92"/>
        <v>140.52167342666198</v>
      </c>
      <c r="BR51" s="509">
        <f t="shared" si="92"/>
        <v>140.52167342666198</v>
      </c>
      <c r="BS51" s="509">
        <f t="shared" si="92"/>
        <v>140.52167342666198</v>
      </c>
      <c r="BT51" s="509">
        <f t="shared" si="92"/>
        <v>140.52167342666198</v>
      </c>
      <c r="BU51" s="509">
        <f t="shared" si="92"/>
        <v>140.52167342666198</v>
      </c>
      <c r="BV51" s="509">
        <f t="shared" si="92"/>
        <v>140.52167342666198</v>
      </c>
      <c r="BW51" s="509">
        <f t="shared" si="92"/>
        <v>140.52167342666198</v>
      </c>
      <c r="BX51" s="509">
        <f t="shared" si="92"/>
        <v>140.52167342666198</v>
      </c>
      <c r="BY51" s="509">
        <f t="shared" si="92"/>
        <v>140.52167342666198</v>
      </c>
      <c r="BZ51" s="509">
        <f t="shared" si="92"/>
        <v>140.52167342666198</v>
      </c>
      <c r="CA51" s="510">
        <f t="shared" si="92"/>
        <v>140.52167342666198</v>
      </c>
      <c r="CB51" s="255">
        <f>+SUM(BP51:CA51)</f>
        <v>1686.2600811199434</v>
      </c>
    </row>
    <row r="52" spans="1:80" ht="15.75" thickBot="1" x14ac:dyDescent="0.3">
      <c r="A52" s="753"/>
      <c r="B52" s="233" t="s">
        <v>134</v>
      </c>
      <c r="C52" s="256">
        <f t="shared" ref="C52:N52" si="93">IF(C44&lt;=0,0,SUM(C24:C26)/C44)</f>
        <v>0</v>
      </c>
      <c r="D52" s="256">
        <f t="shared" si="93"/>
        <v>558.05820998063837</v>
      </c>
      <c r="E52" s="256">
        <f t="shared" si="93"/>
        <v>1637.7557184278348</v>
      </c>
      <c r="F52" s="256">
        <f t="shared" si="93"/>
        <v>980.27611359657658</v>
      </c>
      <c r="G52" s="256">
        <f t="shared" si="93"/>
        <v>586.34332425068123</v>
      </c>
      <c r="H52" s="256">
        <f t="shared" si="93"/>
        <v>722.0494096680776</v>
      </c>
      <c r="I52" s="256">
        <f t="shared" si="93"/>
        <v>514.02147841711587</v>
      </c>
      <c r="J52" s="256">
        <f t="shared" si="93"/>
        <v>437.34038988107403</v>
      </c>
      <c r="K52" s="256">
        <f t="shared" si="93"/>
        <v>0</v>
      </c>
      <c r="L52" s="256">
        <f t="shared" si="93"/>
        <v>0</v>
      </c>
      <c r="M52" s="256">
        <f t="shared" si="93"/>
        <v>0</v>
      </c>
      <c r="N52" s="256">
        <f t="shared" si="93"/>
        <v>0</v>
      </c>
      <c r="O52" s="258">
        <f>+SUM(C52:N52)</f>
        <v>5435.8446442219984</v>
      </c>
      <c r="P52" s="256">
        <f t="shared" ref="P52:AA52" si="94">IF(P44&lt;=0,0,SUM(P24:P26)/P44)</f>
        <v>0</v>
      </c>
      <c r="Q52" s="256">
        <f t="shared" si="94"/>
        <v>0</v>
      </c>
      <c r="R52" s="256">
        <f t="shared" si="94"/>
        <v>1313.2404594221405</v>
      </c>
      <c r="S52" s="256">
        <f t="shared" si="94"/>
        <v>1370</v>
      </c>
      <c r="T52" s="256">
        <f t="shared" si="94"/>
        <v>1331.9552842643197</v>
      </c>
      <c r="U52" s="256">
        <f t="shared" si="94"/>
        <v>1164</v>
      </c>
      <c r="V52" s="256">
        <f t="shared" si="94"/>
        <v>1221.5</v>
      </c>
      <c r="W52" s="256">
        <f t="shared" si="94"/>
        <v>1864.5000000000002</v>
      </c>
      <c r="X52" s="256">
        <f t="shared" si="94"/>
        <v>1845</v>
      </c>
      <c r="Y52" s="256">
        <f t="shared" si="94"/>
        <v>1810.8566285998013</v>
      </c>
      <c r="Z52" s="256">
        <f t="shared" si="94"/>
        <v>1854.1827786292972</v>
      </c>
      <c r="AA52" s="256">
        <f t="shared" si="94"/>
        <v>1884.4704426480539</v>
      </c>
      <c r="AB52" s="258">
        <f>+SUM(P52:AA52)</f>
        <v>15659.705593563616</v>
      </c>
      <c r="AC52" s="256">
        <f t="shared" ref="AC52:AN52" si="95">IF(AC44&lt;=0,0,SUM(AC24:AC26)/AC44)</f>
        <v>1839</v>
      </c>
      <c r="AD52" s="256">
        <f t="shared" si="95"/>
        <v>118.24642632085171</v>
      </c>
      <c r="AE52" s="256">
        <f t="shared" si="95"/>
        <v>0</v>
      </c>
      <c r="AF52" s="256">
        <f t="shared" si="95"/>
        <v>0</v>
      </c>
      <c r="AG52" s="256">
        <f t="shared" si="95"/>
        <v>0</v>
      </c>
      <c r="AH52" s="256">
        <f t="shared" si="95"/>
        <v>5.0917427636113022</v>
      </c>
      <c r="AI52" s="256">
        <f t="shared" si="95"/>
        <v>33.142902362204723</v>
      </c>
      <c r="AJ52" s="256">
        <f t="shared" si="95"/>
        <v>52.482988653021344</v>
      </c>
      <c r="AK52" s="256">
        <f t="shared" si="95"/>
        <v>489.22017937219726</v>
      </c>
      <c r="AL52" s="256">
        <f t="shared" si="95"/>
        <v>626.72370759977593</v>
      </c>
      <c r="AM52" s="256">
        <f t="shared" si="95"/>
        <v>970.20158589045013</v>
      </c>
      <c r="AN52" s="257">
        <f t="shared" si="95"/>
        <v>1031.425350137102</v>
      </c>
      <c r="AO52" s="258">
        <f>+SUM(AC52:AN52)</f>
        <v>5165.5348830992152</v>
      </c>
      <c r="AP52" s="256">
        <f t="shared" ref="AP52:BA52" si="96">IF(AP44&lt;=0,0,SUM(AP24:AP26)/AP44)</f>
        <v>1098.6767809425169</v>
      </c>
      <c r="AQ52" s="256">
        <f t="shared" si="96"/>
        <v>866.73684210526324</v>
      </c>
      <c r="AR52" s="256">
        <f t="shared" si="96"/>
        <v>784.95294565828704</v>
      </c>
      <c r="AS52" s="256">
        <f t="shared" si="96"/>
        <v>756.21290370888039</v>
      </c>
      <c r="AT52" s="256">
        <f t="shared" si="96"/>
        <v>763.76798714689949</v>
      </c>
      <c r="AU52" s="256">
        <f t="shared" si="96"/>
        <v>747.79008170314069</v>
      </c>
      <c r="AV52" s="512">
        <f t="shared" si="96"/>
        <v>182.5768150720977</v>
      </c>
      <c r="AW52" s="512">
        <f t="shared" si="96"/>
        <v>139.58167819376965</v>
      </c>
      <c r="AX52" s="512">
        <f t="shared" si="96"/>
        <v>97.641804132973945</v>
      </c>
      <c r="AY52" s="512">
        <f t="shared" si="96"/>
        <v>362.00748000280663</v>
      </c>
      <c r="AZ52" s="512">
        <f t="shared" si="96"/>
        <v>590.42471727700399</v>
      </c>
      <c r="BA52" s="512">
        <f t="shared" si="96"/>
        <v>689.00875424261471</v>
      </c>
      <c r="BB52" s="517">
        <f>+SUM(AP52:BA52)</f>
        <v>7079.3787901862543</v>
      </c>
      <c r="BC52" s="512">
        <f t="shared" ref="BC52:BN52" si="97">IF(BC44&lt;=0,0,SUM(BC24:BC26)/BC44)</f>
        <v>798.53198368199378</v>
      </c>
      <c r="BD52" s="512">
        <f t="shared" si="97"/>
        <v>878.4472642060465</v>
      </c>
      <c r="BE52" s="512">
        <f t="shared" si="97"/>
        <v>940.75600468711457</v>
      </c>
      <c r="BF52" s="512">
        <f t="shared" si="97"/>
        <v>698.0248344388084</v>
      </c>
      <c r="BG52" s="512">
        <f t="shared" si="97"/>
        <v>817.60930818301722</v>
      </c>
      <c r="BH52" s="512">
        <f t="shared" si="97"/>
        <v>738.19921693142453</v>
      </c>
      <c r="BI52" s="512">
        <f t="shared" si="97"/>
        <v>808.85567216643165</v>
      </c>
      <c r="BJ52" s="512">
        <f t="shared" si="97"/>
        <v>801.57734086043729</v>
      </c>
      <c r="BK52" s="512">
        <f t="shared" si="97"/>
        <v>756.94758878437881</v>
      </c>
      <c r="BL52" s="512">
        <f t="shared" si="97"/>
        <v>765.03023551810998</v>
      </c>
      <c r="BM52" s="512">
        <f t="shared" si="97"/>
        <v>789.03123793361931</v>
      </c>
      <c r="BN52" s="512">
        <f t="shared" si="97"/>
        <v>845.31173289901346</v>
      </c>
      <c r="BO52" s="258">
        <f>+SUM(BC52:BN52)</f>
        <v>9638.3224202903966</v>
      </c>
      <c r="BP52" s="512">
        <f t="shared" ref="BP52:CA52" si="98">IF(BP44&lt;=0,0,SUM(BP24:BP26)/BP44)</f>
        <v>881.0324123026968</v>
      </c>
      <c r="BQ52" s="512">
        <f t="shared" si="98"/>
        <v>826.35478157549062</v>
      </c>
      <c r="BR52" s="512">
        <f t="shared" si="98"/>
        <v>876.44645287315666</v>
      </c>
      <c r="BS52" s="512">
        <f t="shared" si="98"/>
        <v>864.77722938015097</v>
      </c>
      <c r="BT52" s="512">
        <f t="shared" si="98"/>
        <v>854.57193428257585</v>
      </c>
      <c r="BU52" s="512">
        <f t="shared" si="98"/>
        <v>772.40917076081666</v>
      </c>
      <c r="BV52" s="512">
        <f t="shared" si="98"/>
        <v>847.31081411011405</v>
      </c>
      <c r="BW52" s="512">
        <f t="shared" si="98"/>
        <v>838.28003439328063</v>
      </c>
      <c r="BX52" s="512">
        <f t="shared" si="98"/>
        <v>789.80146532844356</v>
      </c>
      <c r="BY52" s="512">
        <f t="shared" si="98"/>
        <v>796.31829132245912</v>
      </c>
      <c r="BZ52" s="512">
        <f t="shared" si="98"/>
        <v>825.58063496092041</v>
      </c>
      <c r="CA52" s="512">
        <f t="shared" si="98"/>
        <v>889.11777146658926</v>
      </c>
      <c r="CB52" s="258">
        <f>+SUM(BP52:CA52)</f>
        <v>10062.000992756695</v>
      </c>
    </row>
    <row r="53" spans="1:80" ht="15.75" thickBot="1" x14ac:dyDescent="0.3">
      <c r="A53" s="754" t="s">
        <v>126</v>
      </c>
      <c r="B53" s="755"/>
      <c r="C53" s="260">
        <f t="shared" ref="C53:N53" si="99">+SUM(C49:C52)</f>
        <v>7861.6813755379462</v>
      </c>
      <c r="D53" s="260">
        <f t="shared" si="99"/>
        <v>2408.9387421742917</v>
      </c>
      <c r="E53" s="260">
        <f t="shared" si="99"/>
        <v>16929.625199982867</v>
      </c>
      <c r="F53" s="260">
        <f t="shared" si="99"/>
        <v>6077.7592827587187</v>
      </c>
      <c r="G53" s="260">
        <f t="shared" si="99"/>
        <v>11018.044722806415</v>
      </c>
      <c r="H53" s="260">
        <f t="shared" si="99"/>
        <v>12496.156368817634</v>
      </c>
      <c r="I53" s="260">
        <f t="shared" si="99"/>
        <v>24865.996692586021</v>
      </c>
      <c r="J53" s="260">
        <f t="shared" si="99"/>
        <v>40991.635286158511</v>
      </c>
      <c r="K53" s="260">
        <f t="shared" si="99"/>
        <v>36123.671902006106</v>
      </c>
      <c r="L53" s="260">
        <f t="shared" si="99"/>
        <v>27511.796356333012</v>
      </c>
      <c r="M53" s="260">
        <f t="shared" si="99"/>
        <v>29379.674080026016</v>
      </c>
      <c r="N53" s="260">
        <f t="shared" si="99"/>
        <v>22671.916398097452</v>
      </c>
      <c r="O53" s="261">
        <f>+SUM(C53:N53)</f>
        <v>238336.89640728498</v>
      </c>
      <c r="P53" s="260">
        <f t="shared" ref="P53:AA53" si="100">+SUM(P49:P52)</f>
        <v>15166.444925141383</v>
      </c>
      <c r="Q53" s="260">
        <f t="shared" si="100"/>
        <v>6381.1370635219628</v>
      </c>
      <c r="R53" s="260">
        <f t="shared" si="100"/>
        <v>11316.286372829902</v>
      </c>
      <c r="S53" s="260">
        <f t="shared" si="100"/>
        <v>4418.4196973020407</v>
      </c>
      <c r="T53" s="260">
        <f t="shared" si="100"/>
        <v>32409.521592336572</v>
      </c>
      <c r="U53" s="260">
        <f t="shared" si="100"/>
        <v>44714.265971432251</v>
      </c>
      <c r="V53" s="260">
        <f t="shared" si="100"/>
        <v>33853.568482436618</v>
      </c>
      <c r="W53" s="260">
        <f t="shared" si="100"/>
        <v>37551.966015548147</v>
      </c>
      <c r="X53" s="260">
        <f t="shared" si="100"/>
        <v>32712.443684150643</v>
      </c>
      <c r="Y53" s="260">
        <f t="shared" si="100"/>
        <v>29254.725619965579</v>
      </c>
      <c r="Z53" s="260">
        <f t="shared" si="100"/>
        <v>30105.347479242089</v>
      </c>
      <c r="AA53" s="260">
        <f t="shared" si="100"/>
        <v>23944.677258314288</v>
      </c>
      <c r="AB53" s="261">
        <f>+SUM(P53:AA53)</f>
        <v>301828.8041622215</v>
      </c>
      <c r="AC53" s="260">
        <f>+SUM(AC49:AC52)</f>
        <v>20954.039310413129</v>
      </c>
      <c r="AD53" s="260">
        <f t="shared" ref="AD53:AN53" si="101">+SUM(AD49:AD52)</f>
        <v>17581.177401483215</v>
      </c>
      <c r="AE53" s="260">
        <f t="shared" si="101"/>
        <v>5155.0924388913127</v>
      </c>
      <c r="AF53" s="260">
        <f t="shared" si="101"/>
        <v>11592.557504583143</v>
      </c>
      <c r="AG53" s="260">
        <f t="shared" si="101"/>
        <v>33954.910388430006</v>
      </c>
      <c r="AH53" s="260">
        <f t="shared" si="101"/>
        <v>42588.253347801663</v>
      </c>
      <c r="AI53" s="260">
        <f t="shared" si="101"/>
        <v>50098.86059554384</v>
      </c>
      <c r="AJ53" s="260">
        <f t="shared" si="101"/>
        <v>36873.791259977254</v>
      </c>
      <c r="AK53" s="260">
        <f t="shared" si="101"/>
        <v>52163.968717899326</v>
      </c>
      <c r="AL53" s="260">
        <f t="shared" si="101"/>
        <v>47142.251167542337</v>
      </c>
      <c r="AM53" s="260">
        <f t="shared" si="101"/>
        <v>39583.398163506252</v>
      </c>
      <c r="AN53" s="475">
        <f t="shared" si="101"/>
        <v>40611.092416787316</v>
      </c>
      <c r="AO53" s="476">
        <f>+SUM(AC53:AN53)</f>
        <v>398299.39271285885</v>
      </c>
      <c r="AP53" s="260">
        <f t="shared" ref="AP53:BA53" si="102">+SUM(AP49:AP52)</f>
        <v>43598.237307017713</v>
      </c>
      <c r="AQ53" s="260">
        <f t="shared" si="102"/>
        <v>36884.14120767072</v>
      </c>
      <c r="AR53" s="260">
        <f t="shared" si="102"/>
        <v>29856.310462995516</v>
      </c>
      <c r="AS53" s="260">
        <f t="shared" si="102"/>
        <v>28894.425625839744</v>
      </c>
      <c r="AT53" s="260">
        <f t="shared" si="102"/>
        <v>18374.120016810099</v>
      </c>
      <c r="AU53" s="260">
        <f t="shared" si="102"/>
        <v>35327.609769836054</v>
      </c>
      <c r="AV53" s="260">
        <f t="shared" si="102"/>
        <v>75694.580012678329</v>
      </c>
      <c r="AW53" s="260">
        <f t="shared" si="102"/>
        <v>86663.471302906051</v>
      </c>
      <c r="AX53" s="260">
        <f t="shared" si="102"/>
        <v>68956.720694985881</v>
      </c>
      <c r="AY53" s="260">
        <f t="shared" si="102"/>
        <v>76698.991661126172</v>
      </c>
      <c r="AZ53" s="260">
        <f t="shared" si="102"/>
        <v>73015.04328288573</v>
      </c>
      <c r="BA53" s="260">
        <f t="shared" si="102"/>
        <v>62992.215509533002</v>
      </c>
      <c r="BB53" s="519">
        <f>+SUM(AP53:BA53)</f>
        <v>636955.86685428489</v>
      </c>
      <c r="BC53" s="260">
        <f t="shared" ref="BC53:BN53" si="103">+SUM(BC49:BC52)</f>
        <v>49145.703684315995</v>
      </c>
      <c r="BD53" s="260">
        <f t="shared" si="103"/>
        <v>29888.946563908445</v>
      </c>
      <c r="BE53" s="260">
        <f t="shared" si="103"/>
        <v>22195.130394698572</v>
      </c>
      <c r="BF53" s="260">
        <f t="shared" si="103"/>
        <v>34240.146263756818</v>
      </c>
      <c r="BG53" s="260">
        <f t="shared" si="103"/>
        <v>64754.379439055912</v>
      </c>
      <c r="BH53" s="260">
        <f t="shared" si="103"/>
        <v>60916.802487414592</v>
      </c>
      <c r="BI53" s="260">
        <f t="shared" si="103"/>
        <v>67623.698026095633</v>
      </c>
      <c r="BJ53" s="260">
        <f t="shared" si="103"/>
        <v>63444.386111569002</v>
      </c>
      <c r="BK53" s="260">
        <f t="shared" si="103"/>
        <v>82600.759062844852</v>
      </c>
      <c r="BL53" s="260">
        <f t="shared" si="103"/>
        <v>70809.994600231992</v>
      </c>
      <c r="BM53" s="260">
        <f t="shared" si="103"/>
        <v>97918.173916299769</v>
      </c>
      <c r="BN53" s="260">
        <f t="shared" si="103"/>
        <v>73992.367793839687</v>
      </c>
      <c r="BO53" s="261">
        <f>+SUM(BC53:BN53)</f>
        <v>717530.48834403139</v>
      </c>
      <c r="BP53" s="260">
        <f t="shared" ref="BP53:CA53" si="104">+SUM(BP49:BP52)</f>
        <v>101436.2233718386</v>
      </c>
      <c r="BQ53" s="260">
        <f t="shared" si="104"/>
        <v>61932.693111391571</v>
      </c>
      <c r="BR53" s="260">
        <f t="shared" si="104"/>
        <v>36878.946089713107</v>
      </c>
      <c r="BS53" s="260">
        <f t="shared" si="104"/>
        <v>46703.51316108762</v>
      </c>
      <c r="BT53" s="260">
        <f t="shared" si="104"/>
        <v>64791.34206515547</v>
      </c>
      <c r="BU53" s="260">
        <f t="shared" si="104"/>
        <v>60951.012441243984</v>
      </c>
      <c r="BV53" s="260">
        <f t="shared" si="104"/>
        <v>67662.153168039309</v>
      </c>
      <c r="BW53" s="260">
        <f t="shared" si="104"/>
        <v>63481.088805101848</v>
      </c>
      <c r="BX53" s="260">
        <f t="shared" si="104"/>
        <v>82633.612939388928</v>
      </c>
      <c r="BY53" s="260">
        <f t="shared" si="104"/>
        <v>70841.282656036346</v>
      </c>
      <c r="BZ53" s="260">
        <f t="shared" si="104"/>
        <v>97954.723313327064</v>
      </c>
      <c r="CA53" s="260">
        <f t="shared" si="104"/>
        <v>74036.17383240725</v>
      </c>
      <c r="CB53" s="261">
        <f>+SUM(BP53:CA53)</f>
        <v>829302.76495473098</v>
      </c>
    </row>
    <row r="54" spans="1:80" x14ac:dyDescent="0.25">
      <c r="BB54" s="520">
        <f>BB50*2.4</f>
        <v>836287.37501165969</v>
      </c>
    </row>
    <row r="55" spans="1:80" ht="15.75" thickBot="1" x14ac:dyDescent="0.3">
      <c r="BB55" s="520"/>
    </row>
    <row r="56" spans="1:80" x14ac:dyDescent="0.25">
      <c r="A56" s="752" t="s">
        <v>135</v>
      </c>
      <c r="B56" s="200" t="s">
        <v>2</v>
      </c>
      <c r="C56" s="262">
        <f t="shared" ref="C56:AH56" si="105">+C6/SUM(C6:C8)</f>
        <v>0.90653282342035857</v>
      </c>
      <c r="D56" s="262">
        <f t="shared" si="105"/>
        <v>0.97708593909394936</v>
      </c>
      <c r="E56" s="262">
        <f t="shared" si="105"/>
        <v>0.84214008377014737</v>
      </c>
      <c r="F56" s="262">
        <f t="shared" si="105"/>
        <v>0.94614698484976034</v>
      </c>
      <c r="G56" s="262">
        <f t="shared" si="105"/>
        <v>0.89199426775147928</v>
      </c>
      <c r="H56" s="262">
        <f t="shared" si="105"/>
        <v>0.86627491389794009</v>
      </c>
      <c r="I56" s="262">
        <f t="shared" si="105"/>
        <v>0.70436936202857769</v>
      </c>
      <c r="J56" s="262">
        <f t="shared" si="105"/>
        <v>0.52316157606996894</v>
      </c>
      <c r="K56" s="262">
        <f t="shared" si="105"/>
        <v>0.54517751399638215</v>
      </c>
      <c r="L56" s="262">
        <f t="shared" si="105"/>
        <v>0.66423968157049162</v>
      </c>
      <c r="M56" s="262">
        <f t="shared" si="105"/>
        <v>0.64038542821613875</v>
      </c>
      <c r="N56" s="262">
        <f t="shared" si="105"/>
        <v>0.73517184279599068</v>
      </c>
      <c r="O56" s="262">
        <f t="shared" si="105"/>
        <v>0.78209200667388723</v>
      </c>
      <c r="P56" s="262">
        <f t="shared" si="105"/>
        <v>0.83476738343796464</v>
      </c>
      <c r="Q56" s="262">
        <f t="shared" si="105"/>
        <v>0.92567207282530795</v>
      </c>
      <c r="R56" s="262">
        <f t="shared" si="105"/>
        <v>0.90130493047092053</v>
      </c>
      <c r="S56" s="262">
        <f t="shared" si="105"/>
        <v>0.964173927755689</v>
      </c>
      <c r="T56" s="262">
        <f t="shared" si="105"/>
        <v>0.6097967790060973</v>
      </c>
      <c r="U56" s="262">
        <f t="shared" si="105"/>
        <v>0.42933742787799761</v>
      </c>
      <c r="V56" s="262">
        <f t="shared" si="105"/>
        <v>0.53987539520611205</v>
      </c>
      <c r="W56" s="262">
        <f t="shared" si="105"/>
        <v>0.47882843166857902</v>
      </c>
      <c r="X56" s="262">
        <f t="shared" si="105"/>
        <v>0.5413485856198007</v>
      </c>
      <c r="Y56" s="262">
        <f t="shared" si="105"/>
        <v>0.5968457125724097</v>
      </c>
      <c r="Z56" s="262">
        <f t="shared" si="105"/>
        <v>0.59205958568471295</v>
      </c>
      <c r="AA56" s="262">
        <f t="shared" si="105"/>
        <v>0.70766549579508908</v>
      </c>
      <c r="AB56" s="262">
        <f t="shared" si="105"/>
        <v>0.69300605303019513</v>
      </c>
      <c r="AC56" s="262">
        <f t="shared" si="105"/>
        <v>0.76839249980823665</v>
      </c>
      <c r="AD56" s="262">
        <f t="shared" si="105"/>
        <v>0.82284432808546015</v>
      </c>
      <c r="AE56" s="262">
        <f t="shared" si="105"/>
        <v>0.95031863143509065</v>
      </c>
      <c r="AF56" s="262">
        <f t="shared" si="105"/>
        <v>0.86208540052034843</v>
      </c>
      <c r="AG56" s="262">
        <f t="shared" si="105"/>
        <v>0.6960570557532697</v>
      </c>
      <c r="AH56" s="262">
        <f t="shared" si="105"/>
        <v>0.6416455901398459</v>
      </c>
      <c r="AI56" s="262">
        <f t="shared" ref="AI56:CB56" si="106">+AI6/SUM(AI6:AI8)</f>
        <v>0.56795052672013824</v>
      </c>
      <c r="AJ56" s="262">
        <f t="shared" si="106"/>
        <v>0.69246527675674618</v>
      </c>
      <c r="AK56" s="262">
        <f t="shared" si="106"/>
        <v>0.49640572727401988</v>
      </c>
      <c r="AL56" s="262">
        <f t="shared" si="106"/>
        <v>0.59687339172312848</v>
      </c>
      <c r="AM56" s="262">
        <f t="shared" si="106"/>
        <v>0.70360946724505447</v>
      </c>
      <c r="AN56" s="262">
        <f t="shared" si="106"/>
        <v>0.74144973370150968</v>
      </c>
      <c r="AO56" s="262">
        <f t="shared" si="106"/>
        <v>0.71884328826198607</v>
      </c>
      <c r="AP56" s="262">
        <f t="shared" si="106"/>
        <v>0.80660933417488256</v>
      </c>
      <c r="AQ56" s="262">
        <f t="shared" si="106"/>
        <v>0.88743981301317443</v>
      </c>
      <c r="AR56" s="262">
        <f t="shared" si="106"/>
        <v>0.94842444648281088</v>
      </c>
      <c r="AS56" s="262">
        <f t="shared" si="106"/>
        <v>0.94548669012550146</v>
      </c>
      <c r="AT56" s="262">
        <f t="shared" si="106"/>
        <v>0.93788290988663581</v>
      </c>
      <c r="AU56" s="262">
        <f t="shared" si="106"/>
        <v>0.79451697871728399</v>
      </c>
      <c r="AV56" s="504">
        <f t="shared" si="106"/>
        <v>0.67693778926313641</v>
      </c>
      <c r="AW56" s="504">
        <f t="shared" si="106"/>
        <v>0.55233759800488524</v>
      </c>
      <c r="AX56" s="504">
        <f t="shared" si="106"/>
        <v>0.65510697976554666</v>
      </c>
      <c r="AY56" s="504">
        <f t="shared" si="106"/>
        <v>0.60304970279705983</v>
      </c>
      <c r="AZ56" s="504">
        <f t="shared" si="106"/>
        <v>0.69035046228356356</v>
      </c>
      <c r="BA56" s="504">
        <f t="shared" si="106"/>
        <v>0.81549718514173031</v>
      </c>
      <c r="BB56" s="521">
        <f t="shared" si="106"/>
        <v>0.78493014494408819</v>
      </c>
      <c r="BC56" s="504">
        <f t="shared" si="106"/>
        <v>0.89662172443362409</v>
      </c>
      <c r="BD56" s="504">
        <f t="shared" si="106"/>
        <v>0.97490519317812718</v>
      </c>
      <c r="BE56" s="504">
        <f t="shared" si="106"/>
        <v>0.97956468073353098</v>
      </c>
      <c r="BF56" s="504">
        <f t="shared" si="106"/>
        <v>0.92524438927864217</v>
      </c>
      <c r="BG56" s="504">
        <f t="shared" si="106"/>
        <v>0.7940291289244672</v>
      </c>
      <c r="BH56" s="504">
        <f t="shared" si="106"/>
        <v>0.78475053820191909</v>
      </c>
      <c r="BI56" s="504">
        <f t="shared" si="106"/>
        <v>0.7376083675138474</v>
      </c>
      <c r="BJ56" s="504">
        <f t="shared" si="106"/>
        <v>0.77028156234312395</v>
      </c>
      <c r="BK56" s="504">
        <f t="shared" si="106"/>
        <v>0.6351874347838502</v>
      </c>
      <c r="BL56" s="504">
        <f t="shared" si="106"/>
        <v>0.7340431574910885</v>
      </c>
      <c r="BM56" s="504">
        <f t="shared" si="106"/>
        <v>0.58864037699396499</v>
      </c>
      <c r="BN56" s="504">
        <f t="shared" si="106"/>
        <v>0.74069349447555666</v>
      </c>
      <c r="BO56" s="262">
        <f t="shared" si="106"/>
        <v>0.80145226284016224</v>
      </c>
      <c r="BP56" s="504">
        <f t="shared" si="106"/>
        <v>0.62842597607010187</v>
      </c>
      <c r="BQ56" s="504">
        <f t="shared" si="106"/>
        <v>0.80897633183746709</v>
      </c>
      <c r="BR56" s="504">
        <f t="shared" si="106"/>
        <v>0.93175044553622199</v>
      </c>
      <c r="BS56" s="504">
        <f t="shared" si="106"/>
        <v>0.87736049660453819</v>
      </c>
      <c r="BT56" s="504">
        <f t="shared" si="106"/>
        <v>0.80671261635393998</v>
      </c>
      <c r="BU56" s="504">
        <f t="shared" si="106"/>
        <v>0.79831499259702143</v>
      </c>
      <c r="BV56" s="504">
        <f t="shared" si="106"/>
        <v>0.75389637524351916</v>
      </c>
      <c r="BW56" s="504">
        <f t="shared" si="106"/>
        <v>0.78462284147190586</v>
      </c>
      <c r="BX56" s="504">
        <f t="shared" si="106"/>
        <v>0.65873233989896962</v>
      </c>
      <c r="BY56" s="504">
        <f t="shared" si="106"/>
        <v>0.7506424629063404</v>
      </c>
      <c r="BZ56" s="504">
        <f t="shared" si="106"/>
        <v>0.61624137204121121</v>
      </c>
      <c r="CA56" s="504">
        <f t="shared" si="106"/>
        <v>0.75907996283353918</v>
      </c>
      <c r="CB56" s="262">
        <f t="shared" si="106"/>
        <v>0.76954039667053742</v>
      </c>
    </row>
    <row r="57" spans="1:80" x14ac:dyDescent="0.25">
      <c r="A57" s="753"/>
      <c r="B57" s="228" t="s">
        <v>133</v>
      </c>
      <c r="C57" s="263">
        <f t="shared" ref="C57:N57" si="107">+C12/SUM(C12:C15)</f>
        <v>1</v>
      </c>
      <c r="D57" s="263">
        <f t="shared" si="107"/>
        <v>1</v>
      </c>
      <c r="E57" s="263">
        <f t="shared" si="107"/>
        <v>1</v>
      </c>
      <c r="F57" s="263">
        <f t="shared" si="107"/>
        <v>1</v>
      </c>
      <c r="G57" s="263">
        <f t="shared" si="107"/>
        <v>1</v>
      </c>
      <c r="H57" s="263">
        <f t="shared" si="107"/>
        <v>1</v>
      </c>
      <c r="I57" s="263">
        <f t="shared" si="107"/>
        <v>1</v>
      </c>
      <c r="J57" s="263">
        <f t="shared" si="107"/>
        <v>1</v>
      </c>
      <c r="K57" s="263">
        <f t="shared" si="107"/>
        <v>1</v>
      </c>
      <c r="L57" s="263">
        <f t="shared" si="107"/>
        <v>1</v>
      </c>
      <c r="M57" s="263">
        <f t="shared" si="107"/>
        <v>1</v>
      </c>
      <c r="N57" s="263">
        <f t="shared" si="107"/>
        <v>1</v>
      </c>
      <c r="O57" s="263">
        <f>+O12/SUM(O12:O14)</f>
        <v>1</v>
      </c>
      <c r="P57" s="263">
        <f t="shared" ref="P57:AA57" si="108">+P12/SUM(P12:P15)</f>
        <v>1</v>
      </c>
      <c r="Q57" s="263">
        <f t="shared" si="108"/>
        <v>1</v>
      </c>
      <c r="R57" s="263">
        <f t="shared" si="108"/>
        <v>1</v>
      </c>
      <c r="S57" s="263">
        <f t="shared" si="108"/>
        <v>1</v>
      </c>
      <c r="T57" s="263">
        <f t="shared" si="108"/>
        <v>1</v>
      </c>
      <c r="U57" s="263">
        <f t="shared" si="108"/>
        <v>1</v>
      </c>
      <c r="V57" s="263">
        <f t="shared" si="108"/>
        <v>1</v>
      </c>
      <c r="W57" s="263">
        <f t="shared" si="108"/>
        <v>1</v>
      </c>
      <c r="X57" s="263">
        <f t="shared" si="108"/>
        <v>1</v>
      </c>
      <c r="Y57" s="263">
        <f t="shared" si="108"/>
        <v>1</v>
      </c>
      <c r="Z57" s="263">
        <f t="shared" si="108"/>
        <v>1</v>
      </c>
      <c r="AA57" s="263">
        <f t="shared" si="108"/>
        <v>1</v>
      </c>
      <c r="AB57" s="263">
        <f>+AB12/SUM(AB12:AB14)</f>
        <v>1</v>
      </c>
      <c r="AC57" s="263">
        <f t="shared" ref="AC57:AN57" si="109">+AC12/SUM(AC12:AC15)</f>
        <v>1</v>
      </c>
      <c r="AD57" s="263">
        <f t="shared" si="109"/>
        <v>1</v>
      </c>
      <c r="AE57" s="263">
        <f t="shared" si="109"/>
        <v>1</v>
      </c>
      <c r="AF57" s="263">
        <f t="shared" si="109"/>
        <v>1</v>
      </c>
      <c r="AG57" s="263">
        <f t="shared" si="109"/>
        <v>0.97947606772367313</v>
      </c>
      <c r="AH57" s="263">
        <f t="shared" si="109"/>
        <v>0.938885781133591</v>
      </c>
      <c r="AI57" s="263">
        <f t="shared" si="109"/>
        <v>0.93758270255372433</v>
      </c>
      <c r="AJ57" s="263">
        <f t="shared" si="109"/>
        <v>0.92073609670314605</v>
      </c>
      <c r="AK57" s="263">
        <f t="shared" si="109"/>
        <v>0.9140579609112387</v>
      </c>
      <c r="AL57" s="263">
        <f t="shared" si="109"/>
        <v>0.91534596150898051</v>
      </c>
      <c r="AM57" s="263">
        <f t="shared" si="109"/>
        <v>0.91966384077947982</v>
      </c>
      <c r="AN57" s="263">
        <f t="shared" si="109"/>
        <v>0.92037327302660554</v>
      </c>
      <c r="AO57" s="263">
        <f>+AO12/SUM(AO12:AO14)</f>
        <v>0.95699531948828653</v>
      </c>
      <c r="AP57" s="263">
        <f t="shared" ref="AP57:CB57" si="110">+AP12/SUM(AP12:AP15)</f>
        <v>0.88069954817517204</v>
      </c>
      <c r="AQ57" s="263">
        <f t="shared" si="110"/>
        <v>0.8660319138267828</v>
      </c>
      <c r="AR57" s="263">
        <f t="shared" si="110"/>
        <v>0.89221264921914845</v>
      </c>
      <c r="AS57" s="263">
        <f t="shared" si="110"/>
        <v>0.89539647193975991</v>
      </c>
      <c r="AT57" s="263">
        <f t="shared" si="110"/>
        <v>0.94568421014351467</v>
      </c>
      <c r="AU57" s="263">
        <f t="shared" si="110"/>
        <v>0.93953204758230535</v>
      </c>
      <c r="AV57" s="505">
        <f t="shared" si="110"/>
        <v>0.79166508206976782</v>
      </c>
      <c r="AW57" s="505">
        <f t="shared" si="110"/>
        <v>0.75949735707082922</v>
      </c>
      <c r="AX57" s="505">
        <f t="shared" si="110"/>
        <v>0.7815136453231446</v>
      </c>
      <c r="AY57" s="505">
        <f t="shared" si="110"/>
        <v>0.79999019458509801</v>
      </c>
      <c r="AZ57" s="505">
        <f t="shared" si="110"/>
        <v>0.78306825760430854</v>
      </c>
      <c r="BA57" s="505">
        <f t="shared" si="110"/>
        <v>0.81192499618642711</v>
      </c>
      <c r="BB57" s="522">
        <f t="shared" si="110"/>
        <v>0.84844777183594822</v>
      </c>
      <c r="BC57" s="505">
        <f t="shared" si="110"/>
        <v>0.83055464331016915</v>
      </c>
      <c r="BD57" s="505">
        <f t="shared" si="110"/>
        <v>0.87937654963078993</v>
      </c>
      <c r="BE57" s="505">
        <f t="shared" si="110"/>
        <v>0.92074172302164969</v>
      </c>
      <c r="BF57" s="505">
        <f t="shared" si="110"/>
        <v>0.88196884730891689</v>
      </c>
      <c r="BG57" s="505">
        <f t="shared" si="110"/>
        <v>0.81666146805074136</v>
      </c>
      <c r="BH57" s="505">
        <f t="shared" si="110"/>
        <v>0.82121750229381407</v>
      </c>
      <c r="BI57" s="505">
        <f t="shared" si="110"/>
        <v>0.79555052025233153</v>
      </c>
      <c r="BJ57" s="505">
        <f t="shared" si="110"/>
        <v>0.77139791550352743</v>
      </c>
      <c r="BK57" s="505">
        <f t="shared" si="110"/>
        <v>0.70861481091441836</v>
      </c>
      <c r="BL57" s="505">
        <f t="shared" si="110"/>
        <v>0.75757896643927114</v>
      </c>
      <c r="BM57" s="505">
        <f t="shared" si="110"/>
        <v>0.71256682266549221</v>
      </c>
      <c r="BN57" s="505">
        <f t="shared" si="110"/>
        <v>0.78922487249670792</v>
      </c>
      <c r="BO57" s="263">
        <f t="shared" si="110"/>
        <v>0.81217669056204378</v>
      </c>
      <c r="BP57" s="505">
        <f t="shared" si="110"/>
        <v>0.7534711233247855</v>
      </c>
      <c r="BQ57" s="505">
        <f t="shared" si="110"/>
        <v>0.8344646369887333</v>
      </c>
      <c r="BR57" s="505">
        <f t="shared" si="110"/>
        <v>0.89117544564235818</v>
      </c>
      <c r="BS57" s="505">
        <f t="shared" si="110"/>
        <v>0.87588007753516173</v>
      </c>
      <c r="BT57" s="505">
        <f t="shared" si="110"/>
        <v>0.82795127788246092</v>
      </c>
      <c r="BU57" s="505">
        <f t="shared" si="110"/>
        <v>0.83248390461844779</v>
      </c>
      <c r="BV57" s="505">
        <f t="shared" si="110"/>
        <v>0.80824175844047441</v>
      </c>
      <c r="BW57" s="505">
        <f t="shared" si="110"/>
        <v>0.78566950091315046</v>
      </c>
      <c r="BX57" s="505">
        <f t="shared" si="110"/>
        <v>0.72742073286753484</v>
      </c>
      <c r="BY57" s="505">
        <f t="shared" si="110"/>
        <v>0.77270931893253614</v>
      </c>
      <c r="BZ57" s="505">
        <f t="shared" si="110"/>
        <v>0.73185272546278146</v>
      </c>
      <c r="CA57" s="505">
        <f t="shared" si="110"/>
        <v>0.80417015975300354</v>
      </c>
      <c r="CB57" s="263">
        <f t="shared" si="110"/>
        <v>0.80739975012835907</v>
      </c>
    </row>
    <row r="58" spans="1:80" x14ac:dyDescent="0.25">
      <c r="A58" s="753"/>
      <c r="B58" s="217" t="s">
        <v>40</v>
      </c>
      <c r="C58" s="264">
        <f t="shared" ref="C58:N58" si="111">+C19/SUM(C19:C20)</f>
        <v>1</v>
      </c>
      <c r="D58" s="264">
        <f t="shared" si="111"/>
        <v>1</v>
      </c>
      <c r="E58" s="264">
        <f t="shared" si="111"/>
        <v>1</v>
      </c>
      <c r="F58" s="264">
        <f t="shared" si="111"/>
        <v>1</v>
      </c>
      <c r="G58" s="264">
        <f t="shared" si="111"/>
        <v>1</v>
      </c>
      <c r="H58" s="264">
        <f t="shared" si="111"/>
        <v>1</v>
      </c>
      <c r="I58" s="264">
        <f t="shared" si="111"/>
        <v>1</v>
      </c>
      <c r="J58" s="264">
        <f t="shared" si="111"/>
        <v>1</v>
      </c>
      <c r="K58" s="264">
        <f t="shared" si="111"/>
        <v>1</v>
      </c>
      <c r="L58" s="264">
        <f t="shared" si="111"/>
        <v>1</v>
      </c>
      <c r="M58" s="264">
        <f t="shared" si="111"/>
        <v>1</v>
      </c>
      <c r="N58" s="264">
        <f t="shared" si="111"/>
        <v>1</v>
      </c>
      <c r="O58" s="264">
        <f>+O19/O19</f>
        <v>1</v>
      </c>
      <c r="P58" s="264">
        <f t="shared" ref="P58:AA58" si="112">+P19/SUM(P19:P20)</f>
        <v>1</v>
      </c>
      <c r="Q58" s="264">
        <f t="shared" si="112"/>
        <v>1</v>
      </c>
      <c r="R58" s="264">
        <f t="shared" si="112"/>
        <v>1</v>
      </c>
      <c r="S58" s="264">
        <f t="shared" si="112"/>
        <v>1</v>
      </c>
      <c r="T58" s="264">
        <f t="shared" si="112"/>
        <v>1</v>
      </c>
      <c r="U58" s="264">
        <f t="shared" si="112"/>
        <v>1</v>
      </c>
      <c r="V58" s="264">
        <f t="shared" si="112"/>
        <v>1</v>
      </c>
      <c r="W58" s="264">
        <f t="shared" si="112"/>
        <v>1</v>
      </c>
      <c r="X58" s="264">
        <f t="shared" si="112"/>
        <v>1</v>
      </c>
      <c r="Y58" s="264">
        <f t="shared" si="112"/>
        <v>1</v>
      </c>
      <c r="Z58" s="264">
        <f t="shared" si="112"/>
        <v>1</v>
      </c>
      <c r="AA58" s="264">
        <f t="shared" si="112"/>
        <v>1</v>
      </c>
      <c r="AB58" s="264">
        <f>+AB19/AB19</f>
        <v>1</v>
      </c>
      <c r="AC58" s="264">
        <f t="shared" ref="AC58:AN58" si="113">+AC19/SUM(AC19:AC20)</f>
        <v>1</v>
      </c>
      <c r="AD58" s="264">
        <f t="shared" si="113"/>
        <v>1</v>
      </c>
      <c r="AE58" s="264">
        <f t="shared" si="113"/>
        <v>1</v>
      </c>
      <c r="AF58" s="264">
        <f t="shared" si="113"/>
        <v>1</v>
      </c>
      <c r="AG58" s="264">
        <f t="shared" si="113"/>
        <v>1</v>
      </c>
      <c r="AH58" s="264">
        <f t="shared" si="113"/>
        <v>1</v>
      </c>
      <c r="AI58" s="264">
        <f t="shared" si="113"/>
        <v>1</v>
      </c>
      <c r="AJ58" s="264">
        <f t="shared" si="113"/>
        <v>1</v>
      </c>
      <c r="AK58" s="264">
        <f t="shared" si="113"/>
        <v>1</v>
      </c>
      <c r="AL58" s="264">
        <f t="shared" si="113"/>
        <v>1</v>
      </c>
      <c r="AM58" s="264">
        <f t="shared" si="113"/>
        <v>1</v>
      </c>
      <c r="AN58" s="264">
        <f t="shared" si="113"/>
        <v>1</v>
      </c>
      <c r="AO58" s="264">
        <f>+AO19/AO19</f>
        <v>1</v>
      </c>
      <c r="AP58" s="264">
        <f t="shared" ref="AP58:BA58" si="114">+AP19/SUM(AP19:AP20)</f>
        <v>0.99566147539757344</v>
      </c>
      <c r="AQ58" s="264">
        <f t="shared" si="114"/>
        <v>0.9955289921731667</v>
      </c>
      <c r="AR58" s="264">
        <f t="shared" si="114"/>
        <v>0.99613920174667836</v>
      </c>
      <c r="AS58" s="264">
        <f t="shared" si="114"/>
        <v>0.99607094873039703</v>
      </c>
      <c r="AT58" s="264">
        <f t="shared" si="114"/>
        <v>0.99590240180482714</v>
      </c>
      <c r="AU58" s="264">
        <f t="shared" si="114"/>
        <v>0.99581415824887476</v>
      </c>
      <c r="AV58" s="506">
        <f t="shared" si="114"/>
        <v>0.99579354526773844</v>
      </c>
      <c r="AW58" s="506">
        <f t="shared" si="114"/>
        <v>0.99513232249762207</v>
      </c>
      <c r="AX58" s="506">
        <f t="shared" si="114"/>
        <v>0.99487813493465205</v>
      </c>
      <c r="AY58" s="506">
        <f t="shared" si="114"/>
        <v>0.99536420312250229</v>
      </c>
      <c r="AZ58" s="506">
        <f t="shared" si="114"/>
        <v>0.99583035787031937</v>
      </c>
      <c r="BA58" s="506">
        <f t="shared" si="114"/>
        <v>0.99733124741177015</v>
      </c>
      <c r="BB58" s="523">
        <f>+BB19/(BB19+BB20)</f>
        <v>0.99583830629503056</v>
      </c>
      <c r="BC58" s="506">
        <f t="shared" ref="BC58:BN58" si="115">+BC19/SUM(BC19:BC20)</f>
        <v>0.99736001456543688</v>
      </c>
      <c r="BD58" s="506">
        <f t="shared" si="115"/>
        <v>0.99738966421589681</v>
      </c>
      <c r="BE58" s="506">
        <f t="shared" si="115"/>
        <v>0.99767527023161673</v>
      </c>
      <c r="BF58" s="506">
        <f t="shared" si="115"/>
        <v>0.99732227547825503</v>
      </c>
      <c r="BG58" s="506">
        <f t="shared" si="115"/>
        <v>0.99628254357150769</v>
      </c>
      <c r="BH58" s="506">
        <f t="shared" si="115"/>
        <v>0.99595615134438986</v>
      </c>
      <c r="BI58" s="506">
        <f t="shared" si="115"/>
        <v>0.99579496027000691</v>
      </c>
      <c r="BJ58" s="506">
        <f t="shared" si="115"/>
        <v>0.9953307683271404</v>
      </c>
      <c r="BK58" s="506">
        <f t="shared" si="115"/>
        <v>0.99501019138132341</v>
      </c>
      <c r="BL58" s="506">
        <f t="shared" si="115"/>
        <v>0.99536727882750786</v>
      </c>
      <c r="BM58" s="506">
        <f t="shared" si="115"/>
        <v>0.99564093466418391</v>
      </c>
      <c r="BN58" s="506">
        <f t="shared" si="115"/>
        <v>0.99598506517581653</v>
      </c>
      <c r="BO58" s="264">
        <f>+BO19/(BO19+BO20)</f>
        <v>0.99636891380061787</v>
      </c>
      <c r="BP58" s="506">
        <f t="shared" ref="BP58:CA58" si="116">+BP19/SUM(BP19:BP20)</f>
        <v>0.99638017627386521</v>
      </c>
      <c r="BQ58" s="506">
        <f t="shared" si="116"/>
        <v>0.99653989904464568</v>
      </c>
      <c r="BR58" s="506">
        <f t="shared" si="116"/>
        <v>0.99690907087448588</v>
      </c>
      <c r="BS58" s="506">
        <f t="shared" si="116"/>
        <v>0.99679538062586737</v>
      </c>
      <c r="BT58" s="506">
        <f t="shared" si="116"/>
        <v>0.99651146095013599</v>
      </c>
      <c r="BU58" s="506">
        <f t="shared" si="116"/>
        <v>0.99621098404042319</v>
      </c>
      <c r="BV58" s="506">
        <f t="shared" si="116"/>
        <v>0.99605598886675273</v>
      </c>
      <c r="BW58" s="506">
        <f t="shared" si="116"/>
        <v>0.99562226758780248</v>
      </c>
      <c r="BX58" s="506">
        <f t="shared" si="116"/>
        <v>0.99533223229128975</v>
      </c>
      <c r="BY58" s="506">
        <f t="shared" si="116"/>
        <v>0.99565642331020088</v>
      </c>
      <c r="BZ58" s="506">
        <f t="shared" si="116"/>
        <v>0.99593341485430387</v>
      </c>
      <c r="CA58" s="506">
        <f t="shared" si="116"/>
        <v>0.99626974940290491</v>
      </c>
      <c r="CB58" s="264">
        <f>+CB19/(CB19+CB20)</f>
        <v>0.99624041189962187</v>
      </c>
    </row>
    <row r="59" spans="1:80" ht="15.75" thickBot="1" x14ac:dyDescent="0.3">
      <c r="A59" s="753"/>
      <c r="B59" s="233" t="s">
        <v>134</v>
      </c>
      <c r="C59" s="265">
        <f t="shared" ref="C59:N59" si="117">+C23/SUM(C23:C26)</f>
        <v>0</v>
      </c>
      <c r="D59" s="265">
        <f t="shared" si="117"/>
        <v>0.71220141452782348</v>
      </c>
      <c r="E59" s="265">
        <f t="shared" si="117"/>
        <v>0.40720212521727722</v>
      </c>
      <c r="F59" s="265">
        <f t="shared" si="117"/>
        <v>0.65559345809290015</v>
      </c>
      <c r="G59" s="265">
        <f t="shared" si="117"/>
        <v>0.79956427015250542</v>
      </c>
      <c r="H59" s="265">
        <f t="shared" si="117"/>
        <v>0.73631947511198026</v>
      </c>
      <c r="I59" s="265">
        <f t="shared" si="117"/>
        <v>0.79999331416727959</v>
      </c>
      <c r="J59" s="265">
        <f t="shared" si="117"/>
        <v>0.82777401894451963</v>
      </c>
      <c r="K59" s="265">
        <f t="shared" si="117"/>
        <v>1</v>
      </c>
      <c r="L59" s="265">
        <f t="shared" si="117"/>
        <v>1</v>
      </c>
      <c r="M59" s="265">
        <f t="shared" si="117"/>
        <v>1</v>
      </c>
      <c r="N59" s="265">
        <f t="shared" si="117"/>
        <v>1</v>
      </c>
      <c r="O59" s="265">
        <f>+O23/SUM(O23:O25)</f>
        <v>0.75914598486034113</v>
      </c>
      <c r="P59" s="265">
        <f t="shared" ref="P59:AA59" si="118">+P23/SUM(P23:P26)</f>
        <v>1</v>
      </c>
      <c r="Q59" s="265">
        <f t="shared" si="118"/>
        <v>1</v>
      </c>
      <c r="R59" s="265">
        <f t="shared" si="118"/>
        <v>0.52947996329152647</v>
      </c>
      <c r="S59" s="265">
        <f t="shared" si="118"/>
        <v>0.5</v>
      </c>
      <c r="T59" s="265">
        <f t="shared" si="118"/>
        <v>0.48730630879911457</v>
      </c>
      <c r="U59" s="265">
        <f t="shared" si="118"/>
        <v>0.5</v>
      </c>
      <c r="V59" s="265">
        <f t="shared" si="118"/>
        <v>0.5</v>
      </c>
      <c r="W59" s="265">
        <f t="shared" si="118"/>
        <v>0.25</v>
      </c>
      <c r="X59" s="265">
        <f t="shared" si="118"/>
        <v>0.25</v>
      </c>
      <c r="Y59" s="265">
        <f t="shared" si="118"/>
        <v>0.26166038716383005</v>
      </c>
      <c r="Z59" s="265">
        <f t="shared" si="118"/>
        <v>0.24975391009515477</v>
      </c>
      <c r="AA59" s="265">
        <f t="shared" si="118"/>
        <v>0.25010242433958568</v>
      </c>
      <c r="AB59" s="265">
        <f>+AB23/SUM(AB23:AB25)</f>
        <v>0.48991373423134565</v>
      </c>
      <c r="AC59" s="265">
        <f t="shared" ref="AC59:AN59" si="119">+AC23/SUM(AC23:AC26)</f>
        <v>0.25</v>
      </c>
      <c r="AD59" s="265">
        <f t="shared" si="119"/>
        <v>0.94375234756479276</v>
      </c>
      <c r="AE59" s="265">
        <f t="shared" si="119"/>
        <v>1</v>
      </c>
      <c r="AF59" s="265">
        <f t="shared" si="119"/>
        <v>1</v>
      </c>
      <c r="AG59" s="265">
        <f t="shared" si="119"/>
        <v>1</v>
      </c>
      <c r="AH59" s="265">
        <f t="shared" si="119"/>
        <v>0.99753795121448186</v>
      </c>
      <c r="AI59" s="265">
        <f t="shared" si="119"/>
        <v>0.98279312385308559</v>
      </c>
      <c r="AJ59" s="265">
        <f t="shared" si="119"/>
        <v>0.97289777965489521</v>
      </c>
      <c r="AK59" s="265">
        <f t="shared" si="119"/>
        <v>0.72433954092680819</v>
      </c>
      <c r="AL59" s="265">
        <f t="shared" si="119"/>
        <v>0.6484952610751249</v>
      </c>
      <c r="AM59" s="265">
        <f t="shared" si="119"/>
        <v>0.46507099434766019</v>
      </c>
      <c r="AN59" s="265">
        <f t="shared" si="119"/>
        <v>0.48645074109092812</v>
      </c>
      <c r="AO59" s="265">
        <f>+AO23/SUM(AO23:AO25)</f>
        <v>0.80059621868962727</v>
      </c>
      <c r="AP59" s="265">
        <f t="shared" ref="AP59:CB59" si="120">+AP23/SUM(AP23:AP26)</f>
        <v>0.47043472456302682</v>
      </c>
      <c r="AQ59" s="265">
        <f t="shared" si="120"/>
        <v>0.56274809160305339</v>
      </c>
      <c r="AR59" s="265">
        <f t="shared" si="120"/>
        <v>0.63663840975849673</v>
      </c>
      <c r="AS59" s="265">
        <f t="shared" si="120"/>
        <v>0.64220095255541298</v>
      </c>
      <c r="AT59" s="265">
        <f t="shared" si="120"/>
        <v>0.64575885746646366</v>
      </c>
      <c r="AU59" s="265">
        <f t="shared" si="120"/>
        <v>0.63992986662865292</v>
      </c>
      <c r="AV59" s="507">
        <f t="shared" si="120"/>
        <v>0.90919182311094604</v>
      </c>
      <c r="AW59" s="507">
        <f t="shared" si="120"/>
        <v>0.9073520671238261</v>
      </c>
      <c r="AX59" s="507">
        <f t="shared" si="120"/>
        <v>0.9082867084930113</v>
      </c>
      <c r="AY59" s="507">
        <f t="shared" si="120"/>
        <v>0.74533550818734218</v>
      </c>
      <c r="AZ59" s="507">
        <f t="shared" si="120"/>
        <v>0.54527612620066634</v>
      </c>
      <c r="BA59" s="507">
        <f t="shared" si="120"/>
        <v>0.53633600591149477</v>
      </c>
      <c r="BB59" s="524">
        <f t="shared" si="120"/>
        <v>0.67481908001838786</v>
      </c>
      <c r="BC59" s="507">
        <f t="shared" si="120"/>
        <v>0.67007437714337525</v>
      </c>
      <c r="BD59" s="507">
        <f t="shared" si="120"/>
        <v>0.60171833970608557</v>
      </c>
      <c r="BE59" s="507">
        <f t="shared" si="120"/>
        <v>0.59047987215557884</v>
      </c>
      <c r="BF59" s="507">
        <f t="shared" si="120"/>
        <v>0.70354617739478753</v>
      </c>
      <c r="BG59" s="507">
        <f t="shared" si="120"/>
        <v>0.63712404484795182</v>
      </c>
      <c r="BH59" s="507">
        <f t="shared" si="120"/>
        <v>0.63718117279411235</v>
      </c>
      <c r="BI59" s="507">
        <f t="shared" si="120"/>
        <v>0.65197809352799274</v>
      </c>
      <c r="BJ59" s="507">
        <f t="shared" si="120"/>
        <v>0.63644028947171516</v>
      </c>
      <c r="BK59" s="507">
        <f t="shared" si="120"/>
        <v>0.60260627277379464</v>
      </c>
      <c r="BL59" s="507">
        <f t="shared" si="120"/>
        <v>0.59308148889898626</v>
      </c>
      <c r="BM59" s="507">
        <f t="shared" si="120"/>
        <v>0.6118312439062763</v>
      </c>
      <c r="BN59" s="507">
        <f t="shared" si="120"/>
        <v>0.63183006427782151</v>
      </c>
      <c r="BO59" s="265">
        <f t="shared" si="120"/>
        <v>0.63223690060781679</v>
      </c>
      <c r="BP59" s="507">
        <f t="shared" si="120"/>
        <v>0.63269659416526558</v>
      </c>
      <c r="BQ59" s="507">
        <f t="shared" si="120"/>
        <v>0.6281620870093626</v>
      </c>
      <c r="BR59" s="507">
        <f t="shared" si="120"/>
        <v>0.62988917157555413</v>
      </c>
      <c r="BS59" s="507">
        <f t="shared" si="120"/>
        <v>0.63839392754310909</v>
      </c>
      <c r="BT59" s="507">
        <f t="shared" si="120"/>
        <v>0.64407483721380887</v>
      </c>
      <c r="BU59" s="507">
        <f t="shared" si="120"/>
        <v>0.64429071826641993</v>
      </c>
      <c r="BV59" s="507">
        <f t="shared" si="120"/>
        <v>0.65806282098353575</v>
      </c>
      <c r="BW59" s="507">
        <f t="shared" si="120"/>
        <v>0.64352980097580426</v>
      </c>
      <c r="BX59" s="507">
        <f t="shared" si="120"/>
        <v>0.61211902439749122</v>
      </c>
      <c r="BY59" s="507">
        <f t="shared" si="120"/>
        <v>0.60287532712664937</v>
      </c>
      <c r="BZ59" s="507">
        <f t="shared" si="120"/>
        <v>0.62110195240401112</v>
      </c>
      <c r="CA59" s="507">
        <f t="shared" si="120"/>
        <v>0.64020905877943024</v>
      </c>
      <c r="CB59" s="265">
        <f t="shared" si="120"/>
        <v>0.63376416926347634</v>
      </c>
    </row>
    <row r="60" spans="1:80" ht="15.75" thickBot="1" x14ac:dyDescent="0.3">
      <c r="A60" s="754" t="s">
        <v>126</v>
      </c>
      <c r="B60" s="755"/>
      <c r="C60" s="266">
        <f t="shared" ref="C60:AH60" si="121">+SUM(C6,C12,C19,C23)/C30</f>
        <v>0.96624346695578522</v>
      </c>
      <c r="D60" s="266">
        <f t="shared" si="121"/>
        <v>0.99128644336284522</v>
      </c>
      <c r="E60" s="266">
        <f t="shared" si="121"/>
        <v>0.94984336368635502</v>
      </c>
      <c r="F60" s="266">
        <f t="shared" si="121"/>
        <v>0.98123575790784112</v>
      </c>
      <c r="G60" s="266">
        <f t="shared" si="121"/>
        <v>0.96698855353765567</v>
      </c>
      <c r="H60" s="266">
        <f t="shared" si="121"/>
        <v>0.96015844906759162</v>
      </c>
      <c r="I60" s="266">
        <f t="shared" si="121"/>
        <v>0.91337496445574795</v>
      </c>
      <c r="J60" s="266">
        <f t="shared" si="121"/>
        <v>0.86526309206617746</v>
      </c>
      <c r="K60" s="266">
        <f t="shared" si="121"/>
        <v>0.87410548578606895</v>
      </c>
      <c r="L60" s="266">
        <f t="shared" si="121"/>
        <v>0.90629389345303635</v>
      </c>
      <c r="M60" s="266">
        <f t="shared" si="121"/>
        <v>0.90053300052286844</v>
      </c>
      <c r="N60" s="266">
        <f t="shared" si="121"/>
        <v>0.92584273057686339</v>
      </c>
      <c r="O60" s="266">
        <f t="shared" si="121"/>
        <v>0.93605712504059591</v>
      </c>
      <c r="P60" s="266">
        <f t="shared" si="121"/>
        <v>0.95562106867873253</v>
      </c>
      <c r="Q60" s="266">
        <f t="shared" si="121"/>
        <v>0.98011509774121186</v>
      </c>
      <c r="R60" s="266">
        <f t="shared" si="121"/>
        <v>0.96934326406685634</v>
      </c>
      <c r="S60" s="266">
        <f t="shared" si="121"/>
        <v>0.9857817173719774</v>
      </c>
      <c r="T60" s="266">
        <f t="shared" si="121"/>
        <v>0.88697359140451315</v>
      </c>
      <c r="U60" s="266">
        <f t="shared" si="121"/>
        <v>0.83501274354042443</v>
      </c>
      <c r="V60" s="266">
        <f t="shared" si="121"/>
        <v>0.8670663787796129</v>
      </c>
      <c r="W60" s="266">
        <f t="shared" si="121"/>
        <v>0.84841094387926874</v>
      </c>
      <c r="X60" s="266">
        <f t="shared" si="121"/>
        <v>0.86221830416538203</v>
      </c>
      <c r="Y60" s="266">
        <f t="shared" si="121"/>
        <v>0.87951492605880632</v>
      </c>
      <c r="Z60" s="266">
        <f t="shared" si="121"/>
        <v>0.87745524387595197</v>
      </c>
      <c r="AA60" s="266">
        <f t="shared" si="121"/>
        <v>0.91024187918912502</v>
      </c>
      <c r="AB60" s="266">
        <f t="shared" si="121"/>
        <v>0.90998292046615381</v>
      </c>
      <c r="AC60" s="266">
        <f t="shared" si="121"/>
        <v>0.92934455306290442</v>
      </c>
      <c r="AD60" s="266">
        <f t="shared" si="121"/>
        <v>0.94916270193075536</v>
      </c>
      <c r="AE60" s="266">
        <f t="shared" si="121"/>
        <v>0.98581510452757659</v>
      </c>
      <c r="AF60" s="266">
        <f t="shared" si="121"/>
        <v>0.96341253723628628</v>
      </c>
      <c r="AG60" s="266">
        <f t="shared" si="121"/>
        <v>0.89878180191039758</v>
      </c>
      <c r="AH60" s="266">
        <f t="shared" si="121"/>
        <v>0.85716073448441332</v>
      </c>
      <c r="AI60" s="266">
        <f t="shared" ref="AI60:CB60" si="122">+SUM(AI6,AI12,AI19,AI23)/AI30</f>
        <v>0.8337580965670095</v>
      </c>
      <c r="AJ60" s="266">
        <f t="shared" si="122"/>
        <v>0.86310732234815168</v>
      </c>
      <c r="AK60" s="266">
        <f t="shared" si="122"/>
        <v>0.79678105766886587</v>
      </c>
      <c r="AL60" s="266">
        <f t="shared" si="122"/>
        <v>0.82680819659335703</v>
      </c>
      <c r="AM60" s="266">
        <f t="shared" si="122"/>
        <v>0.8591135623356293</v>
      </c>
      <c r="AN60" s="266">
        <f t="shared" si="122"/>
        <v>0.87053583689402669</v>
      </c>
      <c r="AO60" s="266">
        <f t="shared" si="122"/>
        <v>0.89085330660535456</v>
      </c>
      <c r="AP60" s="266">
        <f t="shared" si="122"/>
        <v>0.86755034741665948</v>
      </c>
      <c r="AQ60" s="266">
        <f t="shared" si="122"/>
        <v>0.88250965382437385</v>
      </c>
      <c r="AR60" s="266">
        <f t="shared" si="122"/>
        <v>0.91680009115226269</v>
      </c>
      <c r="AS60" s="266">
        <f t="shared" si="122"/>
        <v>0.91804955154999535</v>
      </c>
      <c r="AT60" s="266">
        <f t="shared" si="122"/>
        <v>0.9462968574524061</v>
      </c>
      <c r="AU60" s="266">
        <f t="shared" si="122"/>
        <v>0.8988301517756847</v>
      </c>
      <c r="AV60" s="266">
        <f t="shared" si="122"/>
        <v>0.77649755288900735</v>
      </c>
      <c r="AW60" s="266">
        <f t="shared" si="122"/>
        <v>0.7209544256763103</v>
      </c>
      <c r="AX60" s="266">
        <f t="shared" si="122"/>
        <v>0.76368620146019206</v>
      </c>
      <c r="AY60" s="266">
        <f t="shared" si="122"/>
        <v>0.75933532987696573</v>
      </c>
      <c r="AZ60" s="266">
        <f t="shared" si="122"/>
        <v>0.77593144564658789</v>
      </c>
      <c r="BA60" s="266">
        <f t="shared" si="122"/>
        <v>0.82980044221331895</v>
      </c>
      <c r="BB60" s="525">
        <f t="shared" si="122"/>
        <v>0.84236384609551895</v>
      </c>
      <c r="BC60" s="266">
        <f t="shared" si="122"/>
        <v>0.85314021403140083</v>
      </c>
      <c r="BD60" s="266">
        <f t="shared" si="122"/>
        <v>0.86596216538833359</v>
      </c>
      <c r="BE60" s="266">
        <f t="shared" si="122"/>
        <v>0.93262759023374764</v>
      </c>
      <c r="BF60" s="266">
        <f t="shared" si="122"/>
        <v>0.83483534394807679</v>
      </c>
      <c r="BG60" s="266">
        <f t="shared" si="122"/>
        <v>0.82587765470558783</v>
      </c>
      <c r="BH60" s="266">
        <f t="shared" si="122"/>
        <v>0.82574892168071945</v>
      </c>
      <c r="BI60" s="266">
        <f t="shared" si="122"/>
        <v>0.7964215837899451</v>
      </c>
      <c r="BJ60" s="266">
        <f t="shared" si="122"/>
        <v>0.79040738524145904</v>
      </c>
      <c r="BK60" s="266">
        <f t="shared" si="122"/>
        <v>0.71248854706729425</v>
      </c>
      <c r="BL60" s="266">
        <f t="shared" si="122"/>
        <v>0.77114315817885726</v>
      </c>
      <c r="BM60" s="266">
        <f t="shared" si="122"/>
        <v>0.70163575202287809</v>
      </c>
      <c r="BN60" s="266">
        <f t="shared" si="122"/>
        <v>0.79270817086628542</v>
      </c>
      <c r="BO60" s="266">
        <f t="shared" si="122"/>
        <v>0.81376546750399137</v>
      </c>
      <c r="BP60" s="266">
        <f t="shared" si="122"/>
        <v>0.74029224598234233</v>
      </c>
      <c r="BQ60" s="266">
        <f t="shared" si="122"/>
        <v>0.84166589194507357</v>
      </c>
      <c r="BR60" s="266">
        <f t="shared" si="122"/>
        <v>0.91181478315441422</v>
      </c>
      <c r="BS60" s="266">
        <f t="shared" si="122"/>
        <v>0.88688240830798704</v>
      </c>
      <c r="BT60" s="266">
        <f t="shared" si="122"/>
        <v>0.83653299666557512</v>
      </c>
      <c r="BU60" s="266">
        <f t="shared" si="122"/>
        <v>0.83666385624555761</v>
      </c>
      <c r="BV60" s="266">
        <f t="shared" si="122"/>
        <v>0.80898052862414271</v>
      </c>
      <c r="BW60" s="266">
        <f t="shared" si="122"/>
        <v>0.80341094109047684</v>
      </c>
      <c r="BX60" s="266">
        <f t="shared" si="122"/>
        <v>0.73096753821691995</v>
      </c>
      <c r="BY60" s="266">
        <f t="shared" si="122"/>
        <v>0.7853589673582364</v>
      </c>
      <c r="BZ60" s="266">
        <f t="shared" si="122"/>
        <v>0.72158009927205191</v>
      </c>
      <c r="CA60" s="266">
        <f t="shared" si="122"/>
        <v>0.80732440692857121</v>
      </c>
      <c r="CB60" s="266">
        <f t="shared" si="122"/>
        <v>0.8131194294410522</v>
      </c>
    </row>
    <row r="61" spans="1:80" x14ac:dyDescent="0.25">
      <c r="BB61" s="520"/>
    </row>
    <row r="62" spans="1:80" ht="15.75" thickBot="1" x14ac:dyDescent="0.3">
      <c r="BB62" s="520"/>
    </row>
    <row r="63" spans="1:80" x14ac:dyDescent="0.25">
      <c r="A63" s="752" t="s">
        <v>136</v>
      </c>
      <c r="B63" s="200" t="s">
        <v>2</v>
      </c>
      <c r="C63" s="262">
        <f t="shared" ref="C63:AH63" si="123">+SUM(C7:C8)/SUM(C6:C8)</f>
        <v>9.3467176579641473E-2</v>
      </c>
      <c r="D63" s="262">
        <f t="shared" si="123"/>
        <v>2.2914060906050686E-2</v>
      </c>
      <c r="E63" s="262">
        <f t="shared" si="123"/>
        <v>0.1578599162298526</v>
      </c>
      <c r="F63" s="262">
        <f t="shared" si="123"/>
        <v>5.3853015150239637E-2</v>
      </c>
      <c r="G63" s="262">
        <f t="shared" si="123"/>
        <v>0.10800573224852071</v>
      </c>
      <c r="H63" s="262">
        <f t="shared" si="123"/>
        <v>0.13372508610205996</v>
      </c>
      <c r="I63" s="262">
        <f t="shared" si="123"/>
        <v>0.29563063797142225</v>
      </c>
      <c r="J63" s="262">
        <f t="shared" si="123"/>
        <v>0.47683842393003106</v>
      </c>
      <c r="K63" s="262">
        <f t="shared" si="123"/>
        <v>0.45482248600361785</v>
      </c>
      <c r="L63" s="262">
        <f t="shared" si="123"/>
        <v>0.33576031842950838</v>
      </c>
      <c r="M63" s="262">
        <f t="shared" si="123"/>
        <v>0.35961457178386125</v>
      </c>
      <c r="N63" s="262">
        <f t="shared" si="123"/>
        <v>0.26482815720400937</v>
      </c>
      <c r="O63" s="262">
        <f t="shared" si="123"/>
        <v>0.2179079933261128</v>
      </c>
      <c r="P63" s="262">
        <f t="shared" si="123"/>
        <v>0.16523261656203531</v>
      </c>
      <c r="Q63" s="262">
        <f t="shared" si="123"/>
        <v>7.4327927174692013E-2</v>
      </c>
      <c r="R63" s="262">
        <f t="shared" si="123"/>
        <v>9.8695069529079443E-2</v>
      </c>
      <c r="S63" s="262">
        <f t="shared" si="123"/>
        <v>3.5826072244310975E-2</v>
      </c>
      <c r="T63" s="262">
        <f t="shared" si="123"/>
        <v>0.39020322099390264</v>
      </c>
      <c r="U63" s="262">
        <f t="shared" si="123"/>
        <v>0.57066257212200233</v>
      </c>
      <c r="V63" s="262">
        <f t="shared" si="123"/>
        <v>0.46012460479388795</v>
      </c>
      <c r="W63" s="262">
        <f t="shared" si="123"/>
        <v>0.52117156833142098</v>
      </c>
      <c r="X63" s="262">
        <f t="shared" si="123"/>
        <v>0.4586514143801993</v>
      </c>
      <c r="Y63" s="262">
        <f t="shared" si="123"/>
        <v>0.4031542874275903</v>
      </c>
      <c r="Z63" s="262">
        <f t="shared" si="123"/>
        <v>0.40794041431528699</v>
      </c>
      <c r="AA63" s="262">
        <f t="shared" si="123"/>
        <v>0.29233450420491086</v>
      </c>
      <c r="AB63" s="262">
        <f t="shared" si="123"/>
        <v>0.30699394696980487</v>
      </c>
      <c r="AC63" s="262">
        <f t="shared" si="123"/>
        <v>0.23160750019176335</v>
      </c>
      <c r="AD63" s="262">
        <f t="shared" si="123"/>
        <v>0.17715567191453985</v>
      </c>
      <c r="AE63" s="262">
        <f t="shared" si="123"/>
        <v>4.9681368564909303E-2</v>
      </c>
      <c r="AF63" s="262">
        <f t="shared" si="123"/>
        <v>0.13791459947965154</v>
      </c>
      <c r="AG63" s="262">
        <f t="shared" si="123"/>
        <v>0.3039429442467303</v>
      </c>
      <c r="AH63" s="262">
        <f t="shared" si="123"/>
        <v>0.3583544098601541</v>
      </c>
      <c r="AI63" s="262">
        <f t="shared" ref="AI63:CB63" si="124">+SUM(AI7:AI8)/SUM(AI6:AI8)</f>
        <v>0.43204947327986176</v>
      </c>
      <c r="AJ63" s="262">
        <f t="shared" si="124"/>
        <v>0.30753472324325382</v>
      </c>
      <c r="AK63" s="262">
        <f t="shared" si="124"/>
        <v>0.50359427272598012</v>
      </c>
      <c r="AL63" s="262">
        <f t="shared" si="124"/>
        <v>0.40312660827687152</v>
      </c>
      <c r="AM63" s="262">
        <f t="shared" si="124"/>
        <v>0.29639053275494553</v>
      </c>
      <c r="AN63" s="262">
        <f t="shared" si="124"/>
        <v>0.25855026629849032</v>
      </c>
      <c r="AO63" s="262">
        <f t="shared" si="124"/>
        <v>0.28115671173801393</v>
      </c>
      <c r="AP63" s="262">
        <f t="shared" si="124"/>
        <v>0.19339066582511744</v>
      </c>
      <c r="AQ63" s="262">
        <f t="shared" si="124"/>
        <v>0.11256018698682556</v>
      </c>
      <c r="AR63" s="262">
        <f t="shared" si="124"/>
        <v>5.1575553517189107E-2</v>
      </c>
      <c r="AS63" s="262">
        <f t="shared" si="124"/>
        <v>5.451330987449856E-2</v>
      </c>
      <c r="AT63" s="262">
        <f t="shared" si="124"/>
        <v>6.2117090113364179E-2</v>
      </c>
      <c r="AU63" s="262">
        <f t="shared" si="124"/>
        <v>0.20548302128271598</v>
      </c>
      <c r="AV63" s="504">
        <f t="shared" si="124"/>
        <v>0.32306221073686364</v>
      </c>
      <c r="AW63" s="504">
        <f t="shared" si="124"/>
        <v>0.4476624019951147</v>
      </c>
      <c r="AX63" s="504">
        <f t="shared" si="124"/>
        <v>0.34489302023445345</v>
      </c>
      <c r="AY63" s="504">
        <f t="shared" si="124"/>
        <v>0.39695029720294012</v>
      </c>
      <c r="AZ63" s="504">
        <f t="shared" si="124"/>
        <v>0.30964953771643644</v>
      </c>
      <c r="BA63" s="504">
        <f t="shared" si="124"/>
        <v>0.18450281485826966</v>
      </c>
      <c r="BB63" s="521">
        <f t="shared" si="124"/>
        <v>0.21506985505591183</v>
      </c>
      <c r="BC63" s="504">
        <f t="shared" si="124"/>
        <v>0.10337827556637595</v>
      </c>
      <c r="BD63" s="504">
        <f t="shared" si="124"/>
        <v>2.5094806821872852E-2</v>
      </c>
      <c r="BE63" s="504">
        <f t="shared" si="124"/>
        <v>2.0435319266469128E-2</v>
      </c>
      <c r="BF63" s="504">
        <f t="shared" si="124"/>
        <v>7.4755610721357835E-2</v>
      </c>
      <c r="BG63" s="504">
        <f t="shared" si="124"/>
        <v>0.20597087107553286</v>
      </c>
      <c r="BH63" s="504">
        <f t="shared" si="124"/>
        <v>0.21524946179808105</v>
      </c>
      <c r="BI63" s="504">
        <f t="shared" si="124"/>
        <v>0.26239163248615277</v>
      </c>
      <c r="BJ63" s="504">
        <f t="shared" si="124"/>
        <v>0.22971843765687605</v>
      </c>
      <c r="BK63" s="504">
        <f t="shared" si="124"/>
        <v>0.36481256521614969</v>
      </c>
      <c r="BL63" s="504">
        <f t="shared" si="124"/>
        <v>0.26595684250891172</v>
      </c>
      <c r="BM63" s="504">
        <f t="shared" si="124"/>
        <v>0.41135962300603501</v>
      </c>
      <c r="BN63" s="504">
        <f t="shared" si="124"/>
        <v>0.25930650552444329</v>
      </c>
      <c r="BO63" s="262">
        <f t="shared" si="124"/>
        <v>0.1985477371598377</v>
      </c>
      <c r="BP63" s="504">
        <f t="shared" si="124"/>
        <v>0.37157402392989808</v>
      </c>
      <c r="BQ63" s="504">
        <f t="shared" si="124"/>
        <v>0.19102366816253294</v>
      </c>
      <c r="BR63" s="504">
        <f t="shared" si="124"/>
        <v>6.8249554463777951E-2</v>
      </c>
      <c r="BS63" s="504">
        <f t="shared" si="124"/>
        <v>0.12263950339546179</v>
      </c>
      <c r="BT63" s="504">
        <f t="shared" si="124"/>
        <v>0.1932873836460601</v>
      </c>
      <c r="BU63" s="504">
        <f t="shared" si="124"/>
        <v>0.20168500740297865</v>
      </c>
      <c r="BV63" s="504">
        <f t="shared" si="124"/>
        <v>0.24610362475648079</v>
      </c>
      <c r="BW63" s="504">
        <f t="shared" si="124"/>
        <v>0.21537715852809411</v>
      </c>
      <c r="BX63" s="504">
        <f t="shared" si="124"/>
        <v>0.34126766010103027</v>
      </c>
      <c r="BY63" s="504">
        <f t="shared" si="124"/>
        <v>0.24935753709365971</v>
      </c>
      <c r="BZ63" s="504">
        <f t="shared" si="124"/>
        <v>0.38375862795878884</v>
      </c>
      <c r="CA63" s="504">
        <f t="shared" si="124"/>
        <v>0.24092003716646068</v>
      </c>
      <c r="CB63" s="262">
        <f t="shared" si="124"/>
        <v>0.23045960332946269</v>
      </c>
    </row>
    <row r="64" spans="1:80" x14ac:dyDescent="0.25">
      <c r="A64" s="753"/>
      <c r="B64" s="228" t="s">
        <v>133</v>
      </c>
      <c r="C64" s="263">
        <f t="shared" ref="C64:N64" si="125">+SUM(C13:C15)/SUM(C12:C15)</f>
        <v>0</v>
      </c>
      <c r="D64" s="263">
        <f t="shared" si="125"/>
        <v>0</v>
      </c>
      <c r="E64" s="263">
        <f t="shared" si="125"/>
        <v>0</v>
      </c>
      <c r="F64" s="263">
        <f t="shared" si="125"/>
        <v>0</v>
      </c>
      <c r="G64" s="263">
        <f t="shared" si="125"/>
        <v>0</v>
      </c>
      <c r="H64" s="263">
        <f t="shared" si="125"/>
        <v>0</v>
      </c>
      <c r="I64" s="263">
        <f t="shared" si="125"/>
        <v>0</v>
      </c>
      <c r="J64" s="263">
        <f t="shared" si="125"/>
        <v>0</v>
      </c>
      <c r="K64" s="263">
        <f t="shared" si="125"/>
        <v>0</v>
      </c>
      <c r="L64" s="263">
        <f t="shared" si="125"/>
        <v>0</v>
      </c>
      <c r="M64" s="263">
        <f t="shared" si="125"/>
        <v>0</v>
      </c>
      <c r="N64" s="263">
        <f t="shared" si="125"/>
        <v>0</v>
      </c>
      <c r="O64" s="263">
        <f>+SUM(O13:O14)/SUM(O12:O14)</f>
        <v>0</v>
      </c>
      <c r="P64" s="263">
        <f t="shared" ref="P64:AA64" si="126">+SUM(P13:P15)/SUM(P12:P15)</f>
        <v>0</v>
      </c>
      <c r="Q64" s="263">
        <f t="shared" si="126"/>
        <v>0</v>
      </c>
      <c r="R64" s="263">
        <f t="shared" si="126"/>
        <v>0</v>
      </c>
      <c r="S64" s="263">
        <f t="shared" si="126"/>
        <v>0</v>
      </c>
      <c r="T64" s="263">
        <f t="shared" si="126"/>
        <v>0</v>
      </c>
      <c r="U64" s="263">
        <f t="shared" si="126"/>
        <v>0</v>
      </c>
      <c r="V64" s="263">
        <f t="shared" si="126"/>
        <v>0</v>
      </c>
      <c r="W64" s="263">
        <f t="shared" si="126"/>
        <v>0</v>
      </c>
      <c r="X64" s="263">
        <f t="shared" si="126"/>
        <v>0</v>
      </c>
      <c r="Y64" s="263">
        <f t="shared" si="126"/>
        <v>0</v>
      </c>
      <c r="Z64" s="263">
        <f t="shared" si="126"/>
        <v>0</v>
      </c>
      <c r="AA64" s="263">
        <f t="shared" si="126"/>
        <v>0</v>
      </c>
      <c r="AB64" s="263">
        <f>+SUM(AB13:AB14)/SUM(AB12:AB14)</f>
        <v>0</v>
      </c>
      <c r="AC64" s="263">
        <f t="shared" ref="AC64:AN64" si="127">+SUM(AC13:AC15)/SUM(AC12:AC15)</f>
        <v>0</v>
      </c>
      <c r="AD64" s="263">
        <f t="shared" si="127"/>
        <v>0</v>
      </c>
      <c r="AE64" s="263">
        <f t="shared" si="127"/>
        <v>0</v>
      </c>
      <c r="AF64" s="263">
        <f t="shared" si="127"/>
        <v>0</v>
      </c>
      <c r="AG64" s="263">
        <f t="shared" si="127"/>
        <v>2.0523932276326831E-2</v>
      </c>
      <c r="AH64" s="263">
        <f t="shared" si="127"/>
        <v>6.1114218866408991E-2</v>
      </c>
      <c r="AI64" s="263">
        <f t="shared" si="127"/>
        <v>6.2417297446275638E-2</v>
      </c>
      <c r="AJ64" s="263">
        <f t="shared" si="127"/>
        <v>7.9263903296853885E-2</v>
      </c>
      <c r="AK64" s="263">
        <f t="shared" si="127"/>
        <v>8.5942039088761343E-2</v>
      </c>
      <c r="AL64" s="263">
        <f t="shared" si="127"/>
        <v>8.4654038491019434E-2</v>
      </c>
      <c r="AM64" s="263">
        <f t="shared" si="127"/>
        <v>8.0336159220520217E-2</v>
      </c>
      <c r="AN64" s="263">
        <f t="shared" si="127"/>
        <v>7.9626726973394443E-2</v>
      </c>
      <c r="AO64" s="263">
        <f>+SUM(AO13:AO14)/SUM(AO12:AO14)</f>
        <v>4.300468051171355E-2</v>
      </c>
      <c r="AP64" s="263">
        <f t="shared" ref="AP64:CB64" si="128">+SUM(AP13:AP15)/SUM(AP12:AP15)</f>
        <v>0.11930045182482797</v>
      </c>
      <c r="AQ64" s="263">
        <f t="shared" si="128"/>
        <v>0.1339680861732172</v>
      </c>
      <c r="AR64" s="263">
        <f t="shared" si="128"/>
        <v>0.10778735078085148</v>
      </c>
      <c r="AS64" s="263">
        <f t="shared" si="128"/>
        <v>0.10460352806023999</v>
      </c>
      <c r="AT64" s="263">
        <f t="shared" si="128"/>
        <v>5.4315789856485351E-2</v>
      </c>
      <c r="AU64" s="263">
        <f t="shared" si="128"/>
        <v>6.0467952417694738E-2</v>
      </c>
      <c r="AV64" s="505">
        <f t="shared" si="128"/>
        <v>0.20833491793023212</v>
      </c>
      <c r="AW64" s="505">
        <f t="shared" si="128"/>
        <v>0.24050264292917076</v>
      </c>
      <c r="AX64" s="505">
        <f t="shared" si="128"/>
        <v>0.21848635467685534</v>
      </c>
      <c r="AY64" s="505">
        <f t="shared" si="128"/>
        <v>0.20000980541490199</v>
      </c>
      <c r="AZ64" s="505">
        <f t="shared" si="128"/>
        <v>0.21693174239569141</v>
      </c>
      <c r="BA64" s="505">
        <f t="shared" si="128"/>
        <v>0.18807500381357287</v>
      </c>
      <c r="BB64" s="522">
        <f t="shared" si="128"/>
        <v>0.15155222816405178</v>
      </c>
      <c r="BC64" s="505">
        <f t="shared" si="128"/>
        <v>0.16944535668983088</v>
      </c>
      <c r="BD64" s="505">
        <f t="shared" si="128"/>
        <v>0.12062345036921007</v>
      </c>
      <c r="BE64" s="505">
        <f t="shared" si="128"/>
        <v>7.9258276978350334E-2</v>
      </c>
      <c r="BF64" s="505">
        <f t="shared" si="128"/>
        <v>0.11803115269108307</v>
      </c>
      <c r="BG64" s="505">
        <f t="shared" si="128"/>
        <v>0.18333853194925862</v>
      </c>
      <c r="BH64" s="505">
        <f t="shared" si="128"/>
        <v>0.1787824977061859</v>
      </c>
      <c r="BI64" s="505">
        <f t="shared" si="128"/>
        <v>0.20444947974766844</v>
      </c>
      <c r="BJ64" s="505">
        <f t="shared" si="128"/>
        <v>0.22860208449647257</v>
      </c>
      <c r="BK64" s="505">
        <f t="shared" si="128"/>
        <v>0.29138518908558175</v>
      </c>
      <c r="BL64" s="505">
        <f t="shared" si="128"/>
        <v>0.24242103356072892</v>
      </c>
      <c r="BM64" s="505">
        <f t="shared" si="128"/>
        <v>0.28743317733450779</v>
      </c>
      <c r="BN64" s="505">
        <f t="shared" si="128"/>
        <v>0.210775127503292</v>
      </c>
      <c r="BO64" s="263">
        <f t="shared" si="128"/>
        <v>0.18782330943795622</v>
      </c>
      <c r="BP64" s="505">
        <f t="shared" si="128"/>
        <v>0.24652887667521456</v>
      </c>
      <c r="BQ64" s="505">
        <f t="shared" si="128"/>
        <v>0.16553536301126681</v>
      </c>
      <c r="BR64" s="505">
        <f t="shared" si="128"/>
        <v>0.10882455435764173</v>
      </c>
      <c r="BS64" s="505">
        <f t="shared" si="128"/>
        <v>0.1241199224648383</v>
      </c>
      <c r="BT64" s="505">
        <f t="shared" si="128"/>
        <v>0.17204872211753897</v>
      </c>
      <c r="BU64" s="505">
        <f t="shared" si="128"/>
        <v>0.16751609538155218</v>
      </c>
      <c r="BV64" s="505">
        <f t="shared" si="128"/>
        <v>0.19175824155952553</v>
      </c>
      <c r="BW64" s="505">
        <f t="shared" si="128"/>
        <v>0.21433049908684937</v>
      </c>
      <c r="BX64" s="505">
        <f t="shared" si="128"/>
        <v>0.27257926713246522</v>
      </c>
      <c r="BY64" s="505">
        <f t="shared" si="128"/>
        <v>0.22729068106746397</v>
      </c>
      <c r="BZ64" s="505">
        <f t="shared" si="128"/>
        <v>0.26814727453721843</v>
      </c>
      <c r="CA64" s="505">
        <f t="shared" si="128"/>
        <v>0.19582984024699637</v>
      </c>
      <c r="CB64" s="263">
        <f t="shared" si="128"/>
        <v>0.19260024987164098</v>
      </c>
    </row>
    <row r="65" spans="1:80" x14ac:dyDescent="0.25">
      <c r="A65" s="753"/>
      <c r="B65" s="217" t="s">
        <v>40</v>
      </c>
      <c r="C65" s="264">
        <f t="shared" ref="C65:N65" si="129">+SUM(C20)/SUM(C19:C20)</f>
        <v>0</v>
      </c>
      <c r="D65" s="264">
        <f t="shared" si="129"/>
        <v>0</v>
      </c>
      <c r="E65" s="264">
        <f t="shared" si="129"/>
        <v>0</v>
      </c>
      <c r="F65" s="264">
        <f t="shared" si="129"/>
        <v>0</v>
      </c>
      <c r="G65" s="264">
        <f t="shared" si="129"/>
        <v>0</v>
      </c>
      <c r="H65" s="264">
        <f t="shared" si="129"/>
        <v>0</v>
      </c>
      <c r="I65" s="264">
        <f t="shared" si="129"/>
        <v>0</v>
      </c>
      <c r="J65" s="264">
        <f t="shared" si="129"/>
        <v>0</v>
      </c>
      <c r="K65" s="264">
        <f t="shared" si="129"/>
        <v>0</v>
      </c>
      <c r="L65" s="264">
        <f t="shared" si="129"/>
        <v>0</v>
      </c>
      <c r="M65" s="264">
        <f t="shared" si="129"/>
        <v>0</v>
      </c>
      <c r="N65" s="264">
        <f t="shared" si="129"/>
        <v>0</v>
      </c>
      <c r="O65" s="264">
        <v>0</v>
      </c>
      <c r="P65" s="264">
        <f t="shared" ref="P65:AA65" si="130">+SUM(P20)/SUM(P19:P20)</f>
        <v>0</v>
      </c>
      <c r="Q65" s="264">
        <f t="shared" si="130"/>
        <v>0</v>
      </c>
      <c r="R65" s="264">
        <f t="shared" si="130"/>
        <v>0</v>
      </c>
      <c r="S65" s="264">
        <f t="shared" si="130"/>
        <v>0</v>
      </c>
      <c r="T65" s="264">
        <f t="shared" si="130"/>
        <v>0</v>
      </c>
      <c r="U65" s="264">
        <f t="shared" si="130"/>
        <v>0</v>
      </c>
      <c r="V65" s="264">
        <f t="shared" si="130"/>
        <v>0</v>
      </c>
      <c r="W65" s="264">
        <f t="shared" si="130"/>
        <v>0</v>
      </c>
      <c r="X65" s="264">
        <f t="shared" si="130"/>
        <v>0</v>
      </c>
      <c r="Y65" s="264">
        <f t="shared" si="130"/>
        <v>0</v>
      </c>
      <c r="Z65" s="264">
        <f t="shared" si="130"/>
        <v>0</v>
      </c>
      <c r="AA65" s="264">
        <f t="shared" si="130"/>
        <v>0</v>
      </c>
      <c r="AB65" s="264">
        <v>0</v>
      </c>
      <c r="AC65" s="264">
        <f t="shared" ref="AC65:AN65" si="131">+SUM(AC20)/SUM(AC19:AC20)</f>
        <v>0</v>
      </c>
      <c r="AD65" s="264">
        <f t="shared" si="131"/>
        <v>0</v>
      </c>
      <c r="AE65" s="264">
        <f t="shared" si="131"/>
        <v>0</v>
      </c>
      <c r="AF65" s="264">
        <f t="shared" si="131"/>
        <v>0</v>
      </c>
      <c r="AG65" s="264">
        <f t="shared" si="131"/>
        <v>0</v>
      </c>
      <c r="AH65" s="264">
        <f t="shared" si="131"/>
        <v>0</v>
      </c>
      <c r="AI65" s="264">
        <f t="shared" si="131"/>
        <v>0</v>
      </c>
      <c r="AJ65" s="264">
        <f t="shared" si="131"/>
        <v>0</v>
      </c>
      <c r="AK65" s="264">
        <f t="shared" si="131"/>
        <v>0</v>
      </c>
      <c r="AL65" s="264">
        <f t="shared" si="131"/>
        <v>0</v>
      </c>
      <c r="AM65" s="264">
        <f t="shared" si="131"/>
        <v>0</v>
      </c>
      <c r="AN65" s="264">
        <f t="shared" si="131"/>
        <v>0</v>
      </c>
      <c r="AO65" s="264">
        <v>0</v>
      </c>
      <c r="AP65" s="264">
        <f t="shared" ref="AP65:CB65" si="132">+SUM(AP20)/SUM(AP19:AP20)</f>
        <v>4.3385246024265816E-3</v>
      </c>
      <c r="AQ65" s="264">
        <f t="shared" si="132"/>
        <v>4.4710078268332416E-3</v>
      </c>
      <c r="AR65" s="264">
        <f t="shared" si="132"/>
        <v>3.8607982533216179E-3</v>
      </c>
      <c r="AS65" s="264">
        <f t="shared" si="132"/>
        <v>3.9290512696029175E-3</v>
      </c>
      <c r="AT65" s="264">
        <f t="shared" si="132"/>
        <v>4.0975981951728406E-3</v>
      </c>
      <c r="AU65" s="264">
        <f t="shared" si="132"/>
        <v>4.1858417511252454E-3</v>
      </c>
      <c r="AV65" s="506">
        <f t="shared" si="132"/>
        <v>4.2064547322615735E-3</v>
      </c>
      <c r="AW65" s="506">
        <f t="shared" si="132"/>
        <v>4.8676775023778884E-3</v>
      </c>
      <c r="AX65" s="506">
        <f t="shared" si="132"/>
        <v>5.1218650653479334E-3</v>
      </c>
      <c r="AY65" s="506">
        <f t="shared" si="132"/>
        <v>4.6357968774977353E-3</v>
      </c>
      <c r="AZ65" s="506">
        <f t="shared" si="132"/>
        <v>4.1696421296806632E-3</v>
      </c>
      <c r="BA65" s="506">
        <f t="shared" si="132"/>
        <v>2.668752588229881E-3</v>
      </c>
      <c r="BB65" s="523">
        <f t="shared" si="132"/>
        <v>4.1616937049694285E-3</v>
      </c>
      <c r="BC65" s="506">
        <f t="shared" si="132"/>
        <v>2.6399854345631195E-3</v>
      </c>
      <c r="BD65" s="506">
        <f t="shared" si="132"/>
        <v>2.6103357841031371E-3</v>
      </c>
      <c r="BE65" s="506">
        <f t="shared" si="132"/>
        <v>2.3247297683833107E-3</v>
      </c>
      <c r="BF65" s="506">
        <f t="shared" si="132"/>
        <v>2.67772452174497E-3</v>
      </c>
      <c r="BG65" s="506">
        <f t="shared" si="132"/>
        <v>3.7174564284923051E-3</v>
      </c>
      <c r="BH65" s="506">
        <f t="shared" si="132"/>
        <v>4.0438486556101218E-3</v>
      </c>
      <c r="BI65" s="506">
        <f t="shared" si="132"/>
        <v>4.205039729993045E-3</v>
      </c>
      <c r="BJ65" s="506">
        <f t="shared" si="132"/>
        <v>4.6692316728595583E-3</v>
      </c>
      <c r="BK65" s="506">
        <f t="shared" si="132"/>
        <v>4.9898086186765684E-3</v>
      </c>
      <c r="BL65" s="506">
        <f t="shared" si="132"/>
        <v>4.6327211724921302E-3</v>
      </c>
      <c r="BM65" s="506">
        <f t="shared" si="132"/>
        <v>4.3590653358161107E-3</v>
      </c>
      <c r="BN65" s="506">
        <f t="shared" si="132"/>
        <v>4.0149348241834476E-3</v>
      </c>
      <c r="BO65" s="264">
        <f t="shared" si="132"/>
        <v>3.6310861993820863E-3</v>
      </c>
      <c r="BP65" s="506">
        <f t="shared" si="132"/>
        <v>3.6198237261348396E-3</v>
      </c>
      <c r="BQ65" s="506">
        <f t="shared" si="132"/>
        <v>3.4601009553542703E-3</v>
      </c>
      <c r="BR65" s="506">
        <f t="shared" si="132"/>
        <v>3.0909291255141018E-3</v>
      </c>
      <c r="BS65" s="506">
        <f t="shared" si="132"/>
        <v>3.2046193741325783E-3</v>
      </c>
      <c r="BT65" s="506">
        <f t="shared" si="132"/>
        <v>3.4885390498640228E-3</v>
      </c>
      <c r="BU65" s="506">
        <f t="shared" si="132"/>
        <v>3.7890159595768322E-3</v>
      </c>
      <c r="BV65" s="506">
        <f t="shared" si="132"/>
        <v>3.9440111332472291E-3</v>
      </c>
      <c r="BW65" s="506">
        <f t="shared" si="132"/>
        <v>4.3777324121974746E-3</v>
      </c>
      <c r="BX65" s="506">
        <f t="shared" si="132"/>
        <v>4.6677677087102803E-3</v>
      </c>
      <c r="BY65" s="506">
        <f t="shared" si="132"/>
        <v>4.3435766897991371E-3</v>
      </c>
      <c r="BZ65" s="506">
        <f t="shared" si="132"/>
        <v>4.0665851456961437E-3</v>
      </c>
      <c r="CA65" s="506">
        <f t="shared" si="132"/>
        <v>3.7302505970950813E-3</v>
      </c>
      <c r="CB65" s="264">
        <f t="shared" si="132"/>
        <v>3.7595881003781805E-3</v>
      </c>
    </row>
    <row r="66" spans="1:80" ht="15.75" thickBot="1" x14ac:dyDescent="0.3">
      <c r="A66" s="753"/>
      <c r="B66" s="233" t="s">
        <v>134</v>
      </c>
      <c r="C66" s="265">
        <f t="shared" ref="C66:N66" si="133">+SUM(C24:C26)/SUM(C23:C26)</f>
        <v>1</v>
      </c>
      <c r="D66" s="265">
        <f t="shared" si="133"/>
        <v>0.28779858547217652</v>
      </c>
      <c r="E66" s="265">
        <f t="shared" si="133"/>
        <v>0.59279787478272272</v>
      </c>
      <c r="F66" s="265">
        <f t="shared" si="133"/>
        <v>0.34440654190709979</v>
      </c>
      <c r="G66" s="265">
        <f t="shared" si="133"/>
        <v>0.20043572984749455</v>
      </c>
      <c r="H66" s="265">
        <f t="shared" si="133"/>
        <v>0.26368052488801969</v>
      </c>
      <c r="I66" s="265">
        <f t="shared" si="133"/>
        <v>0.20000668583272047</v>
      </c>
      <c r="J66" s="265">
        <f t="shared" si="133"/>
        <v>0.17222598105548037</v>
      </c>
      <c r="K66" s="265">
        <f t="shared" si="133"/>
        <v>0</v>
      </c>
      <c r="L66" s="265">
        <f t="shared" si="133"/>
        <v>0</v>
      </c>
      <c r="M66" s="265">
        <f t="shared" si="133"/>
        <v>0</v>
      </c>
      <c r="N66" s="265">
        <f t="shared" si="133"/>
        <v>0</v>
      </c>
      <c r="O66" s="265">
        <f>+SUM(O24:O25)/SUM(O23:O25)</f>
        <v>0.24085401513965882</v>
      </c>
      <c r="P66" s="265">
        <f t="shared" ref="P66:AA66" si="134">+SUM(P24:P26)/SUM(P23:P26)</f>
        <v>0</v>
      </c>
      <c r="Q66" s="265">
        <f t="shared" si="134"/>
        <v>0</v>
      </c>
      <c r="R66" s="265">
        <f t="shared" si="134"/>
        <v>0.47052003670847353</v>
      </c>
      <c r="S66" s="265">
        <f t="shared" si="134"/>
        <v>0.5</v>
      </c>
      <c r="T66" s="265">
        <f t="shared" si="134"/>
        <v>0.51269369120088548</v>
      </c>
      <c r="U66" s="265">
        <f t="shared" si="134"/>
        <v>0.5</v>
      </c>
      <c r="V66" s="265">
        <f t="shared" si="134"/>
        <v>0.5</v>
      </c>
      <c r="W66" s="265">
        <f t="shared" si="134"/>
        <v>0.75</v>
      </c>
      <c r="X66" s="265">
        <f t="shared" si="134"/>
        <v>0.75</v>
      </c>
      <c r="Y66" s="265">
        <f t="shared" si="134"/>
        <v>0.73833961283616989</v>
      </c>
      <c r="Z66" s="265">
        <f t="shared" si="134"/>
        <v>0.7502460899048452</v>
      </c>
      <c r="AA66" s="265">
        <f t="shared" si="134"/>
        <v>0.74989757566041437</v>
      </c>
      <c r="AB66" s="265">
        <f>+SUM(AB24:AB25)/SUM(AB23:AB25)</f>
        <v>0.51008626576865435</v>
      </c>
      <c r="AC66" s="265">
        <f t="shared" ref="AC66:AN66" si="135">+SUM(AC24:AC26)/SUM(AC23:AC26)</f>
        <v>0.75</v>
      </c>
      <c r="AD66" s="265">
        <f t="shared" si="135"/>
        <v>5.6247652435207213E-2</v>
      </c>
      <c r="AE66" s="265">
        <f t="shared" si="135"/>
        <v>0</v>
      </c>
      <c r="AF66" s="265">
        <f t="shared" si="135"/>
        <v>0</v>
      </c>
      <c r="AG66" s="265">
        <f t="shared" si="135"/>
        <v>0</v>
      </c>
      <c r="AH66" s="265">
        <f t="shared" si="135"/>
        <v>2.4620487855181688E-3</v>
      </c>
      <c r="AI66" s="265">
        <f t="shared" si="135"/>
        <v>1.7206876146914418E-2</v>
      </c>
      <c r="AJ66" s="265">
        <f t="shared" si="135"/>
        <v>2.7102220345104844E-2</v>
      </c>
      <c r="AK66" s="265">
        <f t="shared" si="135"/>
        <v>0.27566045907319187</v>
      </c>
      <c r="AL66" s="265">
        <f t="shared" si="135"/>
        <v>0.35150473892487516</v>
      </c>
      <c r="AM66" s="265">
        <f t="shared" si="135"/>
        <v>0.5349290056523397</v>
      </c>
      <c r="AN66" s="265">
        <f t="shared" si="135"/>
        <v>0.51354925890907188</v>
      </c>
      <c r="AO66" s="265">
        <f>+SUM(AO24:AO25)/SUM(AO23:AO25)</f>
        <v>0.19940378131037279</v>
      </c>
      <c r="AP66" s="265">
        <f t="shared" ref="AP66:CB66" si="136">+SUM(AP24:AP26)/SUM(AP23:AP26)</f>
        <v>0.52956527543697318</v>
      </c>
      <c r="AQ66" s="265">
        <f t="shared" si="136"/>
        <v>0.43725190839694655</v>
      </c>
      <c r="AR66" s="265">
        <f t="shared" si="136"/>
        <v>0.36336159024150338</v>
      </c>
      <c r="AS66" s="265">
        <f t="shared" si="136"/>
        <v>0.35779904744458696</v>
      </c>
      <c r="AT66" s="265">
        <f t="shared" si="136"/>
        <v>0.35424114253353628</v>
      </c>
      <c r="AU66" s="265">
        <f t="shared" si="136"/>
        <v>0.36007013337134708</v>
      </c>
      <c r="AV66" s="507">
        <f t="shared" si="136"/>
        <v>9.0808176889053904E-2</v>
      </c>
      <c r="AW66" s="507">
        <f t="shared" si="136"/>
        <v>9.2647932876173802E-2</v>
      </c>
      <c r="AX66" s="507">
        <f t="shared" si="136"/>
        <v>9.1713291506988842E-2</v>
      </c>
      <c r="AY66" s="507">
        <f t="shared" si="136"/>
        <v>0.25466449181265782</v>
      </c>
      <c r="AZ66" s="507">
        <f t="shared" si="136"/>
        <v>0.45472387379933382</v>
      </c>
      <c r="BA66" s="507">
        <f t="shared" si="136"/>
        <v>0.46366399408850523</v>
      </c>
      <c r="BB66" s="524">
        <f t="shared" si="136"/>
        <v>0.3251809199816123</v>
      </c>
      <c r="BC66" s="507">
        <f t="shared" si="136"/>
        <v>0.32992562285662469</v>
      </c>
      <c r="BD66" s="507">
        <f t="shared" si="136"/>
        <v>0.39828166029391443</v>
      </c>
      <c r="BE66" s="507">
        <f t="shared" si="136"/>
        <v>0.40952012784442116</v>
      </c>
      <c r="BF66" s="507">
        <f t="shared" si="136"/>
        <v>0.29645382260521247</v>
      </c>
      <c r="BG66" s="507">
        <f t="shared" si="136"/>
        <v>0.36287595515204824</v>
      </c>
      <c r="BH66" s="507">
        <f t="shared" si="136"/>
        <v>0.3628188272058876</v>
      </c>
      <c r="BI66" s="507">
        <f t="shared" si="136"/>
        <v>0.3480219064720072</v>
      </c>
      <c r="BJ66" s="507">
        <f t="shared" si="136"/>
        <v>0.36355971052828484</v>
      </c>
      <c r="BK66" s="507">
        <f t="shared" si="136"/>
        <v>0.39739372722620525</v>
      </c>
      <c r="BL66" s="507">
        <f t="shared" si="136"/>
        <v>0.40691851110101368</v>
      </c>
      <c r="BM66" s="507">
        <f t="shared" si="136"/>
        <v>0.38816875609372375</v>
      </c>
      <c r="BN66" s="507">
        <f t="shared" si="136"/>
        <v>0.36816993572217843</v>
      </c>
      <c r="BO66" s="265">
        <f t="shared" si="136"/>
        <v>0.36776309939218327</v>
      </c>
      <c r="BP66" s="507">
        <f t="shared" si="136"/>
        <v>0.36730340583473448</v>
      </c>
      <c r="BQ66" s="507">
        <f t="shared" si="136"/>
        <v>0.37183791299063729</v>
      </c>
      <c r="BR66" s="507">
        <f t="shared" si="136"/>
        <v>0.37011082842444581</v>
      </c>
      <c r="BS66" s="507">
        <f t="shared" si="136"/>
        <v>0.36160607245689091</v>
      </c>
      <c r="BT66" s="507">
        <f t="shared" si="136"/>
        <v>0.35592516278619113</v>
      </c>
      <c r="BU66" s="507">
        <f t="shared" si="136"/>
        <v>0.35570928173357996</v>
      </c>
      <c r="BV66" s="507">
        <f t="shared" si="136"/>
        <v>0.3419371790164642</v>
      </c>
      <c r="BW66" s="507">
        <f t="shared" si="136"/>
        <v>0.35647019902419569</v>
      </c>
      <c r="BX66" s="507">
        <f t="shared" si="136"/>
        <v>0.38788097560250878</v>
      </c>
      <c r="BY66" s="507">
        <f t="shared" si="136"/>
        <v>0.39712467287335068</v>
      </c>
      <c r="BZ66" s="507">
        <f t="shared" si="136"/>
        <v>0.37889804759598894</v>
      </c>
      <c r="CA66" s="507">
        <f t="shared" si="136"/>
        <v>0.3597909412205697</v>
      </c>
      <c r="CB66" s="265">
        <f t="shared" si="136"/>
        <v>0.36623583073652355</v>
      </c>
    </row>
    <row r="67" spans="1:80" ht="15.75" thickBot="1" x14ac:dyDescent="0.3">
      <c r="A67" s="754" t="s">
        <v>126</v>
      </c>
      <c r="B67" s="755"/>
      <c r="C67" s="266">
        <f t="shared" ref="C67:AO67" si="137">SUM(C7:C8,C13:C14,C24:C25)/C30</f>
        <v>3.3756533044214741E-2</v>
      </c>
      <c r="D67" s="266">
        <f t="shared" si="137"/>
        <v>8.7135566371547846E-3</v>
      </c>
      <c r="E67" s="266">
        <f t="shared" si="137"/>
        <v>5.0156636313645003E-2</v>
      </c>
      <c r="F67" s="266">
        <f t="shared" si="137"/>
        <v>1.876424209215884E-2</v>
      </c>
      <c r="G67" s="266">
        <f t="shared" si="137"/>
        <v>3.3011446462344371E-2</v>
      </c>
      <c r="H67" s="266">
        <f t="shared" si="137"/>
        <v>3.9841550932408272E-2</v>
      </c>
      <c r="I67" s="266">
        <f t="shared" si="137"/>
        <v>8.6625035544251994E-2</v>
      </c>
      <c r="J67" s="266">
        <f t="shared" si="137"/>
        <v>0.13473690793382254</v>
      </c>
      <c r="K67" s="266">
        <f t="shared" si="137"/>
        <v>0.12589451421393111</v>
      </c>
      <c r="L67" s="266">
        <f t="shared" si="137"/>
        <v>9.3706106546963666E-2</v>
      </c>
      <c r="M67" s="266">
        <f t="shared" si="137"/>
        <v>9.9466999477131543E-2</v>
      </c>
      <c r="N67" s="266">
        <f t="shared" si="137"/>
        <v>7.4157269423136621E-2</v>
      </c>
      <c r="O67" s="266">
        <f t="shared" si="137"/>
        <v>6.3942874959403997E-2</v>
      </c>
      <c r="P67" s="266">
        <f t="shared" si="137"/>
        <v>4.4378931321267447E-2</v>
      </c>
      <c r="Q67" s="266">
        <f t="shared" si="137"/>
        <v>1.9884902258788178E-2</v>
      </c>
      <c r="R67" s="266">
        <f t="shared" si="137"/>
        <v>3.0656735933143702E-2</v>
      </c>
      <c r="S67" s="266">
        <f t="shared" si="137"/>
        <v>1.4218282628022558E-2</v>
      </c>
      <c r="T67" s="266">
        <f t="shared" si="137"/>
        <v>0.11302640859548686</v>
      </c>
      <c r="U67" s="266">
        <f t="shared" si="137"/>
        <v>0.16498725645957563</v>
      </c>
      <c r="V67" s="266">
        <f t="shared" si="137"/>
        <v>0.1329336212203871</v>
      </c>
      <c r="W67" s="266">
        <f t="shared" si="137"/>
        <v>0.1515890561207312</v>
      </c>
      <c r="X67" s="266">
        <f t="shared" si="137"/>
        <v>0.13778169583461802</v>
      </c>
      <c r="Y67" s="266">
        <f t="shared" si="137"/>
        <v>0.12048507394119364</v>
      </c>
      <c r="Z67" s="266">
        <f t="shared" si="137"/>
        <v>0.12254475612404807</v>
      </c>
      <c r="AA67" s="266">
        <f t="shared" si="137"/>
        <v>8.9758120810874906E-2</v>
      </c>
      <c r="AB67" s="266">
        <f t="shared" si="137"/>
        <v>9.0017079533846148E-2</v>
      </c>
      <c r="AC67" s="266">
        <f t="shared" si="137"/>
        <v>7.065544693709562E-2</v>
      </c>
      <c r="AD67" s="266">
        <f t="shared" si="137"/>
        <v>5.0837298069244682E-2</v>
      </c>
      <c r="AE67" s="266">
        <f t="shared" si="137"/>
        <v>1.4184895472423392E-2</v>
      </c>
      <c r="AF67" s="266">
        <f t="shared" si="137"/>
        <v>3.6587462763713725E-2</v>
      </c>
      <c r="AG67" s="266">
        <f t="shared" si="137"/>
        <v>0.10121819808960239</v>
      </c>
      <c r="AH67" s="266">
        <f t="shared" si="137"/>
        <v>0.14283926551558679</v>
      </c>
      <c r="AI67" s="266">
        <f t="shared" si="137"/>
        <v>0.16624190343299053</v>
      </c>
      <c r="AJ67" s="266">
        <f t="shared" si="137"/>
        <v>0.13689267765184826</v>
      </c>
      <c r="AK67" s="266">
        <f t="shared" si="137"/>
        <v>0.20321894233113422</v>
      </c>
      <c r="AL67" s="266">
        <f t="shared" si="137"/>
        <v>0.17319180340664292</v>
      </c>
      <c r="AM67" s="266">
        <f t="shared" si="137"/>
        <v>0.14088643766437076</v>
      </c>
      <c r="AN67" s="266">
        <f t="shared" si="137"/>
        <v>0.12946416310597325</v>
      </c>
      <c r="AO67" s="266">
        <f t="shared" si="137"/>
        <v>0.10914669339464539</v>
      </c>
      <c r="AP67" s="266">
        <f t="shared" ref="AP67:CB67" si="138">SUM(AP7:AP8,AP13:AP15,AP24:AP26,AP20)/AP30</f>
        <v>0.13244965258334046</v>
      </c>
      <c r="AQ67" s="266">
        <f t="shared" si="138"/>
        <v>0.11749034617562622</v>
      </c>
      <c r="AR67" s="266">
        <f t="shared" si="138"/>
        <v>8.3199908847737286E-2</v>
      </c>
      <c r="AS67" s="266">
        <f t="shared" si="138"/>
        <v>8.1950448450004612E-2</v>
      </c>
      <c r="AT67" s="266">
        <f t="shared" si="138"/>
        <v>5.3703142547593896E-2</v>
      </c>
      <c r="AU67" s="266">
        <f t="shared" si="138"/>
        <v>0.10116984822431516</v>
      </c>
      <c r="AV67" s="266">
        <f t="shared" si="138"/>
        <v>0.22350244711099265</v>
      </c>
      <c r="AW67" s="266">
        <f t="shared" si="138"/>
        <v>0.27904557432368976</v>
      </c>
      <c r="AX67" s="266">
        <f t="shared" si="138"/>
        <v>0.236313798539808</v>
      </c>
      <c r="AY67" s="266">
        <f t="shared" si="138"/>
        <v>0.24066467012303433</v>
      </c>
      <c r="AZ67" s="266">
        <f t="shared" si="138"/>
        <v>0.22406855435341216</v>
      </c>
      <c r="BA67" s="266">
        <f t="shared" si="138"/>
        <v>0.17019955778668103</v>
      </c>
      <c r="BB67" s="525">
        <f t="shared" si="138"/>
        <v>0.15763615390448119</v>
      </c>
      <c r="BC67" s="266">
        <f t="shared" si="138"/>
        <v>0.13401422826724882</v>
      </c>
      <c r="BD67" s="266">
        <f t="shared" si="138"/>
        <v>8.2225957268014155E-2</v>
      </c>
      <c r="BE67" s="266">
        <f t="shared" si="138"/>
        <v>5.6083635138249398E-2</v>
      </c>
      <c r="BF67" s="266">
        <f t="shared" si="138"/>
        <v>8.811836175018635E-2</v>
      </c>
      <c r="BG67" s="266">
        <f t="shared" si="138"/>
        <v>0.17412234529441201</v>
      </c>
      <c r="BH67" s="266">
        <f t="shared" si="138"/>
        <v>0.17425107831928047</v>
      </c>
      <c r="BI67" s="266">
        <f t="shared" si="138"/>
        <v>0.20357841621005496</v>
      </c>
      <c r="BJ67" s="266">
        <f t="shared" si="138"/>
        <v>0.20959261475854107</v>
      </c>
      <c r="BK67" s="266">
        <f t="shared" si="138"/>
        <v>0.28751145293270558</v>
      </c>
      <c r="BL67" s="266">
        <f t="shared" si="138"/>
        <v>0.22885684182114288</v>
      </c>
      <c r="BM67" s="266">
        <f t="shared" si="138"/>
        <v>0.29836424797712191</v>
      </c>
      <c r="BN67" s="266">
        <f t="shared" si="138"/>
        <v>0.20729182913371441</v>
      </c>
      <c r="BO67" s="266">
        <f t="shared" si="138"/>
        <v>0.17210842592116884</v>
      </c>
      <c r="BP67" s="266">
        <f t="shared" si="138"/>
        <v>0.25970775401765778</v>
      </c>
      <c r="BQ67" s="266">
        <f t="shared" si="138"/>
        <v>0.1583341080549264</v>
      </c>
      <c r="BR67" s="266">
        <f t="shared" si="138"/>
        <v>8.8185216845585709E-2</v>
      </c>
      <c r="BS67" s="266">
        <f t="shared" si="138"/>
        <v>0.11311759169201324</v>
      </c>
      <c r="BT67" s="266">
        <f t="shared" si="138"/>
        <v>0.16346700333442488</v>
      </c>
      <c r="BU67" s="266">
        <f t="shared" si="138"/>
        <v>0.16333614375444225</v>
      </c>
      <c r="BV67" s="266">
        <f t="shared" si="138"/>
        <v>0.19101947137585715</v>
      </c>
      <c r="BW67" s="266">
        <f t="shared" si="138"/>
        <v>0.19658905890952297</v>
      </c>
      <c r="BX67" s="266">
        <f t="shared" si="138"/>
        <v>0.26903246178308005</v>
      </c>
      <c r="BY67" s="266">
        <f t="shared" si="138"/>
        <v>0.21464103264176362</v>
      </c>
      <c r="BZ67" s="266">
        <f t="shared" si="138"/>
        <v>0.27841990072794814</v>
      </c>
      <c r="CA67" s="266">
        <f t="shared" si="138"/>
        <v>0.19267559307142884</v>
      </c>
      <c r="CB67" s="266">
        <f t="shared" si="138"/>
        <v>0.18688057055894766</v>
      </c>
    </row>
    <row r="68" spans="1:80" x14ac:dyDescent="0.25">
      <c r="BB68" s="520"/>
    </row>
    <row r="116" spans="3:36" x14ac:dyDescent="0.25">
      <c r="C116" s="267"/>
      <c r="J116" s="267"/>
      <c r="P116" s="267"/>
      <c r="W116" s="267"/>
      <c r="AC116" s="267"/>
      <c r="AJ116" s="267"/>
    </row>
    <row r="118" spans="3:36" x14ac:dyDescent="0.25">
      <c r="AC118" s="267"/>
      <c r="AI118" s="267"/>
    </row>
    <row r="140" spans="3:36" x14ac:dyDescent="0.25">
      <c r="C140" s="267" t="s">
        <v>137</v>
      </c>
      <c r="J140" s="267"/>
      <c r="P140" s="267"/>
      <c r="W140" s="267"/>
      <c r="AC140" s="267"/>
      <c r="AJ140" s="267"/>
    </row>
  </sheetData>
  <mergeCells count="20">
    <mergeCell ref="A67:B67"/>
    <mergeCell ref="AC4:AO4"/>
    <mergeCell ref="C4:O4"/>
    <mergeCell ref="P4:AB4"/>
    <mergeCell ref="A56:A59"/>
    <mergeCell ref="A60:B60"/>
    <mergeCell ref="A63:A66"/>
    <mergeCell ref="A41:A45"/>
    <mergeCell ref="A29:B29"/>
    <mergeCell ref="A46:B46"/>
    <mergeCell ref="AP4:BB4"/>
    <mergeCell ref="BP4:CB4"/>
    <mergeCell ref="A49:A52"/>
    <mergeCell ref="A53:B53"/>
    <mergeCell ref="A2:AO2"/>
    <mergeCell ref="A30:B30"/>
    <mergeCell ref="A33:A37"/>
    <mergeCell ref="A38:B38"/>
    <mergeCell ref="BC4:BO4"/>
    <mergeCell ref="A6:A26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CB17"/>
  <sheetViews>
    <sheetView showGridLines="0" zoomScale="90" zoomScaleNormal="90" workbookViewId="0">
      <selection activeCell="O13" sqref="O13"/>
    </sheetView>
  </sheetViews>
  <sheetFormatPr baseColWidth="10" defaultRowHeight="15" x14ac:dyDescent="0.25"/>
  <cols>
    <col min="1" max="1" width="4.28515625" customWidth="1"/>
    <col min="2" max="2" width="50.42578125" bestFit="1" customWidth="1"/>
    <col min="3" max="14" width="14" hidden="1" customWidth="1"/>
    <col min="15" max="15" width="14" customWidth="1"/>
    <col min="16" max="27" width="14" hidden="1" customWidth="1"/>
    <col min="28" max="28" width="14" customWidth="1"/>
    <col min="29" max="40" width="14" hidden="1" customWidth="1"/>
    <col min="41" max="41" width="14" customWidth="1"/>
    <col min="42" max="53" width="0" hidden="1" customWidth="1"/>
    <col min="54" max="54" width="13" bestFit="1" customWidth="1"/>
    <col min="55" max="66" width="11.42578125" hidden="1" customWidth="1"/>
    <col min="67" max="67" width="13" bestFit="1" customWidth="1"/>
    <col min="68" max="79" width="13" hidden="1" customWidth="1"/>
    <col min="80" max="80" width="13" bestFit="1" customWidth="1"/>
  </cols>
  <sheetData>
    <row r="2" spans="2:80" ht="23.25" x14ac:dyDescent="0.25">
      <c r="B2" s="769" t="s">
        <v>138</v>
      </c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70"/>
      <c r="O2" s="770"/>
      <c r="P2" s="770"/>
      <c r="Q2" s="770"/>
      <c r="R2" s="770"/>
      <c r="S2" s="770"/>
      <c r="T2" s="770"/>
      <c r="U2" s="770"/>
      <c r="V2" s="770"/>
      <c r="W2" s="770"/>
      <c r="X2" s="770"/>
      <c r="Y2" s="770"/>
      <c r="Z2" s="770"/>
      <c r="AA2" s="770"/>
      <c r="AB2" s="770"/>
      <c r="AC2" s="770"/>
      <c r="AD2" s="770"/>
      <c r="AE2" s="770"/>
      <c r="AF2" s="770"/>
      <c r="AG2" s="770"/>
      <c r="AH2" s="770"/>
      <c r="AI2" s="770"/>
      <c r="AJ2" s="770"/>
      <c r="AK2" s="770"/>
      <c r="AL2" s="770"/>
      <c r="AM2" s="770"/>
      <c r="AN2" s="770"/>
      <c r="AO2" s="770"/>
      <c r="AP2" s="770"/>
      <c r="AQ2" s="770"/>
      <c r="AR2" s="770"/>
      <c r="AS2" s="770"/>
      <c r="AT2" s="770"/>
      <c r="AU2" s="770"/>
      <c r="AV2" s="770"/>
      <c r="AW2" s="770"/>
      <c r="AX2" s="770"/>
      <c r="AY2" s="770"/>
      <c r="AZ2" s="770"/>
      <c r="BA2" s="770"/>
      <c r="BB2" s="770"/>
      <c r="BC2" s="770"/>
      <c r="BD2" s="770"/>
      <c r="BE2" s="770"/>
      <c r="BF2" s="770"/>
      <c r="BG2" s="770"/>
      <c r="BH2" s="770"/>
      <c r="BI2" s="770"/>
      <c r="BJ2" s="770"/>
      <c r="BK2" s="770"/>
      <c r="BL2" s="770"/>
      <c r="BM2" s="770"/>
      <c r="BN2" s="770"/>
      <c r="BO2" s="770"/>
      <c r="BP2" s="704"/>
      <c r="BQ2" s="704"/>
      <c r="BR2" s="704"/>
      <c r="BS2" s="704"/>
      <c r="BT2" s="704"/>
      <c r="BU2" s="704"/>
      <c r="BV2" s="704"/>
      <c r="BW2" s="704"/>
      <c r="BX2" s="704"/>
      <c r="BY2" s="704"/>
      <c r="BZ2" s="704"/>
      <c r="CA2" s="704"/>
    </row>
    <row r="4" spans="2:80" ht="15.75" thickBot="1" x14ac:dyDescent="0.3">
      <c r="C4" s="750">
        <v>2012</v>
      </c>
      <c r="D4" s="750"/>
      <c r="E4" s="750"/>
      <c r="F4" s="750"/>
      <c r="G4" s="750"/>
      <c r="H4" s="750"/>
      <c r="I4" s="750"/>
      <c r="J4" s="750"/>
      <c r="K4" s="750"/>
      <c r="L4" s="750"/>
      <c r="M4" s="750"/>
      <c r="N4" s="750"/>
      <c r="O4" s="750"/>
      <c r="P4" s="750">
        <v>2013</v>
      </c>
      <c r="Q4" s="750"/>
      <c r="R4" s="750"/>
      <c r="S4" s="750"/>
      <c r="T4" s="750"/>
      <c r="U4" s="750"/>
      <c r="V4" s="750"/>
      <c r="W4" s="750"/>
      <c r="X4" s="750"/>
      <c r="Y4" s="750"/>
      <c r="Z4" s="750"/>
      <c r="AA4" s="750"/>
      <c r="AB4" s="750"/>
      <c r="AC4" s="750">
        <v>2014</v>
      </c>
      <c r="AD4" s="750"/>
      <c r="AE4" s="750"/>
      <c r="AF4" s="750"/>
      <c r="AG4" s="750"/>
      <c r="AH4" s="750"/>
      <c r="AI4" s="750"/>
      <c r="AJ4" s="750"/>
      <c r="AK4" s="750"/>
      <c r="AL4" s="750"/>
      <c r="AM4" s="750"/>
      <c r="AN4" s="750"/>
      <c r="AO4" s="750"/>
      <c r="AP4" s="750">
        <v>2015</v>
      </c>
      <c r="AQ4" s="750"/>
      <c r="AR4" s="750"/>
      <c r="AS4" s="750"/>
      <c r="AT4" s="750"/>
      <c r="AU4" s="750"/>
      <c r="AV4" s="750"/>
      <c r="AW4" s="750"/>
      <c r="AX4" s="750"/>
      <c r="AY4" s="750"/>
      <c r="AZ4" s="750"/>
      <c r="BA4" s="750"/>
      <c r="BB4" s="750"/>
      <c r="BC4" s="750">
        <v>2016</v>
      </c>
      <c r="BD4" s="750"/>
      <c r="BE4" s="750"/>
      <c r="BF4" s="750"/>
      <c r="BG4" s="750"/>
      <c r="BH4" s="750"/>
      <c r="BI4" s="750"/>
      <c r="BJ4" s="750"/>
      <c r="BK4" s="750"/>
      <c r="BL4" s="750"/>
      <c r="BM4" s="750"/>
      <c r="BN4" s="750"/>
      <c r="BO4" s="750"/>
      <c r="BP4" s="750">
        <v>2017</v>
      </c>
      <c r="BQ4" s="750"/>
      <c r="BR4" s="750"/>
      <c r="BS4" s="750"/>
      <c r="BT4" s="750"/>
      <c r="BU4" s="750"/>
      <c r="BV4" s="750"/>
      <c r="BW4" s="750"/>
      <c r="BX4" s="750"/>
      <c r="BY4" s="750"/>
      <c r="BZ4" s="750"/>
      <c r="CA4" s="750"/>
      <c r="CB4" s="750"/>
    </row>
    <row r="5" spans="2:80" x14ac:dyDescent="0.25">
      <c r="B5" s="526" t="s">
        <v>139</v>
      </c>
      <c r="C5" s="527" t="s">
        <v>58</v>
      </c>
      <c r="D5" s="527" t="s">
        <v>59</v>
      </c>
      <c r="E5" s="527" t="s">
        <v>60</v>
      </c>
      <c r="F5" s="527" t="s">
        <v>61</v>
      </c>
      <c r="G5" s="527" t="s">
        <v>62</v>
      </c>
      <c r="H5" s="527" t="s">
        <v>63</v>
      </c>
      <c r="I5" s="527" t="s">
        <v>64</v>
      </c>
      <c r="J5" s="527" t="s">
        <v>65</v>
      </c>
      <c r="K5" s="527" t="s">
        <v>66</v>
      </c>
      <c r="L5" s="527" t="s">
        <v>67</v>
      </c>
      <c r="M5" s="527" t="s">
        <v>68</v>
      </c>
      <c r="N5" s="527" t="s">
        <v>69</v>
      </c>
      <c r="O5" s="527" t="s">
        <v>180</v>
      </c>
      <c r="P5" s="527" t="s">
        <v>58</v>
      </c>
      <c r="Q5" s="527" t="s">
        <v>59</v>
      </c>
      <c r="R5" s="527" t="s">
        <v>60</v>
      </c>
      <c r="S5" s="527" t="s">
        <v>61</v>
      </c>
      <c r="T5" s="527" t="s">
        <v>62</v>
      </c>
      <c r="U5" s="527" t="s">
        <v>63</v>
      </c>
      <c r="V5" s="527" t="s">
        <v>64</v>
      </c>
      <c r="W5" s="527" t="s">
        <v>65</v>
      </c>
      <c r="X5" s="527" t="s">
        <v>66</v>
      </c>
      <c r="Y5" s="527" t="s">
        <v>67</v>
      </c>
      <c r="Z5" s="527" t="s">
        <v>68</v>
      </c>
      <c r="AA5" s="527" t="s">
        <v>69</v>
      </c>
      <c r="AB5" s="527" t="s">
        <v>181</v>
      </c>
      <c r="AC5" s="528" t="s">
        <v>58</v>
      </c>
      <c r="AD5" s="529" t="s">
        <v>59</v>
      </c>
      <c r="AE5" s="529" t="s">
        <v>60</v>
      </c>
      <c r="AF5" s="529" t="s">
        <v>61</v>
      </c>
      <c r="AG5" s="529" t="s">
        <v>62</v>
      </c>
      <c r="AH5" s="529" t="s">
        <v>63</v>
      </c>
      <c r="AI5" s="529" t="s">
        <v>64</v>
      </c>
      <c r="AJ5" s="529" t="s">
        <v>65</v>
      </c>
      <c r="AK5" s="529" t="s">
        <v>66</v>
      </c>
      <c r="AL5" s="529" t="s">
        <v>67</v>
      </c>
      <c r="AM5" s="529" t="s">
        <v>68</v>
      </c>
      <c r="AN5" s="529" t="s">
        <v>69</v>
      </c>
      <c r="AO5" s="530" t="s">
        <v>140</v>
      </c>
      <c r="AP5" s="528" t="s">
        <v>58</v>
      </c>
      <c r="AQ5" s="529" t="s">
        <v>59</v>
      </c>
      <c r="AR5" s="529" t="s">
        <v>60</v>
      </c>
      <c r="AS5" s="529" t="s">
        <v>61</v>
      </c>
      <c r="AT5" s="529" t="s">
        <v>62</v>
      </c>
      <c r="AU5" s="529" t="s">
        <v>63</v>
      </c>
      <c r="AV5" s="529" t="s">
        <v>64</v>
      </c>
      <c r="AW5" s="529" t="s">
        <v>65</v>
      </c>
      <c r="AX5" s="529" t="s">
        <v>66</v>
      </c>
      <c r="AY5" s="529" t="s">
        <v>67</v>
      </c>
      <c r="AZ5" s="529" t="s">
        <v>68</v>
      </c>
      <c r="BA5" s="529" t="s">
        <v>69</v>
      </c>
      <c r="BB5" s="530" t="s">
        <v>182</v>
      </c>
      <c r="BC5" s="528" t="s">
        <v>58</v>
      </c>
      <c r="BD5" s="529" t="s">
        <v>59</v>
      </c>
      <c r="BE5" s="529" t="s">
        <v>60</v>
      </c>
      <c r="BF5" s="529" t="s">
        <v>61</v>
      </c>
      <c r="BG5" s="529" t="s">
        <v>62</v>
      </c>
      <c r="BH5" s="529" t="s">
        <v>63</v>
      </c>
      <c r="BI5" s="529" t="s">
        <v>64</v>
      </c>
      <c r="BJ5" s="529" t="s">
        <v>65</v>
      </c>
      <c r="BK5" s="529" t="s">
        <v>66</v>
      </c>
      <c r="BL5" s="529" t="s">
        <v>67</v>
      </c>
      <c r="BM5" s="529" t="s">
        <v>68</v>
      </c>
      <c r="BN5" s="529" t="s">
        <v>69</v>
      </c>
      <c r="BO5" s="530" t="s">
        <v>183</v>
      </c>
      <c r="BP5" s="528" t="s">
        <v>58</v>
      </c>
      <c r="BQ5" s="529" t="s">
        <v>59</v>
      </c>
      <c r="BR5" s="529" t="s">
        <v>60</v>
      </c>
      <c r="BS5" s="529" t="s">
        <v>61</v>
      </c>
      <c r="BT5" s="529" t="s">
        <v>62</v>
      </c>
      <c r="BU5" s="529" t="s">
        <v>63</v>
      </c>
      <c r="BV5" s="529" t="s">
        <v>64</v>
      </c>
      <c r="BW5" s="529" t="s">
        <v>65</v>
      </c>
      <c r="BX5" s="529" t="s">
        <v>66</v>
      </c>
      <c r="BY5" s="529" t="s">
        <v>67</v>
      </c>
      <c r="BZ5" s="529" t="s">
        <v>68</v>
      </c>
      <c r="CA5" s="529" t="s">
        <v>69</v>
      </c>
      <c r="CB5" s="530" t="s">
        <v>236</v>
      </c>
    </row>
    <row r="6" spans="2:80" x14ac:dyDescent="0.25">
      <c r="B6" s="531" t="s">
        <v>141</v>
      </c>
      <c r="C6" s="532">
        <f>ISLAS!C6+ISLAS!C12+ISLAS!C19+ISLAS!C23</f>
        <v>3258258</v>
      </c>
      <c r="D6" s="532">
        <f>ISLAS!D6+ISLAS!D12+ISLAS!D19+ISLAS!D23</f>
        <v>3086978</v>
      </c>
      <c r="E6" s="532">
        <f>ISLAS!E6+ISLAS!E12+ISLAS!E19+ISLAS!E23</f>
        <v>3509846</v>
      </c>
      <c r="F6" s="532">
        <f>ISLAS!F6+ISLAS!F12+ISLAS!F19+ISLAS!F23</f>
        <v>3542160.9999999995</v>
      </c>
      <c r="G6" s="532">
        <f>ISLAS!G6+ISLAS!G12+ISLAS!G19+ISLAS!G23</f>
        <v>3613262.0000000005</v>
      </c>
      <c r="H6" s="532">
        <f>ISLAS!H6+ISLAS!H12+ISLAS!H19+ISLAS!H23</f>
        <v>3325821.8</v>
      </c>
      <c r="I6" s="532">
        <f>ISLAS!I6+ISLAS!I12+ISLAS!I19+ISLAS!I23</f>
        <v>2874834</v>
      </c>
      <c r="J6" s="532">
        <f>ISLAS!J6+ISLAS!J12+ISLAS!J19+ISLAS!J23</f>
        <v>2628838</v>
      </c>
      <c r="K6" s="532">
        <f>ISLAS!K6+ISLAS!K12+ISLAS!K19+ISLAS!K23</f>
        <v>2463238</v>
      </c>
      <c r="L6" s="532">
        <f>ISLAS!L6+ISLAS!L12+ISLAS!L19+ISLAS!L23</f>
        <v>2675153</v>
      </c>
      <c r="M6" s="532">
        <f>ISLAS!M6+ISLAS!M12+ISLAS!M19+ISLAS!M23</f>
        <v>2657499</v>
      </c>
      <c r="N6" s="532">
        <f>ISLAS!N6+ISLAS!N12+ISLAS!N19+ISLAS!N23</f>
        <v>3003057</v>
      </c>
      <c r="O6" s="532">
        <f>ISLAS!O6+ISLAS!O12+ISLAS!O19+ISLAS!O23</f>
        <v>36638945.799999997</v>
      </c>
      <c r="P6" s="532">
        <f>ISLAS!P6+ISLAS!P12+ISLAS!P19+ISLAS!P23</f>
        <v>3505349</v>
      </c>
      <c r="Q6" s="532">
        <f>ISLAS!Q6+ISLAS!Q12+ISLAS!Q19+ISLAS!Q23</f>
        <v>3435324</v>
      </c>
      <c r="R6" s="532">
        <f>ISLAS!R6+ISLAS!R12+ISLAS!R19+ISLAS!R23</f>
        <v>3984067.7</v>
      </c>
      <c r="S6" s="532">
        <f>ISLAS!S6+ISLAS!S12+ISLAS!S19+ISLAS!S23</f>
        <v>3899716</v>
      </c>
      <c r="T6" s="532">
        <f>ISLAS!T6+ISLAS!T12+ISLAS!T19+ISLAS!T23</f>
        <v>3160192</v>
      </c>
      <c r="U6" s="532">
        <f>ISLAS!U6+ISLAS!U12+ISLAS!U19+ISLAS!U23</f>
        <v>2574781</v>
      </c>
      <c r="V6" s="532">
        <f>ISLAS!V6+ISLAS!V12+ISLAS!V19+ISLAS!V23</f>
        <v>2671692.5</v>
      </c>
      <c r="W6" s="532">
        <f>ISLAS!W6+ISLAS!W12+ISLAS!W19+ISLAS!W23</f>
        <v>2532516</v>
      </c>
      <c r="X6" s="532">
        <f>ISLAS!X6+ISLAS!X12+ISLAS!X19+ISLAS!X23</f>
        <v>2458100.75</v>
      </c>
      <c r="Y6" s="532">
        <f>ISLAS!Y6+ISLAS!Y12+ISLAS!Y19+ISLAS!Y23</f>
        <v>2668313.5</v>
      </c>
      <c r="Z6" s="532">
        <f>ISLAS!Z6+ISLAS!Z12+ISLAS!Z19+ISLAS!Z23</f>
        <v>2702731.5</v>
      </c>
      <c r="AA6" s="532">
        <f>ISLAS!AA6+ISLAS!AA12+ISLAS!AA19+ISLAS!AA23</f>
        <v>3264773.25</v>
      </c>
      <c r="AB6" s="532">
        <f>ISLAS!AB6+ISLAS!AB12+ISLAS!AB19+ISLAS!AB23</f>
        <v>36857557.200000003</v>
      </c>
      <c r="AC6" s="532">
        <f>ISLAS!AC6+ISLAS!AC12+ISLAS!AC19+ISLAS!AC23</f>
        <v>3796283.5</v>
      </c>
      <c r="AD6" s="532">
        <f>ISLAS!AD6+ISLAS!AD12+ISLAS!AD19+ISLAS!AD23</f>
        <v>3913384.25</v>
      </c>
      <c r="AE6" s="532">
        <f>ISLAS!AE6+ISLAS!AE12+ISLAS!AE19+ISLAS!AE23</f>
        <v>4588018</v>
      </c>
      <c r="AF6" s="532">
        <f>ISLAS!AF6+ISLAS!AF12+ISLAS!AF19+ISLAS!AF23</f>
        <v>4160208.5</v>
      </c>
      <c r="AG6" s="532">
        <f>ISLAS!AG6+ISLAS!AG12+ISLAS!AG19+ISLAS!AG23</f>
        <v>3887669</v>
      </c>
      <c r="AH6" s="532">
        <f>ISLAS!AH6+ISLAS!AH12+ISLAS!AH19+ISLAS!AH23</f>
        <v>3337095</v>
      </c>
      <c r="AI6" s="532">
        <f>ISLAS!AI6+ISLAS!AI12+ISLAS!AI19+ISLAS!AI23</f>
        <v>3169507</v>
      </c>
      <c r="AJ6" s="532">
        <f>ISLAS!AJ6+ISLAS!AJ12+ISLAS!AJ19+ISLAS!AJ23</f>
        <v>3081318</v>
      </c>
      <c r="AK6" s="532">
        <f>ISLAS!AK6+ISLAS!AK12+ISLAS!AK19+ISLAS!AK23</f>
        <v>2639751.5</v>
      </c>
      <c r="AL6" s="532">
        <f>ISLAS!AL6+ISLAS!AL12+ISLAS!AL19+ISLAS!AL23</f>
        <v>2931617.75</v>
      </c>
      <c r="AM6" s="532">
        <f>ISLAS!AM6+ISLAS!AM12+ISLAS!AM19+ISLAS!AM23</f>
        <v>3172185.75</v>
      </c>
      <c r="AN6" s="532">
        <f>ISLAS!AN6+ISLAS!AN12+ISLAS!AN19+ISLAS!AN23</f>
        <v>3599199</v>
      </c>
      <c r="AO6" s="532">
        <f>ISLAS!AO6+ISLAS!AO12+ISLAS!AO19+ISLAS!AO23</f>
        <v>42276237.25</v>
      </c>
      <c r="AP6" s="532">
        <f>ISLAS!AP6+ISLAS!AP12+ISLAS!AP19+ISLAS!AP23</f>
        <v>3779173</v>
      </c>
      <c r="AQ6" s="532">
        <f>ISLAS!AQ6+ISLAS!AQ12+ISLAS!AQ19+ISLAS!AQ23</f>
        <v>3855165.1</v>
      </c>
      <c r="AR6" s="532">
        <f>ISLAS!AR6+ISLAS!AR12+ISLAS!AR19+ISLAS!AR23</f>
        <v>4587688.55</v>
      </c>
      <c r="AS6" s="532">
        <f>ISLAS!AS6+ISLAS!AS12+ISLAS!AS19+ISLAS!AS23</f>
        <v>4433776.0999999996</v>
      </c>
      <c r="AT6" s="532">
        <f>ISLAS!AT6+ISLAS!AT12+ISLAS!AT19+ISLAS!AT23</f>
        <v>4537488.7</v>
      </c>
      <c r="AU6" s="532">
        <f>ISLAS!AU6+ISLAS!AU12+ISLAS!AU19+ISLAS!AU23</f>
        <v>4234870.5999999996</v>
      </c>
      <c r="AV6" s="532">
        <f>ISLAS!AV6+ISLAS!AV12+ISLAS!AV19+ISLAS!AV23</f>
        <v>3597264</v>
      </c>
      <c r="AW6" s="532">
        <f>ISLAS!AW6+ISLAS!AW12+ISLAS!AW19+ISLAS!AW23</f>
        <v>2908180</v>
      </c>
      <c r="AX6" s="532">
        <f>ISLAS!AX6+ISLAS!AX12+ISLAS!AX19+ISLAS!AX23</f>
        <v>2930382</v>
      </c>
      <c r="AY6" s="532">
        <f>ISLAS!AY6+ISLAS!AY12+ISLAS!AY19+ISLAS!AY23</f>
        <v>3148771</v>
      </c>
      <c r="AZ6" s="532">
        <f>ISLAS!AZ6+ISLAS!AZ12+ISLAS!AZ19+ISLAS!AZ23</f>
        <v>3328489</v>
      </c>
      <c r="BA6" s="532">
        <f>ISLAS!BA6+ISLAS!BA12+ISLAS!BA19+ISLAS!BA23</f>
        <v>4058901.5</v>
      </c>
      <c r="BB6" s="532">
        <f>ISLAS!BB6+ISLAS!BB12+ISLAS!BB19+ISLAS!BB23</f>
        <v>45400149.550000004</v>
      </c>
      <c r="BC6" s="532">
        <f>ISLAS!BC6+ISLAS!BC12+ISLAS!BC19+ISLAS!BC23</f>
        <v>4354066.5</v>
      </c>
      <c r="BD6" s="532">
        <f>ISLAS!BD6+ISLAS!BD12+ISLAS!BD19+ISLAS!BD23</f>
        <v>4441666.5</v>
      </c>
      <c r="BE6" s="532">
        <f>ISLAS!BE6+ISLAS!BE12+ISLAS!BE19+ISLAS!BE23</f>
        <v>5166493</v>
      </c>
      <c r="BF6" s="532">
        <f>ISLAS!BF6+ISLAS!BF12+ISLAS!BF19+ISLAS!BF23</f>
        <v>4501855.5</v>
      </c>
      <c r="BG6" s="532">
        <f>ISLAS!BG6+ISLAS!BG12+ISLAS!BG19+ISLAS!BG23</f>
        <v>4211521.6908420334</v>
      </c>
      <c r="BH6" s="532">
        <f>ISLAS!BH6+ISLAS!BH12+ISLAS!BH19+ISLAS!BH23</f>
        <v>3952369.3801350333</v>
      </c>
      <c r="BI6" s="532">
        <f>ISLAS!BI6+ISLAS!BI12+ISLAS!BI19+ISLAS!BI23</f>
        <v>3614193.2563908882</v>
      </c>
      <c r="BJ6" s="532">
        <f>ISLAS!BJ6+ISLAS!BJ12+ISLAS!BJ19+ISLAS!BJ23</f>
        <v>3293719.6351801446</v>
      </c>
      <c r="BK6" s="532">
        <f>ISLAS!BK6+ISLAS!BK12+ISLAS!BK19+ISLAS!BK23</f>
        <v>2801688.5522872549</v>
      </c>
      <c r="BL6" s="532">
        <f>ISLAS!BL6+ISLAS!BL12+ISLAS!BL19+ISLAS!BL23</f>
        <v>3276294.142584125</v>
      </c>
      <c r="BM6" s="532">
        <f>ISLAS!BM6+ISLAS!BM12+ISLAS!BM19+ISLAS!BM23</f>
        <v>3139465.7167342785</v>
      </c>
      <c r="BN6" s="532">
        <f>ISLAS!BN6+ISLAS!BN12+ISLAS!BN19+ISLAS!BN23</f>
        <v>3869296.5317096771</v>
      </c>
      <c r="BO6" s="532">
        <f>ISLAS!BO6+ISLAS!BO12+ISLAS!BO19+ISLAS!BO23</f>
        <v>46622630.405863442</v>
      </c>
      <c r="BP6" s="532">
        <f>ISLAS!BP6+ISLAS!BP12+ISLAS!BP19+ISLAS!BP23</f>
        <v>3942433.376858355</v>
      </c>
      <c r="BQ6" s="532">
        <f>ISLAS!BQ6+ISLAS!BQ12+ISLAS!BQ19+ISLAS!BQ23</f>
        <v>4513526.1290398454</v>
      </c>
      <c r="BR6" s="532">
        <f>ISLAS!BR6+ISLAS!BR12+ISLAS!BR19+ISLAS!BR23</f>
        <v>5289198.2706522224</v>
      </c>
      <c r="BS6" s="532">
        <f>ISLAS!BS6+ISLAS!BS12+ISLAS!BS19+ISLAS!BS23</f>
        <v>5032347.6502398048</v>
      </c>
      <c r="BT6" s="532">
        <f>ISLAS!BT6+ISLAS!BT12+ISLAS!BT19+ISLAS!BT23</f>
        <v>4545783.0024275519</v>
      </c>
      <c r="BU6" s="532">
        <f>ISLAS!BU6+ISLAS!BU12+ISLAS!BU19+ISLAS!BU23</f>
        <v>4273945.4775873208</v>
      </c>
      <c r="BV6" s="532">
        <f>ISLAS!BV6+ISLAS!BV12+ISLAS!BV19+ISLAS!BV23</f>
        <v>3914158.3363588802</v>
      </c>
      <c r="BW6" s="532">
        <f>ISLAS!BW6+ISLAS!BW12+ISLAS!BW19+ISLAS!BW23</f>
        <v>3570833.4306528121</v>
      </c>
      <c r="BX6" s="532">
        <f>ISLAS!BX6+ISLAS!BX12+ISLAS!BX19+ISLAS!BX23</f>
        <v>3072661.4530039644</v>
      </c>
      <c r="BY6" s="532">
        <f>ISLAS!BY6+ISLAS!BY12+ISLAS!BY19+ISLAS!BY23</f>
        <v>3558809.5810737251</v>
      </c>
      <c r="BZ6" s="532">
        <f>ISLAS!BZ6+ISLAS!BZ12+ISLAS!BZ19+ISLAS!BZ23</f>
        <v>3460924.2193433517</v>
      </c>
      <c r="CA6" s="532">
        <f>ISLAS!CA6+ISLAS!CA12+ISLAS!CA19+ISLAS!CA23</f>
        <v>4241380.6686945064</v>
      </c>
      <c r="CB6" s="532">
        <f>ISLAS!CB6+ISLAS!CB12+ISLAS!CB19+ISLAS!CB23</f>
        <v>49416001.595932342</v>
      </c>
    </row>
    <row r="7" spans="2:80" x14ac:dyDescent="0.25">
      <c r="B7" s="533" t="s">
        <v>142</v>
      </c>
      <c r="C7" s="534">
        <f>ISLAS!C7+ISLAS!C14</f>
        <v>85915</v>
      </c>
      <c r="D7" s="534">
        <f>ISLAS!D7+ISLAS!D14</f>
        <v>19421</v>
      </c>
      <c r="E7" s="534">
        <f>ISLAS!E7+ISLAS!E14</f>
        <v>166048</v>
      </c>
      <c r="F7" s="534">
        <f>ISLAS!F7+ISLAS!F14</f>
        <v>55441</v>
      </c>
      <c r="G7" s="534">
        <f>ISLAS!G7+ISLAS!G14</f>
        <v>115349</v>
      </c>
      <c r="H7" s="534">
        <f>ISLAS!H7+ISLAS!H14</f>
        <v>128278</v>
      </c>
      <c r="I7" s="534">
        <f>ISLAS!I7+ISLAS!I14</f>
        <v>265225</v>
      </c>
      <c r="J7" s="534">
        <f>ISLAS!J7+ISLAS!J14</f>
        <v>403163</v>
      </c>
      <c r="K7" s="534">
        <f>ISLAS!K7+ISLAS!K14</f>
        <v>353429</v>
      </c>
      <c r="L7" s="534">
        <f>ISLAS!L7+ISLAS!L14</f>
        <v>274931</v>
      </c>
      <c r="M7" s="534">
        <f>ISLAS!M7+ISLAS!M14</f>
        <v>292110</v>
      </c>
      <c r="N7" s="534">
        <f>ISLAS!N7+ISLAS!N14</f>
        <v>239063</v>
      </c>
      <c r="O7" s="534">
        <f>ISLAS!O7+ISLAS!O14</f>
        <v>2398373</v>
      </c>
      <c r="P7" s="534">
        <f>ISLAS!P7+ISLAS!P14</f>
        <v>161375</v>
      </c>
      <c r="Q7" s="534">
        <f>ISLAS!Q7+ISLAS!Q14</f>
        <v>68509</v>
      </c>
      <c r="R7" s="534">
        <f>ISLAS!R7+ISLAS!R14</f>
        <v>109361</v>
      </c>
      <c r="S7" s="534">
        <f>ISLAS!S7+ISLAS!S14</f>
        <v>39216</v>
      </c>
      <c r="T7" s="534">
        <f>ISLAS!T7+ISLAS!T14</f>
        <v>386313</v>
      </c>
      <c r="U7" s="534">
        <f>ISLAS!U7+ISLAS!U14</f>
        <v>494044</v>
      </c>
      <c r="V7" s="534">
        <f>ISLAS!V7+ISLAS!V14</f>
        <v>394166</v>
      </c>
      <c r="W7" s="534">
        <f>ISLAS!W7+ISLAS!W14</f>
        <v>430039</v>
      </c>
      <c r="X7" s="534">
        <f>ISLAS!X7+ISLAS!X14</f>
        <v>370893</v>
      </c>
      <c r="Y7" s="534">
        <f>ISLAS!Y7+ISLAS!Y14</f>
        <v>342672</v>
      </c>
      <c r="Z7" s="534">
        <f>ISLAS!Z7+ISLAS!Z14</f>
        <v>355392</v>
      </c>
      <c r="AA7" s="534">
        <f>ISLAS!AA7+ISLAS!AA14</f>
        <v>299471.06</v>
      </c>
      <c r="AB7" s="534">
        <f>ISLAS!AB7+ISLAS!AB14</f>
        <v>3451451.06</v>
      </c>
      <c r="AC7" s="534">
        <f>ISLAS!AC7+ISLAS!AC14</f>
        <v>266583.234375</v>
      </c>
      <c r="AD7" s="534">
        <f>ISLAS!AD7+ISLAS!AD14</f>
        <v>206789.703125</v>
      </c>
      <c r="AE7" s="534">
        <f>ISLAS!AE7+ISLAS!AE14</f>
        <v>64602</v>
      </c>
      <c r="AF7" s="534">
        <f>ISLAS!AF7+ISLAS!AF14</f>
        <v>156558</v>
      </c>
      <c r="AG7" s="534">
        <f>ISLAS!AG7+ISLAS!AG14</f>
        <v>382341</v>
      </c>
      <c r="AH7" s="534">
        <f>ISLAS!AH7+ISLAS!AH14</f>
        <v>409877</v>
      </c>
      <c r="AI7" s="534">
        <f>ISLAS!AI7+ISLAS!AI14</f>
        <v>486786</v>
      </c>
      <c r="AJ7" s="534">
        <f>ISLAS!AJ7+ISLAS!AJ14</f>
        <v>312229</v>
      </c>
      <c r="AK7" s="534">
        <f>ISLAS!AK7+ISLAS!AK14</f>
        <v>494311</v>
      </c>
      <c r="AL7" s="534">
        <f>ISLAS!AL7+ISLAS!AL14</f>
        <v>425371</v>
      </c>
      <c r="AM7" s="534">
        <f>ISLAS!AM7+ISLAS!AM14</f>
        <v>331738</v>
      </c>
      <c r="AN7" s="534">
        <f>ISLAS!AN7+ISLAS!AN14</f>
        <v>365474</v>
      </c>
      <c r="AO7" s="534">
        <f>ISLAS!AO7+ISLAS!AO14</f>
        <v>3902659.9375</v>
      </c>
      <c r="AP7" s="534">
        <f>ISLAS!AP7+ISLAS!AP14</f>
        <v>357911.1</v>
      </c>
      <c r="AQ7" s="534">
        <f>ISLAS!AQ7+ISLAS!AQ14</f>
        <v>301696.55000000005</v>
      </c>
      <c r="AR7" s="534">
        <f>ISLAS!AR7+ISLAS!AR14</f>
        <v>168593.97</v>
      </c>
      <c r="AS7" s="534">
        <f>ISLAS!AS7+ISLAS!AS14</f>
        <v>170301.77100000001</v>
      </c>
      <c r="AT7" s="534">
        <f>ISLAS!AT7+ISLAS!AT14</f>
        <v>91130</v>
      </c>
      <c r="AU7" s="534">
        <f>ISLAS!AU7+ISLAS!AU14</f>
        <v>312153.57</v>
      </c>
      <c r="AV7" s="534">
        <f>ISLAS!AV7+ISLAS!AV14</f>
        <v>886698.04</v>
      </c>
      <c r="AW7" s="534">
        <f>ISLAS!AW7+ISLAS!AW14</f>
        <v>955610.65</v>
      </c>
      <c r="AX7" s="534">
        <f>ISLAS!AX7+ISLAS!AX14</f>
        <v>749068.21264648437</v>
      </c>
      <c r="AY7" s="534">
        <f>ISLAS!AY7+ISLAS!AY14</f>
        <v>836642.75</v>
      </c>
      <c r="AZ7" s="534">
        <f>ISLAS!AZ7+ISLAS!AZ14</f>
        <v>821857.24169921875</v>
      </c>
      <c r="BA7" s="534">
        <f>ISLAS!BA7+ISLAS!BA14</f>
        <v>691864.64013671852</v>
      </c>
      <c r="BB7" s="534">
        <f>ISLAS!BB7+ISLAS!BB14</f>
        <v>6343528.4954824215</v>
      </c>
      <c r="BC7" s="534">
        <f>ISLAS!BC7+ISLAS!BC14</f>
        <v>509854.9</v>
      </c>
      <c r="BD7" s="534">
        <f>ISLAS!BD7+ISLAS!BD14</f>
        <v>227028.3505859375</v>
      </c>
      <c r="BE7" s="534">
        <f>ISLAS!BE7+ISLAS!BE14</f>
        <v>97530.742031250003</v>
      </c>
      <c r="BF7" s="534">
        <f>ISLAS!BF7+ISLAS!BF14</f>
        <v>276842.0703125</v>
      </c>
      <c r="BG7" s="534">
        <f>ISLAS!BG7+ISLAS!BG14</f>
        <v>668511.10277430364</v>
      </c>
      <c r="BH7" s="534">
        <f>ISLAS!BH7+ISLAS!BH14</f>
        <v>640137.93999322085</v>
      </c>
      <c r="BI7" s="534">
        <f>ISLAS!BI7+ISLAS!BI14</f>
        <v>724269.27518774616</v>
      </c>
      <c r="BJ7" s="534">
        <f>ISLAS!BJ7+ISLAS!BJ14</f>
        <v>670979.242533023</v>
      </c>
      <c r="BK7" s="534">
        <f>ISLAS!BK7+ISLAS!BK14</f>
        <v>885675.57001156278</v>
      </c>
      <c r="BL7" s="534">
        <f>ISLAS!BL7+ISLAS!BL14</f>
        <v>713664.15995604382</v>
      </c>
      <c r="BM7" s="534">
        <f>ISLAS!BM7+ISLAS!BM14</f>
        <v>1095337.3798521867</v>
      </c>
      <c r="BN7" s="534">
        <f>ISLAS!BN7+ISLAS!BN14</f>
        <v>789697.51273290534</v>
      </c>
      <c r="BO7" s="534">
        <f>ISLAS!BO7+ISLAS!BO14</f>
        <v>7299528.2459706794</v>
      </c>
      <c r="BP7" s="534">
        <f>ISLAS!BP7+ISLAS!BP14</f>
        <v>1137585.2314537684</v>
      </c>
      <c r="BQ7" s="534">
        <f>ISLAS!BQ7+ISLAS!BQ14</f>
        <v>615227.13273877255</v>
      </c>
      <c r="BR7" s="534">
        <f>ISLAS!BR7+ISLAS!BR14</f>
        <v>261841.32445162788</v>
      </c>
      <c r="BS7" s="534">
        <f>ISLAS!BS7+ISLAS!BS14</f>
        <v>424939.84031784663</v>
      </c>
      <c r="BT7" s="534">
        <f>ISLAS!BT7+ISLAS!BT14</f>
        <v>668511.10277430364</v>
      </c>
      <c r="BU7" s="534">
        <f>ISLAS!BU7+ISLAS!BU14</f>
        <v>640137.93999322085</v>
      </c>
      <c r="BV7" s="534">
        <f>ISLAS!BV7+ISLAS!BV14</f>
        <v>724269.27518774616</v>
      </c>
      <c r="BW7" s="534">
        <f>ISLAS!BW7+ISLAS!BW14</f>
        <v>670979.242533023</v>
      </c>
      <c r="BX7" s="534">
        <f>ISLAS!BX7+ISLAS!BX14</f>
        <v>885675.57001156278</v>
      </c>
      <c r="BY7" s="534">
        <f>ISLAS!BY7+ISLAS!BY14</f>
        <v>713664.15995604382</v>
      </c>
      <c r="BZ7" s="534">
        <f>ISLAS!BZ7+ISLAS!BZ14</f>
        <v>1095337.3798521867</v>
      </c>
      <c r="CA7" s="534">
        <f>ISLAS!CA7+ISLAS!CA14</f>
        <v>789697.51273290534</v>
      </c>
      <c r="CB7" s="534">
        <f>ISLAS!CB7+ISLAS!CB14</f>
        <v>8627865.7120030075</v>
      </c>
    </row>
    <row r="8" spans="2:80" ht="19.5" customHeight="1" x14ac:dyDescent="0.25">
      <c r="B8" s="533" t="s">
        <v>143</v>
      </c>
      <c r="C8" s="534">
        <f>ISLAS!C8+ISLAS!C13+ISLAS!C15+ISLAS!C20+ISLAS!C25+ISLAS!C26</f>
        <v>1507</v>
      </c>
      <c r="D8" s="534">
        <f>ISLAS!D8+ISLAS!D13+ISLAS!D15+ISLAS!D20+ISLAS!D25+ISLAS!D26</f>
        <v>1244</v>
      </c>
      <c r="E8" s="534">
        <f>ISLAS!E8+ISLAS!E13+ISLAS!E15+ISLAS!E20+ISLAS!E25+ISLAS!E26</f>
        <v>1215</v>
      </c>
      <c r="F8" s="534">
        <f>ISLAS!F8+ISLAS!F13+ISLAS!F15+ISLAS!F20+ISLAS!F25+ISLAS!F26</f>
        <v>1493</v>
      </c>
      <c r="G8" s="534">
        <f>ISLAS!G8+ISLAS!G13+ISLAS!G15+ISLAS!G20+ISLAS!G25+ISLAS!G26</f>
        <v>1470</v>
      </c>
      <c r="H8" s="534">
        <f>ISLAS!H8+ISLAS!H13+ISLAS!H15+ISLAS!H20+ISLAS!H25+ISLAS!H26</f>
        <v>1367</v>
      </c>
      <c r="I8" s="534">
        <f>ISLAS!I8+ISLAS!I13+ISLAS!I15+ISLAS!I20+ISLAS!I25+ISLAS!I26</f>
        <v>1443</v>
      </c>
      <c r="J8" s="534">
        <f>ISLAS!J8+ISLAS!J13+ISLAS!J15+ISLAS!J20+ISLAS!J25+ISLAS!J26</f>
        <v>1103</v>
      </c>
      <c r="K8" s="534">
        <f>ISLAS!K8+ISLAS!K13+ISLAS!K15+ISLAS!K20+ISLAS!K25+ISLAS!K26</f>
        <v>1343</v>
      </c>
      <c r="L8" s="534">
        <f>ISLAS!L8+ISLAS!L13+ISLAS!L15+ISLAS!L20+ISLAS!L25+ISLAS!L26</f>
        <v>1666</v>
      </c>
      <c r="M8" s="534">
        <f>ISLAS!M8+ISLAS!M13+ISLAS!M15+ISLAS!M20+ISLAS!M25+ISLAS!M26</f>
        <v>1420</v>
      </c>
      <c r="N8" s="534">
        <f>ISLAS!N8+ISLAS!N13+ISLAS!N15+ISLAS!N20+ISLAS!N25+ISLAS!N26</f>
        <v>1473</v>
      </c>
      <c r="O8" s="534">
        <f>ISLAS!O8+ISLAS!O13+ISLAS!O15+ISLAS!O20+ISLAS!O25+ISLAS!O26</f>
        <v>16744</v>
      </c>
      <c r="P8" s="534">
        <f>ISLAS!P8+ISLAS!P13+ISLAS!P15+ISLAS!P20+ISLAS!P25+ISLAS!P26</f>
        <v>1413</v>
      </c>
      <c r="Q8" s="534">
        <f>ISLAS!Q8+ISLAS!Q13+ISLAS!Q15+ISLAS!Q20+ISLAS!Q25+ISLAS!Q26</f>
        <v>1188</v>
      </c>
      <c r="R8" s="534">
        <f>ISLAS!R8+ISLAS!R13+ISLAS!R15+ISLAS!R20+ISLAS!R25+ISLAS!R26</f>
        <v>1259</v>
      </c>
      <c r="S8" s="534">
        <f>ISLAS!S8+ISLAS!S13+ISLAS!S15+ISLAS!S20+ISLAS!S25+ISLAS!S26</f>
        <v>1440</v>
      </c>
      <c r="T8" s="534">
        <f>ISLAS!T8+ISLAS!T13+ISLAS!T15+ISLAS!T20+ISLAS!T25+ISLAS!T26</f>
        <v>1565</v>
      </c>
      <c r="U8" s="534">
        <f>ISLAS!U8+ISLAS!U13+ISLAS!U15+ISLAS!U20+ISLAS!U25+ISLAS!U26</f>
        <v>1375</v>
      </c>
      <c r="V8" s="534">
        <f>ISLAS!V8+ISLAS!V13+ISLAS!V15+ISLAS!V20+ISLAS!V25+ISLAS!V26</f>
        <v>1393</v>
      </c>
      <c r="W8" s="534">
        <f>ISLAS!W8+ISLAS!W13+ISLAS!W15+ISLAS!W20+ISLAS!W25+ISLAS!W26</f>
        <v>1465</v>
      </c>
      <c r="X8" s="534">
        <f>ISLAS!X8+ISLAS!X13+ISLAS!X15+ISLAS!X20+ISLAS!X25+ISLAS!X26</f>
        <v>1426</v>
      </c>
      <c r="Y8" s="534">
        <f>ISLAS!Y8+ISLAS!Y13+ISLAS!Y15+ISLAS!Y20+ISLAS!Y25+ISLAS!Y26</f>
        <v>1550</v>
      </c>
      <c r="Z8" s="534">
        <f>ISLAS!Z8+ISLAS!Z13+ISLAS!Z15+ISLAS!Z20+ISLAS!Z25+ISLAS!Z26</f>
        <v>1491</v>
      </c>
      <c r="AA8" s="534">
        <f>ISLAS!AA8+ISLAS!AA13+ISLAS!AA15+ISLAS!AA20+ISLAS!AA25+ISLAS!AA26</f>
        <v>1416</v>
      </c>
      <c r="AB8" s="534">
        <f>ISLAS!AB8+ISLAS!AB13+ISLAS!AB15+ISLAS!AB20+ISLAS!AB25+ISLAS!AB26</f>
        <v>16981</v>
      </c>
      <c r="AC8" s="534">
        <f>ISLAS!AC8+ISLAS!AC13+ISLAS!AC15+ISLAS!AC20+ISLAS!AC25+ISLAS!AC26</f>
        <v>1534</v>
      </c>
      <c r="AD8" s="534">
        <f>ISLAS!AD8+ISLAS!AD13+ISLAS!AD15+ISLAS!AD20+ISLAS!AD25+ISLAS!AD26</f>
        <v>1464</v>
      </c>
      <c r="AE8" s="534">
        <f>ISLAS!AE8+ISLAS!AE13+ISLAS!AE15+ISLAS!AE20+ISLAS!AE25+ISLAS!AE26</f>
        <v>1415</v>
      </c>
      <c r="AF8" s="534">
        <f>ISLAS!AF8+ISLAS!AF13+ISLAS!AF15+ISLAS!AF20+ISLAS!AF25+ISLAS!AF26</f>
        <v>1434</v>
      </c>
      <c r="AG8" s="534">
        <f>ISLAS!AG8+ISLAS!AG13+ISLAS!AG15+ISLAS!AG20+ISLAS!AG25+ISLAS!AG26</f>
        <v>55477</v>
      </c>
      <c r="AH8" s="534">
        <f>ISLAS!AH8+ISLAS!AH13+ISLAS!AH15+ISLAS!AH20+ISLAS!AH25+ISLAS!AH26</f>
        <v>146224.29999999999</v>
      </c>
      <c r="AI8" s="534">
        <f>ISLAS!AI8+ISLAS!AI13+ISLAS!AI15+ISLAS!AI20+ISLAS!AI25+ISLAS!AI26</f>
        <v>145177.73000000001</v>
      </c>
      <c r="AJ8" s="534">
        <f>ISLAS!AJ8+ISLAS!AJ13+ISLAS!AJ15+ISLAS!AJ20+ISLAS!AJ25+ISLAS!AJ26</f>
        <v>176481.80200000003</v>
      </c>
      <c r="AK8" s="534">
        <f>ISLAS!AK8+ISLAS!AK13+ISLAS!AK15+ISLAS!AK20+ISLAS!AK25+ISLAS!AK26</f>
        <v>175054.9</v>
      </c>
      <c r="AL8" s="534">
        <f>ISLAS!AL8+ISLAS!AL13+ISLAS!AL15+ISLAS!AL20+ISLAS!AL25+ISLAS!AL26</f>
        <v>183735.75</v>
      </c>
      <c r="AM8" s="534">
        <f>ISLAS!AM8+ISLAS!AM13+ISLAS!AM15+ISLAS!AM20+ISLAS!AM25+ISLAS!AM26</f>
        <v>179987.98499999999</v>
      </c>
      <c r="AN8" s="534">
        <f>ISLAS!AN8+ISLAS!AN13+ISLAS!AN15+ISLAS!AN20+ISLAS!AN25+ISLAS!AN26</f>
        <v>160308.91</v>
      </c>
      <c r="AO8" s="534">
        <f>ISLAS!AO8+ISLAS!AO13+ISLAS!AO15+ISLAS!AO20+ISLAS!AO25+ISLAS!AO26</f>
        <v>1228295.3769999999</v>
      </c>
      <c r="AP8" s="534">
        <f>ISLAS!AP8+ISLAS!AP13+ISLAS!AP15+ISLAS!AP20+ISLAS!AP25+ISLAS!AP26</f>
        <v>209403.47</v>
      </c>
      <c r="AQ8" s="534">
        <f>ISLAS!AQ8+ISLAS!AQ13+ISLAS!AQ15+ISLAS!AQ20+ISLAS!AQ25+ISLAS!AQ26</f>
        <v>204790.6</v>
      </c>
      <c r="AR8" s="534">
        <f>ISLAS!AR8+ISLAS!AR13+ISLAS!AR15+ISLAS!AR20+ISLAS!AR25+ISLAS!AR26</f>
        <v>241770.82</v>
      </c>
      <c r="AS8" s="534">
        <f>ISLAS!AS8+ISLAS!AS13+ISLAS!AS15+ISLAS!AS20+ISLAS!AS25+ISLAS!AS26</f>
        <v>219473</v>
      </c>
      <c r="AT8" s="534">
        <f>ISLAS!AT8+ISLAS!AT13+ISLAS!AT15+ISLAS!AT20+ISLAS!AT25+ISLAS!AT26</f>
        <v>160121</v>
      </c>
      <c r="AU8" s="534">
        <f>ISLAS!AU8+ISLAS!AU13+ISLAS!AU15+ISLAS!AU20+ISLAS!AU25+ISLAS!AU26</f>
        <v>158605.40999999997</v>
      </c>
      <c r="AV8" s="534">
        <f>ISLAS!AV8+ISLAS!AV13+ISLAS!AV15+ISLAS!AV20+ISLAS!AV25+ISLAS!AV26</f>
        <v>148717.08000000002</v>
      </c>
      <c r="AW8" s="534">
        <f>ISLAS!AW8+ISLAS!AW13+ISLAS!AW15+ISLAS!AW20+ISLAS!AW25+ISLAS!AW26</f>
        <v>170001.08000000002</v>
      </c>
      <c r="AX8" s="534">
        <f>ISLAS!AX8+ISLAS!AX13+ISLAS!AX15+ISLAS!AX20+ISLAS!AX25+ISLAS!AX26</f>
        <v>157704.36000000002</v>
      </c>
      <c r="AY8" s="534">
        <f>ISLAS!AY8+ISLAS!AY13+ISLAS!AY15+ISLAS!AY20+ISLAS!AY25+ISLAS!AY26</f>
        <v>158206.59</v>
      </c>
      <c r="AZ8" s="534">
        <f>ISLAS!AZ8+ISLAS!AZ13+ISLAS!AZ15+ISLAS!AZ20+ISLAS!AZ25+ISLAS!AZ26</f>
        <v>132045.67000000001</v>
      </c>
      <c r="BA8" s="534">
        <f>ISLAS!BA8+ISLAS!BA13+ISLAS!BA15+ISLAS!BA20+ISLAS!BA25+ISLAS!BA26</f>
        <v>132272.18</v>
      </c>
      <c r="BB8" s="534">
        <f>ISLAS!BB8+ISLAS!BB13+ISLAS!BB15+ISLAS!BB20+ISLAS!BB25+ISLAS!BB26</f>
        <v>2093111.26</v>
      </c>
      <c r="BC8" s="534">
        <f>ISLAS!BC8+ISLAS!BC13+ISLAS!BC15+ISLAS!BC20+ISLAS!BC25+ISLAS!BC26</f>
        <v>168383.49</v>
      </c>
      <c r="BD8" s="534">
        <f>ISLAS!BD8+ISLAS!BD13+ISLAS!BD15+ISLAS!BD20+ISLAS!BD25+ISLAS!BD26</f>
        <v>188319</v>
      </c>
      <c r="BE8" s="534">
        <f>ISLAS!BE8+ISLAS!BE13+ISLAS!BE15+ISLAS!BE20+ISLAS!BE25+ISLAS!BE26</f>
        <v>205894.73</v>
      </c>
      <c r="BF8" s="534">
        <f>ISLAS!BF8+ISLAS!BF13+ISLAS!BF15+ISLAS!BF20+ISLAS!BF25+ISLAS!BF26</f>
        <v>194092.31899999999</v>
      </c>
      <c r="BG8" s="534">
        <f>ISLAS!BG8+ISLAS!BG13+ISLAS!BG15+ISLAS!BG20+ISLAS!BG25+ISLAS!BG26</f>
        <v>214707.67508850549</v>
      </c>
      <c r="BH8" s="534">
        <f>ISLAS!BH8+ISLAS!BH13+ISLAS!BH15+ISLAS!BH20+ISLAS!BH25+ISLAS!BH26</f>
        <v>189645.37791183009</v>
      </c>
      <c r="BI8" s="534">
        <f>ISLAS!BI8+ISLAS!BI13+ISLAS!BI15+ISLAS!BI20+ISLAS!BI25+ISLAS!BI26</f>
        <v>194606.70667896129</v>
      </c>
      <c r="BJ8" s="534">
        <f>ISLAS!BJ8+ISLAS!BJ13+ISLAS!BJ15+ISLAS!BJ20+ISLAS!BJ25+ISLAS!BJ26</f>
        <v>197814.17590294886</v>
      </c>
      <c r="BK8" s="534">
        <f>ISLAS!BK8+ISLAS!BK13+ISLAS!BK15+ISLAS!BK20+ISLAS!BK25+ISLAS!BK26</f>
        <v>241127.96758334746</v>
      </c>
      <c r="BL8" s="534">
        <f>ISLAS!BL8+ISLAS!BL13+ISLAS!BL15+ISLAS!BL20+ISLAS!BL25+ISLAS!BL26</f>
        <v>255003.60726192297</v>
      </c>
      <c r="BM8" s="534">
        <f>ISLAS!BM8+ISLAS!BM13+ISLAS!BM15+ISLAS!BM20+ISLAS!BM25+ISLAS!BM26</f>
        <v>235611.9944235108</v>
      </c>
      <c r="BN8" s="534">
        <f>ISLAS!BN8+ISLAS!BN13+ISLAS!BN15+ISLAS!BN20+ISLAS!BN25+ISLAS!BN26</f>
        <v>217357.83467605998</v>
      </c>
      <c r="BO8" s="534">
        <f>ISLAS!BO8+ISLAS!BO13+ISLAS!BO15+ISLAS!BO20+ISLAS!BO25+ISLAS!BO26</f>
        <v>2502564.8785270872</v>
      </c>
      <c r="BP8" s="534">
        <f>ISLAS!BP8+ISLAS!BP13+ISLAS!BP15+ISLAS!BP20+ISLAS!BP25+ISLAS!BP26</f>
        <v>240512.17980048031</v>
      </c>
      <c r="BQ8" s="534">
        <f>ISLAS!BQ8+ISLAS!BQ13+ISLAS!BQ15+ISLAS!BQ20+ISLAS!BQ25+ISLAS!BQ26</f>
        <v>229277.26840319412</v>
      </c>
      <c r="BR8" s="534">
        <f>ISLAS!BR8+ISLAS!BR13+ISLAS!BR15+ISLAS!BR20+ISLAS!BR25+ISLAS!BR26</f>
        <v>244804.57402778548</v>
      </c>
      <c r="BS8" s="534">
        <f>ISLAS!BS8+ISLAS!BS13+ISLAS!BS15+ISLAS!BS20+ISLAS!BS25+ISLAS!BS26</f>
        <v>211903.40139324524</v>
      </c>
      <c r="BT8" s="534">
        <f>ISLAS!BT8+ISLAS!BT13+ISLAS!BT15+ISLAS!BT20+ISLAS!BT25+ISLAS!BT26</f>
        <v>214707.67508850549</v>
      </c>
      <c r="BU8" s="534">
        <f>ISLAS!BU8+ISLAS!BU13+ISLAS!BU15+ISLAS!BU20+ISLAS!BU25+ISLAS!BU26</f>
        <v>189645.37791183009</v>
      </c>
      <c r="BV8" s="534">
        <f>ISLAS!BV8+ISLAS!BV13+ISLAS!BV15+ISLAS!BV20+ISLAS!BV25+ISLAS!BV26</f>
        <v>194606.70667896129</v>
      </c>
      <c r="BW8" s="534">
        <f>ISLAS!BW8+ISLAS!BW13+ISLAS!BW15+ISLAS!BW20+ISLAS!BW25+ISLAS!BW26</f>
        <v>197814.17590294886</v>
      </c>
      <c r="BX8" s="534">
        <f>ISLAS!BX8+ISLAS!BX13+ISLAS!BX15+ISLAS!BX20+ISLAS!BX25+ISLAS!BX26</f>
        <v>241127.96758334746</v>
      </c>
      <c r="BY8" s="534">
        <f>ISLAS!BY8+ISLAS!BY13+ISLAS!BY15+ISLAS!BY20+ISLAS!BY25+ISLAS!BY26</f>
        <v>255003.60726192297</v>
      </c>
      <c r="BZ8" s="534">
        <f>ISLAS!BZ8+ISLAS!BZ13+ISLAS!BZ15+ISLAS!BZ20+ISLAS!BZ25+ISLAS!BZ26</f>
        <v>235611.9944235108</v>
      </c>
      <c r="CA8" s="534">
        <f>ISLAS!CA8+ISLAS!CA13+ISLAS!CA15+ISLAS!CA20+ISLAS!CA25+ISLAS!CA26</f>
        <v>217357.83467605998</v>
      </c>
      <c r="CB8" s="534">
        <f>ISLAS!CB8+ISLAS!CB13+ISLAS!CB15+ISLAS!CB20+ISLAS!CB25+ISLAS!CB26</f>
        <v>2672372.7631517923</v>
      </c>
    </row>
    <row r="9" spans="2:80" x14ac:dyDescent="0.25">
      <c r="B9" s="531" t="s">
        <v>144</v>
      </c>
      <c r="C9" s="532">
        <f>ISLAS!C24</f>
        <v>26408</v>
      </c>
      <c r="D9" s="532">
        <f>ISLAS!D24</f>
        <v>6470</v>
      </c>
      <c r="E9" s="532">
        <f>ISLAS!E24</f>
        <v>18075</v>
      </c>
      <c r="F9" s="532">
        <f>ISLAS!F24</f>
        <v>10803</v>
      </c>
      <c r="G9" s="532">
        <f>ISLAS!G24</f>
        <v>6532</v>
      </c>
      <c r="H9" s="532">
        <f>ISLAS!H24</f>
        <v>8359.2000000000007</v>
      </c>
      <c r="I9" s="532">
        <f>ISLAS!I24</f>
        <v>5983</v>
      </c>
      <c r="J9" s="532">
        <f>ISLAS!J24</f>
        <v>5091</v>
      </c>
      <c r="K9" s="532">
        <f>ISLAS!K24</f>
        <v>0</v>
      </c>
      <c r="L9" s="532">
        <f>ISLAS!L24</f>
        <v>0</v>
      </c>
      <c r="M9" s="532">
        <f>ISLAS!M24</f>
        <v>0</v>
      </c>
      <c r="N9" s="532">
        <f>ISLAS!N24</f>
        <v>0</v>
      </c>
      <c r="O9" s="532">
        <f>ISLAS!O24</f>
        <v>87721.2</v>
      </c>
      <c r="P9" s="532">
        <f>ISLAS!P24</f>
        <v>0</v>
      </c>
      <c r="Q9" s="532">
        <f>ISLAS!Q24</f>
        <v>0</v>
      </c>
      <c r="R9" s="532">
        <f>ISLAS!R24</f>
        <v>15381.3</v>
      </c>
      <c r="S9" s="532">
        <f>ISLAS!S24</f>
        <v>15591</v>
      </c>
      <c r="T9" s="532">
        <f>ISLAS!T24</f>
        <v>14823</v>
      </c>
      <c r="U9" s="532">
        <f>ISLAS!U24</f>
        <v>13323</v>
      </c>
      <c r="V9" s="532">
        <f>ISLAS!V24</f>
        <v>14049.5</v>
      </c>
      <c r="W9" s="532">
        <f>ISLAS!W24</f>
        <v>20991</v>
      </c>
      <c r="X9" s="532">
        <f>ISLAS!X24</f>
        <v>20483.25</v>
      </c>
      <c r="Y9" s="532">
        <f>ISLAS!Y24</f>
        <v>21311.25</v>
      </c>
      <c r="Z9" s="532">
        <f>ISLAS!Z24</f>
        <v>20578.5</v>
      </c>
      <c r="AA9" s="532">
        <f>ISLAS!AA24</f>
        <v>21049.25</v>
      </c>
      <c r="AB9" s="532">
        <f>ISLAS!AB24</f>
        <v>177581.05</v>
      </c>
      <c r="AC9" s="532">
        <f>ISLAS!AC24</f>
        <v>20503.5</v>
      </c>
      <c r="AD9" s="532">
        <f>ISLAS!AD24</f>
        <v>1347.75</v>
      </c>
      <c r="AE9" s="532">
        <f>ISLAS!AE24</f>
        <v>0</v>
      </c>
      <c r="AF9" s="532">
        <f>ISLAS!AF24</f>
        <v>0</v>
      </c>
      <c r="AG9" s="532">
        <f>ISLAS!AG24</f>
        <v>0</v>
      </c>
      <c r="AH9" s="532">
        <f>ISLAS!AH24</f>
        <v>0</v>
      </c>
      <c r="AI9" s="532">
        <f>ISLAS!AI24</f>
        <v>0</v>
      </c>
      <c r="AJ9" s="532">
        <f>ISLAS!AJ24</f>
        <v>0</v>
      </c>
      <c r="AK9" s="532">
        <f>ISLAS!AK24</f>
        <v>3902.5</v>
      </c>
      <c r="AL9" s="532">
        <f>ISLAS!AL24</f>
        <v>4980.25</v>
      </c>
      <c r="AM9" s="532">
        <f>ISLAS!AM24</f>
        <v>8482.25</v>
      </c>
      <c r="AN9" s="532">
        <f>ISLAS!AN24</f>
        <v>9482</v>
      </c>
      <c r="AO9" s="532">
        <f>ISLAS!AO24</f>
        <v>48698.25</v>
      </c>
      <c r="AP9" s="532">
        <f>ISLAS!AP24</f>
        <v>9655</v>
      </c>
      <c r="AQ9" s="532">
        <f>ISLAS!AQ24</f>
        <v>6759</v>
      </c>
      <c r="AR9" s="532">
        <f>ISLAS!AR24</f>
        <v>5969.4500000000007</v>
      </c>
      <c r="AS9" s="532">
        <f>ISLAS!AS24</f>
        <v>6009.9000000000005</v>
      </c>
      <c r="AT9" s="532">
        <f>ISLAS!AT24</f>
        <v>6255.3000000000011</v>
      </c>
      <c r="AU9" s="532">
        <f>ISLAS!AU24</f>
        <v>5906.4000000000015</v>
      </c>
      <c r="AV9" s="532">
        <f>ISLAS!AV24</f>
        <v>0</v>
      </c>
      <c r="AW9" s="532">
        <f>ISLAS!AW24</f>
        <v>0</v>
      </c>
      <c r="AX9" s="532">
        <f>ISLAS!AX24</f>
        <v>0</v>
      </c>
      <c r="AY9" s="532">
        <f>ISLAS!AY24</f>
        <v>3126</v>
      </c>
      <c r="AZ9" s="532">
        <f>ISLAS!AZ24</f>
        <v>7277</v>
      </c>
      <c r="BA9" s="532">
        <f>ISLAS!BA24</f>
        <v>8380.5</v>
      </c>
      <c r="BB9" s="532">
        <f>ISLAS!BB24</f>
        <v>59338.55</v>
      </c>
      <c r="BC9" s="532">
        <f>ISLAS!BC24</f>
        <v>5713.5</v>
      </c>
      <c r="BD9" s="532">
        <f>ISLAS!BD24</f>
        <v>6403.5</v>
      </c>
      <c r="BE9" s="532">
        <f>ISLAS!BE24</f>
        <v>7262</v>
      </c>
      <c r="BF9" s="532">
        <f>ISLAS!BF24</f>
        <v>4244.5</v>
      </c>
      <c r="BG9" s="532">
        <f>ISLAS!BG24</f>
        <v>4709.3915088627409</v>
      </c>
      <c r="BH9" s="532">
        <f>ISLAS!BH24</f>
        <v>4253.0439019430232</v>
      </c>
      <c r="BI9" s="532">
        <f>ISLAS!BI24</f>
        <v>4971.0785203158157</v>
      </c>
      <c r="BJ9" s="532">
        <f>ISLAS!BJ24</f>
        <v>4603.4190797415913</v>
      </c>
      <c r="BK9" s="532">
        <f>ISLAS!BK24</f>
        <v>3765.5777244361625</v>
      </c>
      <c r="BL9" s="532">
        <f>ISLAS!BL24</f>
        <v>3657.9577740776786</v>
      </c>
      <c r="BM9" s="532">
        <f>ISLAS!BM24</f>
        <v>4079.9837961758885</v>
      </c>
      <c r="BN9" s="532">
        <f>ISLAS!BN24</f>
        <v>4759.0692915918735</v>
      </c>
      <c r="BO9" s="532">
        <f>ISLAS!BO24</f>
        <v>58423.021597144776</v>
      </c>
      <c r="BP9" s="532">
        <f>ISLAS!BP24</f>
        <v>4978.6958167894145</v>
      </c>
      <c r="BQ9" s="532">
        <f>ISLAS!BQ24</f>
        <v>4579.7077228911321</v>
      </c>
      <c r="BR9" s="532">
        <f>ISLAS!BR24</f>
        <v>4893.4021043700095</v>
      </c>
      <c r="BS9" s="532">
        <f>ISLAS!BS24</f>
        <v>5008.5318945093086</v>
      </c>
      <c r="BT9" s="532">
        <f>ISLAS!BT24</f>
        <v>5073.1701862686732</v>
      </c>
      <c r="BU9" s="532">
        <f>ISLAS!BU24</f>
        <v>4589.7313365601985</v>
      </c>
      <c r="BV9" s="532">
        <f>ISLAS!BV24</f>
        <v>5349.5462362743729</v>
      </c>
      <c r="BW9" s="532">
        <f>ISLAS!BW24</f>
        <v>4964.639553488515</v>
      </c>
      <c r="BX9" s="532">
        <f>ISLAS!BX24</f>
        <v>4088.9189211537932</v>
      </c>
      <c r="BY9" s="532">
        <f>ISLAS!BY24</f>
        <v>3965.8884803119145</v>
      </c>
      <c r="BZ9" s="532">
        <f>ISLAS!BZ24</f>
        <v>4439.695556773293</v>
      </c>
      <c r="CA9" s="532">
        <f>ISLAS!CA24</f>
        <v>5190.1994480256526</v>
      </c>
      <c r="CB9" s="532">
        <f>ISLAS!CB24</f>
        <v>57122.127257416287</v>
      </c>
    </row>
    <row r="10" spans="2:80" x14ac:dyDescent="0.25">
      <c r="B10" s="535" t="s">
        <v>145</v>
      </c>
      <c r="C10" s="536">
        <f t="shared" ref="C10:BN10" si="0">SUM(C6:C9)</f>
        <v>3372088</v>
      </c>
      <c r="D10" s="536">
        <f t="shared" si="0"/>
        <v>3114113</v>
      </c>
      <c r="E10" s="536">
        <f t="shared" si="0"/>
        <v>3695184</v>
      </c>
      <c r="F10" s="536">
        <f t="shared" si="0"/>
        <v>3609897.9999999995</v>
      </c>
      <c r="G10" s="536">
        <f t="shared" si="0"/>
        <v>3736613.0000000005</v>
      </c>
      <c r="H10" s="536">
        <f t="shared" si="0"/>
        <v>3463826</v>
      </c>
      <c r="I10" s="536">
        <f t="shared" si="0"/>
        <v>3147485</v>
      </c>
      <c r="J10" s="536">
        <f t="shared" si="0"/>
        <v>3038195</v>
      </c>
      <c r="K10" s="536">
        <f t="shared" si="0"/>
        <v>2818010</v>
      </c>
      <c r="L10" s="536">
        <f t="shared" si="0"/>
        <v>2951750</v>
      </c>
      <c r="M10" s="536">
        <f t="shared" si="0"/>
        <v>2951029</v>
      </c>
      <c r="N10" s="536">
        <f t="shared" si="0"/>
        <v>3243593</v>
      </c>
      <c r="O10" s="536">
        <f t="shared" si="0"/>
        <v>39141784</v>
      </c>
      <c r="P10" s="536">
        <f t="shared" si="0"/>
        <v>3668137</v>
      </c>
      <c r="Q10" s="536">
        <f t="shared" si="0"/>
        <v>3505021</v>
      </c>
      <c r="R10" s="536">
        <f t="shared" si="0"/>
        <v>4110069</v>
      </c>
      <c r="S10" s="536">
        <f t="shared" si="0"/>
        <v>3955963</v>
      </c>
      <c r="T10" s="536">
        <f t="shared" si="0"/>
        <v>3562893</v>
      </c>
      <c r="U10" s="536">
        <f t="shared" si="0"/>
        <v>3083523</v>
      </c>
      <c r="V10" s="536">
        <f t="shared" si="0"/>
        <v>3081301</v>
      </c>
      <c r="W10" s="536">
        <f t="shared" si="0"/>
        <v>2985011</v>
      </c>
      <c r="X10" s="536">
        <f t="shared" si="0"/>
        <v>2850903</v>
      </c>
      <c r="Y10" s="536">
        <f t="shared" si="0"/>
        <v>3033846.75</v>
      </c>
      <c r="Z10" s="536">
        <f t="shared" si="0"/>
        <v>3080193</v>
      </c>
      <c r="AA10" s="536">
        <f t="shared" si="0"/>
        <v>3586709.56</v>
      </c>
      <c r="AB10" s="536">
        <f t="shared" si="0"/>
        <v>40503570.310000002</v>
      </c>
      <c r="AC10" s="536">
        <f t="shared" si="0"/>
        <v>4084904.234375</v>
      </c>
      <c r="AD10" s="536">
        <f t="shared" si="0"/>
        <v>4122985.703125</v>
      </c>
      <c r="AE10" s="536">
        <f t="shared" si="0"/>
        <v>4654035</v>
      </c>
      <c r="AF10" s="536">
        <f t="shared" si="0"/>
        <v>4318200.5</v>
      </c>
      <c r="AG10" s="536">
        <f t="shared" si="0"/>
        <v>4325487</v>
      </c>
      <c r="AH10" s="536">
        <f t="shared" si="0"/>
        <v>3893196.3</v>
      </c>
      <c r="AI10" s="536">
        <f t="shared" si="0"/>
        <v>3801470.73</v>
      </c>
      <c r="AJ10" s="536">
        <f t="shared" si="0"/>
        <v>3570028.8020000001</v>
      </c>
      <c r="AK10" s="536">
        <f t="shared" si="0"/>
        <v>3313019.9</v>
      </c>
      <c r="AL10" s="536">
        <f t="shared" si="0"/>
        <v>3545704.75</v>
      </c>
      <c r="AM10" s="536">
        <f t="shared" si="0"/>
        <v>3692393.9849999999</v>
      </c>
      <c r="AN10" s="536">
        <f t="shared" si="0"/>
        <v>4134463.91</v>
      </c>
      <c r="AO10" s="536">
        <f t="shared" si="0"/>
        <v>47455890.814499997</v>
      </c>
      <c r="AP10" s="536">
        <f t="shared" si="0"/>
        <v>4356142.57</v>
      </c>
      <c r="AQ10" s="536">
        <f t="shared" si="0"/>
        <v>4368411.25</v>
      </c>
      <c r="AR10" s="536">
        <f t="shared" si="0"/>
        <v>5004022.79</v>
      </c>
      <c r="AS10" s="536">
        <f t="shared" si="0"/>
        <v>4829560.7709999997</v>
      </c>
      <c r="AT10" s="536">
        <f t="shared" si="0"/>
        <v>4794995</v>
      </c>
      <c r="AU10" s="536">
        <f t="shared" si="0"/>
        <v>4711535.9800000004</v>
      </c>
      <c r="AV10" s="536">
        <f t="shared" si="0"/>
        <v>4632679.12</v>
      </c>
      <c r="AW10" s="536">
        <f t="shared" si="0"/>
        <v>4033791.73</v>
      </c>
      <c r="AX10" s="536">
        <f t="shared" si="0"/>
        <v>3837154.5726464842</v>
      </c>
      <c r="AY10" s="536">
        <f t="shared" si="0"/>
        <v>4146746.34</v>
      </c>
      <c r="AZ10" s="536">
        <f t="shared" si="0"/>
        <v>4289668.9116992187</v>
      </c>
      <c r="BA10" s="536">
        <f t="shared" si="0"/>
        <v>4891418.8201367185</v>
      </c>
      <c r="BB10" s="536">
        <f t="shared" si="0"/>
        <v>53896127.855482422</v>
      </c>
      <c r="BC10" s="536">
        <f t="shared" si="0"/>
        <v>5038018.3900000006</v>
      </c>
      <c r="BD10" s="536">
        <f t="shared" si="0"/>
        <v>4863417.3505859375</v>
      </c>
      <c r="BE10" s="536">
        <f t="shared" si="0"/>
        <v>5477180.4720312506</v>
      </c>
      <c r="BF10" s="536">
        <f t="shared" si="0"/>
        <v>4977034.3893125001</v>
      </c>
      <c r="BG10" s="536">
        <f t="shared" si="0"/>
        <v>5099449.8602137044</v>
      </c>
      <c r="BH10" s="536">
        <f t="shared" si="0"/>
        <v>4786405.7419420276</v>
      </c>
      <c r="BI10" s="536">
        <f t="shared" si="0"/>
        <v>4538040.316777911</v>
      </c>
      <c r="BJ10" s="536">
        <f t="shared" si="0"/>
        <v>4167116.4726958578</v>
      </c>
      <c r="BK10" s="536">
        <f t="shared" si="0"/>
        <v>3932257.6676066015</v>
      </c>
      <c r="BL10" s="536">
        <f t="shared" si="0"/>
        <v>4248619.8675761698</v>
      </c>
      <c r="BM10" s="536">
        <f t="shared" si="0"/>
        <v>4474495.074806151</v>
      </c>
      <c r="BN10" s="536">
        <f t="shared" si="0"/>
        <v>4881110.9484102344</v>
      </c>
      <c r="BO10" s="536">
        <f>SUM(BO6:BO9)</f>
        <v>56483146.55195836</v>
      </c>
      <c r="BP10" s="536">
        <f t="shared" ref="BP10:CA10" si="1">SUM(BP6:BP9)</f>
        <v>5325509.4839293938</v>
      </c>
      <c r="BQ10" s="536">
        <f t="shared" si="1"/>
        <v>5362610.2379047032</v>
      </c>
      <c r="BR10" s="536">
        <f t="shared" si="1"/>
        <v>5800737.571236006</v>
      </c>
      <c r="BS10" s="536">
        <f t="shared" si="1"/>
        <v>5674199.4238454057</v>
      </c>
      <c r="BT10" s="536">
        <f t="shared" si="1"/>
        <v>5434074.9504766297</v>
      </c>
      <c r="BU10" s="536">
        <f t="shared" si="1"/>
        <v>5108318.5268289316</v>
      </c>
      <c r="BV10" s="536">
        <f t="shared" si="1"/>
        <v>4838383.8644618625</v>
      </c>
      <c r="BW10" s="536">
        <f t="shared" si="1"/>
        <v>4444591.4886422716</v>
      </c>
      <c r="BX10" s="536">
        <f t="shared" si="1"/>
        <v>4203553.9095200282</v>
      </c>
      <c r="BY10" s="536">
        <f t="shared" si="1"/>
        <v>4531443.2367720045</v>
      </c>
      <c r="BZ10" s="536">
        <f t="shared" si="1"/>
        <v>4796313.2891758215</v>
      </c>
      <c r="CA10" s="536">
        <f t="shared" si="1"/>
        <v>5253626.2155514974</v>
      </c>
      <c r="CB10" s="536">
        <f>SUM(CB6:CB9)</f>
        <v>60773362.198344558</v>
      </c>
    </row>
    <row r="11" spans="2:80" x14ac:dyDescent="0.25">
      <c r="B11" s="533" t="s">
        <v>136</v>
      </c>
      <c r="C11" s="537">
        <f>(C7+C8+C9)/C10</f>
        <v>3.3756533044214741E-2</v>
      </c>
      <c r="D11" s="537">
        <f t="shared" ref="D11:BO11" si="2">(D7+D8+D9)/D10</f>
        <v>8.7135566371547846E-3</v>
      </c>
      <c r="E11" s="537">
        <f t="shared" si="2"/>
        <v>5.0156636313645003E-2</v>
      </c>
      <c r="F11" s="537">
        <f t="shared" si="2"/>
        <v>1.876424209215884E-2</v>
      </c>
      <c r="G11" s="537">
        <f t="shared" si="2"/>
        <v>3.3011446462344371E-2</v>
      </c>
      <c r="H11" s="537">
        <f t="shared" si="2"/>
        <v>3.9841550932408272E-2</v>
      </c>
      <c r="I11" s="537">
        <f t="shared" si="2"/>
        <v>8.6625035544251994E-2</v>
      </c>
      <c r="J11" s="537">
        <f t="shared" si="2"/>
        <v>0.13473690793382254</v>
      </c>
      <c r="K11" s="537">
        <f t="shared" si="2"/>
        <v>0.12589451421393111</v>
      </c>
      <c r="L11" s="537">
        <f t="shared" si="2"/>
        <v>9.3706106546963666E-2</v>
      </c>
      <c r="M11" s="537">
        <f t="shared" si="2"/>
        <v>9.9466999477131543E-2</v>
      </c>
      <c r="N11" s="537">
        <f t="shared" si="2"/>
        <v>7.4157269423136621E-2</v>
      </c>
      <c r="O11" s="537">
        <f t="shared" si="2"/>
        <v>6.3942874959403997E-2</v>
      </c>
      <c r="P11" s="537">
        <f t="shared" si="2"/>
        <v>4.4378931321267447E-2</v>
      </c>
      <c r="Q11" s="537">
        <f t="shared" si="2"/>
        <v>1.9884902258788178E-2</v>
      </c>
      <c r="R11" s="537">
        <f t="shared" si="2"/>
        <v>3.0656735933143702E-2</v>
      </c>
      <c r="S11" s="537">
        <f t="shared" si="2"/>
        <v>1.4218282628022558E-2</v>
      </c>
      <c r="T11" s="537">
        <f t="shared" si="2"/>
        <v>0.11302640859548686</v>
      </c>
      <c r="U11" s="537">
        <f t="shared" si="2"/>
        <v>0.16498725645957563</v>
      </c>
      <c r="V11" s="537">
        <f t="shared" si="2"/>
        <v>0.1329336212203871</v>
      </c>
      <c r="W11" s="537">
        <f t="shared" si="2"/>
        <v>0.1515890561207312</v>
      </c>
      <c r="X11" s="537">
        <f t="shared" si="2"/>
        <v>0.13778169583461802</v>
      </c>
      <c r="Y11" s="537">
        <f t="shared" si="2"/>
        <v>0.12048507394119364</v>
      </c>
      <c r="Z11" s="537">
        <f t="shared" si="2"/>
        <v>0.12254475612404807</v>
      </c>
      <c r="AA11" s="537">
        <f t="shared" si="2"/>
        <v>8.9758120810874906E-2</v>
      </c>
      <c r="AB11" s="537">
        <f t="shared" si="2"/>
        <v>9.0017079533846148E-2</v>
      </c>
      <c r="AC11" s="537">
        <f t="shared" si="2"/>
        <v>7.065544693709562E-2</v>
      </c>
      <c r="AD11" s="537">
        <f t="shared" si="2"/>
        <v>5.0837298069244682E-2</v>
      </c>
      <c r="AE11" s="537">
        <f t="shared" si="2"/>
        <v>1.4184895472423392E-2</v>
      </c>
      <c r="AF11" s="537">
        <f t="shared" si="2"/>
        <v>3.6587462763713725E-2</v>
      </c>
      <c r="AG11" s="537">
        <f t="shared" si="2"/>
        <v>0.10121819808960239</v>
      </c>
      <c r="AH11" s="537">
        <f t="shared" si="2"/>
        <v>0.14283926551558679</v>
      </c>
      <c r="AI11" s="537">
        <f t="shared" si="2"/>
        <v>0.16624190343299053</v>
      </c>
      <c r="AJ11" s="537">
        <f t="shared" si="2"/>
        <v>0.13689267765184826</v>
      </c>
      <c r="AK11" s="537">
        <f t="shared" si="2"/>
        <v>0.20321894233113422</v>
      </c>
      <c r="AL11" s="537">
        <f t="shared" si="2"/>
        <v>0.17319180340664292</v>
      </c>
      <c r="AM11" s="537">
        <f t="shared" si="2"/>
        <v>0.14088643766437076</v>
      </c>
      <c r="AN11" s="537">
        <f t="shared" si="2"/>
        <v>0.12946416310597328</v>
      </c>
      <c r="AO11" s="537">
        <f t="shared" si="2"/>
        <v>0.1091466933946454</v>
      </c>
      <c r="AP11" s="537">
        <f t="shared" si="2"/>
        <v>0.13244965258334046</v>
      </c>
      <c r="AQ11" s="537">
        <f t="shared" si="2"/>
        <v>0.11749034617562622</v>
      </c>
      <c r="AR11" s="537">
        <f t="shared" si="2"/>
        <v>8.3199908847737286E-2</v>
      </c>
      <c r="AS11" s="537">
        <f t="shared" si="2"/>
        <v>8.1950448450004612E-2</v>
      </c>
      <c r="AT11" s="537">
        <f t="shared" si="2"/>
        <v>5.3703142547593896E-2</v>
      </c>
      <c r="AU11" s="537">
        <f t="shared" si="2"/>
        <v>0.10116984822431516</v>
      </c>
      <c r="AV11" s="537">
        <f t="shared" si="2"/>
        <v>0.22350244711099268</v>
      </c>
      <c r="AW11" s="537">
        <f t="shared" si="2"/>
        <v>0.27904557432368976</v>
      </c>
      <c r="AX11" s="537">
        <f t="shared" si="2"/>
        <v>0.236313798539808</v>
      </c>
      <c r="AY11" s="537">
        <f t="shared" si="2"/>
        <v>0.24066467012303433</v>
      </c>
      <c r="AZ11" s="537">
        <f t="shared" si="2"/>
        <v>0.22406855435341216</v>
      </c>
      <c r="BA11" s="537">
        <f t="shared" si="2"/>
        <v>0.170199557786681</v>
      </c>
      <c r="BB11" s="537">
        <f>(BB7+BB8+BB9)/BB10</f>
        <v>0.15763615390448119</v>
      </c>
      <c r="BC11" s="537">
        <f t="shared" si="2"/>
        <v>0.13575811699250268</v>
      </c>
      <c r="BD11" s="537">
        <f t="shared" si="2"/>
        <v>8.6719033178414257E-2</v>
      </c>
      <c r="BE11" s="537">
        <f t="shared" si="2"/>
        <v>5.6723979357216507E-2</v>
      </c>
      <c r="BF11" s="537">
        <f t="shared" si="2"/>
        <v>9.547430299715863E-2</v>
      </c>
      <c r="BG11" s="537">
        <f t="shared" si="2"/>
        <v>0.17412234529441203</v>
      </c>
      <c r="BH11" s="537">
        <f t="shared" si="2"/>
        <v>0.17425107831928047</v>
      </c>
      <c r="BI11" s="537">
        <f t="shared" si="2"/>
        <v>0.20357841621005496</v>
      </c>
      <c r="BJ11" s="537">
        <f t="shared" si="2"/>
        <v>0.20959261475854107</v>
      </c>
      <c r="BK11" s="537">
        <f t="shared" si="2"/>
        <v>0.28751145293270564</v>
      </c>
      <c r="BL11" s="537">
        <f t="shared" si="2"/>
        <v>0.22885684182114285</v>
      </c>
      <c r="BM11" s="537">
        <f t="shared" si="2"/>
        <v>0.29836424797712191</v>
      </c>
      <c r="BN11" s="537">
        <f t="shared" si="2"/>
        <v>0.20729182913371447</v>
      </c>
      <c r="BO11" s="537">
        <f t="shared" si="2"/>
        <v>0.17457448368292139</v>
      </c>
      <c r="BP11" s="537">
        <f t="shared" ref="BP11:CB11" si="3">(BP7+BP8+BP9)/BP10</f>
        <v>0.25970775401765772</v>
      </c>
      <c r="BQ11" s="537">
        <f t="shared" si="3"/>
        <v>0.1583341080549264</v>
      </c>
      <c r="BR11" s="537">
        <f t="shared" si="3"/>
        <v>8.8185216845585709E-2</v>
      </c>
      <c r="BS11" s="537">
        <f t="shared" si="3"/>
        <v>0.1131175916920132</v>
      </c>
      <c r="BT11" s="537">
        <f t="shared" si="3"/>
        <v>0.16346700333442485</v>
      </c>
      <c r="BU11" s="537">
        <f t="shared" si="3"/>
        <v>0.16333614375444228</v>
      </c>
      <c r="BV11" s="537">
        <f t="shared" si="3"/>
        <v>0.19101947137585715</v>
      </c>
      <c r="BW11" s="537">
        <f t="shared" si="3"/>
        <v>0.19658905890952305</v>
      </c>
      <c r="BX11" s="537">
        <f t="shared" si="3"/>
        <v>0.2690324617830801</v>
      </c>
      <c r="BY11" s="537">
        <f t="shared" si="3"/>
        <v>0.2146410326417636</v>
      </c>
      <c r="BZ11" s="537">
        <f t="shared" si="3"/>
        <v>0.27841990072794814</v>
      </c>
      <c r="CA11" s="537">
        <f t="shared" si="3"/>
        <v>0.19267559307142884</v>
      </c>
      <c r="CB11" s="537">
        <f t="shared" si="3"/>
        <v>0.18688057055894772</v>
      </c>
    </row>
    <row r="12" spans="2:80" x14ac:dyDescent="0.25">
      <c r="B12" s="533" t="s">
        <v>135</v>
      </c>
      <c r="C12" s="537">
        <f>C6/C10</f>
        <v>0.96624346695578522</v>
      </c>
      <c r="D12" s="537">
        <f t="shared" ref="D12:BO12" si="4">D6/D10</f>
        <v>0.99128644336284522</v>
      </c>
      <c r="E12" s="537">
        <f t="shared" si="4"/>
        <v>0.94984336368635502</v>
      </c>
      <c r="F12" s="537">
        <f t="shared" si="4"/>
        <v>0.98123575790784112</v>
      </c>
      <c r="G12" s="537">
        <f t="shared" si="4"/>
        <v>0.96698855353765567</v>
      </c>
      <c r="H12" s="537">
        <f t="shared" si="4"/>
        <v>0.96015844906759162</v>
      </c>
      <c r="I12" s="537">
        <f t="shared" si="4"/>
        <v>0.91337496445574795</v>
      </c>
      <c r="J12" s="537">
        <f t="shared" si="4"/>
        <v>0.86526309206617746</v>
      </c>
      <c r="K12" s="537">
        <f t="shared" si="4"/>
        <v>0.87410548578606895</v>
      </c>
      <c r="L12" s="537">
        <f t="shared" si="4"/>
        <v>0.90629389345303635</v>
      </c>
      <c r="M12" s="537">
        <f t="shared" si="4"/>
        <v>0.90053300052286844</v>
      </c>
      <c r="N12" s="537">
        <f t="shared" si="4"/>
        <v>0.92584273057686339</v>
      </c>
      <c r="O12" s="537">
        <f t="shared" si="4"/>
        <v>0.93605712504059591</v>
      </c>
      <c r="P12" s="537">
        <f t="shared" si="4"/>
        <v>0.95562106867873253</v>
      </c>
      <c r="Q12" s="537">
        <f t="shared" si="4"/>
        <v>0.98011509774121186</v>
      </c>
      <c r="R12" s="537">
        <f t="shared" si="4"/>
        <v>0.96934326406685634</v>
      </c>
      <c r="S12" s="537">
        <f t="shared" si="4"/>
        <v>0.9857817173719774</v>
      </c>
      <c r="T12" s="537">
        <f t="shared" si="4"/>
        <v>0.88697359140451315</v>
      </c>
      <c r="U12" s="537">
        <f t="shared" si="4"/>
        <v>0.83501274354042443</v>
      </c>
      <c r="V12" s="537">
        <f t="shared" si="4"/>
        <v>0.8670663787796129</v>
      </c>
      <c r="W12" s="537">
        <f t="shared" si="4"/>
        <v>0.84841094387926874</v>
      </c>
      <c r="X12" s="537">
        <f t="shared" si="4"/>
        <v>0.86221830416538203</v>
      </c>
      <c r="Y12" s="537">
        <f t="shared" si="4"/>
        <v>0.87951492605880632</v>
      </c>
      <c r="Z12" s="537">
        <f t="shared" si="4"/>
        <v>0.87745524387595197</v>
      </c>
      <c r="AA12" s="537">
        <f t="shared" si="4"/>
        <v>0.91024187918912502</v>
      </c>
      <c r="AB12" s="537">
        <f t="shared" si="4"/>
        <v>0.90998292046615381</v>
      </c>
      <c r="AC12" s="537">
        <f t="shared" si="4"/>
        <v>0.92934455306290442</v>
      </c>
      <c r="AD12" s="537">
        <f t="shared" si="4"/>
        <v>0.94916270193075536</v>
      </c>
      <c r="AE12" s="537">
        <f t="shared" si="4"/>
        <v>0.98581510452757659</v>
      </c>
      <c r="AF12" s="537">
        <f t="shared" si="4"/>
        <v>0.96341253723628628</v>
      </c>
      <c r="AG12" s="537">
        <f t="shared" si="4"/>
        <v>0.89878180191039758</v>
      </c>
      <c r="AH12" s="537">
        <f t="shared" si="4"/>
        <v>0.85716073448441332</v>
      </c>
      <c r="AI12" s="537">
        <f t="shared" si="4"/>
        <v>0.8337580965670095</v>
      </c>
      <c r="AJ12" s="537">
        <f t="shared" si="4"/>
        <v>0.86310732234815168</v>
      </c>
      <c r="AK12" s="537">
        <f t="shared" si="4"/>
        <v>0.79678105766886587</v>
      </c>
      <c r="AL12" s="537">
        <f t="shared" si="4"/>
        <v>0.82680819659335703</v>
      </c>
      <c r="AM12" s="537">
        <f t="shared" si="4"/>
        <v>0.8591135623356293</v>
      </c>
      <c r="AN12" s="537">
        <f t="shared" si="4"/>
        <v>0.87053583689402669</v>
      </c>
      <c r="AO12" s="537">
        <f t="shared" si="4"/>
        <v>0.89085330660535467</v>
      </c>
      <c r="AP12" s="537">
        <f t="shared" si="4"/>
        <v>0.86755034741665948</v>
      </c>
      <c r="AQ12" s="537">
        <f t="shared" si="4"/>
        <v>0.88250965382437385</v>
      </c>
      <c r="AR12" s="537">
        <f t="shared" si="4"/>
        <v>0.91680009115226269</v>
      </c>
      <c r="AS12" s="537">
        <f t="shared" si="4"/>
        <v>0.91804955154999535</v>
      </c>
      <c r="AT12" s="537">
        <f t="shared" si="4"/>
        <v>0.9462968574524061</v>
      </c>
      <c r="AU12" s="537">
        <f t="shared" si="4"/>
        <v>0.8988301517756847</v>
      </c>
      <c r="AV12" s="537">
        <f t="shared" si="4"/>
        <v>0.77649755288900735</v>
      </c>
      <c r="AW12" s="537">
        <f t="shared" si="4"/>
        <v>0.7209544256763103</v>
      </c>
      <c r="AX12" s="537">
        <f t="shared" si="4"/>
        <v>0.76368620146019206</v>
      </c>
      <c r="AY12" s="537">
        <f t="shared" si="4"/>
        <v>0.75933532987696573</v>
      </c>
      <c r="AZ12" s="537">
        <f t="shared" si="4"/>
        <v>0.77593144564658789</v>
      </c>
      <c r="BA12" s="537">
        <f t="shared" si="4"/>
        <v>0.82980044221331895</v>
      </c>
      <c r="BB12" s="537">
        <f t="shared" si="4"/>
        <v>0.84236384609551895</v>
      </c>
      <c r="BC12" s="537">
        <f t="shared" si="4"/>
        <v>0.86424188300749727</v>
      </c>
      <c r="BD12" s="537">
        <f t="shared" si="4"/>
        <v>0.91328096682158577</v>
      </c>
      <c r="BE12" s="537">
        <f t="shared" si="4"/>
        <v>0.94327602064278337</v>
      </c>
      <c r="BF12" s="537">
        <f t="shared" si="4"/>
        <v>0.90452569700284136</v>
      </c>
      <c r="BG12" s="537">
        <f t="shared" si="4"/>
        <v>0.82587765470558816</v>
      </c>
      <c r="BH12" s="537">
        <f t="shared" si="4"/>
        <v>0.82574892168071945</v>
      </c>
      <c r="BI12" s="537">
        <f t="shared" si="4"/>
        <v>0.7964215837899451</v>
      </c>
      <c r="BJ12" s="537">
        <f t="shared" si="4"/>
        <v>0.79040738524145904</v>
      </c>
      <c r="BK12" s="537">
        <f t="shared" si="4"/>
        <v>0.71248854706729425</v>
      </c>
      <c r="BL12" s="537">
        <f t="shared" si="4"/>
        <v>0.77114315817885704</v>
      </c>
      <c r="BM12" s="537">
        <f t="shared" si="4"/>
        <v>0.7016357520228782</v>
      </c>
      <c r="BN12" s="537">
        <f t="shared" si="4"/>
        <v>0.79270817086628553</v>
      </c>
      <c r="BO12" s="537">
        <f t="shared" si="4"/>
        <v>0.8254255163170785</v>
      </c>
      <c r="BP12" s="537">
        <f t="shared" ref="BP12:CB12" si="5">BP6/BP10</f>
        <v>0.74029224598234222</v>
      </c>
      <c r="BQ12" s="537">
        <f t="shared" si="5"/>
        <v>0.84166589194507357</v>
      </c>
      <c r="BR12" s="537">
        <f t="shared" si="5"/>
        <v>0.91181478315441422</v>
      </c>
      <c r="BS12" s="537">
        <f t="shared" si="5"/>
        <v>0.88688240830798681</v>
      </c>
      <c r="BT12" s="537">
        <f t="shared" si="5"/>
        <v>0.83653299666557512</v>
      </c>
      <c r="BU12" s="537">
        <f t="shared" si="5"/>
        <v>0.83666385624555784</v>
      </c>
      <c r="BV12" s="537">
        <f t="shared" si="5"/>
        <v>0.80898052862414271</v>
      </c>
      <c r="BW12" s="537">
        <f t="shared" si="5"/>
        <v>0.80341094109047717</v>
      </c>
      <c r="BX12" s="537">
        <f t="shared" si="5"/>
        <v>0.73096753821691995</v>
      </c>
      <c r="BY12" s="537">
        <f t="shared" si="5"/>
        <v>0.78535896735823629</v>
      </c>
      <c r="BZ12" s="537">
        <f t="shared" si="5"/>
        <v>0.72158009927205202</v>
      </c>
      <c r="CA12" s="537">
        <f t="shared" si="5"/>
        <v>0.80732440692857121</v>
      </c>
      <c r="CB12" s="537">
        <f t="shared" si="5"/>
        <v>0.81311942944105231</v>
      </c>
    </row>
    <row r="13" spans="2:80" ht="13.15" customHeight="1" x14ac:dyDescent="0.25">
      <c r="B13" s="538"/>
      <c r="C13" s="538"/>
      <c r="D13" s="538"/>
      <c r="E13" s="538"/>
      <c r="F13" s="538"/>
      <c r="G13" s="538"/>
      <c r="H13" s="538"/>
      <c r="I13" s="538"/>
      <c r="J13" s="538"/>
      <c r="K13" s="538"/>
      <c r="L13" s="538"/>
      <c r="M13" s="538"/>
      <c r="N13" s="538"/>
      <c r="O13" s="538"/>
      <c r="P13" s="538"/>
      <c r="Q13" s="538"/>
      <c r="R13" s="538"/>
      <c r="S13" s="538"/>
      <c r="T13" s="538"/>
      <c r="U13" s="538"/>
      <c r="V13" s="538"/>
      <c r="W13" s="538"/>
      <c r="X13" s="538"/>
      <c r="Y13" s="538"/>
      <c r="Z13" s="538"/>
      <c r="AA13" s="538"/>
      <c r="AB13" s="538"/>
      <c r="AC13" s="539"/>
      <c r="AD13" s="539"/>
      <c r="AE13" s="539"/>
      <c r="AF13" s="539"/>
      <c r="AG13" s="539"/>
      <c r="AH13" s="539"/>
      <c r="AI13" s="539"/>
      <c r="AJ13" s="538"/>
      <c r="AK13" s="538"/>
      <c r="AL13" s="538"/>
      <c r="AM13" s="538"/>
      <c r="AN13" s="538"/>
      <c r="AO13" s="538"/>
      <c r="AP13" s="539"/>
      <c r="AQ13" s="539"/>
      <c r="AR13" s="539"/>
      <c r="AS13" s="539"/>
      <c r="AT13" s="539"/>
      <c r="AU13" s="539"/>
      <c r="AV13" s="539"/>
      <c r="AW13" s="538"/>
      <c r="AX13" s="538"/>
      <c r="AY13" s="538"/>
      <c r="AZ13" s="538"/>
      <c r="BA13" s="538"/>
      <c r="BB13" s="538"/>
      <c r="BC13" s="539"/>
      <c r="BD13" s="539"/>
      <c r="BE13" s="539"/>
      <c r="BF13" s="539"/>
      <c r="BG13" s="539"/>
      <c r="BH13" s="539"/>
      <c r="BI13" s="539"/>
      <c r="BJ13" s="538"/>
      <c r="BK13" s="538"/>
      <c r="BL13" s="538"/>
      <c r="BM13" s="538"/>
      <c r="BN13" s="538"/>
      <c r="BO13" s="538"/>
      <c r="BP13" s="539"/>
      <c r="BQ13" s="539"/>
      <c r="BR13" s="539"/>
      <c r="BS13" s="539"/>
      <c r="BT13" s="539"/>
      <c r="BU13" s="539"/>
      <c r="BV13" s="539"/>
      <c r="BW13" s="538"/>
      <c r="BX13" s="538"/>
      <c r="BY13" s="538"/>
      <c r="BZ13" s="538"/>
      <c r="CA13" s="538"/>
      <c r="CB13" s="538"/>
    </row>
    <row r="14" spans="2:80" x14ac:dyDescent="0.25">
      <c r="B14" s="540" t="s">
        <v>146</v>
      </c>
      <c r="C14" s="541">
        <f>C6</f>
        <v>3258258</v>
      </c>
      <c r="D14" s="540">
        <f t="shared" ref="D14:BO14" si="6">D6</f>
        <v>3086978</v>
      </c>
      <c r="E14" s="540">
        <f t="shared" si="6"/>
        <v>3509846</v>
      </c>
      <c r="F14" s="540">
        <f t="shared" si="6"/>
        <v>3542160.9999999995</v>
      </c>
      <c r="G14" s="540">
        <f t="shared" si="6"/>
        <v>3613262.0000000005</v>
      </c>
      <c r="H14" s="540">
        <f t="shared" si="6"/>
        <v>3325821.8</v>
      </c>
      <c r="I14" s="540">
        <f t="shared" si="6"/>
        <v>2874834</v>
      </c>
      <c r="J14" s="540">
        <f t="shared" si="6"/>
        <v>2628838</v>
      </c>
      <c r="K14" s="540">
        <f t="shared" si="6"/>
        <v>2463238</v>
      </c>
      <c r="L14" s="540">
        <f t="shared" si="6"/>
        <v>2675153</v>
      </c>
      <c r="M14" s="540">
        <f t="shared" si="6"/>
        <v>2657499</v>
      </c>
      <c r="N14" s="540">
        <f t="shared" si="6"/>
        <v>3003057</v>
      </c>
      <c r="O14" s="540">
        <f t="shared" si="6"/>
        <v>36638945.799999997</v>
      </c>
      <c r="P14" s="540">
        <f t="shared" si="6"/>
        <v>3505349</v>
      </c>
      <c r="Q14" s="540">
        <f t="shared" si="6"/>
        <v>3435324</v>
      </c>
      <c r="R14" s="540">
        <f t="shared" si="6"/>
        <v>3984067.7</v>
      </c>
      <c r="S14" s="540">
        <f t="shared" si="6"/>
        <v>3899716</v>
      </c>
      <c r="T14" s="540">
        <f t="shared" si="6"/>
        <v>3160192</v>
      </c>
      <c r="U14" s="540">
        <f t="shared" si="6"/>
        <v>2574781</v>
      </c>
      <c r="V14" s="540">
        <f t="shared" si="6"/>
        <v>2671692.5</v>
      </c>
      <c r="W14" s="540">
        <f t="shared" si="6"/>
        <v>2532516</v>
      </c>
      <c r="X14" s="540">
        <f t="shared" si="6"/>
        <v>2458100.75</v>
      </c>
      <c r="Y14" s="540">
        <f t="shared" si="6"/>
        <v>2668313.5</v>
      </c>
      <c r="Z14" s="540">
        <f t="shared" si="6"/>
        <v>2702731.5</v>
      </c>
      <c r="AA14" s="540">
        <f t="shared" si="6"/>
        <v>3264773.25</v>
      </c>
      <c r="AB14" s="540">
        <f t="shared" si="6"/>
        <v>36857557.200000003</v>
      </c>
      <c r="AC14" s="539">
        <f t="shared" si="6"/>
        <v>3796283.5</v>
      </c>
      <c r="AD14" s="539">
        <f t="shared" si="6"/>
        <v>3913384.25</v>
      </c>
      <c r="AE14" s="539">
        <f t="shared" si="6"/>
        <v>4588018</v>
      </c>
      <c r="AF14" s="539">
        <f t="shared" si="6"/>
        <v>4160208.5</v>
      </c>
      <c r="AG14" s="539">
        <f t="shared" si="6"/>
        <v>3887669</v>
      </c>
      <c r="AH14" s="539">
        <f t="shared" si="6"/>
        <v>3337095</v>
      </c>
      <c r="AI14" s="539">
        <f t="shared" si="6"/>
        <v>3169507</v>
      </c>
      <c r="AJ14" s="538">
        <f t="shared" si="6"/>
        <v>3081318</v>
      </c>
      <c r="AK14" s="538">
        <f t="shared" si="6"/>
        <v>2639751.5</v>
      </c>
      <c r="AL14" s="538">
        <f t="shared" si="6"/>
        <v>2931617.75</v>
      </c>
      <c r="AM14" s="538">
        <f t="shared" si="6"/>
        <v>3172185.75</v>
      </c>
      <c r="AN14" s="538">
        <f t="shared" si="6"/>
        <v>3599199</v>
      </c>
      <c r="AO14" s="540">
        <f t="shared" si="6"/>
        <v>42276237.25</v>
      </c>
      <c r="AP14" s="540">
        <f t="shared" si="6"/>
        <v>3779173</v>
      </c>
      <c r="AQ14" s="540">
        <f t="shared" si="6"/>
        <v>3855165.1</v>
      </c>
      <c r="AR14" s="540">
        <f t="shared" si="6"/>
        <v>4587688.55</v>
      </c>
      <c r="AS14" s="540">
        <f t="shared" si="6"/>
        <v>4433776.0999999996</v>
      </c>
      <c r="AT14" s="540">
        <f t="shared" si="6"/>
        <v>4537488.7</v>
      </c>
      <c r="AU14" s="540">
        <f t="shared" si="6"/>
        <v>4234870.5999999996</v>
      </c>
      <c r="AV14" s="540">
        <f t="shared" si="6"/>
        <v>3597264</v>
      </c>
      <c r="AW14" s="540">
        <f t="shared" si="6"/>
        <v>2908180</v>
      </c>
      <c r="AX14" s="540">
        <f t="shared" si="6"/>
        <v>2930382</v>
      </c>
      <c r="AY14" s="540">
        <f t="shared" si="6"/>
        <v>3148771</v>
      </c>
      <c r="AZ14" s="540">
        <f t="shared" si="6"/>
        <v>3328489</v>
      </c>
      <c r="BA14" s="540">
        <f t="shared" si="6"/>
        <v>4058901.5</v>
      </c>
      <c r="BB14" s="540">
        <f t="shared" si="6"/>
        <v>45400149.550000004</v>
      </c>
      <c r="BC14" s="540">
        <f t="shared" si="6"/>
        <v>4354066.5</v>
      </c>
      <c r="BD14" s="540">
        <f t="shared" si="6"/>
        <v>4441666.5</v>
      </c>
      <c r="BE14" s="540">
        <f t="shared" si="6"/>
        <v>5166493</v>
      </c>
      <c r="BF14" s="540">
        <f t="shared" si="6"/>
        <v>4501855.5</v>
      </c>
      <c r="BG14" s="540">
        <f t="shared" si="6"/>
        <v>4211521.6908420334</v>
      </c>
      <c r="BH14" s="540">
        <f t="shared" si="6"/>
        <v>3952369.3801350333</v>
      </c>
      <c r="BI14" s="540">
        <f t="shared" si="6"/>
        <v>3614193.2563908882</v>
      </c>
      <c r="BJ14" s="540">
        <f t="shared" si="6"/>
        <v>3293719.6351801446</v>
      </c>
      <c r="BK14" s="540">
        <f t="shared" si="6"/>
        <v>2801688.5522872549</v>
      </c>
      <c r="BL14" s="540">
        <f t="shared" si="6"/>
        <v>3276294.142584125</v>
      </c>
      <c r="BM14" s="540">
        <f t="shared" si="6"/>
        <v>3139465.7167342785</v>
      </c>
      <c r="BN14" s="540">
        <f t="shared" si="6"/>
        <v>3869296.5317096771</v>
      </c>
      <c r="BO14" s="540">
        <f t="shared" si="6"/>
        <v>46622630.405863442</v>
      </c>
      <c r="BP14" s="540">
        <f t="shared" ref="BP14:CB14" si="7">BP6</f>
        <v>3942433.376858355</v>
      </c>
      <c r="BQ14" s="540">
        <f t="shared" si="7"/>
        <v>4513526.1290398454</v>
      </c>
      <c r="BR14" s="540">
        <f t="shared" si="7"/>
        <v>5289198.2706522224</v>
      </c>
      <c r="BS14" s="540">
        <f t="shared" si="7"/>
        <v>5032347.6502398048</v>
      </c>
      <c r="BT14" s="540">
        <f t="shared" si="7"/>
        <v>4545783.0024275519</v>
      </c>
      <c r="BU14" s="540">
        <f t="shared" si="7"/>
        <v>4273945.4775873208</v>
      </c>
      <c r="BV14" s="540">
        <f t="shared" si="7"/>
        <v>3914158.3363588802</v>
      </c>
      <c r="BW14" s="540">
        <f t="shared" si="7"/>
        <v>3570833.4306528121</v>
      </c>
      <c r="BX14" s="540">
        <f t="shared" si="7"/>
        <v>3072661.4530039644</v>
      </c>
      <c r="BY14" s="540">
        <f t="shared" si="7"/>
        <v>3558809.5810737251</v>
      </c>
      <c r="BZ14" s="540">
        <f t="shared" si="7"/>
        <v>3460924.2193433517</v>
      </c>
      <c r="CA14" s="540">
        <f t="shared" si="7"/>
        <v>4241380.6686945064</v>
      </c>
      <c r="CB14" s="540">
        <f t="shared" si="7"/>
        <v>49416001.595932342</v>
      </c>
    </row>
    <row r="15" spans="2:80" x14ac:dyDescent="0.25">
      <c r="B15" s="540" t="s">
        <v>147</v>
      </c>
      <c r="C15" s="541">
        <f>SUM(C7:C9)</f>
        <v>113830</v>
      </c>
      <c r="D15" s="540">
        <f t="shared" ref="D15:BO15" si="8">SUM(D7:D9)</f>
        <v>27135</v>
      </c>
      <c r="E15" s="540">
        <f t="shared" si="8"/>
        <v>185338</v>
      </c>
      <c r="F15" s="540">
        <f t="shared" si="8"/>
        <v>67737</v>
      </c>
      <c r="G15" s="540">
        <f t="shared" si="8"/>
        <v>123351</v>
      </c>
      <c r="H15" s="540">
        <f t="shared" si="8"/>
        <v>138004.20000000001</v>
      </c>
      <c r="I15" s="540">
        <f t="shared" si="8"/>
        <v>272651</v>
      </c>
      <c r="J15" s="540">
        <f t="shared" si="8"/>
        <v>409357</v>
      </c>
      <c r="K15" s="540">
        <f t="shared" si="8"/>
        <v>354772</v>
      </c>
      <c r="L15" s="540">
        <f t="shared" si="8"/>
        <v>276597</v>
      </c>
      <c r="M15" s="540">
        <f t="shared" si="8"/>
        <v>293530</v>
      </c>
      <c r="N15" s="540">
        <f t="shared" si="8"/>
        <v>240536</v>
      </c>
      <c r="O15" s="540">
        <f t="shared" si="8"/>
        <v>2502838.2000000002</v>
      </c>
      <c r="P15" s="540">
        <f t="shared" si="8"/>
        <v>162788</v>
      </c>
      <c r="Q15" s="540">
        <f t="shared" si="8"/>
        <v>69697</v>
      </c>
      <c r="R15" s="540">
        <f t="shared" si="8"/>
        <v>126001.3</v>
      </c>
      <c r="S15" s="540">
        <f t="shared" si="8"/>
        <v>56247</v>
      </c>
      <c r="T15" s="540">
        <f t="shared" si="8"/>
        <v>402701</v>
      </c>
      <c r="U15" s="540">
        <f t="shared" si="8"/>
        <v>508742</v>
      </c>
      <c r="V15" s="540">
        <f t="shared" si="8"/>
        <v>409608.5</v>
      </c>
      <c r="W15" s="540">
        <f t="shared" si="8"/>
        <v>452495</v>
      </c>
      <c r="X15" s="540">
        <f t="shared" si="8"/>
        <v>392802.25</v>
      </c>
      <c r="Y15" s="540">
        <f t="shared" si="8"/>
        <v>365533.25</v>
      </c>
      <c r="Z15" s="540">
        <f t="shared" si="8"/>
        <v>377461.5</v>
      </c>
      <c r="AA15" s="540">
        <f t="shared" si="8"/>
        <v>321936.31</v>
      </c>
      <c r="AB15" s="540">
        <f t="shared" si="8"/>
        <v>3646013.11</v>
      </c>
      <c r="AC15" s="542">
        <f t="shared" si="8"/>
        <v>288620.734375</v>
      </c>
      <c r="AD15" s="542">
        <f t="shared" si="8"/>
        <v>209601.453125</v>
      </c>
      <c r="AE15" s="542">
        <f t="shared" si="8"/>
        <v>66017</v>
      </c>
      <c r="AF15" s="542">
        <f t="shared" si="8"/>
        <v>157992</v>
      </c>
      <c r="AG15" s="542">
        <f t="shared" si="8"/>
        <v>437818</v>
      </c>
      <c r="AH15" s="542">
        <f t="shared" si="8"/>
        <v>556101.30000000005</v>
      </c>
      <c r="AI15" s="542">
        <f t="shared" si="8"/>
        <v>631963.73</v>
      </c>
      <c r="AJ15" s="542">
        <f t="shared" si="8"/>
        <v>488710.80200000003</v>
      </c>
      <c r="AK15" s="542">
        <f t="shared" si="8"/>
        <v>673268.4</v>
      </c>
      <c r="AL15" s="542">
        <f t="shared" si="8"/>
        <v>614087</v>
      </c>
      <c r="AM15" s="542">
        <f t="shared" si="8"/>
        <v>520208.23499999999</v>
      </c>
      <c r="AN15" s="542">
        <f t="shared" si="8"/>
        <v>535264.91</v>
      </c>
      <c r="AO15" s="540">
        <f t="shared" si="8"/>
        <v>5179653.5645000003</v>
      </c>
      <c r="AP15" s="540">
        <f t="shared" si="8"/>
        <v>576969.56999999995</v>
      </c>
      <c r="AQ15" s="540">
        <f t="shared" si="8"/>
        <v>513246.15</v>
      </c>
      <c r="AR15" s="540">
        <f t="shared" si="8"/>
        <v>416334.24000000005</v>
      </c>
      <c r="AS15" s="540">
        <f t="shared" si="8"/>
        <v>395784.67100000003</v>
      </c>
      <c r="AT15" s="540">
        <f t="shared" si="8"/>
        <v>257506.3</v>
      </c>
      <c r="AU15" s="540">
        <f t="shared" si="8"/>
        <v>476665.38</v>
      </c>
      <c r="AV15" s="540">
        <f t="shared" si="8"/>
        <v>1035415.1200000001</v>
      </c>
      <c r="AW15" s="540">
        <f t="shared" si="8"/>
        <v>1125611.73</v>
      </c>
      <c r="AX15" s="540">
        <f t="shared" si="8"/>
        <v>906772.57264648436</v>
      </c>
      <c r="AY15" s="540">
        <f t="shared" si="8"/>
        <v>997975.34</v>
      </c>
      <c r="AZ15" s="540">
        <f t="shared" si="8"/>
        <v>961179.91169921879</v>
      </c>
      <c r="BA15" s="540">
        <f t="shared" si="8"/>
        <v>832517.32013671845</v>
      </c>
      <c r="BB15" s="540">
        <f t="shared" si="8"/>
        <v>8495978.3054824229</v>
      </c>
      <c r="BC15" s="540">
        <f t="shared" si="8"/>
        <v>683951.89</v>
      </c>
      <c r="BD15" s="540">
        <f t="shared" si="8"/>
        <v>421750.8505859375</v>
      </c>
      <c r="BE15" s="540">
        <f t="shared" si="8"/>
        <v>310687.47203125001</v>
      </c>
      <c r="BF15" s="540">
        <f t="shared" si="8"/>
        <v>475178.88931250002</v>
      </c>
      <c r="BG15" s="540">
        <f t="shared" si="8"/>
        <v>887928.16937167186</v>
      </c>
      <c r="BH15" s="540">
        <f t="shared" si="8"/>
        <v>834036.36180699395</v>
      </c>
      <c r="BI15" s="540">
        <f t="shared" si="8"/>
        <v>923847.06038702326</v>
      </c>
      <c r="BJ15" s="540">
        <f t="shared" si="8"/>
        <v>873396.83751571341</v>
      </c>
      <c r="BK15" s="540">
        <f t="shared" si="8"/>
        <v>1130569.1153193463</v>
      </c>
      <c r="BL15" s="540">
        <f t="shared" si="8"/>
        <v>972325.72499204439</v>
      </c>
      <c r="BM15" s="540">
        <f t="shared" si="8"/>
        <v>1335029.3580718732</v>
      </c>
      <c r="BN15" s="540">
        <f t="shared" si="8"/>
        <v>1011814.4167005572</v>
      </c>
      <c r="BO15" s="540">
        <f t="shared" si="8"/>
        <v>9860516.1460949127</v>
      </c>
      <c r="BP15" s="540">
        <f t="shared" ref="BP15:CB15" si="9">SUM(BP7:BP9)</f>
        <v>1383076.1070710383</v>
      </c>
      <c r="BQ15" s="540">
        <f t="shared" si="9"/>
        <v>849084.10886485782</v>
      </c>
      <c r="BR15" s="540">
        <f t="shared" si="9"/>
        <v>511539.30058378336</v>
      </c>
      <c r="BS15" s="540">
        <f t="shared" si="9"/>
        <v>641851.77360560116</v>
      </c>
      <c r="BT15" s="540">
        <f t="shared" si="9"/>
        <v>888291.94804907776</v>
      </c>
      <c r="BU15" s="540">
        <f t="shared" si="9"/>
        <v>834373.04924161115</v>
      </c>
      <c r="BV15" s="540">
        <f t="shared" si="9"/>
        <v>924225.52810298186</v>
      </c>
      <c r="BW15" s="540">
        <f t="shared" si="9"/>
        <v>873758.0579894603</v>
      </c>
      <c r="BX15" s="540">
        <f t="shared" si="9"/>
        <v>1130892.456516064</v>
      </c>
      <c r="BY15" s="540">
        <f t="shared" si="9"/>
        <v>972633.65569827869</v>
      </c>
      <c r="BZ15" s="540">
        <f t="shared" si="9"/>
        <v>1335389.0698324707</v>
      </c>
      <c r="CA15" s="540">
        <f t="shared" si="9"/>
        <v>1012245.546856991</v>
      </c>
      <c r="CB15" s="540">
        <f t="shared" si="9"/>
        <v>11357360.602412216</v>
      </c>
    </row>
    <row r="16" spans="2:80" x14ac:dyDescent="0.25">
      <c r="B16" s="540" t="s">
        <v>148</v>
      </c>
      <c r="C16" s="543">
        <f>ISLAS!C46</f>
        <v>9.4810811799614019</v>
      </c>
      <c r="D16" s="543">
        <f>ISLAS!D46</f>
        <v>11.859589618499575</v>
      </c>
      <c r="E16" s="543">
        <f>ISLAS!E46</f>
        <v>11.838376088022383</v>
      </c>
      <c r="F16" s="543">
        <f>ISLAS!F46</f>
        <v>11.718276223330021</v>
      </c>
      <c r="G16" s="543">
        <f>ISLAS!G46</f>
        <v>11.831746839390423</v>
      </c>
      <c r="H16" s="543">
        <f>ISLAS!H46</f>
        <v>12.272274176679568</v>
      </c>
      <c r="I16" s="543">
        <f>ISLAS!I46</f>
        <v>12.199954360230285</v>
      </c>
      <c r="J16" s="543">
        <f>ISLAS!J46</f>
        <v>12.194636932593236</v>
      </c>
      <c r="K16" s="543">
        <f>ISLAS!K46</f>
        <v>9.9116722717619048</v>
      </c>
      <c r="L16" s="543">
        <f>ISLAS!L46</f>
        <v>9.9117327980118937</v>
      </c>
      <c r="M16" s="543">
        <f>ISLAS!M46</f>
        <v>9.9948189452743321</v>
      </c>
      <c r="N16" s="543">
        <f>ISLAS!N46</f>
        <v>10.059362741713414</v>
      </c>
      <c r="O16" s="543">
        <f>ISLAS!O46</f>
        <v>11.106126847955702</v>
      </c>
      <c r="P16" s="543">
        <f>ISLAS!P46</f>
        <v>10.027313379381361</v>
      </c>
      <c r="Q16" s="543">
        <f>ISLAS!Q46</f>
        <v>10.086522075821033</v>
      </c>
      <c r="R16" s="543">
        <f>ISLAS!R46</f>
        <v>12.315359817399466</v>
      </c>
      <c r="S16" s="543">
        <f>ISLAS!S46</f>
        <v>12.960476899670454</v>
      </c>
      <c r="T16" s="543">
        <f>ISLAS!T46</f>
        <v>12.531802581907026</v>
      </c>
      <c r="U16" s="543">
        <f>ISLAS!U46</f>
        <v>12.510611325710826</v>
      </c>
      <c r="V16" s="543">
        <f>ISLAS!V46</f>
        <v>12.611766937375254</v>
      </c>
      <c r="W16" s="543">
        <f>ISLAS!W46</f>
        <v>12.511159514713347</v>
      </c>
      <c r="X16" s="543">
        <f>ISLAS!X46</f>
        <v>12.385611889068393</v>
      </c>
      <c r="Y16" s="543">
        <f>ISLAS!Y46</f>
        <v>12.6061489193174</v>
      </c>
      <c r="Z16" s="543">
        <f>ISLAS!Z46</f>
        <v>12.391363358378404</v>
      </c>
      <c r="AA16" s="543">
        <f>ISLAS!AA46</f>
        <v>12.601193365464582</v>
      </c>
      <c r="AB16" s="543">
        <f>ISLAS!AB46</f>
        <v>12.12827750535063</v>
      </c>
      <c r="AC16" s="544">
        <f>ISLAS!AC46</f>
        <v>12.785143045868821</v>
      </c>
      <c r="AD16" s="544">
        <f>ISLAS!AD46</f>
        <v>12.324766368396386</v>
      </c>
      <c r="AE16" s="544">
        <f>ISLAS!AE46</f>
        <v>12.54360912285544</v>
      </c>
      <c r="AF16" s="544">
        <f>ISLAS!AF46</f>
        <v>12.815965236781039</v>
      </c>
      <c r="AG16" s="544">
        <f>ISLAS!AG46</f>
        <v>12.378020438717313</v>
      </c>
      <c r="AH16" s="544">
        <f>ISLAS!AH46</f>
        <v>12.545082660391065</v>
      </c>
      <c r="AI16" s="544">
        <f>ISLAS!AI46</f>
        <v>12.019150737550788</v>
      </c>
      <c r="AJ16" s="544">
        <f>ISLAS!AJ46</f>
        <v>12.261792493399698</v>
      </c>
      <c r="AK16" s="544">
        <f>ISLAS!AK46</f>
        <v>11.496236039974658</v>
      </c>
      <c r="AL16" s="544">
        <f>ISLAS!AL46</f>
        <v>11.36362629441221</v>
      </c>
      <c r="AM16" s="544">
        <f>ISLAS!AM46</f>
        <v>11.513360058797923</v>
      </c>
      <c r="AN16" s="544">
        <f>ISLAS!AN46</f>
        <v>11.646043154044008</v>
      </c>
      <c r="AO16" s="543">
        <f>ISLAS!AO46</f>
        <v>12.141066304265779</v>
      </c>
      <c r="AP16" s="543">
        <f>ISLAS!AP46</f>
        <v>11.689226630791689</v>
      </c>
      <c r="AQ16" s="543">
        <f>ISLAS!AQ46</f>
        <v>11.881186381447023</v>
      </c>
      <c r="AR16" s="543">
        <f>ISLAS!AR46</f>
        <v>12.421486993662244</v>
      </c>
      <c r="AS16" s="543">
        <f>ISLAS!AS46</f>
        <v>12.567359033639157</v>
      </c>
      <c r="AT16" s="543">
        <f>ISLAS!AT46</f>
        <v>12.961426045752328</v>
      </c>
      <c r="AU16" s="543">
        <f>ISLAS!AU46</f>
        <v>12.9132215618322</v>
      </c>
      <c r="AV16" s="543">
        <f>ISLAS!AV46</f>
        <v>12.63895735443311</v>
      </c>
      <c r="AW16" s="543">
        <f>ISLAS!AW46</f>
        <v>12.940404355224983</v>
      </c>
      <c r="AX16" s="543">
        <f>ISLAS!AX46</f>
        <v>14.105991836960072</v>
      </c>
      <c r="AY16" s="543">
        <f>ISLAS!AY46</f>
        <v>12.52847174317175</v>
      </c>
      <c r="AZ16" s="543">
        <f>ISLAS!AZ46</f>
        <v>12.910359892258231</v>
      </c>
      <c r="BA16" s="543">
        <f>ISLAS!BA46</f>
        <v>12.843546008512359</v>
      </c>
      <c r="BB16" s="543">
        <f>ISLAS!BB46</f>
        <v>12.700136486473761</v>
      </c>
      <c r="BC16" s="543">
        <f>ISLAS!BC46</f>
        <v>11.752334350920208</v>
      </c>
      <c r="BD16" s="543">
        <f>ISLAS!BD46</f>
        <v>11.752334350920208</v>
      </c>
      <c r="BE16" s="543">
        <f>ISLAS!BE46</f>
        <v>11.752334350920208</v>
      </c>
      <c r="BF16" s="543">
        <f>ISLAS!BF46</f>
        <v>11.752334350920208</v>
      </c>
      <c r="BG16" s="543">
        <f>ISLAS!BG46</f>
        <v>11.752334350920208</v>
      </c>
      <c r="BH16" s="543">
        <f>ISLAS!BH46</f>
        <v>11.752334350920208</v>
      </c>
      <c r="BI16" s="543">
        <f>ISLAS!BI46</f>
        <v>11.752334350920208</v>
      </c>
      <c r="BJ16" s="543">
        <f>ISLAS!BJ46</f>
        <v>11.752334350920208</v>
      </c>
      <c r="BK16" s="543">
        <f>ISLAS!BK46</f>
        <v>11.752334350920208</v>
      </c>
      <c r="BL16" s="543">
        <f>ISLAS!BL46</f>
        <v>11.752334350920208</v>
      </c>
      <c r="BM16" s="543">
        <f>ISLAS!BM46</f>
        <v>11.752334350920208</v>
      </c>
      <c r="BN16" s="543">
        <f>ISLAS!BN46</f>
        <v>11.752334350920208</v>
      </c>
      <c r="BO16" s="543">
        <f>ISLAS!BO46</f>
        <v>11.752334350920208</v>
      </c>
      <c r="BP16" s="543">
        <f>ISLAS!BP46</f>
        <v>11.752334350920208</v>
      </c>
      <c r="BQ16" s="543">
        <f>ISLAS!BQ46</f>
        <v>11.752334350920208</v>
      </c>
      <c r="BR16" s="543">
        <f>ISLAS!BR46</f>
        <v>11.752334350920208</v>
      </c>
      <c r="BS16" s="543">
        <f>ISLAS!BS46</f>
        <v>11.752334350920208</v>
      </c>
      <c r="BT16" s="543">
        <f>ISLAS!BT46</f>
        <v>11.752334350920208</v>
      </c>
      <c r="BU16" s="543">
        <f>ISLAS!BU46</f>
        <v>11.752334350920208</v>
      </c>
      <c r="BV16" s="543">
        <f>ISLAS!BV46</f>
        <v>11.752334350920208</v>
      </c>
      <c r="BW16" s="543">
        <f>ISLAS!BW46</f>
        <v>11.752334350920208</v>
      </c>
      <c r="BX16" s="543">
        <f>ISLAS!BX46</f>
        <v>11.752334350920208</v>
      </c>
      <c r="BY16" s="543">
        <f>ISLAS!BY46</f>
        <v>11.752334350920208</v>
      </c>
      <c r="BZ16" s="543">
        <f>ISLAS!BZ46</f>
        <v>11.752334350920208</v>
      </c>
      <c r="CA16" s="543">
        <f>ISLAS!CA46</f>
        <v>11.752334350920208</v>
      </c>
      <c r="CB16" s="543">
        <f>ISLAS!CB46</f>
        <v>11.752334350920208</v>
      </c>
    </row>
    <row r="17" spans="2:80" x14ac:dyDescent="0.25">
      <c r="B17" s="540" t="s">
        <v>149</v>
      </c>
      <c r="C17" s="543">
        <f>ISLAS!C53</f>
        <v>7861.6813755379462</v>
      </c>
      <c r="D17" s="540">
        <f>ISLAS!D53</f>
        <v>2408.9387421742917</v>
      </c>
      <c r="E17" s="540">
        <f>ISLAS!E53</f>
        <v>16929.625199982867</v>
      </c>
      <c r="F17" s="540">
        <f>ISLAS!F53</f>
        <v>6077.7592827587187</v>
      </c>
      <c r="G17" s="540">
        <f>ISLAS!G53</f>
        <v>11018.044722806415</v>
      </c>
      <c r="H17" s="540">
        <f>ISLAS!H53</f>
        <v>12496.156368817634</v>
      </c>
      <c r="I17" s="540">
        <f>ISLAS!I53</f>
        <v>24865.996692586021</v>
      </c>
      <c r="J17" s="540">
        <f>ISLAS!J53</f>
        <v>40991.635286158511</v>
      </c>
      <c r="K17" s="540">
        <f>ISLAS!K53</f>
        <v>36123.671902006106</v>
      </c>
      <c r="L17" s="540">
        <f>ISLAS!L53</f>
        <v>27511.796356333012</v>
      </c>
      <c r="M17" s="540">
        <f>ISLAS!M53</f>
        <v>29379.674080026016</v>
      </c>
      <c r="N17" s="540">
        <f>ISLAS!N53</f>
        <v>22671.916398097452</v>
      </c>
      <c r="O17" s="540">
        <f>ISLAS!O53</f>
        <v>238336.89640728498</v>
      </c>
      <c r="P17" s="540">
        <f>ISLAS!P53</f>
        <v>15166.444925141383</v>
      </c>
      <c r="Q17" s="540">
        <f>ISLAS!Q53</f>
        <v>6381.1370635219628</v>
      </c>
      <c r="R17" s="540">
        <f>ISLAS!R53</f>
        <v>11316.286372829902</v>
      </c>
      <c r="S17" s="540">
        <f>ISLAS!S53</f>
        <v>4418.4196973020407</v>
      </c>
      <c r="T17" s="540">
        <f>ISLAS!T53</f>
        <v>32409.521592336572</v>
      </c>
      <c r="U17" s="540">
        <f>ISLAS!U53</f>
        <v>44714.265971432251</v>
      </c>
      <c r="V17" s="540">
        <f>ISLAS!V53</f>
        <v>33853.568482436618</v>
      </c>
      <c r="W17" s="540">
        <f>ISLAS!W53</f>
        <v>37551.966015548147</v>
      </c>
      <c r="X17" s="540">
        <f>ISLAS!X53</f>
        <v>32712.443684150643</v>
      </c>
      <c r="Y17" s="540">
        <f>ISLAS!Y53</f>
        <v>29254.725619965579</v>
      </c>
      <c r="Z17" s="540">
        <f>ISLAS!Z53</f>
        <v>30105.347479242089</v>
      </c>
      <c r="AA17" s="540">
        <f>ISLAS!AA53</f>
        <v>23944.677258314288</v>
      </c>
      <c r="AB17" s="540">
        <f>ISLAS!AB53</f>
        <v>301828.8041622215</v>
      </c>
      <c r="AC17" s="542">
        <f>ISLAS!AC53</f>
        <v>20954.039310413129</v>
      </c>
      <c r="AD17" s="542">
        <f>ISLAS!AD53</f>
        <v>17581.177401483215</v>
      </c>
      <c r="AE17" s="542">
        <f>ISLAS!AE53</f>
        <v>5155.0924388913127</v>
      </c>
      <c r="AF17" s="542">
        <f>ISLAS!AF53</f>
        <v>11592.557504583143</v>
      </c>
      <c r="AG17" s="542">
        <f>ISLAS!AG53</f>
        <v>33954.910388430006</v>
      </c>
      <c r="AH17" s="542">
        <f>ISLAS!AH53</f>
        <v>42588.253347801663</v>
      </c>
      <c r="AI17" s="542">
        <f>ISLAS!AI53</f>
        <v>50098.86059554384</v>
      </c>
      <c r="AJ17" s="542">
        <f>ISLAS!AJ53</f>
        <v>36873.791259977254</v>
      </c>
      <c r="AK17" s="542">
        <f>ISLAS!AK53</f>
        <v>52163.968717899326</v>
      </c>
      <c r="AL17" s="542">
        <f>ISLAS!AL53</f>
        <v>47142.251167542337</v>
      </c>
      <c r="AM17" s="542">
        <f>ISLAS!AM53</f>
        <v>39583.398163506252</v>
      </c>
      <c r="AN17" s="542">
        <f>ISLAS!AN53</f>
        <v>40611.092416787316</v>
      </c>
      <c r="AO17" s="540">
        <f>ISLAS!AO53</f>
        <v>398299.39271285885</v>
      </c>
      <c r="AP17" s="540">
        <f>ISLAS!AP53</f>
        <v>43598.237307017713</v>
      </c>
      <c r="AQ17" s="540">
        <f>ISLAS!AQ53</f>
        <v>36884.14120767072</v>
      </c>
      <c r="AR17" s="540">
        <f>ISLAS!AR53</f>
        <v>29856.310462995516</v>
      </c>
      <c r="AS17" s="540">
        <f>ISLAS!AS53</f>
        <v>28894.425625839744</v>
      </c>
      <c r="AT17" s="540">
        <f>ISLAS!AT53</f>
        <v>18374.120016810099</v>
      </c>
      <c r="AU17" s="540">
        <f>ISLAS!AU53</f>
        <v>35327.609769836054</v>
      </c>
      <c r="AV17" s="540">
        <f>ISLAS!AV53</f>
        <v>75694.580012678329</v>
      </c>
      <c r="AW17" s="540">
        <f>ISLAS!AW53</f>
        <v>86663.471302906051</v>
      </c>
      <c r="AX17" s="540">
        <f>ISLAS!AX53</f>
        <v>68956.720694985881</v>
      </c>
      <c r="AY17" s="540">
        <f>ISLAS!AY53</f>
        <v>76698.991661126172</v>
      </c>
      <c r="AZ17" s="540">
        <f>ISLAS!AZ53</f>
        <v>73015.04328288573</v>
      </c>
      <c r="BA17" s="540">
        <f>ISLAS!BA53</f>
        <v>62992.215509533002</v>
      </c>
      <c r="BB17" s="540">
        <f>ISLAS!BB53</f>
        <v>636955.86685428489</v>
      </c>
      <c r="BC17" s="540">
        <f>ISLAS!BC53</f>
        <v>49145.703684315995</v>
      </c>
      <c r="BD17" s="540">
        <f>ISLAS!BD53</f>
        <v>29888.946563908445</v>
      </c>
      <c r="BE17" s="540">
        <f>ISLAS!BE53</f>
        <v>22195.130394698572</v>
      </c>
      <c r="BF17" s="540">
        <f>ISLAS!BF53</f>
        <v>34240.146263756818</v>
      </c>
      <c r="BG17" s="540">
        <f>ISLAS!BG53</f>
        <v>64754.379439055912</v>
      </c>
      <c r="BH17" s="540">
        <f>ISLAS!BH53</f>
        <v>60916.802487414592</v>
      </c>
      <c r="BI17" s="540">
        <f>ISLAS!BI53</f>
        <v>67623.698026095633</v>
      </c>
      <c r="BJ17" s="540">
        <f>ISLAS!BJ53</f>
        <v>63444.386111569002</v>
      </c>
      <c r="BK17" s="540">
        <f>ISLAS!BK53</f>
        <v>82600.759062844852</v>
      </c>
      <c r="BL17" s="540">
        <f>ISLAS!BL53</f>
        <v>70809.994600231992</v>
      </c>
      <c r="BM17" s="540">
        <f>ISLAS!BM53</f>
        <v>97918.173916299769</v>
      </c>
      <c r="BN17" s="540">
        <f>ISLAS!BN53</f>
        <v>73992.367793839687</v>
      </c>
      <c r="BO17" s="540">
        <f>ISLAS!BO53</f>
        <v>717530.48834403139</v>
      </c>
      <c r="BP17" s="540">
        <f>ISLAS!BP53</f>
        <v>101436.2233718386</v>
      </c>
      <c r="BQ17" s="540">
        <f>ISLAS!BQ53</f>
        <v>61932.693111391571</v>
      </c>
      <c r="BR17" s="540">
        <f>ISLAS!BR53</f>
        <v>36878.946089713107</v>
      </c>
      <c r="BS17" s="540">
        <f>ISLAS!BS53</f>
        <v>46703.51316108762</v>
      </c>
      <c r="BT17" s="540">
        <f>ISLAS!BT53</f>
        <v>64791.34206515547</v>
      </c>
      <c r="BU17" s="540">
        <f>ISLAS!BU53</f>
        <v>60951.012441243984</v>
      </c>
      <c r="BV17" s="540">
        <f>ISLAS!BV53</f>
        <v>67662.153168039309</v>
      </c>
      <c r="BW17" s="540">
        <f>ISLAS!BW53</f>
        <v>63481.088805101848</v>
      </c>
      <c r="BX17" s="540">
        <f>ISLAS!BX53</f>
        <v>82633.612939388928</v>
      </c>
      <c r="BY17" s="540">
        <f>ISLAS!BY53</f>
        <v>70841.282656036346</v>
      </c>
      <c r="BZ17" s="540">
        <f>ISLAS!BZ53</f>
        <v>97954.723313327064</v>
      </c>
      <c r="CA17" s="540">
        <f>ISLAS!CA53</f>
        <v>74036.17383240725</v>
      </c>
      <c r="CB17" s="540">
        <f>ISLAS!CB53</f>
        <v>829302.76495473098</v>
      </c>
    </row>
  </sheetData>
  <mergeCells count="7">
    <mergeCell ref="BP4:CB4"/>
    <mergeCell ref="BC4:BO4"/>
    <mergeCell ref="B2:BO2"/>
    <mergeCell ref="AC4:AO4"/>
    <mergeCell ref="P4:AB4"/>
    <mergeCell ref="C4:O4"/>
    <mergeCell ref="AP4:BB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J30" sqref="J30"/>
    </sheetView>
  </sheetViews>
  <sheetFormatPr baseColWidth="10" defaultRowHeight="15" x14ac:dyDescent="0.25"/>
  <cols>
    <col min="1" max="1" width="17.85546875" bestFit="1" customWidth="1"/>
  </cols>
  <sheetData>
    <row r="1" spans="1:17" x14ac:dyDescent="0.25">
      <c r="A1" t="s">
        <v>195</v>
      </c>
      <c r="C1" s="771" t="s">
        <v>188</v>
      </c>
      <c r="D1" s="772"/>
      <c r="E1" s="772"/>
      <c r="F1" s="772"/>
      <c r="G1" s="772"/>
      <c r="H1" s="772"/>
      <c r="I1" s="772"/>
      <c r="J1" s="772"/>
      <c r="K1" s="772"/>
      <c r="L1" s="772"/>
      <c r="M1" s="772"/>
    </row>
    <row r="2" spans="1:17" x14ac:dyDescent="0.25">
      <c r="B2" s="562" t="s">
        <v>189</v>
      </c>
      <c r="C2">
        <v>2015</v>
      </c>
      <c r="D2" s="560">
        <v>2016</v>
      </c>
      <c r="E2">
        <v>2017</v>
      </c>
      <c r="F2" s="560">
        <v>2018</v>
      </c>
      <c r="G2">
        <v>2019</v>
      </c>
      <c r="H2" s="560">
        <v>2020</v>
      </c>
      <c r="I2">
        <v>2021</v>
      </c>
      <c r="J2" s="560">
        <v>2022</v>
      </c>
      <c r="K2">
        <v>2023</v>
      </c>
      <c r="L2" s="560">
        <v>2024</v>
      </c>
      <c r="M2">
        <v>2025</v>
      </c>
    </row>
    <row r="3" spans="1:17" s="564" customFormat="1" x14ac:dyDescent="0.25">
      <c r="A3" s="561" t="s">
        <v>191</v>
      </c>
      <c r="B3" s="563">
        <v>0.79166666666666696</v>
      </c>
      <c r="C3" s="561">
        <v>2884.344079430814</v>
      </c>
      <c r="D3" s="561">
        <v>3057.0856061063459</v>
      </c>
      <c r="E3" s="561">
        <v>3242.6302365822603</v>
      </c>
      <c r="F3" s="561">
        <v>3455.2444933298043</v>
      </c>
      <c r="G3" s="561">
        <v>3655.2445019292022</v>
      </c>
      <c r="H3" s="561">
        <v>3872.5980197150907</v>
      </c>
      <c r="I3" s="561">
        <v>4100.618944197483</v>
      </c>
      <c r="J3" s="561">
        <v>4341.083201507241</v>
      </c>
      <c r="K3" s="561">
        <v>4607.9614073292232</v>
      </c>
      <c r="L3" s="561">
        <v>4878.7689669028532</v>
      </c>
      <c r="M3" s="561">
        <v>5164.3981508878096</v>
      </c>
    </row>
    <row r="4" spans="1:17" x14ac:dyDescent="0.25">
      <c r="A4" s="561" t="s">
        <v>190</v>
      </c>
      <c r="B4" s="563">
        <v>0.79166666666666696</v>
      </c>
      <c r="C4" s="561">
        <v>5922.1387099252297</v>
      </c>
      <c r="D4" s="561">
        <v>6326.4652199422917</v>
      </c>
      <c r="E4" s="561">
        <v>7456.7129587245563</v>
      </c>
      <c r="F4" s="561">
        <v>7893.6670836384283</v>
      </c>
      <c r="G4" s="561">
        <v>8379.2510827719652</v>
      </c>
      <c r="H4" s="561">
        <v>8889.6473950035233</v>
      </c>
      <c r="I4" s="561">
        <v>9432.0109861800101</v>
      </c>
      <c r="J4" s="561">
        <v>10003.161971077674</v>
      </c>
      <c r="K4" s="561">
        <v>10605.766513354953</v>
      </c>
      <c r="L4" s="561">
        <v>11241.879410772201</v>
      </c>
      <c r="M4" s="561">
        <v>11913.668496030039</v>
      </c>
    </row>
    <row r="5" spans="1:17" x14ac:dyDescent="0.25">
      <c r="A5" s="561" t="s">
        <v>192</v>
      </c>
      <c r="B5" s="563">
        <v>0.79166666666666696</v>
      </c>
      <c r="C5" s="561">
        <v>987.86173734663907</v>
      </c>
      <c r="D5" s="561">
        <v>1106.7536960417829</v>
      </c>
      <c r="E5" s="561">
        <v>1238.0984042737196</v>
      </c>
      <c r="F5" s="561">
        <v>1392.9832351842929</v>
      </c>
      <c r="G5" s="561">
        <v>1563.4906767453542</v>
      </c>
      <c r="H5" s="561">
        <v>1749.2029798254644</v>
      </c>
      <c r="I5" s="561">
        <v>1956.3483955843651</v>
      </c>
      <c r="J5" s="561">
        <v>2183.3893864534948</v>
      </c>
      <c r="K5" s="561">
        <v>2433.823868985814</v>
      </c>
      <c r="L5" s="561">
        <v>2710.3655511204197</v>
      </c>
      <c r="M5" s="561">
        <v>3016.0189117852483</v>
      </c>
    </row>
    <row r="6" spans="1:17" x14ac:dyDescent="0.25">
      <c r="A6" s="561" t="s">
        <v>193</v>
      </c>
      <c r="B6" s="563">
        <v>0.79166666666666696</v>
      </c>
      <c r="C6" s="561">
        <v>72.042754284495459</v>
      </c>
      <c r="D6" s="561">
        <v>74.053982861254752</v>
      </c>
      <c r="E6" s="561">
        <v>76.114559405307915</v>
      </c>
      <c r="F6" s="561">
        <v>78.22669682873547</v>
      </c>
      <c r="G6" s="561">
        <v>80.392689781647618</v>
      </c>
      <c r="H6" s="561">
        <v>82.614918271878452</v>
      </c>
      <c r="I6" s="561">
        <v>85.775661756796808</v>
      </c>
      <c r="J6" s="561">
        <v>88.178035693232999</v>
      </c>
      <c r="K6" s="561">
        <v>90.645152895335343</v>
      </c>
      <c r="L6" s="561">
        <v>93.179758066045991</v>
      </c>
      <c r="M6" s="561">
        <v>95.784701869314674</v>
      </c>
    </row>
    <row r="7" spans="1:17" x14ac:dyDescent="0.25">
      <c r="A7" s="565" t="s">
        <v>194</v>
      </c>
      <c r="B7" s="566" t="s">
        <v>196</v>
      </c>
      <c r="C7" s="565">
        <f>+SUM(C3:C6)</f>
        <v>9866.3872809871773</v>
      </c>
      <c r="D7" s="565">
        <f t="shared" ref="D7:M7" si="0">+SUM(D3:D6)</f>
        <v>10564.358504951675</v>
      </c>
      <c r="E7" s="565">
        <f t="shared" si="0"/>
        <v>12013.556158985846</v>
      </c>
      <c r="F7" s="565">
        <f t="shared" si="0"/>
        <v>12820.121508981259</v>
      </c>
      <c r="G7" s="565">
        <f t="shared" si="0"/>
        <v>13678.378951228169</v>
      </c>
      <c r="H7" s="565">
        <f t="shared" si="0"/>
        <v>14594.063312815957</v>
      </c>
      <c r="I7" s="565">
        <f t="shared" si="0"/>
        <v>15574.753987718657</v>
      </c>
      <c r="J7" s="565">
        <f t="shared" si="0"/>
        <v>16615.81259473164</v>
      </c>
      <c r="K7" s="565">
        <f t="shared" si="0"/>
        <v>17738.196942565326</v>
      </c>
      <c r="L7" s="565">
        <f t="shared" si="0"/>
        <v>18924.193686861519</v>
      </c>
      <c r="M7" s="565">
        <f t="shared" si="0"/>
        <v>20189.87026057241</v>
      </c>
    </row>
    <row r="8" spans="1:17" x14ac:dyDescent="0.25">
      <c r="B8" t="s">
        <v>197</v>
      </c>
      <c r="C8">
        <f>+C7/1000</f>
        <v>9.866387280987178</v>
      </c>
      <c r="D8">
        <f t="shared" ref="D8:M8" si="1">+D7/1000</f>
        <v>10.564358504951675</v>
      </c>
      <c r="E8">
        <f t="shared" si="1"/>
        <v>12.013556158985846</v>
      </c>
      <c r="F8">
        <f t="shared" si="1"/>
        <v>12.820121508981259</v>
      </c>
      <c r="G8">
        <f t="shared" si="1"/>
        <v>13.678378951228169</v>
      </c>
      <c r="H8">
        <f t="shared" si="1"/>
        <v>14.594063312815956</v>
      </c>
      <c r="I8">
        <f t="shared" si="1"/>
        <v>15.574753987718656</v>
      </c>
      <c r="J8">
        <f t="shared" si="1"/>
        <v>16.61581259473164</v>
      </c>
      <c r="K8">
        <f t="shared" si="1"/>
        <v>17.738196942565327</v>
      </c>
      <c r="L8">
        <f t="shared" si="1"/>
        <v>18.924193686861518</v>
      </c>
      <c r="M8">
        <f t="shared" si="1"/>
        <v>20.189870260572409</v>
      </c>
    </row>
    <row r="9" spans="1:17" x14ac:dyDescent="0.25">
      <c r="B9" t="s">
        <v>227</v>
      </c>
      <c r="C9">
        <v>7.1414</v>
      </c>
      <c r="D9">
        <v>7.3276799999999991</v>
      </c>
      <c r="E9">
        <v>7.3672159999999991</v>
      </c>
      <c r="F9">
        <v>7.4360591999999999</v>
      </c>
      <c r="G9">
        <v>7.5484710399999999</v>
      </c>
      <c r="H9">
        <v>7.3641652479999991</v>
      </c>
      <c r="I9">
        <v>7.4087182975999992</v>
      </c>
      <c r="J9">
        <v>7.4249259571199984</v>
      </c>
      <c r="K9">
        <v>7.4364679485439993</v>
      </c>
      <c r="L9">
        <v>7.436549698252799</v>
      </c>
      <c r="M9">
        <v>7.4141654299033588</v>
      </c>
    </row>
    <row r="11" spans="1:17" x14ac:dyDescent="0.25">
      <c r="A11" t="s">
        <v>223</v>
      </c>
      <c r="C11" s="771" t="s">
        <v>224</v>
      </c>
      <c r="D11" s="772"/>
      <c r="E11" s="772"/>
      <c r="F11" s="772"/>
      <c r="G11" s="772"/>
      <c r="H11" s="772"/>
      <c r="I11" s="772"/>
      <c r="J11" s="772"/>
      <c r="K11" s="772"/>
      <c r="L11" s="772"/>
      <c r="M11" s="772"/>
    </row>
    <row r="12" spans="1:17" x14ac:dyDescent="0.25">
      <c r="C12" s="570">
        <v>2015</v>
      </c>
      <c r="D12" s="571">
        <v>2016</v>
      </c>
      <c r="E12" s="570">
        <v>2017</v>
      </c>
      <c r="F12" s="571">
        <v>2018</v>
      </c>
      <c r="G12" s="570">
        <v>2019</v>
      </c>
      <c r="H12" s="571">
        <v>2020</v>
      </c>
      <c r="I12" s="570">
        <v>2021</v>
      </c>
      <c r="J12" s="571">
        <v>2022</v>
      </c>
      <c r="K12" s="570">
        <v>2023</v>
      </c>
      <c r="L12" s="571">
        <v>2024</v>
      </c>
      <c r="M12" s="570">
        <v>2025</v>
      </c>
      <c r="N12" s="571">
        <v>2026</v>
      </c>
      <c r="O12" s="570">
        <v>2027</v>
      </c>
      <c r="P12" s="571">
        <v>2028</v>
      </c>
      <c r="Q12" s="570">
        <v>2029</v>
      </c>
    </row>
    <row r="13" spans="1:17" x14ac:dyDescent="0.25">
      <c r="A13" s="561" t="s">
        <v>191</v>
      </c>
      <c r="B13" s="569" t="s">
        <v>225</v>
      </c>
      <c r="C13" s="572">
        <v>0</v>
      </c>
      <c r="D13" s="572">
        <v>0</v>
      </c>
      <c r="E13" s="572">
        <v>0</v>
      </c>
      <c r="F13" s="572">
        <v>0</v>
      </c>
      <c r="G13" s="572">
        <v>0</v>
      </c>
      <c r="H13" s="572">
        <v>0</v>
      </c>
      <c r="I13" s="572">
        <v>0</v>
      </c>
      <c r="J13" s="572">
        <v>0</v>
      </c>
      <c r="K13" s="572">
        <v>0</v>
      </c>
      <c r="L13" s="572">
        <v>0</v>
      </c>
      <c r="M13" s="572">
        <v>0</v>
      </c>
    </row>
    <row r="14" spans="1:17" x14ac:dyDescent="0.25">
      <c r="A14" s="561"/>
      <c r="B14" s="561" t="s">
        <v>226</v>
      </c>
      <c r="C14" s="573">
        <v>0</v>
      </c>
      <c r="D14" s="573">
        <v>0</v>
      </c>
      <c r="E14" s="573">
        <v>0</v>
      </c>
      <c r="F14" s="573">
        <v>0</v>
      </c>
      <c r="G14" s="573">
        <v>0</v>
      </c>
      <c r="H14" s="573">
        <v>0</v>
      </c>
      <c r="I14" s="573">
        <v>0</v>
      </c>
      <c r="J14" s="573">
        <v>0</v>
      </c>
      <c r="K14" s="573">
        <v>0</v>
      </c>
      <c r="L14" s="573">
        <v>0</v>
      </c>
      <c r="M14" s="573">
        <v>0</v>
      </c>
    </row>
    <row r="15" spans="1:17" x14ac:dyDescent="0.25">
      <c r="A15" s="561" t="s">
        <v>190</v>
      </c>
      <c r="B15" s="569" t="s">
        <v>225</v>
      </c>
      <c r="C15" s="572">
        <v>0</v>
      </c>
      <c r="D15" s="572">
        <v>2</v>
      </c>
      <c r="E15" s="572">
        <v>2</v>
      </c>
      <c r="F15" s="572">
        <v>6</v>
      </c>
      <c r="G15" s="572">
        <v>6</v>
      </c>
      <c r="H15" s="572">
        <v>12</v>
      </c>
      <c r="I15" s="572">
        <v>12</v>
      </c>
      <c r="J15" s="572">
        <v>12</v>
      </c>
      <c r="K15" s="572">
        <v>12</v>
      </c>
      <c r="L15" s="572">
        <v>12</v>
      </c>
      <c r="M15" s="572">
        <v>12</v>
      </c>
    </row>
    <row r="16" spans="1:17" x14ac:dyDescent="0.25">
      <c r="A16" s="561"/>
      <c r="B16" s="561" t="s">
        <v>226</v>
      </c>
      <c r="C16" s="573">
        <v>0</v>
      </c>
      <c r="D16" s="573">
        <v>0</v>
      </c>
      <c r="E16" s="573">
        <v>0</v>
      </c>
      <c r="F16" s="573">
        <v>0</v>
      </c>
      <c r="G16" s="573">
        <v>0</v>
      </c>
      <c r="H16" s="573">
        <v>0</v>
      </c>
      <c r="I16" s="573">
        <v>0</v>
      </c>
      <c r="J16" s="573">
        <v>0</v>
      </c>
      <c r="K16" s="573">
        <v>0</v>
      </c>
      <c r="L16" s="573">
        <v>0</v>
      </c>
      <c r="M16" s="573">
        <v>0</v>
      </c>
    </row>
    <row r="17" spans="1:17" x14ac:dyDescent="0.25">
      <c r="A17" s="561" t="s">
        <v>192</v>
      </c>
      <c r="B17" s="569" t="s">
        <v>225</v>
      </c>
      <c r="C17" s="572">
        <v>0</v>
      </c>
      <c r="D17" s="572">
        <v>0</v>
      </c>
      <c r="E17" s="572">
        <v>0</v>
      </c>
      <c r="F17" s="572">
        <v>0</v>
      </c>
      <c r="G17" s="572">
        <v>0</v>
      </c>
      <c r="H17" s="572">
        <v>0</v>
      </c>
      <c r="I17" s="572">
        <v>0</v>
      </c>
      <c r="J17" s="572">
        <v>0</v>
      </c>
      <c r="K17" s="572">
        <v>0</v>
      </c>
      <c r="L17" s="572">
        <v>0</v>
      </c>
      <c r="M17" s="572">
        <v>0</v>
      </c>
    </row>
    <row r="18" spans="1:17" x14ac:dyDescent="0.25">
      <c r="A18" s="561"/>
      <c r="B18" s="561" t="s">
        <v>226</v>
      </c>
      <c r="C18" s="573">
        <v>0</v>
      </c>
      <c r="D18" s="573">
        <v>0</v>
      </c>
      <c r="E18" s="573">
        <v>0</v>
      </c>
      <c r="F18" s="573">
        <v>0</v>
      </c>
      <c r="G18" s="573">
        <v>0</v>
      </c>
      <c r="H18" s="573">
        <v>0</v>
      </c>
      <c r="I18" s="573">
        <v>0</v>
      </c>
      <c r="J18" s="573">
        <v>0</v>
      </c>
      <c r="K18" s="573">
        <v>0</v>
      </c>
      <c r="L18" s="573">
        <v>0</v>
      </c>
      <c r="M18" s="573">
        <v>0</v>
      </c>
    </row>
    <row r="19" spans="1:17" x14ac:dyDescent="0.25">
      <c r="A19" s="561" t="s">
        <v>193</v>
      </c>
      <c r="B19" s="569" t="s">
        <v>225</v>
      </c>
      <c r="C19" s="572">
        <v>0</v>
      </c>
      <c r="D19" s="572">
        <v>0</v>
      </c>
      <c r="E19" s="572">
        <v>0</v>
      </c>
      <c r="F19" s="572">
        <v>0</v>
      </c>
      <c r="G19" s="572">
        <v>0</v>
      </c>
      <c r="H19" s="572">
        <v>0</v>
      </c>
      <c r="I19" s="572">
        <v>0</v>
      </c>
      <c r="J19" s="572">
        <v>0</v>
      </c>
      <c r="K19" s="572">
        <v>0</v>
      </c>
      <c r="L19" s="572">
        <v>0</v>
      </c>
      <c r="M19" s="572">
        <v>0</v>
      </c>
    </row>
    <row r="20" spans="1:17" ht="15.75" thickBot="1" x14ac:dyDescent="0.3">
      <c r="B20" s="561" t="s">
        <v>226</v>
      </c>
      <c r="C20" s="574">
        <v>0</v>
      </c>
      <c r="D20" s="574">
        <v>0</v>
      </c>
      <c r="E20" s="574">
        <v>0</v>
      </c>
      <c r="F20" s="574">
        <v>0</v>
      </c>
      <c r="G20" s="574">
        <v>0</v>
      </c>
      <c r="H20" s="574">
        <v>0</v>
      </c>
      <c r="I20" s="574">
        <v>0</v>
      </c>
      <c r="J20" s="574">
        <v>0</v>
      </c>
      <c r="K20" s="574">
        <v>0</v>
      </c>
      <c r="L20" s="574">
        <v>0</v>
      </c>
      <c r="M20" s="574">
        <v>0</v>
      </c>
    </row>
    <row r="21" spans="1:17" x14ac:dyDescent="0.25">
      <c r="B21" s="578" t="s">
        <v>225</v>
      </c>
      <c r="C21" s="575">
        <f>+C13+C15+C17+C19</f>
        <v>0</v>
      </c>
      <c r="D21" s="575">
        <f t="shared" ref="D21:M21" si="2">+D13+D15+D17+D19</f>
        <v>2</v>
      </c>
      <c r="E21" s="575">
        <f t="shared" si="2"/>
        <v>2</v>
      </c>
      <c r="F21" s="575">
        <f t="shared" si="2"/>
        <v>6</v>
      </c>
      <c r="G21" s="575">
        <f t="shared" si="2"/>
        <v>6</v>
      </c>
      <c r="H21" s="575">
        <f t="shared" si="2"/>
        <v>12</v>
      </c>
      <c r="I21" s="575">
        <f t="shared" si="2"/>
        <v>12</v>
      </c>
      <c r="J21" s="575">
        <f t="shared" si="2"/>
        <v>12</v>
      </c>
      <c r="K21" s="575">
        <f t="shared" si="2"/>
        <v>12</v>
      </c>
      <c r="L21" s="575">
        <f t="shared" si="2"/>
        <v>12</v>
      </c>
      <c r="M21" s="576">
        <f t="shared" si="2"/>
        <v>12</v>
      </c>
    </row>
    <row r="22" spans="1:17" ht="15.75" thickBot="1" x14ac:dyDescent="0.3">
      <c r="B22" s="579" t="s">
        <v>226</v>
      </c>
      <c r="C22" s="287">
        <f>+C14+C16+C18+C20</f>
        <v>0</v>
      </c>
      <c r="D22" s="287">
        <f t="shared" ref="D22:M22" si="3">+D14+D16+D18+D20</f>
        <v>0</v>
      </c>
      <c r="E22" s="287">
        <f t="shared" si="3"/>
        <v>0</v>
      </c>
      <c r="F22" s="287">
        <f t="shared" si="3"/>
        <v>0</v>
      </c>
      <c r="G22" s="287">
        <f t="shared" si="3"/>
        <v>0</v>
      </c>
      <c r="H22" s="287">
        <f t="shared" si="3"/>
        <v>0</v>
      </c>
      <c r="I22" s="287">
        <f t="shared" si="3"/>
        <v>0</v>
      </c>
      <c r="J22" s="287">
        <f t="shared" si="3"/>
        <v>0</v>
      </c>
      <c r="K22" s="287">
        <f t="shared" si="3"/>
        <v>0</v>
      </c>
      <c r="L22" s="287">
        <f t="shared" si="3"/>
        <v>0</v>
      </c>
      <c r="M22" s="577">
        <f t="shared" si="3"/>
        <v>0</v>
      </c>
    </row>
    <row r="23" spans="1:17" ht="15.75" thickBot="1" x14ac:dyDescent="0.3">
      <c r="B23" s="583" t="s">
        <v>70</v>
      </c>
      <c r="C23" s="580">
        <f>+SUM(C21:C22)</f>
        <v>0</v>
      </c>
      <c r="D23" s="581">
        <f t="shared" ref="D23:M23" si="4">+SUM(D21:D22)</f>
        <v>2</v>
      </c>
      <c r="E23" s="581">
        <f t="shared" si="4"/>
        <v>2</v>
      </c>
      <c r="F23" s="581">
        <f t="shared" si="4"/>
        <v>6</v>
      </c>
      <c r="G23" s="581">
        <f t="shared" si="4"/>
        <v>6</v>
      </c>
      <c r="H23" s="581">
        <f t="shared" si="4"/>
        <v>12</v>
      </c>
      <c r="I23" s="581">
        <f t="shared" si="4"/>
        <v>12</v>
      </c>
      <c r="J23" s="581">
        <f t="shared" si="4"/>
        <v>12</v>
      </c>
      <c r="K23" s="581">
        <f t="shared" si="4"/>
        <v>12</v>
      </c>
      <c r="L23" s="581">
        <f t="shared" si="4"/>
        <v>12</v>
      </c>
      <c r="M23" s="582">
        <f t="shared" si="4"/>
        <v>12</v>
      </c>
    </row>
    <row r="24" spans="1:17" x14ac:dyDescent="0.25">
      <c r="D24">
        <v>2</v>
      </c>
      <c r="E24">
        <v>2</v>
      </c>
      <c r="F24">
        <v>6</v>
      </c>
      <c r="G24">
        <v>6</v>
      </c>
      <c r="H24">
        <v>12</v>
      </c>
      <c r="I24">
        <v>12</v>
      </c>
      <c r="J24">
        <v>12</v>
      </c>
      <c r="K24">
        <v>12</v>
      </c>
      <c r="L24">
        <v>12</v>
      </c>
      <c r="M24">
        <v>12</v>
      </c>
      <c r="N24">
        <v>12</v>
      </c>
      <c r="O24">
        <v>12</v>
      </c>
      <c r="P24">
        <v>12</v>
      </c>
      <c r="Q24">
        <v>12</v>
      </c>
    </row>
  </sheetData>
  <mergeCells count="2">
    <mergeCell ref="C1:M1"/>
    <mergeCell ref="C11:M11"/>
  </mergeCells>
  <conditionalFormatting sqref="C3">
    <cfRule type="cellIs" dxfId="10" priority="25" operator="equal">
      <formula>$BC$6</formula>
    </cfRule>
  </conditionalFormatting>
  <conditionalFormatting sqref="D3">
    <cfRule type="cellIs" dxfId="9" priority="26" operator="equal">
      <formula>$BD$6</formula>
    </cfRule>
  </conditionalFormatting>
  <conditionalFormatting sqref="E3">
    <cfRule type="cellIs" dxfId="8" priority="27" operator="equal">
      <formula>$BE$6</formula>
    </cfRule>
  </conditionalFormatting>
  <conditionalFormatting sqref="F3">
    <cfRule type="cellIs" dxfId="7" priority="28" operator="equal">
      <formula>$BF$6</formula>
    </cfRule>
  </conditionalFormatting>
  <conditionalFormatting sqref="G3">
    <cfRule type="cellIs" dxfId="6" priority="29" operator="equal">
      <formula>$BG$6</formula>
    </cfRule>
  </conditionalFormatting>
  <conditionalFormatting sqref="H3">
    <cfRule type="cellIs" dxfId="5" priority="30" operator="equal">
      <formula>$BH$6</formula>
    </cfRule>
  </conditionalFormatting>
  <conditionalFormatting sqref="I3">
    <cfRule type="cellIs" dxfId="4" priority="31" operator="equal">
      <formula>$BI$6</formula>
    </cfRule>
  </conditionalFormatting>
  <conditionalFormatting sqref="J3">
    <cfRule type="cellIs" dxfId="3" priority="32" operator="equal">
      <formula>$BJ$6</formula>
    </cfRule>
  </conditionalFormatting>
  <conditionalFormatting sqref="K3">
    <cfRule type="cellIs" dxfId="2" priority="33" operator="equal">
      <formula>$BK$6</formula>
    </cfRule>
  </conditionalFormatting>
  <conditionalFormatting sqref="L3">
    <cfRule type="cellIs" dxfId="1" priority="34" operator="equal">
      <formula>$BL$6</formula>
    </cfRule>
  </conditionalFormatting>
  <conditionalFormatting sqref="M3">
    <cfRule type="cellIs" dxfId="0" priority="35" operator="equal">
      <formula>$BM$6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5" ma:contentTypeDescription="Create a new document." ma:contentTypeScope="" ma:versionID="f6ec9612411ccf106e0dd351df2cdfb2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85b9ace026c8438a9737edf86142a661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D7500B64-EF1A-485F-8DC0-1FD97E2E6A34}"/>
</file>

<file path=customXml/itemProps2.xml><?xml version="1.0" encoding="utf-8"?>
<ds:datastoreItem xmlns:ds="http://schemas.openxmlformats.org/officeDocument/2006/customXml" ds:itemID="{76518141-C1ED-418B-A42C-1780C4703C62}"/>
</file>

<file path=customXml/itemProps3.xml><?xml version="1.0" encoding="utf-8"?>
<ds:datastoreItem xmlns:ds="http://schemas.openxmlformats.org/officeDocument/2006/customXml" ds:itemID="{94477BC7-0804-40DE-A524-E9343FD5CE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2012</vt:lpstr>
      <vt:lpstr>2013</vt:lpstr>
      <vt:lpstr>2014</vt:lpstr>
      <vt:lpstr>Hoja2</vt:lpstr>
      <vt:lpstr>2015</vt:lpstr>
      <vt:lpstr>2016</vt:lpstr>
      <vt:lpstr>ISLAS</vt:lpstr>
      <vt:lpstr>PROVINCIAL</vt:lpstr>
      <vt:lpstr>POTENCIA</vt:lpstr>
      <vt:lpstr>Hoja1</vt:lpstr>
      <vt:lpstr>ISLAS!Área_de_impresión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</dc:creator>
  <cp:lastModifiedBy>Hugo Andrés Sarzosa Terán</cp:lastModifiedBy>
  <dcterms:created xsi:type="dcterms:W3CDTF">2015-08-14T16:39:58Z</dcterms:created>
  <dcterms:modified xsi:type="dcterms:W3CDTF">2017-09-07T13:48:35Z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