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ehlee\Desktop\08. Board projects\24030 SCA Vanuatu\01. FP\Submission 15 (20220412) - Board\FP_Pack_SCA_VAN_VCCRP_B.32_2022_04_12\"/>
    </mc:Choice>
  </mc:AlternateContent>
  <xr:revisionPtr revIDLastSave="0" documentId="13_ncr:1_{92407D57-3F79-417D-A204-F360580B4DF0}" xr6:coauthVersionLast="47" xr6:coauthVersionMax="47" xr10:uidLastSave="{00000000-0000-0000-0000-000000000000}"/>
  <bookViews>
    <workbookView xWindow="-107" yWindow="-107" windowWidth="20847" windowHeight="11208" activeTab="3" xr2:uid="{962EFED1-255D-4F83-86BE-907A8B1600D1}"/>
  </bookViews>
  <sheets>
    <sheet name="GCF Impl Template" sheetId="1" r:id="rId1"/>
    <sheet name="Assumptions Tab" sheetId="2" r:id="rId2"/>
    <sheet name="Staff Activity Breakdown" sheetId="3" r:id="rId3"/>
    <sheet name="TWC, Eq, Travel" sheetId="4" r:id="rId4"/>
  </sheets>
  <externalReferences>
    <externalReference r:id="rId5"/>
    <externalReference r:id="rId6"/>
    <externalReference r:id="rId7"/>
    <externalReference r:id="rId8"/>
  </externalReferences>
  <definedNames>
    <definedName name="__pc1" localSheetId="2" hidden="1">{#N/A,#N/A,FALSE,"Benefits 01-06"}</definedName>
    <definedName name="__pc1" localSheetId="3" hidden="1">{#N/A,#N/A,FALSE,"Benefits 01-06"}</definedName>
    <definedName name="__pc1" hidden="1">{#N/A,#N/A,FALSE,"Benefits 01-06"}</definedName>
    <definedName name="__pc2" localSheetId="2" hidden="1">{#N/A,#N/A,FALSE,"Benefits 01-06"}</definedName>
    <definedName name="__pc2" localSheetId="3" hidden="1">{#N/A,#N/A,FALSE,"Benefits 01-06"}</definedName>
    <definedName name="__pc2" hidden="1">{#N/A,#N/A,FALSE,"Benefits 01-06"}</definedName>
    <definedName name="_Key1" localSheetId="2" hidden="1">#REF!</definedName>
    <definedName name="_Key1" localSheetId="3" hidden="1">#REF!</definedName>
    <definedName name="_Key1" hidden="1">#REF!</definedName>
    <definedName name="_Key2" localSheetId="3" hidden="1">[1]SUDBASE!#REF!</definedName>
    <definedName name="_Key2" hidden="1">[2]SUDBASE!#REF!</definedName>
    <definedName name="_Order1" hidden="1">255</definedName>
    <definedName name="_Order2" hidden="1">255</definedName>
    <definedName name="_pc1" localSheetId="2" hidden="1">{#N/A,#N/A,FALSE,"Benefits 01-06"}</definedName>
    <definedName name="_pc1" localSheetId="3" hidden="1">{#N/A,#N/A,FALSE,"Benefits 01-06"}</definedName>
    <definedName name="_pc1" hidden="1">{#N/A,#N/A,FALSE,"Benefits 01-06"}</definedName>
    <definedName name="_pc2" localSheetId="2" hidden="1">{#N/A,#N/A,FALSE,"Benefits 01-06"}</definedName>
    <definedName name="_pc2" localSheetId="3" hidden="1">{#N/A,#N/A,FALSE,"Benefits 01-06"}</definedName>
    <definedName name="_pc2" hidden="1">{#N/A,#N/A,FALSE,"Benefits 01-06"}</definedName>
    <definedName name="_Regression_Out" hidden="1">#REF!</definedName>
    <definedName name="_Regression_X" localSheetId="2" hidden="1">#REF!</definedName>
    <definedName name="_Regression_X" localSheetId="3" hidden="1">#REF!</definedName>
    <definedName name="_Regression_X" hidden="1">#REF!</definedName>
    <definedName name="_Regression_Y" localSheetId="2" hidden="1">#REF!</definedName>
    <definedName name="_Regression_Y" localSheetId="3" hidden="1">#REF!</definedName>
    <definedName name="_Regression_Y" hidden="1">#REF!</definedName>
    <definedName name="_Sort" localSheetId="2" hidden="1">#REF!</definedName>
    <definedName name="_Sort" hidden="1">#REF!</definedName>
    <definedName name="benefit2" localSheetId="2" hidden="1">{#N/A,#N/A,FALSE,"Benefits 01-06"}</definedName>
    <definedName name="benefit2" localSheetId="3" hidden="1">{#N/A,#N/A,FALSE,"Benefits 01-06"}</definedName>
    <definedName name="benefit2" hidden="1">{#N/A,#N/A,FALSE,"Benefits 01-06"}</definedName>
    <definedName name="benefit3" localSheetId="2" hidden="1">{#N/A,#N/A,FALSE,"Benefits 01-06"}</definedName>
    <definedName name="benefit3" localSheetId="3" hidden="1">{#N/A,#N/A,FALSE,"Benefits 01-06"}</definedName>
    <definedName name="benefit3" hidden="1">{#N/A,#N/A,FALSE,"Benefits 01-06"}</definedName>
    <definedName name="benefits" localSheetId="2" hidden="1">{#N/A,#N/A,FALSE,"Benefits 01-06"}</definedName>
    <definedName name="benefits" localSheetId="3" hidden="1">{#N/A,#N/A,FALSE,"Benefits 01-06"}</definedName>
    <definedName name="benefits" hidden="1">{#N/A,#N/A,FALSE,"Benefits 01-06"}</definedName>
    <definedName name="db" localSheetId="2" hidden="1">{"Yr1",#N/A,FALSE,"Budget Detail";"Yr2",#N/A,FALSE,"Budget Detail";"Yr3",#N/A,FALSE,"Budget Detail";"Yr4",#N/A,FALSE,"Budget Detail";"Yr5",#N/A,FALSE,"Budget Detail";"Total",#N/A,FALSE,"Budget Detail"}</definedName>
    <definedName name="db" localSheetId="3" hidden="1">{"Yr1",#N/A,FALSE,"Budget Detail";"Yr2",#N/A,FALSE,"Budget Detail";"Yr3",#N/A,FALSE,"Budget Detail";"Yr4",#N/A,FALSE,"Budget Detail";"Yr5",#N/A,FALSE,"Budget Detail";"Total",#N/A,FALSE,"Budget Detail"}</definedName>
    <definedName name="db" hidden="1">{"Yr1",#N/A,FALSE,"Budget Detail";"Yr2",#N/A,FALSE,"Budget Detail";"Yr3",#N/A,FALSE,"Budget Detail";"Yr4",#N/A,FALSE,"Budget Detail";"Yr5",#N/A,FALSE,"Budget Detail";"Total",#N/A,FALSE,"Budget Detail"}</definedName>
    <definedName name="EV__LASTREFTIME__" hidden="1">39622.6580902778</definedName>
    <definedName name="EV__LASTREFTIME___1" hidden="1">39696.5797569444</definedName>
    <definedName name="falg" localSheetId="2" hidden="1">{"Yr1",#N/A,FALSE,"Budget Detail";"Yr2",#N/A,FALSE,"Budget Detail";"Yr3",#N/A,FALSE,"Budget Detail";"Yr4",#N/A,FALSE,"Budget Detail";"Yr5",#N/A,FALSE,"Budget Detail";"Total",#N/A,FALSE,"Budget Detail"}</definedName>
    <definedName name="falg" localSheetId="3" hidden="1">{"Yr1",#N/A,FALSE,"Budget Detail";"Yr2",#N/A,FALSE,"Budget Detail";"Yr3",#N/A,FALSE,"Budget Detail";"Yr4",#N/A,FALSE,"Budget Detail";"Yr5",#N/A,FALSE,"Budget Detail";"Total",#N/A,FALSE,"Budget Detail"}</definedName>
    <definedName name="falg" hidden="1">{"Yr1",#N/A,FALSE,"Budget Detail";"Yr2",#N/A,FALSE,"Budget Detail";"Yr3",#N/A,FALSE,"Budget Detail";"Yr4",#N/A,FALSE,"Budget Detail";"Yr5",#N/A,FALSE,"Budget Detail";"Total",#N/A,FALSE,"Budget Detail"}</definedName>
    <definedName name="flag" localSheetId="2" hidden="1">{"Yr1",#N/A,FALSE,"Budget Detail";"Yr2",#N/A,FALSE,"Budget Detail";"Yr3",#N/A,FALSE,"Budget Detail";"Yr4",#N/A,FALSE,"Budget Detail";"Yr5",#N/A,FALSE,"Budget Detail";"Total",#N/A,FALSE,"Budget Detail"}</definedName>
    <definedName name="flag" localSheetId="3" hidden="1">{"Yr1",#N/A,FALSE,"Budget Detail";"Yr2",#N/A,FALSE,"Budget Detail";"Yr3",#N/A,FALSE,"Budget Detail";"Yr4",#N/A,FALSE,"Budget Detail";"Yr5",#N/A,FALSE,"Budget Detail";"Total",#N/A,FALSE,"Budget Detail"}</definedName>
    <definedName name="flag" hidden="1">{"Yr1",#N/A,FALSE,"Budget Detail";"Yr2",#N/A,FALSE,"Budget Detail";"Yr3",#N/A,FALSE,"Budget Detail";"Yr4",#N/A,FALSE,"Budget Detail";"Yr5",#N/A,FALSE,"Budget Detail";"Total",#N/A,FALSE,"Budget Detail"}</definedName>
    <definedName name="GCF_Classification" localSheetId="3">[3]Lists!$D$5:$D$15</definedName>
    <definedName name="GCF_Classification">[4]Lists!$D$5:$D$15</definedName>
    <definedName name="Grant2" localSheetId="2" hidden="1">{#N/A,#N/A,FALSE,"Grant to date"}</definedName>
    <definedName name="Grant2" localSheetId="3" hidden="1">{#N/A,#N/A,FALSE,"Grant to date"}</definedName>
    <definedName name="Grant2" hidden="1">{#N/A,#N/A,FALSE,"Grant to date"}</definedName>
    <definedName name="Implementing_Partners" localSheetId="3">[3]Lists!$F$5:$F$14</definedName>
    <definedName name="Implementing_Partners">[4]Lists!$F$5:$F$14</definedName>
    <definedName name="JJJJJ" localSheetId="2" hidden="1">{"Yr1",#N/A,FALSE,"Budget Detail";"Yr2",#N/A,FALSE,"Budget Detail";"Yr3",#N/A,FALSE,"Budget Detail";"Yr4",#N/A,FALSE,"Budget Detail";"Yr5",#N/A,FALSE,"Budget Detail";"Total",#N/A,FALSE,"Budget Detail"}</definedName>
    <definedName name="JJJJJ" localSheetId="3" hidden="1">{"Yr1",#N/A,FALSE,"Budget Detail";"Yr2",#N/A,FALSE,"Budget Detail";"Yr3",#N/A,FALSE,"Budget Detail";"Yr4",#N/A,FALSE,"Budget Detail";"Yr5",#N/A,FALSE,"Budget Detail";"Total",#N/A,FALSE,"Budget Detail"}</definedName>
    <definedName name="JJJJJ" hidden="1">{"Yr1",#N/A,FALSE,"Budget Detail";"Yr2",#N/A,FALSE,"Budget Detail";"Yr3",#N/A,FALSE,"Budget Detail";"Yr4",#N/A,FALSE,"Budget Detail";"Yr5",#N/A,FALSE,"Budget Detail";"Total",#N/A,FALSE,"Budget Detail"}</definedName>
    <definedName name="jokiyh" localSheetId="2" hidden="1">{"Yr1",#N/A,FALSE,"Budget Detail";"Yr2",#N/A,FALSE,"Budget Detail";"Yr3",#N/A,FALSE,"Budget Detail";"Yr4",#N/A,FALSE,"Budget Detail";"Yr5",#N/A,FALSE,"Budget Detail";"Total",#N/A,FALSE,"Budget Detail"}</definedName>
    <definedName name="jokiyh" localSheetId="3" hidden="1">{"Yr1",#N/A,FALSE,"Budget Detail";"Yr2",#N/A,FALSE,"Budget Detail";"Yr3",#N/A,FALSE,"Budget Detail";"Yr4",#N/A,FALSE,"Budget Detail";"Yr5",#N/A,FALSE,"Budget Detail";"Total",#N/A,FALSE,"Budget Detail"}</definedName>
    <definedName name="jokiyh" hidden="1">{"Yr1",#N/A,FALSE,"Budget Detail";"Yr2",#N/A,FALSE,"Budget Detail";"Yr3",#N/A,FALSE,"Budget Detail";"Yr4",#N/A,FALSE,"Budget Detail";"Yr5",#N/A,FALSE,"Budget Detail";"Total",#N/A,FALSE,"Budget Detail"}</definedName>
    <definedName name="pig" localSheetId="2" hidden="1">{"Yr1",#N/A,FALSE,"Budget Detail";"Yr2",#N/A,FALSE,"Budget Detail";"Yr3",#N/A,FALSE,"Budget Detail";"Yr4",#N/A,FALSE,"Budget Detail";"Yr5",#N/A,FALSE,"Budget Detail";"Total",#N/A,FALSE,"Budget Detail"}</definedName>
    <definedName name="pig" localSheetId="3" hidden="1">{"Yr1",#N/A,FALSE,"Budget Detail";"Yr2",#N/A,FALSE,"Budget Detail";"Yr3",#N/A,FALSE,"Budget Detail";"Yr4",#N/A,FALSE,"Budget Detail";"Yr5",#N/A,FALSE,"Budget Detail";"Total",#N/A,FALSE,"Budget Detail"}</definedName>
    <definedName name="pig" hidden="1">{"Yr1",#N/A,FALSE,"Budget Detail";"Yr2",#N/A,FALSE,"Budget Detail";"Yr3",#N/A,FALSE,"Budget Detail";"Yr4",#N/A,FALSE,"Budget Detail";"Yr5",#N/A,FALSE,"Budget Detail";"Total",#N/A,FALSE,"Budget Detail"}</definedName>
    <definedName name="Review" localSheetId="2" hidden="1">{#N/A,#N/A,FALSE,"Benefits 01-06"}</definedName>
    <definedName name="Review" localSheetId="3" hidden="1">{#N/A,#N/A,FALSE,"Benefits 01-06"}</definedName>
    <definedName name="Review" hidden="1">{#N/A,#N/A,FALSE,"Benefits 01-06"}</definedName>
    <definedName name="rfa" localSheetId="2" hidden="1">{"Yr1",#N/A,FALSE,"Budget Detail";"Yr2",#N/A,FALSE,"Budget Detail";"Yr3",#N/A,FALSE,"Budget Detail";"Yr4",#N/A,FALSE,"Budget Detail";"Yr5",#N/A,FALSE,"Budget Detail";"Total",#N/A,FALSE,"Budget Detail"}</definedName>
    <definedName name="rfa" localSheetId="3" hidden="1">{"Yr1",#N/A,FALSE,"Budget Detail";"Yr2",#N/A,FALSE,"Budget Detail";"Yr3",#N/A,FALSE,"Budget Detail";"Yr4",#N/A,FALSE,"Budget Detail";"Yr5",#N/A,FALSE,"Budget Detail";"Total",#N/A,FALSE,"Budget Detail"}</definedName>
    <definedName name="rfa" hidden="1">{"Yr1",#N/A,FALSE,"Budget Detail";"Yr2",#N/A,FALSE,"Budget Detail";"Yr3",#N/A,FALSE,"Budget Detail";"Yr4",#N/A,FALSE,"Budget Detail";"Yr5",#N/A,FALSE,"Budget Detail";"Total",#N/A,FALSE,"Budget Detail"}</definedName>
    <definedName name="SV311P" localSheetId="2" hidden="1">#REF!</definedName>
    <definedName name="SV311P" localSheetId="3" hidden="1">#REF!</definedName>
    <definedName name="SV311P" hidden="1">#REF!</definedName>
    <definedName name="THFTJ" localSheetId="2" hidden="1">{#N/A,#N/A,FALSE,"Benefits 01-06"}</definedName>
    <definedName name="THFTJ" localSheetId="3" hidden="1">{#N/A,#N/A,FALSE,"Benefits 01-06"}</definedName>
    <definedName name="THFTJ" hidden="1">{#N/A,#N/A,FALSE,"Benefits 01-06"}</definedName>
    <definedName name="wrn.Benifits." localSheetId="2" hidden="1">{#N/A,#N/A,FALSE,"Benefits 01-06"}</definedName>
    <definedName name="wrn.Benifits." localSheetId="3" hidden="1">{#N/A,#N/A,FALSE,"Benefits 01-06"}</definedName>
    <definedName name="wrn.Benifits." hidden="1">{#N/A,#N/A,FALSE,"Benefits 01-06"}</definedName>
    <definedName name="wrn.cdra._.Total._.budget.2" localSheetId="2" hidden="1">{"Yr1",#N/A,FALSE,"Budget Detail";"Yr2",#N/A,FALSE,"Budget Detail";"Yr3",#N/A,FALSE,"Budget Detail";"Yr4",#N/A,FALSE,"Budget Detail";"Yr5",#N/A,FALSE,"Budget Detail";"Total",#N/A,FALSE,"Budget Detail"}</definedName>
    <definedName name="wrn.cdra._.Total._.budget.2" localSheetId="3" hidden="1">{"Yr1",#N/A,FALSE,"Budget Detail";"Yr2",#N/A,FALSE,"Budget Detail";"Yr3",#N/A,FALSE,"Budget Detail";"Yr4",#N/A,FALSE,"Budget Detail";"Yr5",#N/A,FALSE,"Budget Detail";"Total",#N/A,FALSE,"Budget Detail"}</definedName>
    <definedName name="wrn.cdra._.Total._.budget.2" hidden="1">{"Yr1",#N/A,FALSE,"Budget Detail";"Yr2",#N/A,FALSE,"Budget Detail";"Yr3",#N/A,FALSE,"Budget Detail";"Yr4",#N/A,FALSE,"Budget Detail";"Yr5",#N/A,FALSE,"Budget Detail";"Total",#N/A,FALSE,"Budget Detail"}</definedName>
    <definedName name="wrn.cdra._.total._.Budget.5" localSheetId="2" hidden="1">{"Yr1",#N/A,FALSE,"Budget Detail";"Yr2",#N/A,FALSE,"Budget Detail";"Yr3",#N/A,FALSE,"Budget Detail";"Yr4",#N/A,FALSE,"Budget Detail";"Yr5",#N/A,FALSE,"Budget Detail";"Total",#N/A,FALSE,"Budget Detail"}</definedName>
    <definedName name="wrn.cdra._.total._.Budget.5" localSheetId="3"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localSheetId="2" hidden="1">{"Yr1",#N/A,FALSE,"Budget Detail";"Yr2",#N/A,FALSE,"Budget Detail";"Yr3",#N/A,FALSE,"Budget Detail";"Yr4",#N/A,FALSE,"Budget Detail";"Yr5",#N/A,FALSE,"Budget Detail";"Total",#N/A,FALSE,"Budget Detail"}</definedName>
    <definedName name="wrn.CRDA._.Total._.Budget." localSheetId="3"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localSheetId="2" hidden="1">{"Yr1",#N/A,FALSE,"Budget Detail";"Yr2",#N/A,FALSE,"Budget Detail";"Yr3",#N/A,FALSE,"Budget Detail";"Yr4",#N/A,FALSE,"Budget Detail";"Yr5",#N/A,FALSE,"Budget Detail";"Total",#N/A,FALSE,"Budget Detail"}</definedName>
    <definedName name="wrn.crda._.Total._.budget.1" localSheetId="3"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localSheetId="2" hidden="1">{"Yr1",#N/A,FALSE,"Budget Detail";"Yr2",#N/A,FALSE,"Budget Detail";"Yr3",#N/A,FALSE,"Budget Detail";"Yr4",#N/A,FALSE,"Budget Detail";"Yr5",#N/A,FALSE,"Budget Detail";"Total",#N/A,FALSE,"Budget Detail"}</definedName>
    <definedName name="wrn.crda._.Total._.budget.3" localSheetId="3"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localSheetId="2" hidden="1">{"Yr1",#N/A,FALSE,"Budget Detail";"Yr2",#N/A,FALSE,"Budget Detail";"Yr3",#N/A,FALSE,"Budget Detail";"Yr4",#N/A,FALSE,"Budget Detail";"Yr5",#N/A,FALSE,"Budget Detail";"Total",#N/A,FALSE,"Budget Detail"}</definedName>
    <definedName name="wrn.crda._.Total._.Budget.4" localSheetId="3"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wrn.Grant._.to._.dat." localSheetId="2" hidden="1">{#N/A,#N/A,FALSE,"Grant to date"}</definedName>
    <definedName name="wrn.Grant._.to._.dat." localSheetId="3" hidden="1">{#N/A,#N/A,FALSE,"Grant to date"}</definedName>
    <definedName name="wrn.Grant._.to._.dat." hidden="1">{#N/A,#N/A,FALSE,"Grant to date"}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9" i="2" l="1"/>
  <c r="D245" i="2"/>
  <c r="D236" i="2"/>
  <c r="D231" i="2"/>
  <c r="D182" i="2"/>
  <c r="D180" i="2"/>
  <c r="D168" i="2"/>
  <c r="D157" i="2"/>
  <c r="D151" i="2"/>
  <c r="D139" i="2"/>
  <c r="D117" i="2"/>
  <c r="D110" i="2"/>
  <c r="D106" i="2"/>
  <c r="D105" i="2"/>
  <c r="D94" i="2"/>
  <c r="D85" i="2"/>
  <c r="D80" i="2"/>
  <c r="D56" i="2"/>
  <c r="D24" i="2"/>
  <c r="D172" i="2" l="1"/>
  <c r="D118" i="2"/>
  <c r="D195" i="2" l="1"/>
  <c r="D155" i="2"/>
  <c r="D140" i="2"/>
  <c r="D81" i="2"/>
  <c r="D57" i="2"/>
  <c r="D36" i="2"/>
  <c r="U25" i="4" l="1"/>
  <c r="R25" i="4"/>
  <c r="L125" i="4" l="1"/>
  <c r="L124" i="4" l="1"/>
  <c r="L90" i="4"/>
  <c r="I90" i="4"/>
  <c r="L78" i="4"/>
  <c r="I78" i="4"/>
  <c r="R41" i="4"/>
  <c r="O41" i="4"/>
  <c r="L41" i="4"/>
  <c r="AE159" i="4" l="1"/>
  <c r="AD159" i="4"/>
  <c r="AC159" i="4"/>
  <c r="AB159" i="4"/>
  <c r="AA159" i="4"/>
  <c r="AE143" i="4"/>
  <c r="AD143" i="4"/>
  <c r="AC143" i="4"/>
  <c r="AB143" i="4"/>
  <c r="AA143" i="4"/>
  <c r="AA133" i="4"/>
  <c r="AE130" i="4"/>
  <c r="AD130" i="4"/>
  <c r="AC130" i="4"/>
  <c r="AB130" i="4"/>
  <c r="AA130" i="4"/>
  <c r="AD122" i="4"/>
  <c r="AC122" i="4"/>
  <c r="AB122" i="4"/>
  <c r="AE119" i="4"/>
  <c r="AD119" i="4"/>
  <c r="AC119" i="4"/>
  <c r="AB119" i="4"/>
  <c r="AA119" i="4"/>
  <c r="AE109" i="4"/>
  <c r="AD109" i="4"/>
  <c r="AC109" i="4"/>
  <c r="AB109" i="4"/>
  <c r="AA109" i="4"/>
  <c r="AE102" i="4"/>
  <c r="AD102" i="4"/>
  <c r="AC102" i="4"/>
  <c r="AB102" i="4"/>
  <c r="AE94" i="4"/>
  <c r="AD94" i="4"/>
  <c r="AC94" i="4"/>
  <c r="AB94" i="4"/>
  <c r="AA94" i="4"/>
  <c r="AD88" i="4"/>
  <c r="AB88" i="4"/>
  <c r="AA88" i="4"/>
  <c r="AE85" i="4"/>
  <c r="AD85" i="4"/>
  <c r="AC85" i="4"/>
  <c r="AB85" i="4"/>
  <c r="AA85" i="4"/>
  <c r="Z85" i="4"/>
  <c r="AD76" i="4"/>
  <c r="AB76" i="4"/>
  <c r="AA76" i="4"/>
  <c r="AE72" i="4"/>
  <c r="AD72" i="4"/>
  <c r="AC72" i="4"/>
  <c r="AB72" i="4"/>
  <c r="Z72" i="4"/>
  <c r="AE64" i="4"/>
  <c r="AD64" i="4"/>
  <c r="AC64" i="4"/>
  <c r="AB64" i="4"/>
  <c r="AD54" i="4"/>
  <c r="AC54" i="4"/>
  <c r="AB54" i="4"/>
  <c r="AE50" i="4"/>
  <c r="AD50" i="4"/>
  <c r="AC50" i="4"/>
  <c r="AB50" i="4"/>
  <c r="AA50" i="4"/>
  <c r="AD39" i="4"/>
  <c r="AC39" i="4"/>
  <c r="AB39" i="4"/>
  <c r="W36" i="4"/>
  <c r="AE28" i="4"/>
  <c r="AD28" i="4"/>
  <c r="AC28" i="4"/>
  <c r="AB28" i="4"/>
  <c r="AA28" i="4"/>
  <c r="Z26" i="4"/>
  <c r="Z22" i="4"/>
  <c r="AE11" i="4"/>
  <c r="AD11" i="4"/>
  <c r="AC11" i="4"/>
  <c r="AB11" i="4"/>
  <c r="AA11" i="4"/>
  <c r="Z6" i="4" l="1"/>
  <c r="B315" i="1"/>
  <c r="B314" i="1"/>
  <c r="M184" i="1"/>
  <c r="G301" i="1"/>
  <c r="H301" i="1"/>
  <c r="I301" i="1"/>
  <c r="J301" i="1"/>
  <c r="K301" i="1"/>
  <c r="L301" i="1"/>
  <c r="AF128" i="3"/>
  <c r="AG128" i="3"/>
  <c r="AH128" i="3"/>
  <c r="AI128" i="3"/>
  <c r="AJ128" i="3"/>
  <c r="AF129" i="3"/>
  <c r="AG129" i="3"/>
  <c r="AH129" i="3"/>
  <c r="AI129" i="3"/>
  <c r="AJ129" i="3"/>
  <c r="Z128" i="3"/>
  <c r="AA128" i="3"/>
  <c r="AB128" i="3"/>
  <c r="AC128" i="3"/>
  <c r="AD128" i="3"/>
  <c r="Z129" i="3"/>
  <c r="AA129" i="3"/>
  <c r="AB129" i="3"/>
  <c r="AC129" i="3"/>
  <c r="AD129" i="3"/>
  <c r="S128" i="3"/>
  <c r="T128" i="3"/>
  <c r="U128" i="3"/>
  <c r="V128" i="3"/>
  <c r="W128" i="3"/>
  <c r="S129" i="3"/>
  <c r="T129" i="3"/>
  <c r="U129" i="3"/>
  <c r="V129" i="3"/>
  <c r="W129" i="3"/>
  <c r="M128" i="3"/>
  <c r="N128" i="3"/>
  <c r="O128" i="3"/>
  <c r="P128" i="3"/>
  <c r="Q128" i="3"/>
  <c r="M129" i="3"/>
  <c r="N129" i="3"/>
  <c r="O129" i="3"/>
  <c r="P129" i="3"/>
  <c r="Q129" i="3"/>
  <c r="G128" i="3"/>
  <c r="H128" i="3"/>
  <c r="I128" i="3"/>
  <c r="J128" i="3"/>
  <c r="K128" i="3"/>
  <c r="G129" i="3"/>
  <c r="H129" i="3"/>
  <c r="I129" i="3"/>
  <c r="J129" i="3"/>
  <c r="K129" i="3"/>
  <c r="AL104" i="3"/>
  <c r="AM104" i="3"/>
  <c r="AN104" i="3"/>
  <c r="AO104" i="3"/>
  <c r="AP104" i="3"/>
  <c r="AL105" i="3"/>
  <c r="AM105" i="3"/>
  <c r="AN105" i="3"/>
  <c r="AO105" i="3"/>
  <c r="AP105" i="3"/>
  <c r="AL106" i="3"/>
  <c r="AM106" i="3"/>
  <c r="AN106" i="3"/>
  <c r="AO106" i="3"/>
  <c r="AP106" i="3"/>
  <c r="AL107" i="3"/>
  <c r="AM107" i="3"/>
  <c r="AN107" i="3"/>
  <c r="AO107" i="3"/>
  <c r="AP107" i="3"/>
  <c r="BR104" i="3"/>
  <c r="BS104" i="3"/>
  <c r="BT104" i="3"/>
  <c r="BU104" i="3"/>
  <c r="BV104" i="3"/>
  <c r="BR105" i="3"/>
  <c r="BS105" i="3"/>
  <c r="BT105" i="3"/>
  <c r="BU105" i="3"/>
  <c r="BV105" i="3"/>
  <c r="BR106" i="3"/>
  <c r="BS106" i="3"/>
  <c r="BT106" i="3"/>
  <c r="BU106" i="3"/>
  <c r="BV106" i="3"/>
  <c r="BR107" i="3"/>
  <c r="BS107" i="3"/>
  <c r="BT107" i="3"/>
  <c r="BU107" i="3"/>
  <c r="BV107" i="3"/>
  <c r="BL104" i="3"/>
  <c r="BM104" i="3"/>
  <c r="BN104" i="3"/>
  <c r="BO104" i="3"/>
  <c r="BP104" i="3"/>
  <c r="BL105" i="3"/>
  <c r="BM105" i="3"/>
  <c r="BN105" i="3"/>
  <c r="BO105" i="3"/>
  <c r="BP105" i="3"/>
  <c r="BL106" i="3"/>
  <c r="BM106" i="3"/>
  <c r="BN106" i="3"/>
  <c r="BO106" i="3"/>
  <c r="BP106" i="3"/>
  <c r="BL107" i="3"/>
  <c r="BM107" i="3"/>
  <c r="BN107" i="3"/>
  <c r="BO107" i="3"/>
  <c r="BP107" i="3"/>
  <c r="BF104" i="3"/>
  <c r="BG104" i="3"/>
  <c r="BH104" i="3"/>
  <c r="BI104" i="3"/>
  <c r="BJ104" i="3"/>
  <c r="BF105" i="3"/>
  <c r="BG105" i="3"/>
  <c r="BH105" i="3"/>
  <c r="BI105" i="3"/>
  <c r="BJ105" i="3"/>
  <c r="BF106" i="3"/>
  <c r="BG106" i="3"/>
  <c r="BH106" i="3"/>
  <c r="BI106" i="3"/>
  <c r="BJ106" i="3"/>
  <c r="BF107" i="3"/>
  <c r="BG107" i="3"/>
  <c r="BH107" i="3"/>
  <c r="BI107" i="3"/>
  <c r="BJ107" i="3"/>
  <c r="AY104" i="3"/>
  <c r="AZ104" i="3"/>
  <c r="BA104" i="3"/>
  <c r="BB104" i="3"/>
  <c r="BC104" i="3"/>
  <c r="AY105" i="3"/>
  <c r="AZ105" i="3"/>
  <c r="BA105" i="3"/>
  <c r="BB105" i="3"/>
  <c r="BC105" i="3"/>
  <c r="AY106" i="3"/>
  <c r="AZ106" i="3"/>
  <c r="BA106" i="3"/>
  <c r="BB106" i="3"/>
  <c r="BC106" i="3"/>
  <c r="AY107" i="3"/>
  <c r="AZ107" i="3"/>
  <c r="BA107" i="3"/>
  <c r="BB107" i="3"/>
  <c r="BC107" i="3"/>
  <c r="AS104" i="3"/>
  <c r="AT104" i="3"/>
  <c r="AU104" i="3"/>
  <c r="AV104" i="3"/>
  <c r="AW104" i="3"/>
  <c r="AS105" i="3"/>
  <c r="AT105" i="3"/>
  <c r="AU105" i="3"/>
  <c r="AV105" i="3"/>
  <c r="AW105" i="3"/>
  <c r="AS106" i="3"/>
  <c r="AT106" i="3"/>
  <c r="AU106" i="3"/>
  <c r="AV106" i="3"/>
  <c r="AW106" i="3"/>
  <c r="AS107" i="3"/>
  <c r="AT107" i="3"/>
  <c r="AU107" i="3"/>
  <c r="AV107" i="3"/>
  <c r="AW107" i="3"/>
  <c r="AF104" i="3"/>
  <c r="AG104" i="3"/>
  <c r="AH104" i="3"/>
  <c r="AI104" i="3"/>
  <c r="AJ104" i="3"/>
  <c r="AF105" i="3"/>
  <c r="AG105" i="3"/>
  <c r="AH105" i="3"/>
  <c r="AI105" i="3"/>
  <c r="AJ105" i="3"/>
  <c r="AF106" i="3"/>
  <c r="AG106" i="3"/>
  <c r="AH106" i="3"/>
  <c r="AI106" i="3"/>
  <c r="AJ106" i="3"/>
  <c r="AF107" i="3"/>
  <c r="AG107" i="3"/>
  <c r="AH107" i="3"/>
  <c r="AI107" i="3"/>
  <c r="AJ107" i="3"/>
  <c r="Z104" i="3"/>
  <c r="AA104" i="3"/>
  <c r="AB104" i="3"/>
  <c r="AC104" i="3"/>
  <c r="AD104" i="3"/>
  <c r="Z105" i="3"/>
  <c r="AA105" i="3"/>
  <c r="AB105" i="3"/>
  <c r="AC105" i="3"/>
  <c r="AD105" i="3"/>
  <c r="Z106" i="3"/>
  <c r="AA106" i="3"/>
  <c r="AB106" i="3"/>
  <c r="AC106" i="3"/>
  <c r="AD106" i="3"/>
  <c r="Z107" i="3"/>
  <c r="AA107" i="3"/>
  <c r="AB107" i="3"/>
  <c r="AC107" i="3"/>
  <c r="AD107" i="3"/>
  <c r="S104" i="3"/>
  <c r="T104" i="3"/>
  <c r="U104" i="3"/>
  <c r="V104" i="3"/>
  <c r="W104" i="3"/>
  <c r="S105" i="3"/>
  <c r="T105" i="3"/>
  <c r="U105" i="3"/>
  <c r="V105" i="3"/>
  <c r="W105" i="3"/>
  <c r="S106" i="3"/>
  <c r="T106" i="3"/>
  <c r="U106" i="3"/>
  <c r="V106" i="3"/>
  <c r="W106" i="3"/>
  <c r="S107" i="3"/>
  <c r="T107" i="3"/>
  <c r="U107" i="3"/>
  <c r="V107" i="3"/>
  <c r="W107" i="3"/>
  <c r="M104" i="3"/>
  <c r="N104" i="3"/>
  <c r="O104" i="3"/>
  <c r="P104" i="3"/>
  <c r="Q104" i="3"/>
  <c r="M105" i="3"/>
  <c r="N105" i="3"/>
  <c r="O105" i="3"/>
  <c r="P105" i="3"/>
  <c r="Q105" i="3"/>
  <c r="M106" i="3"/>
  <c r="N106" i="3"/>
  <c r="O106" i="3"/>
  <c r="P106" i="3"/>
  <c r="Q106" i="3"/>
  <c r="M107" i="3"/>
  <c r="N107" i="3"/>
  <c r="O107" i="3"/>
  <c r="P107" i="3"/>
  <c r="Q107" i="3"/>
  <c r="G104" i="3"/>
  <c r="H104" i="3"/>
  <c r="I104" i="3"/>
  <c r="J104" i="3"/>
  <c r="K104" i="3"/>
  <c r="G105" i="3"/>
  <c r="H105" i="3"/>
  <c r="I105" i="3"/>
  <c r="J105" i="3"/>
  <c r="K105" i="3"/>
  <c r="G106" i="3"/>
  <c r="H106" i="3"/>
  <c r="I106" i="3"/>
  <c r="J106" i="3"/>
  <c r="K106" i="3"/>
  <c r="G107" i="3"/>
  <c r="H107" i="3"/>
  <c r="I107" i="3"/>
  <c r="J107" i="3"/>
  <c r="K107" i="3"/>
  <c r="AS84" i="3"/>
  <c r="AT84" i="3"/>
  <c r="AU84" i="3"/>
  <c r="AV84" i="3"/>
  <c r="AW84" i="3"/>
  <c r="AS85" i="3"/>
  <c r="AT85" i="3"/>
  <c r="AU85" i="3"/>
  <c r="AV85" i="3"/>
  <c r="AW85" i="3"/>
  <c r="AM84" i="3"/>
  <c r="AN84" i="3"/>
  <c r="AO84" i="3"/>
  <c r="AP84" i="3"/>
  <c r="AQ84" i="3"/>
  <c r="AM85" i="3"/>
  <c r="AN85" i="3"/>
  <c r="AO85" i="3"/>
  <c r="AP85" i="3"/>
  <c r="AQ85" i="3"/>
  <c r="AF84" i="3"/>
  <c r="AG84" i="3"/>
  <c r="AH84" i="3"/>
  <c r="AI84" i="3"/>
  <c r="AJ84" i="3"/>
  <c r="AF85" i="3"/>
  <c r="AG85" i="3"/>
  <c r="AH85" i="3"/>
  <c r="AI85" i="3"/>
  <c r="AJ85" i="3"/>
  <c r="Z84" i="3"/>
  <c r="AA84" i="3"/>
  <c r="AB84" i="3"/>
  <c r="AC84" i="3"/>
  <c r="AD84" i="3"/>
  <c r="Z85" i="3"/>
  <c r="AA85" i="3"/>
  <c r="AB85" i="3"/>
  <c r="AC85" i="3"/>
  <c r="AD85" i="3"/>
  <c r="T84" i="3"/>
  <c r="U84" i="3"/>
  <c r="V84" i="3"/>
  <c r="W84" i="3"/>
  <c r="X84" i="3"/>
  <c r="T85" i="3"/>
  <c r="U85" i="3"/>
  <c r="V85" i="3"/>
  <c r="W85" i="3"/>
  <c r="X85" i="3"/>
  <c r="M84" i="3"/>
  <c r="N84" i="3"/>
  <c r="O84" i="3"/>
  <c r="P84" i="3"/>
  <c r="Q84" i="3"/>
  <c r="M85" i="3"/>
  <c r="N85" i="3"/>
  <c r="O85" i="3"/>
  <c r="P85" i="3"/>
  <c r="Q85" i="3"/>
  <c r="G84" i="3"/>
  <c r="H84" i="3"/>
  <c r="I84" i="3"/>
  <c r="J84" i="3"/>
  <c r="K84" i="3"/>
  <c r="G85" i="3"/>
  <c r="H85" i="3"/>
  <c r="I85" i="3"/>
  <c r="J85" i="3"/>
  <c r="K85" i="3"/>
  <c r="M321" i="1" l="1"/>
  <c r="D238" i="2" l="1"/>
  <c r="D237" i="2"/>
  <c r="D228" i="2"/>
  <c r="D203" i="2"/>
  <c r="D193" i="2"/>
  <c r="D192" i="2"/>
  <c r="D152" i="2"/>
  <c r="D107" i="2"/>
  <c r="D71" i="2"/>
  <c r="D70" i="2"/>
  <c r="D61" i="2"/>
  <c r="D47" i="2" l="1"/>
  <c r="D37" i="2"/>
  <c r="D27" i="2"/>
  <c r="D26" i="2"/>
  <c r="D16" i="2"/>
  <c r="R52" i="4"/>
  <c r="O52" i="4"/>
  <c r="L52" i="4"/>
  <c r="U51" i="4"/>
  <c r="R51" i="4"/>
  <c r="O51" i="4"/>
  <c r="L51" i="4"/>
  <c r="U50" i="4"/>
  <c r="O50" i="4"/>
  <c r="R50" i="4"/>
  <c r="L50" i="4"/>
  <c r="I50" i="4"/>
  <c r="R85" i="4"/>
  <c r="L85" i="4"/>
  <c r="U95" i="4"/>
  <c r="R95" i="4"/>
  <c r="O95" i="4"/>
  <c r="L95" i="4"/>
  <c r="I95" i="4"/>
  <c r="R94" i="4"/>
  <c r="L94" i="4"/>
  <c r="U94" i="4"/>
  <c r="O94" i="4"/>
  <c r="I94" i="4"/>
  <c r="U45" i="4"/>
  <c r="R45" i="4"/>
  <c r="O45" i="4"/>
  <c r="L45" i="4"/>
  <c r="I45" i="4"/>
  <c r="U64" i="4" l="1"/>
  <c r="O64" i="4"/>
  <c r="R64" i="4"/>
  <c r="S64" i="4" s="1"/>
  <c r="L64" i="4"/>
  <c r="AF64" i="4"/>
  <c r="W93" i="4"/>
  <c r="X93" i="4" s="1"/>
  <c r="D73" i="2"/>
  <c r="X170" i="4"/>
  <c r="X169" i="4"/>
  <c r="V168" i="4"/>
  <c r="S168" i="4"/>
  <c r="AF167" i="4"/>
  <c r="X167" i="4"/>
  <c r="W167" i="4"/>
  <c r="V167" i="4"/>
  <c r="S167" i="4"/>
  <c r="P167" i="4"/>
  <c r="M167" i="4"/>
  <c r="J167" i="4"/>
  <c r="G167" i="4"/>
  <c r="AF166" i="4"/>
  <c r="V166" i="4"/>
  <c r="S166" i="4"/>
  <c r="P166" i="4"/>
  <c r="M166" i="4"/>
  <c r="J166" i="4"/>
  <c r="G166" i="4"/>
  <c r="W166" i="4" s="1"/>
  <c r="X166" i="4" s="1"/>
  <c r="W165" i="4"/>
  <c r="V165" i="4"/>
  <c r="S165" i="4"/>
  <c r="P165" i="4"/>
  <c r="M165" i="4"/>
  <c r="J165" i="4"/>
  <c r="G165" i="4"/>
  <c r="W164" i="4"/>
  <c r="V164" i="4"/>
  <c r="S164" i="4"/>
  <c r="P164" i="4"/>
  <c r="M164" i="4"/>
  <c r="J164" i="4"/>
  <c r="G164" i="4"/>
  <c r="AF163" i="4"/>
  <c r="X163" i="4"/>
  <c r="W163" i="4"/>
  <c r="V163" i="4"/>
  <c r="S163" i="4"/>
  <c r="P163" i="4"/>
  <c r="M163" i="4"/>
  <c r="J163" i="4"/>
  <c r="G163" i="4"/>
  <c r="AF162" i="4"/>
  <c r="W162" i="4" s="1"/>
  <c r="X162" i="4" s="1"/>
  <c r="V162" i="4"/>
  <c r="S162" i="4"/>
  <c r="P162" i="4"/>
  <c r="M162" i="4"/>
  <c r="J162" i="4"/>
  <c r="G162" i="4"/>
  <c r="AF161" i="4"/>
  <c r="W161" i="4" s="1"/>
  <c r="X161" i="4" s="1"/>
  <c r="V161" i="4"/>
  <c r="S161" i="4"/>
  <c r="P161" i="4"/>
  <c r="M161" i="4"/>
  <c r="J161" i="4"/>
  <c r="G161" i="4"/>
  <c r="AF160" i="4"/>
  <c r="W160" i="4"/>
  <c r="X160" i="4" s="1"/>
  <c r="V160" i="4"/>
  <c r="S160" i="4"/>
  <c r="P160" i="4"/>
  <c r="M160" i="4"/>
  <c r="J160" i="4"/>
  <c r="G160" i="4"/>
  <c r="AF159" i="4"/>
  <c r="V159" i="4"/>
  <c r="S159" i="4"/>
  <c r="P159" i="4"/>
  <c r="M159" i="4"/>
  <c r="J159" i="4"/>
  <c r="G159" i="4"/>
  <c r="W159" i="4" s="1"/>
  <c r="W158" i="4"/>
  <c r="V158" i="4"/>
  <c r="S158" i="4"/>
  <c r="P158" i="4"/>
  <c r="M158" i="4"/>
  <c r="J158" i="4"/>
  <c r="V157" i="4"/>
  <c r="S157" i="4"/>
  <c r="P157" i="4"/>
  <c r="M157" i="4"/>
  <c r="J157" i="4"/>
  <c r="W157" i="4" s="1"/>
  <c r="AF156" i="4"/>
  <c r="V156" i="4"/>
  <c r="S156" i="4"/>
  <c r="P156" i="4"/>
  <c r="M156" i="4"/>
  <c r="J156" i="4"/>
  <c r="G156" i="4"/>
  <c r="W156" i="4" s="1"/>
  <c r="AF155" i="4"/>
  <c r="W155" i="4"/>
  <c r="X155" i="4" s="1"/>
  <c r="V155" i="4"/>
  <c r="S155" i="4"/>
  <c r="P155" i="4"/>
  <c r="M155" i="4"/>
  <c r="J155" i="4"/>
  <c r="G155" i="4"/>
  <c r="AF154" i="4"/>
  <c r="W154" i="4" s="1"/>
  <c r="X154" i="4" s="1"/>
  <c r="V154" i="4"/>
  <c r="S154" i="4"/>
  <c r="P154" i="4"/>
  <c r="M154" i="4"/>
  <c r="J154" i="4"/>
  <c r="G154" i="4"/>
  <c r="AF153" i="4"/>
  <c r="V153" i="4"/>
  <c r="S153" i="4"/>
  <c r="P153" i="4"/>
  <c r="M153" i="4"/>
  <c r="J153" i="4"/>
  <c r="G153" i="4"/>
  <c r="W153" i="4" s="1"/>
  <c r="X153" i="4" s="1"/>
  <c r="AF152" i="4"/>
  <c r="W152" i="4" s="1"/>
  <c r="X152" i="4" s="1"/>
  <c r="V152" i="4"/>
  <c r="S152" i="4"/>
  <c r="P152" i="4"/>
  <c r="M152" i="4"/>
  <c r="J152" i="4"/>
  <c r="G152" i="4"/>
  <c r="V151" i="4"/>
  <c r="S151" i="4"/>
  <c r="P151" i="4"/>
  <c r="M151" i="4"/>
  <c r="J151" i="4"/>
  <c r="G151" i="4"/>
  <c r="W151" i="4" s="1"/>
  <c r="U150" i="4"/>
  <c r="V150" i="4" s="1"/>
  <c r="S150" i="4"/>
  <c r="R150" i="4"/>
  <c r="O150" i="4"/>
  <c r="P150" i="4" s="1"/>
  <c r="M150" i="4"/>
  <c r="L150" i="4"/>
  <c r="I150" i="4"/>
  <c r="J150" i="4" s="1"/>
  <c r="G150" i="4"/>
  <c r="AE149" i="4"/>
  <c r="AD149" i="4"/>
  <c r="AC149" i="4"/>
  <c r="AB149" i="4"/>
  <c r="AA149" i="4"/>
  <c r="AF149" i="4" s="1"/>
  <c r="V149" i="4"/>
  <c r="S149" i="4"/>
  <c r="P149" i="4"/>
  <c r="M149" i="4"/>
  <c r="J149" i="4"/>
  <c r="W149" i="4" s="1"/>
  <c r="G149" i="4"/>
  <c r="V148" i="4"/>
  <c r="S148" i="4"/>
  <c r="P148" i="4"/>
  <c r="M148" i="4"/>
  <c r="J148" i="4"/>
  <c r="G148" i="4"/>
  <c r="W148" i="4" s="1"/>
  <c r="V147" i="4"/>
  <c r="S147" i="4"/>
  <c r="P147" i="4"/>
  <c r="M147" i="4"/>
  <c r="J147" i="4"/>
  <c r="G147" i="4"/>
  <c r="W147" i="4" s="1"/>
  <c r="W146" i="4"/>
  <c r="V146" i="4"/>
  <c r="S146" i="4"/>
  <c r="P146" i="4"/>
  <c r="M146" i="4"/>
  <c r="J146" i="4"/>
  <c r="G146" i="4"/>
  <c r="AF145" i="4"/>
  <c r="V145" i="4"/>
  <c r="S145" i="4"/>
  <c r="P145" i="4"/>
  <c r="M145" i="4"/>
  <c r="J145" i="4"/>
  <c r="G145" i="4"/>
  <c r="AF144" i="4"/>
  <c r="W144" i="4" s="1"/>
  <c r="X144" i="4" s="1"/>
  <c r="V144" i="4"/>
  <c r="S144" i="4"/>
  <c r="P144" i="4"/>
  <c r="M144" i="4"/>
  <c r="J144" i="4"/>
  <c r="G144" i="4"/>
  <c r="AF143" i="4"/>
  <c r="X143" i="4"/>
  <c r="W143" i="4"/>
  <c r="V143" i="4"/>
  <c r="S143" i="4"/>
  <c r="P143" i="4"/>
  <c r="M143" i="4"/>
  <c r="J143" i="4"/>
  <c r="G143" i="4"/>
  <c r="AF142" i="4"/>
  <c r="W142" i="4" s="1"/>
  <c r="X142" i="4" s="1"/>
  <c r="V142" i="4"/>
  <c r="S142" i="4"/>
  <c r="P142" i="4"/>
  <c r="M142" i="4"/>
  <c r="J142" i="4"/>
  <c r="G142" i="4"/>
  <c r="AF141" i="4"/>
  <c r="W141" i="4" s="1"/>
  <c r="X141" i="4" s="1"/>
  <c r="V141" i="4"/>
  <c r="S141" i="4"/>
  <c r="P141" i="4"/>
  <c r="M141" i="4"/>
  <c r="J141" i="4"/>
  <c r="G141" i="4"/>
  <c r="AF140" i="4"/>
  <c r="V140" i="4"/>
  <c r="S140" i="4"/>
  <c r="P140" i="4"/>
  <c r="M140" i="4"/>
  <c r="J140" i="4"/>
  <c r="G140" i="4"/>
  <c r="AF139" i="4"/>
  <c r="V139" i="4"/>
  <c r="U139" i="4"/>
  <c r="R139" i="4"/>
  <c r="S139" i="4" s="1"/>
  <c r="P139" i="4"/>
  <c r="O139" i="4"/>
  <c r="L139" i="4"/>
  <c r="M139" i="4" s="1"/>
  <c r="J139" i="4"/>
  <c r="I139" i="4"/>
  <c r="F139" i="4"/>
  <c r="G139" i="4" s="1"/>
  <c r="AF138" i="4"/>
  <c r="U138" i="4"/>
  <c r="V138" i="4" s="1"/>
  <c r="S138" i="4"/>
  <c r="R138" i="4"/>
  <c r="O138" i="4"/>
  <c r="P138" i="4" s="1"/>
  <c r="M138" i="4"/>
  <c r="L138" i="4"/>
  <c r="J138" i="4"/>
  <c r="G138" i="4"/>
  <c r="AF137" i="4"/>
  <c r="W137" i="4" s="1"/>
  <c r="X137" i="4" s="1"/>
  <c r="V137" i="4"/>
  <c r="S137" i="4"/>
  <c r="P137" i="4"/>
  <c r="M137" i="4"/>
  <c r="J137" i="4"/>
  <c r="G137" i="4"/>
  <c r="AF136" i="4"/>
  <c r="W136" i="4" s="1"/>
  <c r="X136" i="4" s="1"/>
  <c r="V136" i="4"/>
  <c r="S136" i="4"/>
  <c r="P136" i="4"/>
  <c r="M136" i="4"/>
  <c r="J136" i="4"/>
  <c r="G136" i="4"/>
  <c r="AF135" i="4"/>
  <c r="V135" i="4"/>
  <c r="R135" i="4"/>
  <c r="S135" i="4" s="1"/>
  <c r="P135" i="4"/>
  <c r="L135" i="4"/>
  <c r="M135" i="4" s="1"/>
  <c r="I135" i="4"/>
  <c r="J135" i="4" s="1"/>
  <c r="W135" i="4" s="1"/>
  <c r="X135" i="4" s="1"/>
  <c r="G135" i="4"/>
  <c r="AF134" i="4"/>
  <c r="W134" i="4" s="1"/>
  <c r="X134" i="4" s="1"/>
  <c r="V134" i="4"/>
  <c r="S134" i="4"/>
  <c r="P134" i="4"/>
  <c r="M134" i="4"/>
  <c r="J134" i="4"/>
  <c r="G134" i="4"/>
  <c r="AF133" i="4"/>
  <c r="V133" i="4"/>
  <c r="S133" i="4"/>
  <c r="P133" i="4"/>
  <c r="M133" i="4"/>
  <c r="J133" i="4"/>
  <c r="G133" i="4"/>
  <c r="AF132" i="4"/>
  <c r="W132" i="4" s="1"/>
  <c r="X132" i="4" s="1"/>
  <c r="V132" i="4"/>
  <c r="S132" i="4"/>
  <c r="P132" i="4"/>
  <c r="M132" i="4"/>
  <c r="J132" i="4"/>
  <c r="G132" i="4"/>
  <c r="V131" i="4"/>
  <c r="S131" i="4"/>
  <c r="P131" i="4"/>
  <c r="M131" i="4"/>
  <c r="J131" i="4"/>
  <c r="AF130" i="4"/>
  <c r="V130" i="4"/>
  <c r="U130" i="4"/>
  <c r="R130" i="4"/>
  <c r="S130" i="4" s="1"/>
  <c r="P130" i="4"/>
  <c r="O130" i="4"/>
  <c r="M130" i="4"/>
  <c r="L130" i="4"/>
  <c r="J130" i="4"/>
  <c r="I130" i="4"/>
  <c r="G130" i="4"/>
  <c r="W129" i="4"/>
  <c r="V129" i="4"/>
  <c r="S129" i="4"/>
  <c r="P129" i="4"/>
  <c r="M129" i="4"/>
  <c r="J129" i="4"/>
  <c r="V128" i="4"/>
  <c r="S128" i="4"/>
  <c r="P128" i="4"/>
  <c r="M128" i="4"/>
  <c r="J128" i="4"/>
  <c r="AF127" i="4"/>
  <c r="U127" i="4"/>
  <c r="V127" i="4" s="1"/>
  <c r="S127" i="4"/>
  <c r="R127" i="4"/>
  <c r="P127" i="4"/>
  <c r="O127" i="4"/>
  <c r="M127" i="4"/>
  <c r="L127" i="4"/>
  <c r="I127" i="4"/>
  <c r="J127" i="4" s="1"/>
  <c r="G127" i="4"/>
  <c r="AF126" i="4"/>
  <c r="X126" i="4"/>
  <c r="W126" i="4"/>
  <c r="V126" i="4"/>
  <c r="S126" i="4"/>
  <c r="P126" i="4"/>
  <c r="M126" i="4"/>
  <c r="J126" i="4"/>
  <c r="G126" i="4"/>
  <c r="AF125" i="4"/>
  <c r="S125" i="4"/>
  <c r="R125" i="4"/>
  <c r="O125" i="4"/>
  <c r="P125" i="4" s="1"/>
  <c r="M125" i="4"/>
  <c r="W125" i="4" s="1"/>
  <c r="AF124" i="4"/>
  <c r="S124" i="4"/>
  <c r="R124" i="4"/>
  <c r="O124" i="4"/>
  <c r="P124" i="4" s="1"/>
  <c r="M124" i="4"/>
  <c r="AF123" i="4"/>
  <c r="S123" i="4"/>
  <c r="P123" i="4"/>
  <c r="W123" i="4" s="1"/>
  <c r="M123" i="4"/>
  <c r="AF122" i="4"/>
  <c r="V122" i="4"/>
  <c r="S122" i="4"/>
  <c r="P122" i="4"/>
  <c r="M122" i="4"/>
  <c r="J122" i="4"/>
  <c r="G122" i="4"/>
  <c r="W122" i="4" s="1"/>
  <c r="AF121" i="4"/>
  <c r="W121" i="4" s="1"/>
  <c r="X121" i="4" s="1"/>
  <c r="V121" i="4"/>
  <c r="S121" i="4"/>
  <c r="P121" i="4"/>
  <c r="M121" i="4"/>
  <c r="J121" i="4"/>
  <c r="G121" i="4"/>
  <c r="V120" i="4"/>
  <c r="U120" i="4"/>
  <c r="R120" i="4"/>
  <c r="S120" i="4" s="1"/>
  <c r="O120" i="4"/>
  <c r="P120" i="4" s="1"/>
  <c r="L120" i="4"/>
  <c r="M120" i="4" s="1"/>
  <c r="J120" i="4"/>
  <c r="I120" i="4"/>
  <c r="G120" i="4"/>
  <c r="U119" i="4"/>
  <c r="V119" i="4" s="1"/>
  <c r="S119" i="4"/>
  <c r="R119" i="4"/>
  <c r="P119" i="4"/>
  <c r="O119" i="4"/>
  <c r="M119" i="4"/>
  <c r="L119" i="4"/>
  <c r="I119" i="4"/>
  <c r="J119" i="4" s="1"/>
  <c r="G119" i="4"/>
  <c r="M118" i="4"/>
  <c r="W118" i="4" s="1"/>
  <c r="L118" i="4"/>
  <c r="J118" i="4"/>
  <c r="I118" i="4"/>
  <c r="AF117" i="4"/>
  <c r="U117" i="4"/>
  <c r="V117" i="4" s="1"/>
  <c r="S117" i="4"/>
  <c r="R117" i="4"/>
  <c r="O117" i="4"/>
  <c r="P117" i="4" s="1"/>
  <c r="M117" i="4"/>
  <c r="W117" i="4" s="1"/>
  <c r="X117" i="4" s="1"/>
  <c r="L117" i="4"/>
  <c r="I117" i="4"/>
  <c r="J117" i="4" s="1"/>
  <c r="G117" i="4"/>
  <c r="AF116" i="4"/>
  <c r="W116" i="4" s="1"/>
  <c r="X116" i="4" s="1"/>
  <c r="V116" i="4"/>
  <c r="S116" i="4"/>
  <c r="P116" i="4"/>
  <c r="M116" i="4"/>
  <c r="J116" i="4"/>
  <c r="G116" i="4"/>
  <c r="V115" i="4"/>
  <c r="M115" i="4"/>
  <c r="W115" i="4" s="1"/>
  <c r="W114" i="4"/>
  <c r="V114" i="4"/>
  <c r="M114" i="4"/>
  <c r="V113" i="4"/>
  <c r="M113" i="4"/>
  <c r="I113" i="4"/>
  <c r="J113" i="4" s="1"/>
  <c r="W113" i="4" s="1"/>
  <c r="AF112" i="4"/>
  <c r="AE112" i="4"/>
  <c r="AD112" i="4"/>
  <c r="AC112" i="4"/>
  <c r="AB112" i="4"/>
  <c r="AA112" i="4"/>
  <c r="Z112" i="4"/>
  <c r="V112" i="4"/>
  <c r="S112" i="4"/>
  <c r="P112" i="4"/>
  <c r="M112" i="4"/>
  <c r="I112" i="4"/>
  <c r="J112" i="4" s="1"/>
  <c r="W112" i="4" s="1"/>
  <c r="X112" i="4" s="1"/>
  <c r="G112" i="4"/>
  <c r="AF111" i="4"/>
  <c r="W111" i="4" s="1"/>
  <c r="X111" i="4" s="1"/>
  <c r="V111" i="4"/>
  <c r="S111" i="4"/>
  <c r="P111" i="4"/>
  <c r="M111" i="4"/>
  <c r="J111" i="4"/>
  <c r="G111" i="4"/>
  <c r="V110" i="4"/>
  <c r="S110" i="4"/>
  <c r="P110" i="4"/>
  <c r="M110" i="4"/>
  <c r="J110" i="4"/>
  <c r="G110" i="4"/>
  <c r="W110" i="4" s="1"/>
  <c r="AF109" i="4"/>
  <c r="U109" i="4"/>
  <c r="V109" i="4" s="1"/>
  <c r="S109" i="4"/>
  <c r="R109" i="4"/>
  <c r="O109" i="4"/>
  <c r="P109" i="4" s="1"/>
  <c r="L109" i="4"/>
  <c r="M109" i="4" s="1"/>
  <c r="I109" i="4"/>
  <c r="J109" i="4" s="1"/>
  <c r="W109" i="4" s="1"/>
  <c r="G109" i="4"/>
  <c r="V108" i="4"/>
  <c r="S108" i="4"/>
  <c r="P108" i="4"/>
  <c r="M108" i="4"/>
  <c r="J108" i="4"/>
  <c r="W108" i="4" s="1"/>
  <c r="V107" i="4"/>
  <c r="S107" i="4"/>
  <c r="P107" i="4"/>
  <c r="M107" i="4"/>
  <c r="J107" i="4"/>
  <c r="G107" i="4"/>
  <c r="W107" i="4" s="1"/>
  <c r="AF106" i="4"/>
  <c r="V106" i="4"/>
  <c r="U106" i="4"/>
  <c r="R106" i="4"/>
  <c r="S106" i="4" s="1"/>
  <c r="P106" i="4"/>
  <c r="O106" i="4"/>
  <c r="M106" i="4"/>
  <c r="L106" i="4"/>
  <c r="J106" i="4"/>
  <c r="I106" i="4"/>
  <c r="G106" i="4"/>
  <c r="AF105" i="4"/>
  <c r="W105" i="4" s="1"/>
  <c r="X105" i="4" s="1"/>
  <c r="V105" i="4"/>
  <c r="S105" i="4"/>
  <c r="P105" i="4"/>
  <c r="M105" i="4"/>
  <c r="J105" i="4"/>
  <c r="G105" i="4"/>
  <c r="AF104" i="4"/>
  <c r="W104" i="4" s="1"/>
  <c r="X104" i="4" s="1"/>
  <c r="V104" i="4"/>
  <c r="S104" i="4"/>
  <c r="P104" i="4"/>
  <c r="M104" i="4"/>
  <c r="J104" i="4"/>
  <c r="G104" i="4"/>
  <c r="V103" i="4"/>
  <c r="S103" i="4"/>
  <c r="P103" i="4"/>
  <c r="M103" i="4"/>
  <c r="J103" i="4"/>
  <c r="G103" i="4"/>
  <c r="W103" i="4" s="1"/>
  <c r="AF102" i="4"/>
  <c r="U102" i="4"/>
  <c r="V102" i="4" s="1"/>
  <c r="S102" i="4"/>
  <c r="R102" i="4"/>
  <c r="O102" i="4"/>
  <c r="P102" i="4" s="1"/>
  <c r="M102" i="4"/>
  <c r="W102" i="4" s="1"/>
  <c r="L102" i="4"/>
  <c r="J102" i="4"/>
  <c r="G102" i="4"/>
  <c r="V101" i="4"/>
  <c r="P101" i="4"/>
  <c r="M101" i="4"/>
  <c r="J101" i="4"/>
  <c r="G101" i="4"/>
  <c r="AF100" i="4"/>
  <c r="V100" i="4"/>
  <c r="U100" i="4"/>
  <c r="R100" i="4"/>
  <c r="S100" i="4" s="1"/>
  <c r="P100" i="4"/>
  <c r="O100" i="4"/>
  <c r="M100" i="4"/>
  <c r="L100" i="4"/>
  <c r="J100" i="4"/>
  <c r="G100" i="4"/>
  <c r="AF99" i="4"/>
  <c r="W99" i="4"/>
  <c r="X99" i="4" s="1"/>
  <c r="V99" i="4"/>
  <c r="S99" i="4"/>
  <c r="P99" i="4"/>
  <c r="M99" i="4"/>
  <c r="J99" i="4"/>
  <c r="G99" i="4"/>
  <c r="V98" i="4"/>
  <c r="S98" i="4"/>
  <c r="P98" i="4"/>
  <c r="O98" i="4"/>
  <c r="M98" i="4"/>
  <c r="L98" i="4"/>
  <c r="J98" i="4"/>
  <c r="G98" i="4"/>
  <c r="W98" i="4" s="1"/>
  <c r="AF97" i="4"/>
  <c r="AE97" i="4"/>
  <c r="AD97" i="4"/>
  <c r="AC97" i="4"/>
  <c r="AB97" i="4"/>
  <c r="AA97" i="4"/>
  <c r="Z97" i="4"/>
  <c r="V97" i="4"/>
  <c r="S97" i="4"/>
  <c r="P97" i="4"/>
  <c r="M97" i="4"/>
  <c r="I97" i="4"/>
  <c r="J97" i="4" s="1"/>
  <c r="F97" i="4"/>
  <c r="G97" i="4" s="1"/>
  <c r="W97" i="4" s="1"/>
  <c r="AF96" i="4"/>
  <c r="W96" i="4" s="1"/>
  <c r="X96" i="4" s="1"/>
  <c r="V96" i="4"/>
  <c r="S96" i="4"/>
  <c r="P96" i="4"/>
  <c r="M96" i="4"/>
  <c r="J96" i="4"/>
  <c r="G96" i="4"/>
  <c r="AF95" i="4"/>
  <c r="V95" i="4"/>
  <c r="S95" i="4"/>
  <c r="P95" i="4"/>
  <c r="M95" i="4"/>
  <c r="J95" i="4"/>
  <c r="G95" i="4"/>
  <c r="AF94" i="4"/>
  <c r="V94" i="4"/>
  <c r="S94" i="4"/>
  <c r="P94" i="4"/>
  <c r="M94" i="4"/>
  <c r="J94" i="4"/>
  <c r="G94" i="4"/>
  <c r="W94" i="4" s="1"/>
  <c r="AF93" i="4"/>
  <c r="V93" i="4"/>
  <c r="S93" i="4"/>
  <c r="P93" i="4"/>
  <c r="M93" i="4"/>
  <c r="J93" i="4"/>
  <c r="G93" i="4"/>
  <c r="S92" i="4"/>
  <c r="P92" i="4"/>
  <c r="M92" i="4"/>
  <c r="L92" i="4"/>
  <c r="I92" i="4"/>
  <c r="J92" i="4" s="1"/>
  <c r="W92" i="4" s="1"/>
  <c r="AF91" i="4"/>
  <c r="V91" i="4"/>
  <c r="S91" i="4"/>
  <c r="P91" i="4"/>
  <c r="M91" i="4"/>
  <c r="L91" i="4"/>
  <c r="I91" i="4"/>
  <c r="J91" i="4" s="1"/>
  <c r="G91" i="4"/>
  <c r="W91" i="4" s="1"/>
  <c r="AF90" i="4"/>
  <c r="S90" i="4"/>
  <c r="R90" i="4"/>
  <c r="P90" i="4"/>
  <c r="M90" i="4"/>
  <c r="J90" i="4"/>
  <c r="G90" i="4"/>
  <c r="AF89" i="4"/>
  <c r="S89" i="4"/>
  <c r="P89" i="4"/>
  <c r="M89" i="4"/>
  <c r="L89" i="4"/>
  <c r="I89" i="4"/>
  <c r="J89" i="4" s="1"/>
  <c r="G89" i="4"/>
  <c r="W89" i="4" s="1"/>
  <c r="V88" i="4"/>
  <c r="S88" i="4"/>
  <c r="P88" i="4"/>
  <c r="M88" i="4"/>
  <c r="L88" i="4"/>
  <c r="I88" i="4"/>
  <c r="J88" i="4" s="1"/>
  <c r="G88" i="4"/>
  <c r="AF87" i="4"/>
  <c r="W87" i="4" s="1"/>
  <c r="X87" i="4" s="1"/>
  <c r="V87" i="4"/>
  <c r="S87" i="4"/>
  <c r="P87" i="4"/>
  <c r="M87" i="4"/>
  <c r="J87" i="4"/>
  <c r="G87" i="4"/>
  <c r="U86" i="4"/>
  <c r="V86" i="4" s="1"/>
  <c r="S86" i="4"/>
  <c r="R86" i="4"/>
  <c r="P86" i="4"/>
  <c r="O86" i="4"/>
  <c r="M86" i="4"/>
  <c r="L86" i="4"/>
  <c r="I86" i="4"/>
  <c r="J86" i="4" s="1"/>
  <c r="G86" i="4"/>
  <c r="V85" i="4"/>
  <c r="U85" i="4"/>
  <c r="S85" i="4"/>
  <c r="O85" i="4"/>
  <c r="P85" i="4" s="1"/>
  <c r="M85" i="4"/>
  <c r="J85" i="4"/>
  <c r="I85" i="4"/>
  <c r="G85" i="4"/>
  <c r="W84" i="4"/>
  <c r="P84" i="4"/>
  <c r="M84" i="4"/>
  <c r="J84" i="4"/>
  <c r="P83" i="4"/>
  <c r="W83" i="4" s="1"/>
  <c r="M83" i="4"/>
  <c r="J83" i="4"/>
  <c r="G83" i="4"/>
  <c r="W82" i="4"/>
  <c r="P82" i="4"/>
  <c r="M82" i="4"/>
  <c r="AF81" i="4"/>
  <c r="V81" i="4"/>
  <c r="U81" i="4"/>
  <c r="S81" i="4"/>
  <c r="R81" i="4"/>
  <c r="O81" i="4"/>
  <c r="P81" i="4" s="1"/>
  <c r="M81" i="4"/>
  <c r="L81" i="4"/>
  <c r="J81" i="4"/>
  <c r="I81" i="4"/>
  <c r="G81" i="4"/>
  <c r="L80" i="4"/>
  <c r="M80" i="4" s="1"/>
  <c r="J80" i="4"/>
  <c r="W80" i="4" s="1"/>
  <c r="I80" i="4"/>
  <c r="M79" i="4"/>
  <c r="L79" i="4"/>
  <c r="I79" i="4"/>
  <c r="J79" i="4" s="1"/>
  <c r="W79" i="4" s="1"/>
  <c r="AF78" i="4"/>
  <c r="V78" i="4"/>
  <c r="S78" i="4"/>
  <c r="R78" i="4"/>
  <c r="P78" i="4"/>
  <c r="M78" i="4"/>
  <c r="J78" i="4"/>
  <c r="W78" i="4" s="1"/>
  <c r="G78" i="4"/>
  <c r="AF77" i="4"/>
  <c r="M77" i="4"/>
  <c r="L77" i="4"/>
  <c r="I77" i="4"/>
  <c r="J77" i="4" s="1"/>
  <c r="W77" i="4" s="1"/>
  <c r="AF76" i="4"/>
  <c r="L76" i="4"/>
  <c r="M76" i="4" s="1"/>
  <c r="W76" i="4" s="1"/>
  <c r="J76" i="4"/>
  <c r="I76" i="4"/>
  <c r="AF75" i="4"/>
  <c r="W75" i="4"/>
  <c r="X75" i="4" s="1"/>
  <c r="V75" i="4"/>
  <c r="S75" i="4"/>
  <c r="P75" i="4"/>
  <c r="M75" i="4"/>
  <c r="J75" i="4"/>
  <c r="G75" i="4"/>
  <c r="AF74" i="4"/>
  <c r="W74" i="4" s="1"/>
  <c r="X74" i="4" s="1"/>
  <c r="V74" i="4"/>
  <c r="S74" i="4"/>
  <c r="P74" i="4"/>
  <c r="M74" i="4"/>
  <c r="J74" i="4"/>
  <c r="G74" i="4"/>
  <c r="W73" i="4"/>
  <c r="V73" i="4"/>
  <c r="S73" i="4"/>
  <c r="P73" i="4"/>
  <c r="M73" i="4"/>
  <c r="J73" i="4"/>
  <c r="G73" i="4"/>
  <c r="U72" i="4"/>
  <c r="V72" i="4" s="1"/>
  <c r="R72" i="4"/>
  <c r="S72" i="4" s="1"/>
  <c r="P72" i="4"/>
  <c r="O72" i="4"/>
  <c r="L72" i="4"/>
  <c r="M72" i="4" s="1"/>
  <c r="J72" i="4"/>
  <c r="G72" i="4"/>
  <c r="V71" i="4"/>
  <c r="S71" i="4"/>
  <c r="P71" i="4"/>
  <c r="M71" i="4"/>
  <c r="J71" i="4"/>
  <c r="G71" i="4"/>
  <c r="W71" i="4" s="1"/>
  <c r="W70" i="4"/>
  <c r="J70" i="4"/>
  <c r="W69" i="4"/>
  <c r="J69" i="4"/>
  <c r="G69" i="4"/>
  <c r="W68" i="4"/>
  <c r="AF67" i="4"/>
  <c r="W67" i="4"/>
  <c r="V67" i="4"/>
  <c r="S67" i="4"/>
  <c r="P67" i="4"/>
  <c r="M67" i="4"/>
  <c r="J67" i="4"/>
  <c r="G67" i="4"/>
  <c r="AF66" i="4"/>
  <c r="W66" i="4" s="1"/>
  <c r="X66" i="4" s="1"/>
  <c r="V66" i="4"/>
  <c r="S66" i="4"/>
  <c r="P66" i="4"/>
  <c r="M66" i="4"/>
  <c r="J66" i="4"/>
  <c r="G66" i="4"/>
  <c r="AF65" i="4"/>
  <c r="W65" i="4" s="1"/>
  <c r="X65" i="4" s="1"/>
  <c r="V65" i="4"/>
  <c r="S65" i="4"/>
  <c r="P65" i="4"/>
  <c r="M65" i="4"/>
  <c r="J65" i="4"/>
  <c r="G65" i="4"/>
  <c r="V64" i="4"/>
  <c r="P64" i="4"/>
  <c r="M64" i="4"/>
  <c r="J64" i="4"/>
  <c r="G64" i="4"/>
  <c r="W63" i="4"/>
  <c r="J62" i="4"/>
  <c r="W62" i="4" s="1"/>
  <c r="J61" i="4"/>
  <c r="G61" i="4"/>
  <c r="W61" i="4" s="1"/>
  <c r="W60" i="4"/>
  <c r="AF59" i="4"/>
  <c r="V59" i="4"/>
  <c r="W59" i="4" s="1"/>
  <c r="U59" i="4"/>
  <c r="R59" i="4"/>
  <c r="S59" i="4" s="1"/>
  <c r="P59" i="4"/>
  <c r="O59" i="4"/>
  <c r="L59" i="4"/>
  <c r="M59" i="4" s="1"/>
  <c r="J59" i="4"/>
  <c r="I59" i="4"/>
  <c r="G59" i="4"/>
  <c r="AF58" i="4"/>
  <c r="W58" i="4" s="1"/>
  <c r="X58" i="4"/>
  <c r="V58" i="4"/>
  <c r="S58" i="4"/>
  <c r="P58" i="4"/>
  <c r="M58" i="4"/>
  <c r="J58" i="4"/>
  <c r="G58" i="4"/>
  <c r="V57" i="4"/>
  <c r="R57" i="4"/>
  <c r="S57" i="4" s="1"/>
  <c r="P57" i="4"/>
  <c r="O57" i="4"/>
  <c r="L57" i="4"/>
  <c r="M57" i="4" s="1"/>
  <c r="J57" i="4"/>
  <c r="W57" i="4" s="1"/>
  <c r="G57" i="4"/>
  <c r="R56" i="4"/>
  <c r="S56" i="4" s="1"/>
  <c r="O56" i="4"/>
  <c r="P56" i="4" s="1"/>
  <c r="M56" i="4"/>
  <c r="L56" i="4"/>
  <c r="J56" i="4"/>
  <c r="V55" i="4"/>
  <c r="S55" i="4"/>
  <c r="R55" i="4"/>
  <c r="O55" i="4"/>
  <c r="P55" i="4" s="1"/>
  <c r="M55" i="4"/>
  <c r="L55" i="4"/>
  <c r="J55" i="4"/>
  <c r="G55" i="4"/>
  <c r="AF54" i="4"/>
  <c r="W54" i="4"/>
  <c r="V54" i="4"/>
  <c r="R54" i="4"/>
  <c r="S54" i="4" s="1"/>
  <c r="P54" i="4"/>
  <c r="O54" i="4"/>
  <c r="L54" i="4"/>
  <c r="M54" i="4" s="1"/>
  <c r="J54" i="4"/>
  <c r="G54" i="4"/>
  <c r="AF53" i="4"/>
  <c r="W53" i="4" s="1"/>
  <c r="X53" i="4" s="1"/>
  <c r="V53" i="4"/>
  <c r="S53" i="4"/>
  <c r="P53" i="4"/>
  <c r="M53" i="4"/>
  <c r="J53" i="4"/>
  <c r="G53" i="4"/>
  <c r="V52" i="4"/>
  <c r="S52" i="4"/>
  <c r="P52" i="4"/>
  <c r="M52" i="4"/>
  <c r="J52" i="4"/>
  <c r="G52" i="4"/>
  <c r="V51" i="4"/>
  <c r="S51" i="4"/>
  <c r="P51" i="4"/>
  <c r="M51" i="4"/>
  <c r="J51" i="4"/>
  <c r="G51" i="4"/>
  <c r="V50" i="4"/>
  <c r="S50" i="4"/>
  <c r="P50" i="4"/>
  <c r="M50" i="4"/>
  <c r="J50" i="4"/>
  <c r="G50" i="4"/>
  <c r="U49" i="4"/>
  <c r="V49" i="4" s="1"/>
  <c r="S49" i="4"/>
  <c r="R49" i="4"/>
  <c r="O49" i="4"/>
  <c r="P49" i="4" s="1"/>
  <c r="L49" i="4"/>
  <c r="M49" i="4" s="1"/>
  <c r="I49" i="4"/>
  <c r="J49" i="4" s="1"/>
  <c r="G49" i="4"/>
  <c r="V48" i="4"/>
  <c r="S48" i="4"/>
  <c r="P48" i="4"/>
  <c r="M48" i="4"/>
  <c r="W48" i="4" s="1"/>
  <c r="J48" i="4"/>
  <c r="G48" i="4"/>
  <c r="V47" i="4"/>
  <c r="S47" i="4"/>
  <c r="P47" i="4"/>
  <c r="M47" i="4"/>
  <c r="J47" i="4"/>
  <c r="W47" i="4" s="1"/>
  <c r="G47" i="4"/>
  <c r="V46" i="4"/>
  <c r="S46" i="4"/>
  <c r="P46" i="4"/>
  <c r="M46" i="4"/>
  <c r="J46" i="4"/>
  <c r="G46" i="4"/>
  <c r="W46" i="4" s="1"/>
  <c r="V45" i="4"/>
  <c r="S45" i="4"/>
  <c r="P45" i="4"/>
  <c r="M45" i="4"/>
  <c r="J45" i="4"/>
  <c r="G45" i="4"/>
  <c r="AF44" i="4"/>
  <c r="W44" i="4" s="1"/>
  <c r="X44" i="4" s="1"/>
  <c r="V44" i="4"/>
  <c r="S44" i="4"/>
  <c r="P44" i="4"/>
  <c r="M44" i="4"/>
  <c r="J44" i="4"/>
  <c r="G44" i="4"/>
  <c r="V43" i="4"/>
  <c r="S43" i="4"/>
  <c r="R43" i="4"/>
  <c r="O43" i="4"/>
  <c r="P43" i="4" s="1"/>
  <c r="L43" i="4"/>
  <c r="M43" i="4" s="1"/>
  <c r="J43" i="4"/>
  <c r="G43" i="4"/>
  <c r="V42" i="4"/>
  <c r="R42" i="4"/>
  <c r="S42" i="4" s="1"/>
  <c r="O42" i="4"/>
  <c r="P42" i="4" s="1"/>
  <c r="L42" i="4"/>
  <c r="M42" i="4" s="1"/>
  <c r="J42" i="4"/>
  <c r="G42" i="4"/>
  <c r="W42" i="4" s="1"/>
  <c r="V41" i="4"/>
  <c r="S41" i="4"/>
  <c r="P41" i="4"/>
  <c r="M41" i="4"/>
  <c r="J41" i="4"/>
  <c r="G41" i="4"/>
  <c r="V40" i="4"/>
  <c r="R40" i="4"/>
  <c r="S40" i="4" s="1"/>
  <c r="O40" i="4"/>
  <c r="P40" i="4" s="1"/>
  <c r="L40" i="4"/>
  <c r="M40" i="4" s="1"/>
  <c r="J40" i="4"/>
  <c r="G40" i="4"/>
  <c r="V39" i="4"/>
  <c r="S39" i="4"/>
  <c r="R39" i="4"/>
  <c r="O39" i="4"/>
  <c r="P39" i="4" s="1"/>
  <c r="M39" i="4"/>
  <c r="L39" i="4"/>
  <c r="J39" i="4"/>
  <c r="G39" i="4"/>
  <c r="W38" i="4"/>
  <c r="V38" i="4"/>
  <c r="S38" i="4"/>
  <c r="P38" i="4"/>
  <c r="O38" i="4"/>
  <c r="M38" i="4"/>
  <c r="I38" i="4"/>
  <c r="J38" i="4" s="1"/>
  <c r="G38" i="4"/>
  <c r="V37" i="4"/>
  <c r="S37" i="4"/>
  <c r="P37" i="4"/>
  <c r="M37" i="4"/>
  <c r="J37" i="4"/>
  <c r="G37" i="4"/>
  <c r="AF36" i="4"/>
  <c r="V36" i="4"/>
  <c r="S36" i="4"/>
  <c r="P36" i="4"/>
  <c r="M36" i="4"/>
  <c r="J36" i="4"/>
  <c r="G36" i="4"/>
  <c r="AF35" i="4"/>
  <c r="W35" i="4" s="1"/>
  <c r="X35" i="4" s="1"/>
  <c r="V35" i="4"/>
  <c r="S35" i="4"/>
  <c r="P35" i="4"/>
  <c r="M35" i="4"/>
  <c r="J35" i="4"/>
  <c r="G35" i="4"/>
  <c r="AF34" i="4"/>
  <c r="W34" i="4" s="1"/>
  <c r="X34" i="4" s="1"/>
  <c r="V34" i="4"/>
  <c r="S34" i="4"/>
  <c r="P34" i="4"/>
  <c r="M34" i="4"/>
  <c r="J34" i="4"/>
  <c r="G34" i="4"/>
  <c r="AF33" i="4"/>
  <c r="W33" i="4" s="1"/>
  <c r="X33" i="4" s="1"/>
  <c r="V33" i="4"/>
  <c r="S33" i="4"/>
  <c r="P33" i="4"/>
  <c r="M33" i="4"/>
  <c r="J33" i="4"/>
  <c r="G33" i="4"/>
  <c r="W32" i="4"/>
  <c r="J32" i="4"/>
  <c r="AF31" i="4"/>
  <c r="U31" i="4"/>
  <c r="V31" i="4" s="1"/>
  <c r="R31" i="4"/>
  <c r="S31" i="4" s="1"/>
  <c r="O31" i="4"/>
  <c r="P31" i="4" s="1"/>
  <c r="M31" i="4"/>
  <c r="L31" i="4"/>
  <c r="I31" i="4"/>
  <c r="J31" i="4" s="1"/>
  <c r="F31" i="4"/>
  <c r="G31" i="4" s="1"/>
  <c r="W31" i="4" s="1"/>
  <c r="X31" i="4" s="1"/>
  <c r="AF30" i="4"/>
  <c r="W30" i="4"/>
  <c r="X30" i="4" s="1"/>
  <c r="V30" i="4"/>
  <c r="S30" i="4"/>
  <c r="P30" i="4"/>
  <c r="M30" i="4"/>
  <c r="J30" i="4"/>
  <c r="G30" i="4"/>
  <c r="V29" i="4"/>
  <c r="S29" i="4"/>
  <c r="P29" i="4"/>
  <c r="M29" i="4"/>
  <c r="J29" i="4"/>
  <c r="AF28" i="4"/>
  <c r="V28" i="4"/>
  <c r="R28" i="4"/>
  <c r="S28" i="4" s="1"/>
  <c r="P28" i="4"/>
  <c r="O28" i="4"/>
  <c r="L28" i="4"/>
  <c r="M28" i="4" s="1"/>
  <c r="I28" i="4"/>
  <c r="J28" i="4" s="1"/>
  <c r="W28" i="4" s="1"/>
  <c r="G28" i="4"/>
  <c r="AF27" i="4"/>
  <c r="W27" i="4" s="1"/>
  <c r="X27" i="4" s="1"/>
  <c r="V27" i="4"/>
  <c r="S27" i="4"/>
  <c r="P27" i="4"/>
  <c r="M27" i="4"/>
  <c r="J27" i="4"/>
  <c r="G27" i="4"/>
  <c r="AF26" i="4"/>
  <c r="V26" i="4"/>
  <c r="S26" i="4"/>
  <c r="P26" i="4"/>
  <c r="M26" i="4"/>
  <c r="J26" i="4"/>
  <c r="W26" i="4" s="1"/>
  <c r="G26" i="4"/>
  <c r="AF25" i="4"/>
  <c r="V25" i="4"/>
  <c r="S25" i="4"/>
  <c r="P25" i="4"/>
  <c r="M25" i="4"/>
  <c r="J25" i="4"/>
  <c r="G25" i="4"/>
  <c r="AF24" i="4"/>
  <c r="W24" i="4" s="1"/>
  <c r="X24" i="4" s="1"/>
  <c r="V24" i="4"/>
  <c r="S24" i="4"/>
  <c r="P24" i="4"/>
  <c r="M24" i="4"/>
  <c r="J24" i="4"/>
  <c r="G24" i="4"/>
  <c r="AF23" i="4"/>
  <c r="W23" i="4" s="1"/>
  <c r="X23" i="4" s="1"/>
  <c r="V23" i="4"/>
  <c r="S23" i="4"/>
  <c r="P23" i="4"/>
  <c r="M23" i="4"/>
  <c r="J23" i="4"/>
  <c r="G23" i="4"/>
  <c r="AF22" i="4"/>
  <c r="V22" i="4"/>
  <c r="S22" i="4"/>
  <c r="P22" i="4"/>
  <c r="M22" i="4"/>
  <c r="J22" i="4"/>
  <c r="G22" i="4"/>
  <c r="W22" i="4" s="1"/>
  <c r="AF21" i="4"/>
  <c r="V21" i="4"/>
  <c r="S21" i="4"/>
  <c r="P21" i="4"/>
  <c r="M21" i="4"/>
  <c r="J21" i="4"/>
  <c r="G21" i="4"/>
  <c r="W21" i="4" s="1"/>
  <c r="AF20" i="4"/>
  <c r="W20" i="4" s="1"/>
  <c r="X20" i="4" s="1"/>
  <c r="V20" i="4"/>
  <c r="S20" i="4"/>
  <c r="P20" i="4"/>
  <c r="M20" i="4"/>
  <c r="J20" i="4"/>
  <c r="G20" i="4"/>
  <c r="V19" i="4"/>
  <c r="S19" i="4"/>
  <c r="P19" i="4"/>
  <c r="M19" i="4"/>
  <c r="J19" i="4"/>
  <c r="G19" i="4"/>
  <c r="V18" i="4"/>
  <c r="S18" i="4"/>
  <c r="W18" i="4" s="1"/>
  <c r="P18" i="4"/>
  <c r="M18" i="4"/>
  <c r="J18" i="4"/>
  <c r="G18" i="4"/>
  <c r="V17" i="4"/>
  <c r="S17" i="4"/>
  <c r="P17" i="4"/>
  <c r="N17" i="4"/>
  <c r="M17" i="4"/>
  <c r="J17" i="4"/>
  <c r="F17" i="4"/>
  <c r="G17" i="4" s="1"/>
  <c r="W17" i="4" s="1"/>
  <c r="AF16" i="4"/>
  <c r="V16" i="4"/>
  <c r="S16" i="4"/>
  <c r="W16" i="4" s="1"/>
  <c r="P16" i="4"/>
  <c r="M16" i="4"/>
  <c r="J16" i="4"/>
  <c r="G16" i="4"/>
  <c r="AF15" i="4"/>
  <c r="W15" i="4"/>
  <c r="X15" i="4" s="1"/>
  <c r="V15" i="4"/>
  <c r="S15" i="4"/>
  <c r="P15" i="4"/>
  <c r="M15" i="4"/>
  <c r="J15" i="4"/>
  <c r="G15" i="4"/>
  <c r="AF14" i="4"/>
  <c r="W14" i="4" s="1"/>
  <c r="X14" i="4" s="1"/>
  <c r="V14" i="4"/>
  <c r="S14" i="4"/>
  <c r="P14" i="4"/>
  <c r="M14" i="4"/>
  <c r="J14" i="4"/>
  <c r="G14" i="4"/>
  <c r="AF13" i="4"/>
  <c r="W13" i="4" s="1"/>
  <c r="X13" i="4"/>
  <c r="V13" i="4"/>
  <c r="S13" i="4"/>
  <c r="P13" i="4"/>
  <c r="M13" i="4"/>
  <c r="J13" i="4"/>
  <c r="G13" i="4"/>
  <c r="W12" i="4"/>
  <c r="V12" i="4"/>
  <c r="S12" i="4"/>
  <c r="P12" i="4"/>
  <c r="M12" i="4"/>
  <c r="J12" i="4"/>
  <c r="G12" i="4"/>
  <c r="AF11" i="4"/>
  <c r="V11" i="4"/>
  <c r="S11" i="4"/>
  <c r="P11" i="4"/>
  <c r="M11" i="4"/>
  <c r="J11" i="4"/>
  <c r="G11" i="4"/>
  <c r="W11" i="4" s="1"/>
  <c r="AF10" i="4"/>
  <c r="W10" i="4" s="1"/>
  <c r="X10" i="4" s="1"/>
  <c r="V10" i="4"/>
  <c r="S10" i="4"/>
  <c r="P10" i="4"/>
  <c r="M10" i="4"/>
  <c r="J10" i="4"/>
  <c r="G10" i="4"/>
  <c r="V9" i="4"/>
  <c r="S9" i="4"/>
  <c r="P9" i="4"/>
  <c r="M9" i="4"/>
  <c r="J9" i="4"/>
  <c r="W9" i="4" s="1"/>
  <c r="AF8" i="4"/>
  <c r="V8" i="4"/>
  <c r="S8" i="4"/>
  <c r="N8" i="4"/>
  <c r="P8" i="4" s="1"/>
  <c r="M8" i="4"/>
  <c r="J8" i="4"/>
  <c r="H8" i="4"/>
  <c r="G8" i="4"/>
  <c r="W8" i="4" s="1"/>
  <c r="X8" i="4" s="1"/>
  <c r="AF7" i="4"/>
  <c r="W7" i="4" s="1"/>
  <c r="X7" i="4"/>
  <c r="V7" i="4"/>
  <c r="S7" i="4"/>
  <c r="P7" i="4"/>
  <c r="M7" i="4"/>
  <c r="J7" i="4"/>
  <c r="G7" i="4"/>
  <c r="AF6" i="4"/>
  <c r="V6" i="4"/>
  <c r="S6" i="4"/>
  <c r="P6" i="4"/>
  <c r="M6" i="4"/>
  <c r="J6" i="4"/>
  <c r="G6" i="4"/>
  <c r="AF5" i="4"/>
  <c r="V5" i="4"/>
  <c r="S5" i="4"/>
  <c r="P5" i="4"/>
  <c r="M5" i="4"/>
  <c r="J5" i="4"/>
  <c r="G5" i="4"/>
  <c r="AF4" i="4"/>
  <c r="W4" i="4" s="1"/>
  <c r="X4" i="4" s="1"/>
  <c r="V4" i="4"/>
  <c r="S4" i="4"/>
  <c r="P4" i="4"/>
  <c r="M4" i="4"/>
  <c r="J4" i="4"/>
  <c r="G4" i="4"/>
  <c r="AF3" i="4"/>
  <c r="V3" i="4"/>
  <c r="S3" i="4"/>
  <c r="P3" i="4"/>
  <c r="M3" i="4"/>
  <c r="J3" i="4"/>
  <c r="G3" i="4"/>
  <c r="W3" i="4" l="1"/>
  <c r="W6" i="4"/>
  <c r="W90" i="4"/>
  <c r="X109" i="4"/>
  <c r="X102" i="4"/>
  <c r="AF85" i="4"/>
  <c r="AF72" i="4"/>
  <c r="X67" i="4"/>
  <c r="X59" i="4"/>
  <c r="X21" i="4"/>
  <c r="X11" i="4"/>
  <c r="X6" i="4"/>
  <c r="X3" i="4"/>
  <c r="W145" i="4"/>
  <c r="X145" i="4" s="1"/>
  <c r="W52" i="4"/>
  <c r="C173" i="4" s="1"/>
  <c r="D173" i="4" s="1"/>
  <c r="W64" i="4"/>
  <c r="C171" i="4"/>
  <c r="D171" i="4" s="1"/>
  <c r="X28" i="4"/>
  <c r="X76" i="4"/>
  <c r="X26" i="4"/>
  <c r="W49" i="4"/>
  <c r="X97" i="4"/>
  <c r="W40" i="4"/>
  <c r="W19" i="4"/>
  <c r="X16" i="4" s="1"/>
  <c r="W25" i="4"/>
  <c r="X25" i="4" s="1"/>
  <c r="AF39" i="4"/>
  <c r="W95" i="4"/>
  <c r="X94" i="4" s="1"/>
  <c r="AF119" i="4"/>
  <c r="W120" i="4"/>
  <c r="W130" i="4"/>
  <c r="W133" i="4"/>
  <c r="X133" i="4" s="1"/>
  <c r="W138" i="4"/>
  <c r="X159" i="4"/>
  <c r="X156" i="4"/>
  <c r="W39" i="4"/>
  <c r="W119" i="4"/>
  <c r="AF45" i="4"/>
  <c r="W51" i="4"/>
  <c r="W56" i="4"/>
  <c r="AF88" i="4"/>
  <c r="W128" i="4"/>
  <c r="W139" i="4"/>
  <c r="X22" i="4"/>
  <c r="W55" i="4"/>
  <c r="X54" i="4" s="1"/>
  <c r="W127" i="4"/>
  <c r="W37" i="4"/>
  <c r="W5" i="4"/>
  <c r="X5" i="4" s="1"/>
  <c r="W45" i="4"/>
  <c r="C172" i="4" s="1"/>
  <c r="D172" i="4" s="1"/>
  <c r="W86" i="4"/>
  <c r="W88" i="4"/>
  <c r="W106" i="4"/>
  <c r="X106" i="4" s="1"/>
  <c r="W150" i="4"/>
  <c r="X149" i="4" s="1"/>
  <c r="W72" i="4"/>
  <c r="W41" i="4"/>
  <c r="W43" i="4"/>
  <c r="AF50" i="4"/>
  <c r="W81" i="4"/>
  <c r="X81" i="4" s="1"/>
  <c r="W85" i="4"/>
  <c r="W101" i="4"/>
  <c r="W131" i="4"/>
  <c r="W140" i="4"/>
  <c r="W29" i="4"/>
  <c r="W50" i="4"/>
  <c r="W100" i="4"/>
  <c r="W124" i="4"/>
  <c r="X122" i="4" s="1"/>
  <c r="X88" i="4" l="1"/>
  <c r="X85" i="4"/>
  <c r="X72" i="4"/>
  <c r="X39" i="4"/>
  <c r="X36" i="4"/>
  <c r="X50" i="4"/>
  <c r="W168" i="4"/>
  <c r="X64" i="4"/>
  <c r="C174" i="4"/>
  <c r="X100" i="4"/>
  <c r="X45" i="4"/>
  <c r="X138" i="4"/>
  <c r="X119" i="4"/>
  <c r="X127" i="4"/>
  <c r="X130" i="4"/>
  <c r="X168" i="4" l="1"/>
  <c r="D210" i="2"/>
  <c r="D25" i="2"/>
  <c r="D14" i="2"/>
  <c r="C190" i="3"/>
  <c r="C177" i="3"/>
  <c r="L349" i="3" l="1"/>
  <c r="L348" i="3"/>
  <c r="J349" i="3"/>
  <c r="J348" i="3"/>
  <c r="H349" i="3"/>
  <c r="H348" i="3"/>
  <c r="F349" i="3"/>
  <c r="F348" i="3"/>
  <c r="D349" i="3"/>
  <c r="D348" i="3"/>
  <c r="B349" i="3"/>
  <c r="B348" i="3"/>
  <c r="N347" i="3"/>
  <c r="L308" i="3"/>
  <c r="L309" i="3"/>
  <c r="J309" i="3"/>
  <c r="J308" i="3"/>
  <c r="H308" i="3"/>
  <c r="H309" i="3"/>
  <c r="F309" i="3"/>
  <c r="F308" i="3"/>
  <c r="D309" i="3"/>
  <c r="D308" i="3"/>
  <c r="B309" i="3"/>
  <c r="B308" i="3"/>
  <c r="N307" i="3"/>
  <c r="J306" i="3"/>
  <c r="H306" i="3"/>
  <c r="F306" i="3"/>
  <c r="D306" i="3"/>
  <c r="B242" i="3"/>
  <c r="D242" i="3"/>
  <c r="F242" i="3"/>
  <c r="H242" i="3"/>
  <c r="J242" i="3"/>
  <c r="L242" i="3"/>
  <c r="L241" i="3"/>
  <c r="J241" i="3"/>
  <c r="H241" i="3"/>
  <c r="F241" i="3"/>
  <c r="D241" i="3"/>
  <c r="B241" i="3"/>
  <c r="N240" i="3"/>
  <c r="J239" i="3"/>
  <c r="H239" i="3"/>
  <c r="F239" i="3"/>
  <c r="D239" i="3"/>
  <c r="N306" i="3" l="1"/>
  <c r="N349" i="3"/>
  <c r="N348" i="3"/>
  <c r="N346" i="3"/>
  <c r="N308" i="3"/>
  <c r="N309" i="3"/>
  <c r="N239" i="3"/>
  <c r="N242" i="3"/>
  <c r="N241" i="3"/>
  <c r="N350" i="3" l="1"/>
  <c r="N243" i="3"/>
  <c r="N310" i="3"/>
  <c r="C373" i="3" l="1"/>
  <c r="D373" i="3"/>
  <c r="E373" i="3"/>
  <c r="F373" i="3"/>
  <c r="G373" i="3"/>
  <c r="H373" i="3"/>
  <c r="B373" i="3"/>
  <c r="I369" i="3"/>
  <c r="I370" i="3"/>
  <c r="I371" i="3"/>
  <c r="I368" i="3"/>
  <c r="F140" i="3"/>
  <c r="G140" i="3"/>
  <c r="H140" i="3"/>
  <c r="I140" i="3"/>
  <c r="J140" i="3"/>
  <c r="K140" i="3"/>
  <c r="K141" i="3"/>
  <c r="J141" i="3"/>
  <c r="I141" i="3"/>
  <c r="H141" i="3"/>
  <c r="G141" i="3"/>
  <c r="F141" i="3"/>
  <c r="L51" i="3"/>
  <c r="L50" i="3"/>
  <c r="G52" i="3"/>
  <c r="H52" i="3"/>
  <c r="I52" i="3"/>
  <c r="J52" i="3"/>
  <c r="K52" i="3"/>
  <c r="F52" i="3"/>
  <c r="AN36" i="3"/>
  <c r="M292" i="1"/>
  <c r="M275" i="1"/>
  <c r="M266" i="1"/>
  <c r="M238" i="1"/>
  <c r="M239" i="1"/>
  <c r="M221" i="1"/>
  <c r="M222" i="1"/>
  <c r="M223" i="1"/>
  <c r="M224" i="1"/>
  <c r="M225" i="1"/>
  <c r="M210" i="1"/>
  <c r="M211" i="1"/>
  <c r="M197" i="1"/>
  <c r="M185" i="1"/>
  <c r="M177" i="1"/>
  <c r="M178" i="1"/>
  <c r="M151" i="1"/>
  <c r="M111" i="1"/>
  <c r="M81" i="1"/>
  <c r="M55" i="1"/>
  <c r="M56" i="1"/>
  <c r="M57" i="1"/>
  <c r="M43" i="1"/>
  <c r="M44" i="1"/>
  <c r="M45" i="1"/>
  <c r="M31" i="1"/>
  <c r="M32" i="1"/>
  <c r="M18" i="1"/>
  <c r="M8" i="1"/>
  <c r="M9" i="1"/>
  <c r="M10" i="1"/>
  <c r="G16" i="1"/>
  <c r="J143" i="3" l="1"/>
  <c r="F143" i="3"/>
  <c r="K143" i="3"/>
  <c r="I143" i="3"/>
  <c r="H143" i="3"/>
  <c r="G143" i="3"/>
  <c r="L141" i="3"/>
  <c r="B172" i="3" s="1"/>
  <c r="I373" i="3"/>
  <c r="L52" i="3"/>
  <c r="L140" i="3"/>
  <c r="L143" i="3" l="1"/>
  <c r="C180" i="3"/>
  <c r="M298" i="1" l="1"/>
  <c r="B319" i="1" s="1"/>
  <c r="F319" i="1" s="1"/>
  <c r="M299" i="1"/>
  <c r="M277" i="1"/>
  <c r="M278" i="1"/>
  <c r="M279" i="1"/>
  <c r="M280" i="1"/>
  <c r="M240" i="1"/>
  <c r="M126" i="1"/>
  <c r="M127" i="1"/>
  <c r="M82" i="1"/>
  <c r="M83" i="1"/>
  <c r="M69" i="1"/>
  <c r="M70" i="1"/>
  <c r="M71" i="1"/>
  <c r="M46" i="1"/>
  <c r="M47" i="1"/>
  <c r="M48" i="1"/>
  <c r="M49" i="1"/>
  <c r="M50" i="1"/>
  <c r="M33" i="1"/>
  <c r="M34" i="1"/>
  <c r="M35" i="1"/>
  <c r="M36" i="1"/>
  <c r="M21" i="1"/>
  <c r="M22" i="1"/>
  <c r="M23" i="1"/>
  <c r="M24" i="1"/>
  <c r="M267" i="1"/>
  <c r="M268" i="1"/>
  <c r="G337" i="1"/>
  <c r="G333" i="1"/>
  <c r="G334" i="1"/>
  <c r="G335" i="1"/>
  <c r="G332" i="1"/>
  <c r="C336" i="1"/>
  <c r="C338" i="1" s="1"/>
  <c r="D336" i="1"/>
  <c r="D338" i="1" s="1"/>
  <c r="E336" i="1"/>
  <c r="E338" i="1" s="1"/>
  <c r="F336" i="1"/>
  <c r="F338" i="1" s="1"/>
  <c r="B336" i="1"/>
  <c r="B338" i="1" s="1"/>
  <c r="BW113" i="3"/>
  <c r="AQ113" i="3"/>
  <c r="X113" i="3"/>
  <c r="BD113" i="3"/>
  <c r="AU78" i="3"/>
  <c r="AU77" i="3"/>
  <c r="AS78" i="3"/>
  <c r="AS77" i="3"/>
  <c r="AR78" i="3"/>
  <c r="AR77" i="3"/>
  <c r="AQ78" i="3"/>
  <c r="AQ77" i="3"/>
  <c r="AP78" i="3"/>
  <c r="AP77" i="3"/>
  <c r="AO78" i="3"/>
  <c r="AO77" i="3"/>
  <c r="AN78" i="3"/>
  <c r="AN77" i="3"/>
  <c r="AM78" i="3"/>
  <c r="AM77" i="3"/>
  <c r="AL78" i="3"/>
  <c r="AL77" i="3"/>
  <c r="AJ78" i="3"/>
  <c r="AJ77" i="3"/>
  <c r="AI78" i="3"/>
  <c r="AI77" i="3"/>
  <c r="AH78" i="3"/>
  <c r="AH77" i="3"/>
  <c r="AG78" i="3"/>
  <c r="AG77" i="3"/>
  <c r="AF78" i="3"/>
  <c r="AF77" i="3"/>
  <c r="AE78" i="3"/>
  <c r="AE77" i="3"/>
  <c r="AD78" i="3"/>
  <c r="AD77" i="3"/>
  <c r="AC78" i="3"/>
  <c r="AC77" i="3"/>
  <c r="AB78" i="3"/>
  <c r="AB77" i="3"/>
  <c r="Y78" i="3"/>
  <c r="Y77" i="3"/>
  <c r="X78" i="3"/>
  <c r="X77" i="3"/>
  <c r="W78" i="3"/>
  <c r="W77" i="3"/>
  <c r="V78" i="3"/>
  <c r="V77" i="3"/>
  <c r="U78" i="3"/>
  <c r="U77" i="3"/>
  <c r="T78" i="3"/>
  <c r="T77" i="3"/>
  <c r="S78" i="3"/>
  <c r="S77" i="3"/>
  <c r="Q78" i="3"/>
  <c r="Q77" i="3"/>
  <c r="P78" i="3"/>
  <c r="P77" i="3"/>
  <c r="O78" i="3"/>
  <c r="O77" i="3"/>
  <c r="N78" i="3"/>
  <c r="N77" i="3"/>
  <c r="M78" i="3"/>
  <c r="M77" i="3"/>
  <c r="L78" i="3"/>
  <c r="L77" i="3"/>
  <c r="F78" i="3"/>
  <c r="F77" i="3"/>
  <c r="F76" i="3"/>
  <c r="G76" i="3"/>
  <c r="H76" i="3"/>
  <c r="I76" i="3"/>
  <c r="J76" i="3"/>
  <c r="K76" i="3"/>
  <c r="L76" i="3"/>
  <c r="M76" i="3"/>
  <c r="N76" i="3"/>
  <c r="O76" i="3"/>
  <c r="P76" i="3"/>
  <c r="Q76" i="3"/>
  <c r="S76" i="3"/>
  <c r="T76" i="3"/>
  <c r="U76" i="3"/>
  <c r="V76" i="3"/>
  <c r="W76" i="3"/>
  <c r="X76" i="3"/>
  <c r="Y76" i="3"/>
  <c r="Z76" i="3"/>
  <c r="AA76" i="3"/>
  <c r="AB76" i="3"/>
  <c r="AC76" i="3"/>
  <c r="AD76" i="3"/>
  <c r="AE76" i="3"/>
  <c r="AF76" i="3"/>
  <c r="AG76" i="3"/>
  <c r="AH76" i="3"/>
  <c r="AI76" i="3"/>
  <c r="AJ76" i="3"/>
  <c r="AL76" i="3"/>
  <c r="AM76" i="3"/>
  <c r="AN76" i="3"/>
  <c r="AO76" i="3"/>
  <c r="AP76" i="3"/>
  <c r="AQ76" i="3"/>
  <c r="AR76" i="3"/>
  <c r="AS76" i="3"/>
  <c r="AT76" i="3"/>
  <c r="AU76" i="3"/>
  <c r="AV76" i="3"/>
  <c r="AW76" i="3"/>
  <c r="G77" i="3"/>
  <c r="H77" i="3"/>
  <c r="I77" i="3"/>
  <c r="J77" i="3"/>
  <c r="K77" i="3"/>
  <c r="Z77" i="3"/>
  <c r="AA77" i="3"/>
  <c r="AT77" i="3"/>
  <c r="AV77" i="3"/>
  <c r="AW77" i="3"/>
  <c r="G78" i="3"/>
  <c r="H78" i="3"/>
  <c r="I78" i="3"/>
  <c r="J78" i="3"/>
  <c r="K78" i="3"/>
  <c r="Z78" i="3"/>
  <c r="AA78" i="3"/>
  <c r="AT78" i="3"/>
  <c r="AV78" i="3"/>
  <c r="AW78" i="3"/>
  <c r="F84" i="3"/>
  <c r="L84" i="3"/>
  <c r="S84" i="3"/>
  <c r="Y84" i="3"/>
  <c r="AE84" i="3"/>
  <c r="AL84" i="3"/>
  <c r="AR84" i="3"/>
  <c r="F79" i="3"/>
  <c r="G79" i="3"/>
  <c r="H79" i="3"/>
  <c r="I79" i="3"/>
  <c r="J79" i="3"/>
  <c r="K79" i="3"/>
  <c r="L79" i="3"/>
  <c r="M79" i="3"/>
  <c r="N79" i="3"/>
  <c r="O79" i="3"/>
  <c r="P79" i="3"/>
  <c r="Q79" i="3"/>
  <c r="S79" i="3"/>
  <c r="T79" i="3"/>
  <c r="U79" i="3"/>
  <c r="V79" i="3"/>
  <c r="W79" i="3"/>
  <c r="X79" i="3"/>
  <c r="Y79" i="3"/>
  <c r="Z79" i="3"/>
  <c r="AA79" i="3"/>
  <c r="AB79" i="3"/>
  <c r="AC79" i="3"/>
  <c r="AD79" i="3"/>
  <c r="AE79" i="3"/>
  <c r="AF79" i="3"/>
  <c r="AG79" i="3"/>
  <c r="AH79" i="3"/>
  <c r="AI79" i="3"/>
  <c r="AJ79" i="3"/>
  <c r="AL79" i="3"/>
  <c r="AM79" i="3"/>
  <c r="AN79" i="3"/>
  <c r="AO79" i="3"/>
  <c r="AP79" i="3"/>
  <c r="AQ79" i="3"/>
  <c r="AR79" i="3"/>
  <c r="AS79" i="3"/>
  <c r="AT79" i="3"/>
  <c r="AU79" i="3"/>
  <c r="AV79" i="3"/>
  <c r="AW79" i="3"/>
  <c r="F80" i="3"/>
  <c r="G80" i="3"/>
  <c r="H80" i="3"/>
  <c r="I80" i="3"/>
  <c r="J80" i="3"/>
  <c r="K80" i="3"/>
  <c r="L80" i="3"/>
  <c r="M80" i="3"/>
  <c r="N80" i="3"/>
  <c r="O80" i="3"/>
  <c r="P80" i="3"/>
  <c r="Q80" i="3"/>
  <c r="S80" i="3"/>
  <c r="T80" i="3"/>
  <c r="U80" i="3"/>
  <c r="V80" i="3"/>
  <c r="W80" i="3"/>
  <c r="X80" i="3"/>
  <c r="Y80" i="3"/>
  <c r="Z80" i="3"/>
  <c r="AA80" i="3"/>
  <c r="AB80" i="3"/>
  <c r="AC80" i="3"/>
  <c r="AD80" i="3"/>
  <c r="AE80" i="3"/>
  <c r="AF80" i="3"/>
  <c r="AG80" i="3"/>
  <c r="AH80" i="3"/>
  <c r="AI80" i="3"/>
  <c r="AJ80" i="3"/>
  <c r="AL80" i="3"/>
  <c r="AM80" i="3"/>
  <c r="AN80" i="3"/>
  <c r="AO80" i="3"/>
  <c r="AP80" i="3"/>
  <c r="AQ80" i="3"/>
  <c r="AR80" i="3"/>
  <c r="AS80" i="3"/>
  <c r="AT80" i="3"/>
  <c r="AU80" i="3"/>
  <c r="AV80" i="3"/>
  <c r="AW80" i="3"/>
  <c r="F85" i="3"/>
  <c r="L85" i="3"/>
  <c r="S85" i="3"/>
  <c r="Y85" i="3"/>
  <c r="AE85" i="3"/>
  <c r="AL85" i="3"/>
  <c r="AR85" i="3"/>
  <c r="AW75" i="3"/>
  <c r="AV75" i="3"/>
  <c r="AU75" i="3"/>
  <c r="AT75" i="3"/>
  <c r="AS75" i="3"/>
  <c r="AR75" i="3"/>
  <c r="AQ75" i="3"/>
  <c r="AP75" i="3"/>
  <c r="AO75" i="3"/>
  <c r="AN75" i="3"/>
  <c r="AM75" i="3"/>
  <c r="AL75" i="3"/>
  <c r="AJ75" i="3"/>
  <c r="AI75" i="3"/>
  <c r="AH75" i="3"/>
  <c r="AG75" i="3"/>
  <c r="AF75" i="3"/>
  <c r="AE75" i="3"/>
  <c r="AD75" i="3"/>
  <c r="AC75" i="3"/>
  <c r="AB75" i="3"/>
  <c r="AA75" i="3"/>
  <c r="Z75" i="3"/>
  <c r="Y75" i="3"/>
  <c r="X75" i="3"/>
  <c r="W75" i="3"/>
  <c r="V75" i="3"/>
  <c r="U75" i="3"/>
  <c r="T75" i="3"/>
  <c r="S75" i="3"/>
  <c r="Q75" i="3"/>
  <c r="P75" i="3"/>
  <c r="O75" i="3"/>
  <c r="N75" i="3"/>
  <c r="M75" i="3"/>
  <c r="L75" i="3"/>
  <c r="K75" i="3"/>
  <c r="J75" i="3"/>
  <c r="I75" i="3"/>
  <c r="H75" i="3"/>
  <c r="G75" i="3"/>
  <c r="F75" i="3"/>
  <c r="F151" i="3"/>
  <c r="G151" i="3"/>
  <c r="H151" i="3"/>
  <c r="I151" i="3"/>
  <c r="J151" i="3"/>
  <c r="K151" i="3"/>
  <c r="F152" i="3"/>
  <c r="G152" i="3"/>
  <c r="H152" i="3"/>
  <c r="I152" i="3"/>
  <c r="J152" i="3"/>
  <c r="K152" i="3"/>
  <c r="F153" i="3"/>
  <c r="G153" i="3"/>
  <c r="H153" i="3"/>
  <c r="I153" i="3"/>
  <c r="J153" i="3"/>
  <c r="K153" i="3"/>
  <c r="F154" i="3"/>
  <c r="G154" i="3"/>
  <c r="H154" i="3"/>
  <c r="I154" i="3"/>
  <c r="J154" i="3"/>
  <c r="K154" i="3"/>
  <c r="F155" i="3"/>
  <c r="G155" i="3"/>
  <c r="H155" i="3"/>
  <c r="I155" i="3"/>
  <c r="J155" i="3"/>
  <c r="K155" i="3"/>
  <c r="K150" i="3"/>
  <c r="J150" i="3"/>
  <c r="I150" i="3"/>
  <c r="H150" i="3"/>
  <c r="G150" i="3"/>
  <c r="F150" i="3"/>
  <c r="AJ121" i="3"/>
  <c r="AJ120" i="3"/>
  <c r="AI121" i="3"/>
  <c r="AI120" i="3"/>
  <c r="AH121" i="3"/>
  <c r="AH120" i="3"/>
  <c r="AG121" i="3"/>
  <c r="AG120" i="3"/>
  <c r="AF121" i="3"/>
  <c r="AF120" i="3"/>
  <c r="AE121" i="3"/>
  <c r="AE120" i="3"/>
  <c r="AD121" i="3"/>
  <c r="AD120" i="3"/>
  <c r="AC121" i="3"/>
  <c r="AC120" i="3"/>
  <c r="AB121" i="3"/>
  <c r="AB120" i="3"/>
  <c r="AA121" i="3"/>
  <c r="AA120" i="3"/>
  <c r="Z121" i="3"/>
  <c r="Z120" i="3"/>
  <c r="Y121" i="3"/>
  <c r="Y120" i="3"/>
  <c r="Q121" i="3"/>
  <c r="Q120" i="3"/>
  <c r="P121" i="3"/>
  <c r="P120" i="3"/>
  <c r="O121" i="3"/>
  <c r="O120" i="3"/>
  <c r="N121" i="3"/>
  <c r="N120" i="3"/>
  <c r="M121" i="3"/>
  <c r="M120" i="3"/>
  <c r="L121" i="3"/>
  <c r="L120" i="3"/>
  <c r="K121" i="3"/>
  <c r="K120" i="3"/>
  <c r="J121" i="3"/>
  <c r="J120" i="3"/>
  <c r="I121" i="3"/>
  <c r="I120" i="3"/>
  <c r="H121" i="3"/>
  <c r="H120" i="3"/>
  <c r="G121" i="3"/>
  <c r="G120" i="3"/>
  <c r="F121" i="3"/>
  <c r="F120" i="3"/>
  <c r="F128" i="3"/>
  <c r="L128" i="3"/>
  <c r="R128" i="3"/>
  <c r="Y128" i="3"/>
  <c r="AE128" i="3"/>
  <c r="F119" i="3"/>
  <c r="G119" i="3"/>
  <c r="H119" i="3"/>
  <c r="I119" i="3"/>
  <c r="J119" i="3"/>
  <c r="K119" i="3"/>
  <c r="L119" i="3"/>
  <c r="M119" i="3"/>
  <c r="N119" i="3"/>
  <c r="O119" i="3"/>
  <c r="P119" i="3"/>
  <c r="Q119" i="3"/>
  <c r="R119" i="3"/>
  <c r="S119" i="3"/>
  <c r="T119" i="3"/>
  <c r="U119" i="3"/>
  <c r="V119" i="3"/>
  <c r="W119" i="3"/>
  <c r="Y119" i="3"/>
  <c r="Z119" i="3"/>
  <c r="AA119" i="3"/>
  <c r="AB119" i="3"/>
  <c r="AC119" i="3"/>
  <c r="AD119" i="3"/>
  <c r="AE119" i="3"/>
  <c r="AF119" i="3"/>
  <c r="AG119" i="3"/>
  <c r="AH119" i="3"/>
  <c r="AI119" i="3"/>
  <c r="AJ119" i="3"/>
  <c r="R120" i="3"/>
  <c r="S120" i="3"/>
  <c r="T120" i="3"/>
  <c r="U120" i="3"/>
  <c r="V120" i="3"/>
  <c r="W120" i="3"/>
  <c r="R121" i="3"/>
  <c r="S121" i="3"/>
  <c r="T121" i="3"/>
  <c r="U121" i="3"/>
  <c r="V121" i="3"/>
  <c r="W121" i="3"/>
  <c r="F122" i="3"/>
  <c r="G122" i="3"/>
  <c r="H122" i="3"/>
  <c r="I122" i="3"/>
  <c r="J122" i="3"/>
  <c r="K122" i="3"/>
  <c r="L122" i="3"/>
  <c r="M122" i="3"/>
  <c r="N122" i="3"/>
  <c r="O122" i="3"/>
  <c r="P122" i="3"/>
  <c r="Q122" i="3"/>
  <c r="R122" i="3"/>
  <c r="S122" i="3"/>
  <c r="T122" i="3"/>
  <c r="U122" i="3"/>
  <c r="V122" i="3"/>
  <c r="W122" i="3"/>
  <c r="Y122" i="3"/>
  <c r="Z122" i="3"/>
  <c r="AA122" i="3"/>
  <c r="AB122" i="3"/>
  <c r="AC122" i="3"/>
  <c r="AD122" i="3"/>
  <c r="AE122" i="3"/>
  <c r="AF122" i="3"/>
  <c r="AG122" i="3"/>
  <c r="AH122" i="3"/>
  <c r="AI122" i="3"/>
  <c r="AJ122" i="3"/>
  <c r="F123" i="3"/>
  <c r="G123" i="3"/>
  <c r="H123" i="3"/>
  <c r="I123" i="3"/>
  <c r="J123" i="3"/>
  <c r="K123" i="3"/>
  <c r="L123" i="3"/>
  <c r="M123" i="3"/>
  <c r="N123" i="3"/>
  <c r="O123" i="3"/>
  <c r="P123" i="3"/>
  <c r="Q123" i="3"/>
  <c r="R123" i="3"/>
  <c r="S123" i="3"/>
  <c r="T123" i="3"/>
  <c r="U123" i="3"/>
  <c r="V123" i="3"/>
  <c r="W123" i="3"/>
  <c r="Y123" i="3"/>
  <c r="Z123" i="3"/>
  <c r="AA123" i="3"/>
  <c r="AB123" i="3"/>
  <c r="AC123" i="3"/>
  <c r="AD123" i="3"/>
  <c r="AE123" i="3"/>
  <c r="AF123" i="3"/>
  <c r="AG123" i="3"/>
  <c r="AH123" i="3"/>
  <c r="AI123" i="3"/>
  <c r="AJ123" i="3"/>
  <c r="F124" i="3"/>
  <c r="G124" i="3"/>
  <c r="H124" i="3"/>
  <c r="I124" i="3"/>
  <c r="J124" i="3"/>
  <c r="K124" i="3"/>
  <c r="L124" i="3"/>
  <c r="M124" i="3"/>
  <c r="N124" i="3"/>
  <c r="O124" i="3"/>
  <c r="P124" i="3"/>
  <c r="Q124" i="3"/>
  <c r="R124" i="3"/>
  <c r="S124" i="3"/>
  <c r="T124" i="3"/>
  <c r="U124" i="3"/>
  <c r="V124" i="3"/>
  <c r="W124" i="3"/>
  <c r="Y124" i="3"/>
  <c r="Z124" i="3"/>
  <c r="AA124" i="3"/>
  <c r="AB124" i="3"/>
  <c r="AC124" i="3"/>
  <c r="AD124" i="3"/>
  <c r="AE124" i="3"/>
  <c r="AF124" i="3"/>
  <c r="AG124" i="3"/>
  <c r="AH124" i="3"/>
  <c r="AI124" i="3"/>
  <c r="AJ124" i="3"/>
  <c r="AE129" i="3"/>
  <c r="Y129" i="3"/>
  <c r="R129" i="3"/>
  <c r="L129" i="3"/>
  <c r="F129" i="3"/>
  <c r="BV97" i="3"/>
  <c r="BV96" i="3"/>
  <c r="BU97" i="3"/>
  <c r="BU96" i="3"/>
  <c r="BT97" i="3"/>
  <c r="BT96" i="3"/>
  <c r="BS97" i="3"/>
  <c r="BS96" i="3"/>
  <c r="BR97" i="3"/>
  <c r="BR96" i="3"/>
  <c r="BQ97" i="3"/>
  <c r="BQ96" i="3"/>
  <c r="BP97" i="3"/>
  <c r="BP96" i="3"/>
  <c r="BO97" i="3"/>
  <c r="BO96" i="3"/>
  <c r="BN97" i="3"/>
  <c r="BN96" i="3"/>
  <c r="BM97" i="3"/>
  <c r="BM96" i="3"/>
  <c r="BL97" i="3"/>
  <c r="BL96" i="3"/>
  <c r="BK97" i="3"/>
  <c r="BK96" i="3"/>
  <c r="BJ97" i="3"/>
  <c r="BJ96" i="3"/>
  <c r="BI97" i="3"/>
  <c r="BI96" i="3"/>
  <c r="BH97" i="3"/>
  <c r="BH96" i="3"/>
  <c r="BG97" i="3"/>
  <c r="BG96" i="3"/>
  <c r="BF97" i="3"/>
  <c r="BF96" i="3"/>
  <c r="BE97" i="3"/>
  <c r="BE96" i="3"/>
  <c r="BC97" i="3"/>
  <c r="BC96" i="3"/>
  <c r="BB97" i="3"/>
  <c r="BB96" i="3"/>
  <c r="BA97" i="3"/>
  <c r="BA96" i="3"/>
  <c r="AZ97" i="3"/>
  <c r="AZ96" i="3"/>
  <c r="AY97" i="3"/>
  <c r="AY96" i="3"/>
  <c r="AX97" i="3"/>
  <c r="AX96" i="3"/>
  <c r="AW97" i="3"/>
  <c r="AW96" i="3"/>
  <c r="AV97" i="3"/>
  <c r="AV96" i="3"/>
  <c r="AU97" i="3"/>
  <c r="AU96" i="3"/>
  <c r="AT97" i="3"/>
  <c r="AT96" i="3"/>
  <c r="AS97" i="3"/>
  <c r="AS96" i="3"/>
  <c r="AR97" i="3"/>
  <c r="AR96" i="3"/>
  <c r="AP97" i="3"/>
  <c r="AP96" i="3"/>
  <c r="AO97" i="3"/>
  <c r="AO96" i="3"/>
  <c r="AN97" i="3"/>
  <c r="AN96" i="3"/>
  <c r="AM97" i="3"/>
  <c r="AM96" i="3"/>
  <c r="AL97" i="3"/>
  <c r="AL96" i="3"/>
  <c r="AK97" i="3"/>
  <c r="AK96" i="3"/>
  <c r="AJ97" i="3"/>
  <c r="AJ96" i="3"/>
  <c r="AI97" i="3"/>
  <c r="AI96" i="3"/>
  <c r="AH97" i="3"/>
  <c r="AH96" i="3"/>
  <c r="AG97" i="3"/>
  <c r="AG96" i="3"/>
  <c r="AF97" i="3"/>
  <c r="AF96" i="3"/>
  <c r="AD97" i="3"/>
  <c r="AD96" i="3"/>
  <c r="AC97" i="3"/>
  <c r="AC96" i="3"/>
  <c r="AB97" i="3"/>
  <c r="AB96" i="3"/>
  <c r="AA97" i="3"/>
  <c r="AA96" i="3"/>
  <c r="Z97" i="3"/>
  <c r="Z96" i="3"/>
  <c r="Z98" i="3"/>
  <c r="AA98" i="3"/>
  <c r="AB98" i="3"/>
  <c r="AC98" i="3"/>
  <c r="Y97" i="3"/>
  <c r="Y96" i="3"/>
  <c r="W97" i="3"/>
  <c r="W96" i="3"/>
  <c r="V97" i="3"/>
  <c r="V96" i="3"/>
  <c r="U97" i="3"/>
  <c r="U96" i="3"/>
  <c r="T97" i="3"/>
  <c r="T96" i="3"/>
  <c r="S97" i="3"/>
  <c r="S96" i="3"/>
  <c r="R97" i="3"/>
  <c r="R96" i="3"/>
  <c r="Q97" i="3"/>
  <c r="Q96" i="3"/>
  <c r="P97" i="3"/>
  <c r="P96" i="3"/>
  <c r="O97" i="3"/>
  <c r="O96" i="3"/>
  <c r="N97" i="3"/>
  <c r="N96" i="3"/>
  <c r="M97" i="3"/>
  <c r="M96" i="3"/>
  <c r="L97" i="3"/>
  <c r="L96" i="3"/>
  <c r="K97" i="3"/>
  <c r="K96" i="3"/>
  <c r="J97" i="3"/>
  <c r="J96" i="3"/>
  <c r="I97" i="3"/>
  <c r="I96" i="3"/>
  <c r="H97" i="3"/>
  <c r="H96" i="3"/>
  <c r="G97" i="3"/>
  <c r="G96" i="3"/>
  <c r="F97" i="3"/>
  <c r="F96" i="3"/>
  <c r="F105" i="3"/>
  <c r="L105" i="3"/>
  <c r="R105" i="3"/>
  <c r="Y105" i="3"/>
  <c r="AE105" i="3"/>
  <c r="AK105" i="3"/>
  <c r="AR105" i="3"/>
  <c r="AX105" i="3"/>
  <c r="BE105" i="3"/>
  <c r="BK105" i="3"/>
  <c r="BQ105" i="3"/>
  <c r="F106" i="3"/>
  <c r="L106" i="3"/>
  <c r="R106" i="3"/>
  <c r="Y106" i="3"/>
  <c r="AE106" i="3"/>
  <c r="AK106" i="3"/>
  <c r="AR106" i="3"/>
  <c r="AX106" i="3"/>
  <c r="BE106" i="3"/>
  <c r="BK106" i="3"/>
  <c r="BQ106" i="3"/>
  <c r="F107" i="3"/>
  <c r="L107" i="3"/>
  <c r="R107" i="3"/>
  <c r="Y107" i="3"/>
  <c r="AE107" i="3"/>
  <c r="AK107" i="3"/>
  <c r="AR107" i="3"/>
  <c r="AX107" i="3"/>
  <c r="BE107" i="3"/>
  <c r="BK107" i="3"/>
  <c r="BQ107" i="3"/>
  <c r="F95" i="3"/>
  <c r="G95" i="3"/>
  <c r="H95" i="3"/>
  <c r="I95" i="3"/>
  <c r="J95" i="3"/>
  <c r="K95" i="3"/>
  <c r="L95" i="3"/>
  <c r="M95" i="3"/>
  <c r="N95" i="3"/>
  <c r="O95" i="3"/>
  <c r="P95" i="3"/>
  <c r="Q95" i="3"/>
  <c r="R95" i="3"/>
  <c r="S95" i="3"/>
  <c r="T95" i="3"/>
  <c r="U95" i="3"/>
  <c r="V95" i="3"/>
  <c r="W95" i="3"/>
  <c r="Y95" i="3"/>
  <c r="Z95" i="3"/>
  <c r="AA95" i="3"/>
  <c r="AB95" i="3"/>
  <c r="AC95" i="3"/>
  <c r="AD95" i="3"/>
  <c r="AE95" i="3"/>
  <c r="AF95" i="3"/>
  <c r="AG95" i="3"/>
  <c r="AH95" i="3"/>
  <c r="AI95" i="3"/>
  <c r="AJ95" i="3"/>
  <c r="AK95" i="3"/>
  <c r="AL95" i="3"/>
  <c r="AM95" i="3"/>
  <c r="AN95" i="3"/>
  <c r="AO95" i="3"/>
  <c r="AP95" i="3"/>
  <c r="AR95" i="3"/>
  <c r="AS95" i="3"/>
  <c r="AT95" i="3"/>
  <c r="AU95" i="3"/>
  <c r="AV95" i="3"/>
  <c r="AW95" i="3"/>
  <c r="AX95" i="3"/>
  <c r="AY95" i="3"/>
  <c r="AZ95" i="3"/>
  <c r="BA95" i="3"/>
  <c r="BB95" i="3"/>
  <c r="BC95" i="3"/>
  <c r="BE95" i="3"/>
  <c r="BF95" i="3"/>
  <c r="BG95" i="3"/>
  <c r="BH95" i="3"/>
  <c r="BI95" i="3"/>
  <c r="BJ95" i="3"/>
  <c r="BK95" i="3"/>
  <c r="BL95" i="3"/>
  <c r="BM95" i="3"/>
  <c r="BN95" i="3"/>
  <c r="BO95" i="3"/>
  <c r="BP95" i="3"/>
  <c r="BQ95" i="3"/>
  <c r="BR95" i="3"/>
  <c r="BS95" i="3"/>
  <c r="BT95" i="3"/>
  <c r="BU95" i="3"/>
  <c r="BV95" i="3"/>
  <c r="AE96" i="3"/>
  <c r="AE97" i="3"/>
  <c r="F98" i="3"/>
  <c r="G98" i="3"/>
  <c r="H98" i="3"/>
  <c r="I98" i="3"/>
  <c r="J98" i="3"/>
  <c r="K98" i="3"/>
  <c r="L98" i="3"/>
  <c r="M98" i="3"/>
  <c r="N98" i="3"/>
  <c r="O98" i="3"/>
  <c r="P98" i="3"/>
  <c r="Q98" i="3"/>
  <c r="R98" i="3"/>
  <c r="S98" i="3"/>
  <c r="T98" i="3"/>
  <c r="U98" i="3"/>
  <c r="V98" i="3"/>
  <c r="W98" i="3"/>
  <c r="Y98" i="3"/>
  <c r="AD98" i="3"/>
  <c r="AE98" i="3"/>
  <c r="AF98" i="3"/>
  <c r="AG98" i="3"/>
  <c r="AH98" i="3"/>
  <c r="AI98" i="3"/>
  <c r="AJ98" i="3"/>
  <c r="AK98" i="3"/>
  <c r="AL98" i="3"/>
  <c r="AM98" i="3"/>
  <c r="AN98" i="3"/>
  <c r="AO98" i="3"/>
  <c r="AP98" i="3"/>
  <c r="AR98" i="3"/>
  <c r="AS98" i="3"/>
  <c r="AT98" i="3"/>
  <c r="AU98" i="3"/>
  <c r="AV98" i="3"/>
  <c r="AW98" i="3"/>
  <c r="AX98" i="3"/>
  <c r="AY98" i="3"/>
  <c r="AZ98" i="3"/>
  <c r="BA98" i="3"/>
  <c r="BB98" i="3"/>
  <c r="BC98" i="3"/>
  <c r="BE98" i="3"/>
  <c r="BF98" i="3"/>
  <c r="BG98" i="3"/>
  <c r="BH98" i="3"/>
  <c r="BI98" i="3"/>
  <c r="BJ98" i="3"/>
  <c r="BK98" i="3"/>
  <c r="BL98" i="3"/>
  <c r="BM98" i="3"/>
  <c r="BN98" i="3"/>
  <c r="BO98" i="3"/>
  <c r="BP98" i="3"/>
  <c r="BQ98" i="3"/>
  <c r="BR98" i="3"/>
  <c r="BS98" i="3"/>
  <c r="BT98" i="3"/>
  <c r="BU98" i="3"/>
  <c r="BV98" i="3"/>
  <c r="F99" i="3"/>
  <c r="G99" i="3"/>
  <c r="H99" i="3"/>
  <c r="I99" i="3"/>
  <c r="J99" i="3"/>
  <c r="K99" i="3"/>
  <c r="L99" i="3"/>
  <c r="M99" i="3"/>
  <c r="N99" i="3"/>
  <c r="O99" i="3"/>
  <c r="P99" i="3"/>
  <c r="Q99" i="3"/>
  <c r="R99" i="3"/>
  <c r="S99" i="3"/>
  <c r="T99" i="3"/>
  <c r="U99" i="3"/>
  <c r="V99" i="3"/>
  <c r="W99" i="3"/>
  <c r="Y99" i="3"/>
  <c r="Z99" i="3"/>
  <c r="AA99" i="3"/>
  <c r="AB99" i="3"/>
  <c r="AC99" i="3"/>
  <c r="AD99" i="3"/>
  <c r="AE99" i="3"/>
  <c r="AF99" i="3"/>
  <c r="AG99" i="3"/>
  <c r="AH99" i="3"/>
  <c r="AI99" i="3"/>
  <c r="AJ99" i="3"/>
  <c r="AK99" i="3"/>
  <c r="AL99" i="3"/>
  <c r="AM99" i="3"/>
  <c r="AN99" i="3"/>
  <c r="AO99" i="3"/>
  <c r="AP99" i="3"/>
  <c r="AR99" i="3"/>
  <c r="AS99" i="3"/>
  <c r="AT99" i="3"/>
  <c r="AU99" i="3"/>
  <c r="AV99" i="3"/>
  <c r="AW99" i="3"/>
  <c r="AX99" i="3"/>
  <c r="AY99" i="3"/>
  <c r="AZ99" i="3"/>
  <c r="BA99" i="3"/>
  <c r="BB99" i="3"/>
  <c r="BC99" i="3"/>
  <c r="BE99" i="3"/>
  <c r="BF99" i="3"/>
  <c r="BG99" i="3"/>
  <c r="BH99" i="3"/>
  <c r="BI99" i="3"/>
  <c r="BJ99" i="3"/>
  <c r="BK99" i="3"/>
  <c r="BL99" i="3"/>
  <c r="BM99" i="3"/>
  <c r="BN99" i="3"/>
  <c r="BO99" i="3"/>
  <c r="BP99" i="3"/>
  <c r="BQ99" i="3"/>
  <c r="BR99" i="3"/>
  <c r="BS99" i="3"/>
  <c r="BT99" i="3"/>
  <c r="BU99" i="3"/>
  <c r="BV99" i="3"/>
  <c r="F100" i="3"/>
  <c r="G100" i="3"/>
  <c r="H100" i="3"/>
  <c r="I100" i="3"/>
  <c r="J100" i="3"/>
  <c r="K100" i="3"/>
  <c r="L100" i="3"/>
  <c r="M100" i="3"/>
  <c r="N100" i="3"/>
  <c r="O100" i="3"/>
  <c r="P100" i="3"/>
  <c r="Q100" i="3"/>
  <c r="R100" i="3"/>
  <c r="S100" i="3"/>
  <c r="T100" i="3"/>
  <c r="U100" i="3"/>
  <c r="V100" i="3"/>
  <c r="W100" i="3"/>
  <c r="Y100" i="3"/>
  <c r="Z100" i="3"/>
  <c r="AA100" i="3"/>
  <c r="AB100" i="3"/>
  <c r="AC100" i="3"/>
  <c r="AD100" i="3"/>
  <c r="AE100" i="3"/>
  <c r="AF100" i="3"/>
  <c r="AG100" i="3"/>
  <c r="AH100" i="3"/>
  <c r="AI100" i="3"/>
  <c r="AJ100" i="3"/>
  <c r="AK100" i="3"/>
  <c r="AL100" i="3"/>
  <c r="AM100" i="3"/>
  <c r="AN100" i="3"/>
  <c r="AO100" i="3"/>
  <c r="AP100" i="3"/>
  <c r="AR100" i="3"/>
  <c r="AS100" i="3"/>
  <c r="AT100" i="3"/>
  <c r="AU100" i="3"/>
  <c r="AV100" i="3"/>
  <c r="AW100" i="3"/>
  <c r="AX100" i="3"/>
  <c r="AY100" i="3"/>
  <c r="AZ100" i="3"/>
  <c r="BA100" i="3"/>
  <c r="BB100" i="3"/>
  <c r="BC100" i="3"/>
  <c r="BE100" i="3"/>
  <c r="BF100" i="3"/>
  <c r="BG100" i="3"/>
  <c r="BH100" i="3"/>
  <c r="BI100" i="3"/>
  <c r="BJ100" i="3"/>
  <c r="BK100" i="3"/>
  <c r="BL100" i="3"/>
  <c r="BM100" i="3"/>
  <c r="BN100" i="3"/>
  <c r="BO100" i="3"/>
  <c r="BP100" i="3"/>
  <c r="BQ100" i="3"/>
  <c r="BR100" i="3"/>
  <c r="BS100" i="3"/>
  <c r="BT100" i="3"/>
  <c r="BU100" i="3"/>
  <c r="BV100" i="3"/>
  <c r="BQ104" i="3"/>
  <c r="BK104" i="3"/>
  <c r="BE104" i="3"/>
  <c r="AX104" i="3"/>
  <c r="AR104" i="3"/>
  <c r="AK104" i="3"/>
  <c r="AE104" i="3"/>
  <c r="Y104" i="3"/>
  <c r="R104" i="3"/>
  <c r="L104" i="3"/>
  <c r="F104" i="3"/>
  <c r="BW21" i="3"/>
  <c r="BW22" i="3"/>
  <c r="BW23" i="3"/>
  <c r="BW24" i="3"/>
  <c r="BW25" i="3"/>
  <c r="BW26" i="3"/>
  <c r="BW27" i="3"/>
  <c r="BW28" i="3"/>
  <c r="BW29" i="3"/>
  <c r="BD23" i="3"/>
  <c r="BD24" i="3"/>
  <c r="BD25" i="3"/>
  <c r="BD26" i="3"/>
  <c r="BD27" i="3"/>
  <c r="BD28" i="3"/>
  <c r="BD29" i="3"/>
  <c r="AQ21" i="3"/>
  <c r="AQ22" i="3"/>
  <c r="AQ23" i="3"/>
  <c r="AQ24" i="3"/>
  <c r="AQ25" i="3"/>
  <c r="AQ26" i="3"/>
  <c r="AQ27" i="3"/>
  <c r="AQ28" i="3"/>
  <c r="AQ29" i="3"/>
  <c r="X21" i="3"/>
  <c r="X22" i="3"/>
  <c r="X23" i="3"/>
  <c r="X24" i="3"/>
  <c r="X25" i="3"/>
  <c r="X26" i="3"/>
  <c r="X27" i="3"/>
  <c r="X28" i="3"/>
  <c r="X29" i="3"/>
  <c r="AX7" i="3"/>
  <c r="AX8" i="3"/>
  <c r="AX9" i="3"/>
  <c r="AX10" i="3"/>
  <c r="AX11" i="3"/>
  <c r="AX12" i="3"/>
  <c r="AX13" i="3"/>
  <c r="AK7" i="3"/>
  <c r="AK8" i="3"/>
  <c r="AK9" i="3"/>
  <c r="AK10" i="3"/>
  <c r="AK11" i="3"/>
  <c r="AK12" i="3"/>
  <c r="AK13" i="3"/>
  <c r="R7" i="3"/>
  <c r="R8" i="3"/>
  <c r="R9" i="3"/>
  <c r="R10" i="3"/>
  <c r="R11" i="3"/>
  <c r="R12" i="3"/>
  <c r="R13" i="3"/>
  <c r="K63" i="3"/>
  <c r="J63" i="3"/>
  <c r="I63" i="3"/>
  <c r="H63" i="3"/>
  <c r="G63" i="3"/>
  <c r="F63" i="3"/>
  <c r="BL108" i="3" l="1"/>
  <c r="BA108" i="3"/>
  <c r="AE130" i="3"/>
  <c r="D235" i="2" s="1"/>
  <c r="V130" i="3"/>
  <c r="N130" i="3"/>
  <c r="F130" i="3"/>
  <c r="I81" i="3"/>
  <c r="Z81" i="3"/>
  <c r="AH81" i="3"/>
  <c r="AQ81" i="3"/>
  <c r="AD130" i="3"/>
  <c r="U130" i="3"/>
  <c r="M130" i="3"/>
  <c r="AC130" i="3"/>
  <c r="T130" i="3"/>
  <c r="L130" i="3"/>
  <c r="D209" i="2" s="1"/>
  <c r="AJ130" i="3"/>
  <c r="AB130" i="3"/>
  <c r="S130" i="3"/>
  <c r="K130" i="3"/>
  <c r="AI130" i="3"/>
  <c r="AA130" i="3"/>
  <c r="R130" i="3"/>
  <c r="J130" i="3"/>
  <c r="AH130" i="3"/>
  <c r="Z130" i="3"/>
  <c r="Q130" i="3"/>
  <c r="I130" i="3"/>
  <c r="AG130" i="3"/>
  <c r="Y130" i="3"/>
  <c r="P130" i="3"/>
  <c r="H130" i="3"/>
  <c r="AF130" i="3"/>
  <c r="W130" i="3"/>
  <c r="O130" i="3"/>
  <c r="G130" i="3"/>
  <c r="O81" i="3"/>
  <c r="X81" i="3"/>
  <c r="AW81" i="3"/>
  <c r="K81" i="3"/>
  <c r="T81" i="3"/>
  <c r="AB81" i="3"/>
  <c r="AJ81" i="3"/>
  <c r="AS81" i="3"/>
  <c r="AC81" i="3"/>
  <c r="AL81" i="3"/>
  <c r="AD81" i="3"/>
  <c r="AM81" i="3"/>
  <c r="AU81" i="3"/>
  <c r="Q81" i="3"/>
  <c r="M81" i="3"/>
  <c r="V81" i="3"/>
  <c r="F81" i="3"/>
  <c r="N81" i="3"/>
  <c r="W81" i="3"/>
  <c r="AF81" i="3"/>
  <c r="AO81" i="3"/>
  <c r="J81" i="3"/>
  <c r="S81" i="3"/>
  <c r="AA81" i="3"/>
  <c r="AI81" i="3"/>
  <c r="AR81" i="3"/>
  <c r="L81" i="3"/>
  <c r="U81" i="3"/>
  <c r="AE81" i="3"/>
  <c r="AN81" i="3"/>
  <c r="AV81" i="3"/>
  <c r="G81" i="3"/>
  <c r="H81" i="3"/>
  <c r="P81" i="3"/>
  <c r="Y81" i="3"/>
  <c r="AG81" i="3"/>
  <c r="AP81" i="3"/>
  <c r="AT81" i="3"/>
  <c r="M108" i="3"/>
  <c r="BI108" i="3"/>
  <c r="J108" i="3"/>
  <c r="R108" i="3"/>
  <c r="AA108" i="3"/>
  <c r="BO108" i="3"/>
  <c r="AX108" i="3"/>
  <c r="AO108" i="3"/>
  <c r="AZ108" i="3"/>
  <c r="Y108" i="3"/>
  <c r="BX24" i="3"/>
  <c r="AS108" i="3"/>
  <c r="AN108" i="3"/>
  <c r="BC108" i="3"/>
  <c r="AJ108" i="3"/>
  <c r="AU108" i="3"/>
  <c r="AB108" i="3"/>
  <c r="AL108" i="3"/>
  <c r="S108" i="3"/>
  <c r="BR108" i="3"/>
  <c r="AD108" i="3"/>
  <c r="U108" i="3"/>
  <c r="BJ108" i="3"/>
  <c r="BT108" i="3"/>
  <c r="K108" i="3"/>
  <c r="T108" i="3"/>
  <c r="AY10" i="3"/>
  <c r="F157" i="3"/>
  <c r="AY8" i="3"/>
  <c r="AW86" i="3"/>
  <c r="AO86" i="3"/>
  <c r="AF86" i="3"/>
  <c r="X86" i="3"/>
  <c r="AY12" i="3"/>
  <c r="AT86" i="3"/>
  <c r="AL86" i="3"/>
  <c r="AC86" i="3"/>
  <c r="U86" i="3"/>
  <c r="L86" i="3"/>
  <c r="AS86" i="3"/>
  <c r="AJ86" i="3"/>
  <c r="AB86" i="3"/>
  <c r="T86" i="3"/>
  <c r="K86" i="3"/>
  <c r="H157" i="3"/>
  <c r="U101" i="3"/>
  <c r="M101" i="3"/>
  <c r="O86" i="3"/>
  <c r="G86" i="3"/>
  <c r="AC101" i="3"/>
  <c r="BB101" i="3"/>
  <c r="AK101" i="3"/>
  <c r="T101" i="3"/>
  <c r="U125" i="3"/>
  <c r="V108" i="3"/>
  <c r="AG108" i="3"/>
  <c r="AP108" i="3"/>
  <c r="BU108" i="3"/>
  <c r="L108" i="3"/>
  <c r="AE108" i="3"/>
  <c r="BR101" i="3"/>
  <c r="BJ101" i="3"/>
  <c r="BA101" i="3"/>
  <c r="AS101" i="3"/>
  <c r="AJ101" i="3"/>
  <c r="AB101" i="3"/>
  <c r="S101" i="3"/>
  <c r="K101" i="3"/>
  <c r="AC125" i="3"/>
  <c r="T125" i="3"/>
  <c r="L125" i="3"/>
  <c r="AR86" i="3"/>
  <c r="AI86" i="3"/>
  <c r="AA86" i="3"/>
  <c r="S86" i="3"/>
  <c r="J86" i="3"/>
  <c r="V125" i="3"/>
  <c r="AY7" i="3"/>
  <c r="BS101" i="3"/>
  <c r="AT101" i="3"/>
  <c r="L101" i="3"/>
  <c r="M125" i="3"/>
  <c r="AY13" i="3"/>
  <c r="AY11" i="3"/>
  <c r="BX27" i="3"/>
  <c r="W108" i="3"/>
  <c r="AH108" i="3"/>
  <c r="BB108" i="3"/>
  <c r="BM108" i="3"/>
  <c r="BV108" i="3"/>
  <c r="AK108" i="3"/>
  <c r="BQ101" i="3"/>
  <c r="BI101" i="3"/>
  <c r="AZ101" i="3"/>
  <c r="AR101" i="3"/>
  <c r="AI101" i="3"/>
  <c r="AA101" i="3"/>
  <c r="R101" i="3"/>
  <c r="X95" i="3"/>
  <c r="J101" i="3"/>
  <c r="AQ105" i="3"/>
  <c r="BD97" i="3"/>
  <c r="BW97" i="3"/>
  <c r="AJ125" i="3"/>
  <c r="AB125" i="3"/>
  <c r="S125" i="3"/>
  <c r="K125" i="3"/>
  <c r="AQ86" i="3"/>
  <c r="AQ88" i="3" s="1"/>
  <c r="AH86" i="3"/>
  <c r="Z86" i="3"/>
  <c r="Q86" i="3"/>
  <c r="I86" i="3"/>
  <c r="AY108" i="3"/>
  <c r="BQ108" i="3"/>
  <c r="BL101" i="3"/>
  <c r="AD101" i="3"/>
  <c r="F125" i="3"/>
  <c r="AF108" i="3"/>
  <c r="BK101" i="3"/>
  <c r="AD125" i="3"/>
  <c r="Z108" i="3"/>
  <c r="AI108" i="3"/>
  <c r="AT108" i="3"/>
  <c r="BN108" i="3"/>
  <c r="F108" i="3"/>
  <c r="N108" i="3"/>
  <c r="BD104" i="3"/>
  <c r="AR108" i="3"/>
  <c r="BP101" i="3"/>
  <c r="BH101" i="3"/>
  <c r="AY101" i="3"/>
  <c r="AP101" i="3"/>
  <c r="AH101" i="3"/>
  <c r="Z101" i="3"/>
  <c r="Q101" i="3"/>
  <c r="I101" i="3"/>
  <c r="X129" i="3"/>
  <c r="AI125" i="3"/>
  <c r="AA125" i="3"/>
  <c r="R125" i="3"/>
  <c r="J125" i="3"/>
  <c r="AK80" i="3"/>
  <c r="AP86" i="3"/>
  <c r="AG86" i="3"/>
  <c r="Y86" i="3"/>
  <c r="P86" i="3"/>
  <c r="H86" i="3"/>
  <c r="BC101" i="3"/>
  <c r="AL101" i="3"/>
  <c r="AE125" i="3"/>
  <c r="BF108" i="3"/>
  <c r="G108" i="3"/>
  <c r="O108" i="3"/>
  <c r="BD100" i="3"/>
  <c r="BO101" i="3"/>
  <c r="AX101" i="3"/>
  <c r="AG101" i="3"/>
  <c r="P101" i="3"/>
  <c r="Z125" i="3"/>
  <c r="I125" i="3"/>
  <c r="AV108" i="3"/>
  <c r="BG108" i="3"/>
  <c r="BP108" i="3"/>
  <c r="H108" i="3"/>
  <c r="P108" i="3"/>
  <c r="BE108" i="3"/>
  <c r="BV101" i="3"/>
  <c r="BN101" i="3"/>
  <c r="BF101" i="3"/>
  <c r="AW101" i="3"/>
  <c r="AN101" i="3"/>
  <c r="AF101" i="3"/>
  <c r="W101" i="3"/>
  <c r="O101" i="3"/>
  <c r="G101" i="3"/>
  <c r="AK124" i="3"/>
  <c r="AG125" i="3"/>
  <c r="Y125" i="3"/>
  <c r="P125" i="3"/>
  <c r="H125" i="3"/>
  <c r="AV86" i="3"/>
  <c r="AN86" i="3"/>
  <c r="AE86" i="3"/>
  <c r="W86" i="3"/>
  <c r="N86" i="3"/>
  <c r="F86" i="3"/>
  <c r="D3" i="2" s="1"/>
  <c r="BS108" i="3"/>
  <c r="BS111" i="3" s="1"/>
  <c r="BT101" i="3"/>
  <c r="AU101" i="3"/>
  <c r="N125" i="3"/>
  <c r="BG101" i="3"/>
  <c r="AO101" i="3"/>
  <c r="Y101" i="3"/>
  <c r="H101" i="3"/>
  <c r="AH125" i="3"/>
  <c r="Q125" i="3"/>
  <c r="AC108" i="3"/>
  <c r="AM108" i="3"/>
  <c r="AW108" i="3"/>
  <c r="AW111" i="3" s="1"/>
  <c r="BH108" i="3"/>
  <c r="I108" i="3"/>
  <c r="Q108" i="3"/>
  <c r="BK108" i="3"/>
  <c r="BU101" i="3"/>
  <c r="BM101" i="3"/>
  <c r="BE101" i="3"/>
  <c r="AV101" i="3"/>
  <c r="AM101" i="3"/>
  <c r="AE101" i="3"/>
  <c r="V101" i="3"/>
  <c r="N101" i="3"/>
  <c r="F101" i="3"/>
  <c r="AF125" i="3"/>
  <c r="W125" i="3"/>
  <c r="O125" i="3"/>
  <c r="G125" i="3"/>
  <c r="AU86" i="3"/>
  <c r="AM86" i="3"/>
  <c r="AD86" i="3"/>
  <c r="V86" i="3"/>
  <c r="M86" i="3"/>
  <c r="AK123" i="3"/>
  <c r="AX85" i="3"/>
  <c r="R80" i="3"/>
  <c r="R79" i="3"/>
  <c r="AK84" i="3"/>
  <c r="R76" i="3"/>
  <c r="AQ104" i="3"/>
  <c r="BD99" i="3"/>
  <c r="BD107" i="3"/>
  <c r="X105" i="3"/>
  <c r="L154" i="3"/>
  <c r="B163" i="3" s="1"/>
  <c r="AX80" i="3"/>
  <c r="BX28" i="3"/>
  <c r="BX23" i="3"/>
  <c r="BW100" i="3"/>
  <c r="BW98" i="3"/>
  <c r="AQ107" i="3"/>
  <c r="X124" i="3"/>
  <c r="X123" i="3"/>
  <c r="X119" i="3"/>
  <c r="L155" i="3"/>
  <c r="B176" i="3" s="1"/>
  <c r="L151" i="3"/>
  <c r="AK85" i="3"/>
  <c r="AX79" i="3"/>
  <c r="R84" i="3"/>
  <c r="AX76" i="3"/>
  <c r="R77" i="3"/>
  <c r="AX77" i="3"/>
  <c r="BW107" i="3"/>
  <c r="X97" i="3"/>
  <c r="AK129" i="3"/>
  <c r="AK120" i="3"/>
  <c r="G157" i="3"/>
  <c r="L152" i="3"/>
  <c r="B170" i="3" s="1"/>
  <c r="R78" i="3"/>
  <c r="AX78" i="3"/>
  <c r="AQ97" i="3"/>
  <c r="AQ100" i="3"/>
  <c r="BX113" i="3"/>
  <c r="B179" i="3" s="1"/>
  <c r="X100" i="3"/>
  <c r="AQ99" i="3"/>
  <c r="X99" i="3"/>
  <c r="AQ98" i="3"/>
  <c r="BD95" i="3"/>
  <c r="BD105" i="3"/>
  <c r="AK122" i="3"/>
  <c r="AK128" i="3"/>
  <c r="AK130" i="3" s="1"/>
  <c r="AK79" i="3"/>
  <c r="AX84" i="3"/>
  <c r="AK76" i="3"/>
  <c r="BW95" i="3"/>
  <c r="AK75" i="3"/>
  <c r="BX26" i="3"/>
  <c r="BW104" i="3"/>
  <c r="BW99" i="3"/>
  <c r="X107" i="3"/>
  <c r="AQ106" i="3"/>
  <c r="X106" i="3"/>
  <c r="I157" i="3"/>
  <c r="L153" i="3"/>
  <c r="B174" i="3" s="1"/>
  <c r="K157" i="3"/>
  <c r="R75" i="3"/>
  <c r="R85" i="3"/>
  <c r="BW105" i="3"/>
  <c r="AY9" i="3"/>
  <c r="BX29" i="3"/>
  <c r="BX25" i="3"/>
  <c r="BD98" i="3"/>
  <c r="X98" i="3"/>
  <c r="X96" i="3"/>
  <c r="AQ96" i="3"/>
  <c r="BD96" i="3"/>
  <c r="BW96" i="3"/>
  <c r="X122" i="3"/>
  <c r="X128" i="3"/>
  <c r="X121" i="3"/>
  <c r="AK121" i="3"/>
  <c r="J157" i="3"/>
  <c r="AK77" i="3"/>
  <c r="G336" i="1"/>
  <c r="G338" i="1" s="1"/>
  <c r="X104" i="3"/>
  <c r="L150" i="3"/>
  <c r="B175" i="3" s="1"/>
  <c r="AK78" i="3"/>
  <c r="BD106" i="3"/>
  <c r="X120" i="3"/>
  <c r="AQ95" i="3"/>
  <c r="BW106" i="3"/>
  <c r="AK119" i="3"/>
  <c r="AX75" i="3"/>
  <c r="H303" i="1"/>
  <c r="H308" i="1" s="1"/>
  <c r="I303" i="1"/>
  <c r="I308" i="1" s="1"/>
  <c r="J303" i="1"/>
  <c r="J308" i="1" s="1"/>
  <c r="K303" i="1"/>
  <c r="K308" i="1" s="1"/>
  <c r="L303" i="1"/>
  <c r="L308" i="1" s="1"/>
  <c r="H302" i="1"/>
  <c r="I302" i="1"/>
  <c r="J302" i="1"/>
  <c r="K302" i="1"/>
  <c r="L302" i="1"/>
  <c r="G302" i="1"/>
  <c r="G303" i="1"/>
  <c r="G308" i="1" s="1"/>
  <c r="M300" i="1"/>
  <c r="E312" i="1" s="1"/>
  <c r="G307" i="1"/>
  <c r="G306" i="1"/>
  <c r="M297" i="1"/>
  <c r="M296" i="1"/>
  <c r="G293" i="1"/>
  <c r="G294" i="1" s="1"/>
  <c r="G295" i="1" s="1"/>
  <c r="M291" i="1"/>
  <c r="G290" i="1"/>
  <c r="G289" i="1"/>
  <c r="G288" i="1"/>
  <c r="G285" i="1"/>
  <c r="M284" i="1"/>
  <c r="M283" i="1"/>
  <c r="M282" i="1"/>
  <c r="M281" i="1"/>
  <c r="M276" i="1"/>
  <c r="M274" i="1"/>
  <c r="G273" i="1"/>
  <c r="M272" i="1"/>
  <c r="M271" i="1"/>
  <c r="M270" i="1"/>
  <c r="M269" i="1"/>
  <c r="M265" i="1"/>
  <c r="G263" i="1"/>
  <c r="M262" i="1"/>
  <c r="D315" i="1" s="1"/>
  <c r="M261" i="1"/>
  <c r="D320" i="1" s="1"/>
  <c r="F320" i="1" s="1"/>
  <c r="M260" i="1"/>
  <c r="D318" i="1" s="1"/>
  <c r="M259" i="1"/>
  <c r="D317" i="1" s="1"/>
  <c r="M258" i="1"/>
  <c r="D316" i="1" s="1"/>
  <c r="M257" i="1"/>
  <c r="D314" i="1" s="1"/>
  <c r="M256" i="1"/>
  <c r="D312" i="1" s="1"/>
  <c r="G255" i="1"/>
  <c r="M254" i="1"/>
  <c r="M253" i="1"/>
  <c r="M252" i="1"/>
  <c r="M251" i="1"/>
  <c r="M250" i="1"/>
  <c r="M249" i="1"/>
  <c r="M248" i="1"/>
  <c r="M247" i="1"/>
  <c r="M246" i="1"/>
  <c r="M245" i="1"/>
  <c r="M244" i="1"/>
  <c r="G243" i="1"/>
  <c r="M242" i="1"/>
  <c r="M241" i="1"/>
  <c r="M237" i="1"/>
  <c r="M236" i="1"/>
  <c r="G235" i="1"/>
  <c r="G234" i="1"/>
  <c r="G231" i="1"/>
  <c r="M230" i="1"/>
  <c r="M229" i="1"/>
  <c r="M228" i="1"/>
  <c r="M227" i="1"/>
  <c r="M226" i="1"/>
  <c r="M220" i="1"/>
  <c r="G219" i="1"/>
  <c r="M218" i="1"/>
  <c r="M217" i="1"/>
  <c r="M216" i="1"/>
  <c r="M215" i="1"/>
  <c r="M214" i="1"/>
  <c r="M213" i="1"/>
  <c r="M212" i="1"/>
  <c r="M209" i="1"/>
  <c r="M208" i="1"/>
  <c r="G207" i="1"/>
  <c r="M206" i="1"/>
  <c r="M205" i="1"/>
  <c r="M204" i="1"/>
  <c r="M203" i="1"/>
  <c r="M202" i="1"/>
  <c r="M201" i="1"/>
  <c r="M200" i="1"/>
  <c r="M199" i="1"/>
  <c r="M198" i="1"/>
  <c r="M196" i="1"/>
  <c r="M195" i="1"/>
  <c r="G193" i="1"/>
  <c r="M192" i="1"/>
  <c r="M191" i="1"/>
  <c r="M190" i="1"/>
  <c r="M189" i="1"/>
  <c r="M188" i="1"/>
  <c r="M187" i="1"/>
  <c r="M186" i="1"/>
  <c r="M183" i="1"/>
  <c r="M182" i="1"/>
  <c r="G181" i="1"/>
  <c r="M180" i="1"/>
  <c r="M179" i="1"/>
  <c r="M176" i="1"/>
  <c r="M175" i="1"/>
  <c r="G173" i="1"/>
  <c r="M172" i="1"/>
  <c r="M171" i="1"/>
  <c r="M170" i="1"/>
  <c r="M169" i="1"/>
  <c r="M168" i="1"/>
  <c r="M167" i="1"/>
  <c r="M166" i="1"/>
  <c r="M165" i="1"/>
  <c r="M164" i="1"/>
  <c r="M163" i="1"/>
  <c r="M162" i="1"/>
  <c r="M161" i="1"/>
  <c r="G160" i="1"/>
  <c r="M159" i="1"/>
  <c r="M158" i="1"/>
  <c r="M157" i="1"/>
  <c r="M156" i="1"/>
  <c r="M155" i="1"/>
  <c r="M154" i="1"/>
  <c r="M153" i="1"/>
  <c r="M152" i="1"/>
  <c r="M150" i="1"/>
  <c r="G149" i="1"/>
  <c r="M148" i="1"/>
  <c r="M147" i="1"/>
  <c r="M146" i="1"/>
  <c r="M145" i="1"/>
  <c r="M144" i="1"/>
  <c r="M143" i="1"/>
  <c r="M142" i="1"/>
  <c r="M141" i="1"/>
  <c r="M140" i="1"/>
  <c r="M139" i="1"/>
  <c r="M138" i="1"/>
  <c r="M137" i="1"/>
  <c r="G135" i="1"/>
  <c r="M134" i="1"/>
  <c r="M133" i="1"/>
  <c r="M132" i="1"/>
  <c r="M131" i="1"/>
  <c r="M130" i="1"/>
  <c r="M129" i="1"/>
  <c r="M128" i="1"/>
  <c r="M125" i="1"/>
  <c r="M124" i="1"/>
  <c r="M123" i="1"/>
  <c r="G122" i="1"/>
  <c r="M121" i="1"/>
  <c r="M120" i="1"/>
  <c r="M119" i="1"/>
  <c r="M118" i="1"/>
  <c r="M117" i="1"/>
  <c r="M116" i="1"/>
  <c r="M115" i="1"/>
  <c r="M114" i="1"/>
  <c r="M113" i="1"/>
  <c r="M112" i="1"/>
  <c r="M110" i="1"/>
  <c r="G109" i="1"/>
  <c r="M108" i="1"/>
  <c r="M107" i="1"/>
  <c r="M106" i="1"/>
  <c r="M105" i="1"/>
  <c r="M104" i="1"/>
  <c r="M103" i="1"/>
  <c r="M102" i="1"/>
  <c r="M101" i="1"/>
  <c r="M100" i="1"/>
  <c r="M99" i="1"/>
  <c r="M98" i="1"/>
  <c r="M97" i="1"/>
  <c r="M96" i="1"/>
  <c r="G95" i="1"/>
  <c r="G94" i="1"/>
  <c r="G91" i="1"/>
  <c r="M90" i="1"/>
  <c r="M89" i="1"/>
  <c r="M88" i="1"/>
  <c r="M87" i="1"/>
  <c r="M86" i="1"/>
  <c r="M85" i="1"/>
  <c r="M84" i="1"/>
  <c r="M80" i="1"/>
  <c r="G79" i="1"/>
  <c r="M78" i="1"/>
  <c r="M77" i="1"/>
  <c r="M76" i="1"/>
  <c r="M75" i="1"/>
  <c r="M74" i="1"/>
  <c r="M73" i="1"/>
  <c r="M72" i="1"/>
  <c r="M68" i="1"/>
  <c r="M67" i="1"/>
  <c r="M66" i="1"/>
  <c r="G64" i="1"/>
  <c r="M63" i="1"/>
  <c r="M62" i="1"/>
  <c r="M61" i="1"/>
  <c r="M60" i="1"/>
  <c r="M59" i="1"/>
  <c r="M58" i="1"/>
  <c r="M54" i="1"/>
  <c r="G53" i="1"/>
  <c r="M52" i="1"/>
  <c r="M51" i="1"/>
  <c r="M42" i="1"/>
  <c r="G41" i="1"/>
  <c r="M40" i="1"/>
  <c r="M39" i="1"/>
  <c r="M38" i="1"/>
  <c r="M37" i="1"/>
  <c r="M30" i="1"/>
  <c r="G28" i="1"/>
  <c r="M27" i="1"/>
  <c r="M26" i="1"/>
  <c r="M25" i="1"/>
  <c r="M20" i="1"/>
  <c r="M19" i="1"/>
  <c r="M17" i="1"/>
  <c r="M15" i="1"/>
  <c r="M14" i="1"/>
  <c r="M13" i="1"/>
  <c r="M12" i="1"/>
  <c r="M11" i="1"/>
  <c r="M7" i="1"/>
  <c r="M6" i="1"/>
  <c r="D202" i="2" l="1"/>
  <c r="B316" i="1"/>
  <c r="B313" i="1"/>
  <c r="B312" i="1"/>
  <c r="D129" i="2"/>
  <c r="D191" i="2"/>
  <c r="D227" i="2"/>
  <c r="BK111" i="3"/>
  <c r="AK111" i="3"/>
  <c r="D93" i="2"/>
  <c r="D69" i="2"/>
  <c r="D35" i="2"/>
  <c r="D46" i="2"/>
  <c r="D13" i="2"/>
  <c r="Z88" i="3"/>
  <c r="Z90" i="3" s="1"/>
  <c r="X130" i="3"/>
  <c r="W88" i="3"/>
  <c r="W90" i="3" s="1"/>
  <c r="AU88" i="3"/>
  <c r="AU90" i="3" s="1"/>
  <c r="O88" i="3"/>
  <c r="O90" i="3" s="1"/>
  <c r="AH88" i="3"/>
  <c r="AH90" i="3" s="1"/>
  <c r="X88" i="3"/>
  <c r="X90" i="3" s="1"/>
  <c r="AG88" i="3"/>
  <c r="AG90" i="3" s="1"/>
  <c r="K88" i="3"/>
  <c r="AM88" i="3"/>
  <c r="AM90" i="3" s="1"/>
  <c r="AF88" i="3"/>
  <c r="AF90" i="3" s="1"/>
  <c r="BH111" i="3"/>
  <c r="AJ88" i="3"/>
  <c r="AJ90" i="3" s="1"/>
  <c r="AW88" i="3"/>
  <c r="AW90" i="3" s="1"/>
  <c r="AV88" i="3"/>
  <c r="AV90" i="3" s="1"/>
  <c r="I88" i="3"/>
  <c r="I90" i="3" s="1"/>
  <c r="P132" i="3"/>
  <c r="P134" i="3" s="1"/>
  <c r="AA132" i="3"/>
  <c r="AA134" i="3" s="1"/>
  <c r="T132" i="3"/>
  <c r="T134" i="3" s="1"/>
  <c r="W132" i="3"/>
  <c r="W134" i="3" s="1"/>
  <c r="Y132" i="3"/>
  <c r="Y134" i="3" s="1"/>
  <c r="AI132" i="3"/>
  <c r="AI134" i="3" s="1"/>
  <c r="K132" i="3"/>
  <c r="K134" i="3" s="1"/>
  <c r="AC132" i="3"/>
  <c r="AC134" i="3" s="1"/>
  <c r="V132" i="3"/>
  <c r="V134" i="3" s="1"/>
  <c r="U132" i="3"/>
  <c r="U134" i="3" s="1"/>
  <c r="AF132" i="3"/>
  <c r="AF134" i="3" s="1"/>
  <c r="AG132" i="3"/>
  <c r="AG134" i="3" s="1"/>
  <c r="S132" i="3"/>
  <c r="S134" i="3" s="1"/>
  <c r="AB132" i="3"/>
  <c r="AB134" i="3" s="1"/>
  <c r="M132" i="3"/>
  <c r="M134" i="3" s="1"/>
  <c r="O132" i="3"/>
  <c r="O134" i="3" s="1"/>
  <c r="N132" i="3"/>
  <c r="N134" i="3" s="1"/>
  <c r="I132" i="3"/>
  <c r="I134" i="3" s="1"/>
  <c r="Q132" i="3"/>
  <c r="Q134" i="3" s="1"/>
  <c r="Z132" i="3"/>
  <c r="Z134" i="3" s="1"/>
  <c r="AD132" i="3"/>
  <c r="AD134" i="3" s="1"/>
  <c r="AJ132" i="3"/>
  <c r="AJ134" i="3" s="1"/>
  <c r="AH132" i="3"/>
  <c r="AH134" i="3" s="1"/>
  <c r="AE132" i="3"/>
  <c r="AE134" i="3" s="1"/>
  <c r="Q88" i="3"/>
  <c r="Q90" i="3" s="1"/>
  <c r="AB88" i="3"/>
  <c r="AB90" i="3" s="1"/>
  <c r="J132" i="3"/>
  <c r="J134" i="3" s="1"/>
  <c r="G132" i="3"/>
  <c r="G134" i="3" s="1"/>
  <c r="H132" i="3"/>
  <c r="H134" i="3" s="1"/>
  <c r="R132" i="3"/>
  <c r="R134" i="3" s="1"/>
  <c r="F132" i="3"/>
  <c r="F134" i="3" s="1"/>
  <c r="L132" i="3"/>
  <c r="L134" i="3" s="1"/>
  <c r="AT111" i="3"/>
  <c r="J88" i="3"/>
  <c r="J90" i="3" s="1"/>
  <c r="M88" i="3"/>
  <c r="M90" i="3" s="1"/>
  <c r="S88" i="3"/>
  <c r="S90" i="3" s="1"/>
  <c r="V88" i="3"/>
  <c r="V90" i="3" s="1"/>
  <c r="AN88" i="3"/>
  <c r="AN90" i="3" s="1"/>
  <c r="Z111" i="3"/>
  <c r="Z114" i="3" s="1"/>
  <c r="AA88" i="3"/>
  <c r="AA90" i="3" s="1"/>
  <c r="AL88" i="3"/>
  <c r="AL90" i="3" s="1"/>
  <c r="AR111" i="3"/>
  <c r="AR114" i="3" s="1"/>
  <c r="G88" i="3"/>
  <c r="G90" i="3" s="1"/>
  <c r="AD88" i="3"/>
  <c r="AP88" i="3"/>
  <c r="AP90" i="3" s="1"/>
  <c r="AI88" i="3"/>
  <c r="AI90" i="3" s="1"/>
  <c r="T88" i="3"/>
  <c r="T90" i="3" s="1"/>
  <c r="BB111" i="3"/>
  <c r="BB114" i="3" s="1"/>
  <c r="Q111" i="3"/>
  <c r="Q114" i="3" s="1"/>
  <c r="AS88" i="3"/>
  <c r="AS90" i="3" s="1"/>
  <c r="Y88" i="3"/>
  <c r="Y90" i="3" s="1"/>
  <c r="AI111" i="3"/>
  <c r="AI114" i="3" s="1"/>
  <c r="AC88" i="3"/>
  <c r="AC90" i="3" s="1"/>
  <c r="AE88" i="3"/>
  <c r="AE90" i="3" s="1"/>
  <c r="BQ111" i="3"/>
  <c r="BQ114" i="3" s="1"/>
  <c r="AC111" i="3"/>
  <c r="AC114" i="3" s="1"/>
  <c r="AY111" i="3"/>
  <c r="AY114" i="3" s="1"/>
  <c r="AR88" i="3"/>
  <c r="AR90" i="3" s="1"/>
  <c r="P111" i="3"/>
  <c r="P114" i="3" s="1"/>
  <c r="I111" i="3"/>
  <c r="I114" i="3" s="1"/>
  <c r="N88" i="3"/>
  <c r="N90" i="3" s="1"/>
  <c r="BP111" i="3"/>
  <c r="BP114" i="3" s="1"/>
  <c r="AO88" i="3"/>
  <c r="AO90" i="3" s="1"/>
  <c r="G111" i="3"/>
  <c r="G114" i="3" s="1"/>
  <c r="BV111" i="3"/>
  <c r="BV114" i="3" s="1"/>
  <c r="L111" i="3"/>
  <c r="L114" i="3" s="1"/>
  <c r="AD111" i="3"/>
  <c r="AD114" i="3" s="1"/>
  <c r="AN111" i="3"/>
  <c r="AN114" i="3" s="1"/>
  <c r="AA111" i="3"/>
  <c r="AA114" i="3" s="1"/>
  <c r="BF111" i="3"/>
  <c r="BF114" i="3" s="1"/>
  <c r="BM111" i="3"/>
  <c r="BM114" i="3" s="1"/>
  <c r="BU111" i="3"/>
  <c r="BU114" i="3" s="1"/>
  <c r="BR111" i="3"/>
  <c r="BR114" i="3" s="1"/>
  <c r="AS111" i="3"/>
  <c r="AS114" i="3" s="1"/>
  <c r="R111" i="3"/>
  <c r="R114" i="3" s="1"/>
  <c r="BE111" i="3"/>
  <c r="BE114" i="3" s="1"/>
  <c r="AP111" i="3"/>
  <c r="AP114" i="3" s="1"/>
  <c r="S111" i="3"/>
  <c r="S114" i="3" s="1"/>
  <c r="J111" i="3"/>
  <c r="J114" i="3" s="1"/>
  <c r="N111" i="3"/>
  <c r="N114" i="3" s="1"/>
  <c r="AF111" i="3"/>
  <c r="AF114" i="3" s="1"/>
  <c r="AH111" i="3"/>
  <c r="AH114" i="3" s="1"/>
  <c r="AG111" i="3"/>
  <c r="AG114" i="3" s="1"/>
  <c r="T111" i="3"/>
  <c r="T114" i="3" s="1"/>
  <c r="AL111" i="3"/>
  <c r="AL114" i="3" s="1"/>
  <c r="Y111" i="3"/>
  <c r="Y114" i="3" s="1"/>
  <c r="BI111" i="3"/>
  <c r="BI114" i="3" s="1"/>
  <c r="H111" i="3"/>
  <c r="H114" i="3" s="1"/>
  <c r="F111" i="3"/>
  <c r="F114" i="3" s="1"/>
  <c r="W111" i="3"/>
  <c r="W114" i="3" s="1"/>
  <c r="V111" i="3"/>
  <c r="V114" i="3" s="1"/>
  <c r="K111" i="3"/>
  <c r="K114" i="3" s="1"/>
  <c r="AB111" i="3"/>
  <c r="AB114" i="3" s="1"/>
  <c r="AZ111" i="3"/>
  <c r="AZ114" i="3" s="1"/>
  <c r="M111" i="3"/>
  <c r="M114" i="3" s="1"/>
  <c r="BN111" i="3"/>
  <c r="BN114" i="3" s="1"/>
  <c r="BT111" i="3"/>
  <c r="BT114" i="3" s="1"/>
  <c r="AU111" i="3"/>
  <c r="AU114" i="3" s="1"/>
  <c r="AO111" i="3"/>
  <c r="AO114" i="3" s="1"/>
  <c r="BG111" i="3"/>
  <c r="BG114" i="3" s="1"/>
  <c r="BJ111" i="3"/>
  <c r="BJ114" i="3" s="1"/>
  <c r="AJ111" i="3"/>
  <c r="AJ114" i="3" s="1"/>
  <c r="AX111" i="3"/>
  <c r="AX114" i="3" s="1"/>
  <c r="BL111" i="3"/>
  <c r="BL114" i="3" s="1"/>
  <c r="AM111" i="3"/>
  <c r="AM114" i="3" s="1"/>
  <c r="AV111" i="3"/>
  <c r="AV114" i="3" s="1"/>
  <c r="O111" i="3"/>
  <c r="O114" i="3" s="1"/>
  <c r="AE111" i="3"/>
  <c r="AE114" i="3" s="1"/>
  <c r="U111" i="3"/>
  <c r="U114" i="3" s="1"/>
  <c r="BC111" i="3"/>
  <c r="BC114" i="3" s="1"/>
  <c r="BO111" i="3"/>
  <c r="BO114" i="3" s="1"/>
  <c r="BA111" i="3"/>
  <c r="BA114" i="3" s="1"/>
  <c r="H88" i="3"/>
  <c r="H90" i="3" s="1"/>
  <c r="L88" i="3"/>
  <c r="L90" i="3" s="1"/>
  <c r="AX81" i="3"/>
  <c r="P88" i="3"/>
  <c r="P90" i="3" s="1"/>
  <c r="U88" i="3"/>
  <c r="U90" i="3" s="1"/>
  <c r="R81" i="3"/>
  <c r="AK81" i="3"/>
  <c r="AT88" i="3"/>
  <c r="AT90" i="3" s="1"/>
  <c r="F88" i="3"/>
  <c r="F90" i="3" s="1"/>
  <c r="AL129" i="3"/>
  <c r="B189" i="3" s="1"/>
  <c r="AL122" i="3"/>
  <c r="AL120" i="3"/>
  <c r="AY79" i="3"/>
  <c r="AL128" i="3"/>
  <c r="AL124" i="3"/>
  <c r="AY80" i="3"/>
  <c r="BX99" i="3"/>
  <c r="K90" i="3"/>
  <c r="AY76" i="3"/>
  <c r="B167" i="3" s="1"/>
  <c r="AL121" i="3"/>
  <c r="BD101" i="3"/>
  <c r="AY77" i="3"/>
  <c r="BH114" i="3"/>
  <c r="BW108" i="3"/>
  <c r="BW101" i="3"/>
  <c r="AD90" i="3"/>
  <c r="BX100" i="3"/>
  <c r="B169" i="3" s="1"/>
  <c r="B317" i="1"/>
  <c r="B318" i="1"/>
  <c r="X101" i="3"/>
  <c r="M16" i="1"/>
  <c r="AY75" i="3"/>
  <c r="B162" i="3" s="1"/>
  <c r="BX106" i="3"/>
  <c r="B188" i="3" s="1"/>
  <c r="X108" i="3"/>
  <c r="AW114" i="3"/>
  <c r="AQ90" i="3"/>
  <c r="AK125" i="3"/>
  <c r="R86" i="3"/>
  <c r="AK114" i="3"/>
  <c r="AQ101" i="3"/>
  <c r="AX86" i="3"/>
  <c r="BX105" i="3"/>
  <c r="B187" i="3" s="1"/>
  <c r="X125" i="3"/>
  <c r="AQ108" i="3"/>
  <c r="AK86" i="3"/>
  <c r="BD108" i="3"/>
  <c r="AT114" i="3"/>
  <c r="BX96" i="3"/>
  <c r="BX107" i="3"/>
  <c r="BX97" i="3"/>
  <c r="AL123" i="3"/>
  <c r="B171" i="3" s="1"/>
  <c r="BS114" i="3"/>
  <c r="AY85" i="3"/>
  <c r="B185" i="3" s="1"/>
  <c r="BK114" i="3"/>
  <c r="AL119" i="3"/>
  <c r="L157" i="3"/>
  <c r="BX98" i="3"/>
  <c r="BX95" i="3"/>
  <c r="AY84" i="3"/>
  <c r="AY78" i="3"/>
  <c r="G136" i="1"/>
  <c r="G264" i="1"/>
  <c r="BX104" i="3"/>
  <c r="B186" i="3" s="1"/>
  <c r="G92" i="1"/>
  <c r="C317" i="1"/>
  <c r="C318" i="1"/>
  <c r="G194" i="1"/>
  <c r="M301" i="1"/>
  <c r="G304" i="1"/>
  <c r="C312" i="1"/>
  <c r="C316" i="1"/>
  <c r="C313" i="1"/>
  <c r="M303" i="1"/>
  <c r="M308" i="1" s="1"/>
  <c r="E321" i="1" s="1"/>
  <c r="C315" i="1"/>
  <c r="G286" i="1"/>
  <c r="G305" i="1"/>
  <c r="G65" i="1"/>
  <c r="G174" i="1"/>
  <c r="G232" i="1"/>
  <c r="G29" i="1"/>
  <c r="AN37" i="3"/>
  <c r="AN38" i="3"/>
  <c r="AN39" i="3"/>
  <c r="AN40" i="3"/>
  <c r="AN41" i="3"/>
  <c r="AN42" i="3"/>
  <c r="AN43" i="3"/>
  <c r="F314" i="1" l="1"/>
  <c r="F316" i="1"/>
  <c r="B184" i="3"/>
  <c r="B190" i="3" s="1"/>
  <c r="AX88" i="3"/>
  <c r="AX90" i="3" s="1"/>
  <c r="AL130" i="3"/>
  <c r="BD111" i="3"/>
  <c r="BD114" i="3" s="1"/>
  <c r="X132" i="3"/>
  <c r="X134" i="3" s="1"/>
  <c r="AK132" i="3"/>
  <c r="AK134" i="3" s="1"/>
  <c r="BW111" i="3"/>
  <c r="BW114" i="3" s="1"/>
  <c r="AQ111" i="3"/>
  <c r="AQ114" i="3" s="1"/>
  <c r="X111" i="3"/>
  <c r="X114" i="3" s="1"/>
  <c r="AY81" i="3"/>
  <c r="AK88" i="3"/>
  <c r="AK90" i="3" s="1"/>
  <c r="R88" i="3"/>
  <c r="R90" i="3" s="1"/>
  <c r="B166" i="3"/>
  <c r="B165" i="3"/>
  <c r="B173" i="3"/>
  <c r="B164" i="3"/>
  <c r="AY86" i="3"/>
  <c r="BX101" i="3"/>
  <c r="F317" i="1"/>
  <c r="F318" i="1"/>
  <c r="F315" i="1"/>
  <c r="B168" i="3"/>
  <c r="AL125" i="3"/>
  <c r="BX108" i="3"/>
  <c r="G287" i="1"/>
  <c r="F313" i="1"/>
  <c r="F312" i="1"/>
  <c r="G93" i="1"/>
  <c r="G233" i="1"/>
  <c r="AN44" i="3"/>
  <c r="B177" i="3" l="1"/>
  <c r="B180" i="3" s="1"/>
  <c r="AL132" i="3"/>
  <c r="AL134" i="3" s="1"/>
  <c r="BX111" i="3"/>
  <c r="BX114" i="3" s="1"/>
  <c r="AY88" i="3"/>
  <c r="AY90" i="3" s="1"/>
  <c r="H283" i="2"/>
  <c r="G283" i="2"/>
  <c r="F283" i="2"/>
  <c r="E283" i="2"/>
  <c r="H282" i="2"/>
  <c r="G282" i="2"/>
  <c r="F282" i="2"/>
  <c r="E282" i="2"/>
  <c r="D282" i="2"/>
  <c r="D288" i="2" s="1"/>
  <c r="C282" i="2"/>
  <c r="G288" i="2" l="1"/>
  <c r="H288" i="2"/>
  <c r="J282" i="2"/>
  <c r="E288" i="2"/>
  <c r="F288" i="2"/>
  <c r="C288" i="2"/>
  <c r="L62" i="3"/>
  <c r="L61" i="3"/>
  <c r="L60" i="3"/>
  <c r="L59" i="3"/>
  <c r="L58" i="3"/>
  <c r="L57" i="3"/>
  <c r="AK43" i="3"/>
  <c r="X43" i="3"/>
  <c r="AK42" i="3"/>
  <c r="X42" i="3"/>
  <c r="AK41" i="3"/>
  <c r="W44" i="3"/>
  <c r="X41" i="3"/>
  <c r="AK40" i="3"/>
  <c r="P44" i="3"/>
  <c r="X40" i="3"/>
  <c r="AK39" i="3"/>
  <c r="X39" i="3"/>
  <c r="AK38" i="3"/>
  <c r="X38" i="3"/>
  <c r="AK37" i="3"/>
  <c r="X37" i="3"/>
  <c r="AJ44" i="3"/>
  <c r="AI44" i="3"/>
  <c r="AH44" i="3"/>
  <c r="AG44" i="3"/>
  <c r="AF44" i="3"/>
  <c r="AE44" i="3"/>
  <c r="AD44" i="3"/>
  <c r="AC44" i="3"/>
  <c r="AB44" i="3"/>
  <c r="AA44" i="3"/>
  <c r="Z44" i="3"/>
  <c r="Y44" i="3"/>
  <c r="V44" i="3"/>
  <c r="U44" i="3"/>
  <c r="T44" i="3"/>
  <c r="S44" i="3"/>
  <c r="R44" i="3"/>
  <c r="Q44" i="3"/>
  <c r="O44" i="3"/>
  <c r="N44" i="3"/>
  <c r="M44" i="3"/>
  <c r="L44" i="3"/>
  <c r="K44" i="3"/>
  <c r="J44" i="3"/>
  <c r="I44" i="3"/>
  <c r="G44" i="3"/>
  <c r="F44" i="3"/>
  <c r="AE30" i="3"/>
  <c r="BO30" i="3"/>
  <c r="BG30" i="3"/>
  <c r="AY30" i="3"/>
  <c r="BD22" i="3"/>
  <c r="BX22" i="3" s="1"/>
  <c r="P30" i="3"/>
  <c r="H30" i="3"/>
  <c r="BD21" i="3"/>
  <c r="BX21" i="3" s="1"/>
  <c r="BV30" i="3"/>
  <c r="BU30" i="3"/>
  <c r="BT30" i="3"/>
  <c r="BS30" i="3"/>
  <c r="BR30" i="3"/>
  <c r="BQ30" i="3"/>
  <c r="BP30" i="3"/>
  <c r="BN30" i="3"/>
  <c r="BM30" i="3"/>
  <c r="BL30" i="3"/>
  <c r="BK30" i="3"/>
  <c r="BJ30" i="3"/>
  <c r="BI30" i="3"/>
  <c r="BH30" i="3"/>
  <c r="BF30" i="3"/>
  <c r="BE30" i="3"/>
  <c r="BC30" i="3"/>
  <c r="BB30" i="3"/>
  <c r="BA30" i="3"/>
  <c r="AZ30" i="3"/>
  <c r="AX30" i="3"/>
  <c r="AW30" i="3"/>
  <c r="AV30" i="3"/>
  <c r="AU30" i="3"/>
  <c r="AT30" i="3"/>
  <c r="AS30" i="3"/>
  <c r="AR30" i="3"/>
  <c r="AP30" i="3"/>
  <c r="AO30" i="3"/>
  <c r="AN30" i="3"/>
  <c r="AM30" i="3"/>
  <c r="AL30" i="3"/>
  <c r="AK30" i="3"/>
  <c r="AJ30" i="3"/>
  <c r="AI30" i="3"/>
  <c r="AH30" i="3"/>
  <c r="AG30" i="3"/>
  <c r="AF30" i="3"/>
  <c r="AD30" i="3"/>
  <c r="AC30" i="3"/>
  <c r="AB30" i="3"/>
  <c r="AA30" i="3"/>
  <c r="Z30" i="3"/>
  <c r="AQ20" i="3"/>
  <c r="W30" i="3"/>
  <c r="V30" i="3"/>
  <c r="U30" i="3"/>
  <c r="T30" i="3"/>
  <c r="S30" i="3"/>
  <c r="R30" i="3"/>
  <c r="Q30" i="3"/>
  <c r="O30" i="3"/>
  <c r="N30" i="3"/>
  <c r="M30" i="3"/>
  <c r="L30" i="3"/>
  <c r="K30" i="3"/>
  <c r="J30" i="3"/>
  <c r="I30" i="3"/>
  <c r="G30" i="3"/>
  <c r="F30" i="3"/>
  <c r="AA14" i="3"/>
  <c r="Z14" i="3"/>
  <c r="M14" i="3"/>
  <c r="K14" i="3"/>
  <c r="J14" i="3"/>
  <c r="I14" i="3"/>
  <c r="H14" i="3"/>
  <c r="G14" i="3"/>
  <c r="AQ14" i="3"/>
  <c r="AJ14" i="3"/>
  <c r="AC14" i="3"/>
  <c r="U14" i="3"/>
  <c r="Q14" i="3"/>
  <c r="P14" i="3"/>
  <c r="O14" i="3"/>
  <c r="N14" i="3"/>
  <c r="L14" i="3"/>
  <c r="AW14" i="3"/>
  <c r="AV14" i="3"/>
  <c r="AU14" i="3"/>
  <c r="AT14" i="3"/>
  <c r="AS14" i="3"/>
  <c r="AR14" i="3"/>
  <c r="AP14" i="3"/>
  <c r="AO14" i="3"/>
  <c r="AN14" i="3"/>
  <c r="AM14" i="3"/>
  <c r="AL14" i="3"/>
  <c r="AI14" i="3"/>
  <c r="AH14" i="3"/>
  <c r="AG14" i="3"/>
  <c r="AF14" i="3"/>
  <c r="AE14" i="3"/>
  <c r="AD14" i="3"/>
  <c r="AB14" i="3"/>
  <c r="Y14" i="3"/>
  <c r="X14" i="3"/>
  <c r="W14" i="3"/>
  <c r="V14" i="3"/>
  <c r="T14" i="3"/>
  <c r="S14" i="3"/>
  <c r="R6" i="3"/>
  <c r="F14" i="3"/>
  <c r="L307" i="1"/>
  <c r="K307" i="1"/>
  <c r="J307" i="1"/>
  <c r="I307" i="1"/>
  <c r="H307" i="1"/>
  <c r="L306" i="1"/>
  <c r="K306" i="1"/>
  <c r="J306" i="1"/>
  <c r="I306" i="1"/>
  <c r="H306" i="1"/>
  <c r="L290" i="1"/>
  <c r="K290" i="1"/>
  <c r="J290" i="1"/>
  <c r="I290" i="1"/>
  <c r="H290" i="1"/>
  <c r="L289" i="1"/>
  <c r="K289" i="1"/>
  <c r="J289" i="1"/>
  <c r="I289" i="1"/>
  <c r="H289" i="1"/>
  <c r="L288" i="1"/>
  <c r="K288" i="1"/>
  <c r="J288" i="1"/>
  <c r="I288" i="1"/>
  <c r="H288" i="1"/>
  <c r="L235" i="1"/>
  <c r="K235" i="1"/>
  <c r="J235" i="1"/>
  <c r="I235" i="1"/>
  <c r="H235" i="1"/>
  <c r="L234" i="1"/>
  <c r="K234" i="1"/>
  <c r="J234" i="1"/>
  <c r="I234" i="1"/>
  <c r="H234" i="1"/>
  <c r="L95" i="1"/>
  <c r="K95" i="1"/>
  <c r="J95" i="1"/>
  <c r="I95" i="1"/>
  <c r="H95" i="1"/>
  <c r="L94" i="1"/>
  <c r="K94" i="1"/>
  <c r="J94" i="1"/>
  <c r="I94" i="1"/>
  <c r="H94" i="1"/>
  <c r="H91" i="1"/>
  <c r="I91" i="1"/>
  <c r="J91" i="1"/>
  <c r="H16" i="1"/>
  <c r="K16" i="1"/>
  <c r="L16" i="1"/>
  <c r="I16" i="1"/>
  <c r="J16" i="1"/>
  <c r="J28" i="1"/>
  <c r="I28" i="1"/>
  <c r="H28" i="1"/>
  <c r="K28" i="1"/>
  <c r="L28" i="1"/>
  <c r="K41" i="1"/>
  <c r="H41" i="1"/>
  <c r="L41" i="1"/>
  <c r="I41" i="1"/>
  <c r="J41" i="1"/>
  <c r="J53" i="1"/>
  <c r="I53" i="1"/>
  <c r="K53" i="1"/>
  <c r="H53" i="1"/>
  <c r="L53" i="1"/>
  <c r="J64" i="1"/>
  <c r="K64" i="1"/>
  <c r="H64" i="1"/>
  <c r="L64" i="1"/>
  <c r="I64" i="1"/>
  <c r="H79" i="1"/>
  <c r="L79" i="1"/>
  <c r="J79" i="1"/>
  <c r="K79" i="1"/>
  <c r="K91" i="1"/>
  <c r="I109" i="1"/>
  <c r="J109" i="1"/>
  <c r="H109" i="1"/>
  <c r="K109" i="1"/>
  <c r="L109" i="1"/>
  <c r="I122" i="1"/>
  <c r="J122" i="1"/>
  <c r="K122" i="1"/>
  <c r="L122" i="1"/>
  <c r="H122" i="1"/>
  <c r="I135" i="1"/>
  <c r="J135" i="1"/>
  <c r="H135" i="1"/>
  <c r="K135" i="1"/>
  <c r="L135" i="1"/>
  <c r="H149" i="1"/>
  <c r="K149" i="1"/>
  <c r="L149" i="1"/>
  <c r="I149" i="1"/>
  <c r="J149" i="1"/>
  <c r="J160" i="1"/>
  <c r="I160" i="1"/>
  <c r="H160" i="1"/>
  <c r="K160" i="1"/>
  <c r="L160" i="1"/>
  <c r="K173" i="1"/>
  <c r="H173" i="1"/>
  <c r="I173" i="1"/>
  <c r="L173" i="1"/>
  <c r="J181" i="1"/>
  <c r="I181" i="1"/>
  <c r="K181" i="1"/>
  <c r="H181" i="1"/>
  <c r="L181" i="1"/>
  <c r="J193" i="1"/>
  <c r="K193" i="1"/>
  <c r="H193" i="1"/>
  <c r="L193" i="1"/>
  <c r="L207" i="1"/>
  <c r="H207" i="1"/>
  <c r="K207" i="1"/>
  <c r="J207" i="1"/>
  <c r="K219" i="1"/>
  <c r="H219" i="1"/>
  <c r="L219" i="1"/>
  <c r="I219" i="1"/>
  <c r="H231" i="1"/>
  <c r="K231" i="1"/>
  <c r="L231" i="1"/>
  <c r="I231" i="1"/>
  <c r="J231" i="1"/>
  <c r="I243" i="1"/>
  <c r="J243" i="1"/>
  <c r="K243" i="1"/>
  <c r="H243" i="1"/>
  <c r="L243" i="1"/>
  <c r="H255" i="1"/>
  <c r="L255" i="1"/>
  <c r="I255" i="1"/>
  <c r="J255" i="1"/>
  <c r="K255" i="1"/>
  <c r="H263" i="1"/>
  <c r="I263" i="1"/>
  <c r="J263" i="1"/>
  <c r="K263" i="1"/>
  <c r="L263" i="1"/>
  <c r="H273" i="1"/>
  <c r="I273" i="1"/>
  <c r="J273" i="1"/>
  <c r="K273" i="1"/>
  <c r="L273" i="1"/>
  <c r="H285" i="1"/>
  <c r="I285" i="1"/>
  <c r="J285" i="1"/>
  <c r="K285" i="1"/>
  <c r="L285" i="1"/>
  <c r="I293" i="1"/>
  <c r="I294" i="1" s="1"/>
  <c r="I295" i="1" s="1"/>
  <c r="J293" i="1"/>
  <c r="J294" i="1" s="1"/>
  <c r="J295" i="1" s="1"/>
  <c r="L293" i="1"/>
  <c r="L294" i="1" s="1"/>
  <c r="L295" i="1" s="1"/>
  <c r="K293" i="1"/>
  <c r="K294" i="1" s="1"/>
  <c r="K295" i="1" s="1"/>
  <c r="J288" i="2" l="1"/>
  <c r="M290" i="1"/>
  <c r="I304" i="1"/>
  <c r="J304" i="1"/>
  <c r="L304" i="1"/>
  <c r="M288" i="1"/>
  <c r="K304" i="1"/>
  <c r="M95" i="1"/>
  <c r="M307" i="1"/>
  <c r="M235" i="1"/>
  <c r="M94" i="1"/>
  <c r="M306" i="1"/>
  <c r="M289" i="1"/>
  <c r="M234" i="1"/>
  <c r="L305" i="1"/>
  <c r="K305" i="1"/>
  <c r="AL37" i="3"/>
  <c r="AL39" i="3"/>
  <c r="AL40" i="3"/>
  <c r="R14" i="3"/>
  <c r="AL38" i="3"/>
  <c r="AL42" i="3"/>
  <c r="AL43" i="3"/>
  <c r="AQ30" i="3"/>
  <c r="AL41" i="3"/>
  <c r="AK36" i="3"/>
  <c r="AK44" i="3" s="1"/>
  <c r="Y30" i="3"/>
  <c r="H44" i="3"/>
  <c r="AK6" i="3"/>
  <c r="AK14" i="3" s="1"/>
  <c r="BD20" i="3"/>
  <c r="BD30" i="3" s="1"/>
  <c r="X20" i="3"/>
  <c r="X36" i="3"/>
  <c r="L63" i="3"/>
  <c r="BW20" i="3"/>
  <c r="BW30" i="3" s="1"/>
  <c r="AX6" i="3"/>
  <c r="AX14" i="3" s="1"/>
  <c r="K286" i="1"/>
  <c r="L136" i="1"/>
  <c r="K29" i="1"/>
  <c r="L264" i="1"/>
  <c r="H194" i="1"/>
  <c r="L286" i="1"/>
  <c r="H286" i="1"/>
  <c r="I286" i="1"/>
  <c r="K264" i="1"/>
  <c r="K287" i="1" s="1"/>
  <c r="H264" i="1"/>
  <c r="I264" i="1"/>
  <c r="J194" i="1"/>
  <c r="L194" i="1"/>
  <c r="L174" i="1"/>
  <c r="I174" i="1"/>
  <c r="H92" i="1"/>
  <c r="L91" i="1"/>
  <c r="L92" i="1" s="1"/>
  <c r="J65" i="1"/>
  <c r="H29" i="1"/>
  <c r="L29" i="1"/>
  <c r="K194" i="1"/>
  <c r="K65" i="1"/>
  <c r="J286" i="1"/>
  <c r="H174" i="1"/>
  <c r="K92" i="1"/>
  <c r="L65" i="1"/>
  <c r="I29" i="1"/>
  <c r="H136" i="1"/>
  <c r="K232" i="1"/>
  <c r="K174" i="1"/>
  <c r="J264" i="1"/>
  <c r="J92" i="1"/>
  <c r="I65" i="1"/>
  <c r="H65" i="1"/>
  <c r="L232" i="1"/>
  <c r="K136" i="1"/>
  <c r="I136" i="1"/>
  <c r="J29" i="1"/>
  <c r="H232" i="1"/>
  <c r="J136" i="1"/>
  <c r="J173" i="1"/>
  <c r="J174" i="1" s="1"/>
  <c r="J305" i="1"/>
  <c r="I207" i="1"/>
  <c r="I232" i="1" s="1"/>
  <c r="I79" i="1"/>
  <c r="I92" i="1" s="1"/>
  <c r="H293" i="1"/>
  <c r="H294" i="1" s="1"/>
  <c r="H295" i="1" s="1"/>
  <c r="H305" i="1" s="1"/>
  <c r="J219" i="1"/>
  <c r="J232" i="1" s="1"/>
  <c r="I193" i="1"/>
  <c r="I194" i="1" s="1"/>
  <c r="J287" i="1" l="1"/>
  <c r="K233" i="1"/>
  <c r="L287" i="1"/>
  <c r="I287" i="1"/>
  <c r="J93" i="1"/>
  <c r="H304" i="1"/>
  <c r="I233" i="1"/>
  <c r="L93" i="1"/>
  <c r="I93" i="1"/>
  <c r="H93" i="1"/>
  <c r="M29" i="1"/>
  <c r="K93" i="1"/>
  <c r="H233" i="1"/>
  <c r="H287" i="1"/>
  <c r="L233" i="1"/>
  <c r="M302" i="1"/>
  <c r="J233" i="1"/>
  <c r="I305" i="1"/>
  <c r="AL36" i="3"/>
  <c r="AL44" i="3" s="1"/>
  <c r="X44" i="3"/>
  <c r="BX20" i="3"/>
  <c r="BX30" i="3" s="1"/>
  <c r="X30" i="3"/>
  <c r="AY6" i="3"/>
  <c r="AY14" i="3" s="1"/>
  <c r="M181" i="1"/>
  <c r="M231" i="1"/>
  <c r="M207" i="1"/>
  <c r="M255" i="1"/>
  <c r="M109" i="1"/>
  <c r="D321" i="1"/>
  <c r="M53" i="1"/>
  <c r="M122" i="1"/>
  <c r="M263" i="1"/>
  <c r="M285" i="1"/>
  <c r="M79" i="1"/>
  <c r="M193" i="1"/>
  <c r="AN53" i="3"/>
  <c r="M273" i="1"/>
  <c r="M91" i="1"/>
  <c r="M64" i="1"/>
  <c r="M135" i="1"/>
  <c r="M173" i="1"/>
  <c r="M28" i="1"/>
  <c r="M41" i="1"/>
  <c r="M149" i="1"/>
  <c r="M243" i="1"/>
  <c r="C321" i="1"/>
  <c r="M160" i="1"/>
  <c r="M219" i="1"/>
  <c r="M293" i="1"/>
  <c r="M294" i="1" s="1"/>
  <c r="M295" i="1" s="1"/>
  <c r="M304" i="1" s="1"/>
  <c r="F321" i="1" s="1"/>
  <c r="M92" i="1" l="1"/>
  <c r="M65" i="1"/>
  <c r="M264" i="1"/>
  <c r="M305" i="1"/>
  <c r="B321" i="1" s="1"/>
  <c r="M232" i="1"/>
  <c r="M174" i="1"/>
  <c r="M136" i="1"/>
  <c r="M286" i="1"/>
  <c r="M194" i="1"/>
  <c r="M93" i="1" l="1"/>
  <c r="M233" i="1"/>
  <c r="M287" i="1"/>
  <c r="I312" i="1" l="1"/>
  <c r="I315" i="1" l="1"/>
  <c r="I314" i="1"/>
  <c r="I320" i="1"/>
  <c r="I318" i="1"/>
  <c r="I313" i="1"/>
  <c r="I317" i="1"/>
  <c r="I319" i="1"/>
  <c r="I3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tc={0F4A335A-86B1-41AC-9B07-9D014EC87034}</author>
  </authors>
  <commentList>
    <comment ref="D311" authorId="0" shapeId="0" xr:uid="{0F4A335A-86B1-41AC-9B07-9D014EC87034}">
      <text>
        <t>[Threaded comment]
Your version of Excel allows you to read this threaded comment; however, any edits to it will get removed if the file is opened in a newer version of Excel. Learn more: https://go.microsoft.com/fwlink/?linkid=870924
Comment:
    3.	For DFAT co-financier, the budget can be made in budget account description as follow: ‘budget headings: total activity personnel, non-personal direct program costs, in-county support and M&amp;E.’. Please provide more information on the excel file.</t>
      </text>
    </comment>
  </commentList>
</comments>
</file>

<file path=xl/sharedStrings.xml><?xml version="1.0" encoding="utf-8"?>
<sst xmlns="http://schemas.openxmlformats.org/spreadsheetml/2006/main" count="2557" uniqueCount="857">
  <si>
    <t>FP_SCA_VAN_VCCRP_Annex 4: Detailed Budget Plan</t>
  </si>
  <si>
    <t>Project/Programme Title:</t>
  </si>
  <si>
    <t>Vanuatu community-based climate resilience project (VCCRP)</t>
  </si>
  <si>
    <t>AE: Save the Children Australia</t>
  </si>
  <si>
    <t>Component</t>
  </si>
  <si>
    <t>Output</t>
  </si>
  <si>
    <t>Activity</t>
  </si>
  <si>
    <t>Financing Source</t>
  </si>
  <si>
    <t xml:space="preserve">Budget Account Description </t>
  </si>
  <si>
    <t>Notes and Assumptions*</t>
  </si>
  <si>
    <t>Amount Year 1 (USD)</t>
  </si>
  <si>
    <t>Amount Year 2 (USD)</t>
  </si>
  <si>
    <t>Amount Year 3 (USD)</t>
  </si>
  <si>
    <t>Amount Year 4 (USD)</t>
  </si>
  <si>
    <t>Amount Year 5 (USD)</t>
  </si>
  <si>
    <t>Amount Year 6 (USD)</t>
  </si>
  <si>
    <t>Total (USD)</t>
  </si>
  <si>
    <t>Component 1:   Government, civil society and communities are strengthened to support local resilience to climate change impacts, including by providing access to climate information and early warnings</t>
  </si>
  <si>
    <t>Output 1.1 Community-based climate change adaptation and disaster risk reduction mechanisms are strengthened</t>
  </si>
  <si>
    <t>Activity 1.1.1 Establish CDCCCs (where necessary) and build their capacity, including strengthening social inclusion and gender-balance.</t>
  </si>
  <si>
    <t>GCF</t>
  </si>
  <si>
    <t xml:space="preserve">Staff Cost </t>
  </si>
  <si>
    <t>A1</t>
  </si>
  <si>
    <t>Local consultants</t>
  </si>
  <si>
    <t>A2</t>
  </si>
  <si>
    <t>International consultant</t>
  </si>
  <si>
    <t>A3</t>
  </si>
  <si>
    <t>Equipment</t>
  </si>
  <si>
    <t>A4</t>
  </si>
  <si>
    <t>Training, workshops, and conference</t>
  </si>
  <si>
    <t>A5</t>
  </si>
  <si>
    <t>Travel</t>
  </si>
  <si>
    <t>A6</t>
  </si>
  <si>
    <t>Government of Vanuatu</t>
  </si>
  <si>
    <t>A7</t>
  </si>
  <si>
    <t>A8</t>
  </si>
  <si>
    <t>A9</t>
  </si>
  <si>
    <t>A10</t>
  </si>
  <si>
    <t xml:space="preserve">Professional/ Contractual Services </t>
  </si>
  <si>
    <t>A11</t>
  </si>
  <si>
    <t>Sub Total Activity 1.1.1</t>
  </si>
  <si>
    <t>Activity 1.1.2 Increase the capacity of CDCCC members in effectively identifying climate and disaster risk</t>
  </si>
  <si>
    <t>A12</t>
  </si>
  <si>
    <t>A13</t>
  </si>
  <si>
    <t>A14</t>
  </si>
  <si>
    <t>A15</t>
  </si>
  <si>
    <t>A16</t>
  </si>
  <si>
    <t>A17</t>
  </si>
  <si>
    <t>A18</t>
  </si>
  <si>
    <t>A19</t>
  </si>
  <si>
    <t>A20</t>
  </si>
  <si>
    <t>A21</t>
  </si>
  <si>
    <t>A22</t>
  </si>
  <si>
    <t>Sub Total Activity 1.1.2</t>
  </si>
  <si>
    <t>Sub Total Output 1.1</t>
  </si>
  <si>
    <t>Output 1.2 Communities have increased understanding of climate change impacts and are supported to develop inclusive local adaptation plans</t>
  </si>
  <si>
    <t>Activity 1.2.1 Community awareness raising on climate change risks to food systems, livelihoods and disaster risk via targeted IEC materials and information sessions managed by Area Council Climate Change Officers and CDCCCs</t>
  </si>
  <si>
    <t>A23</t>
  </si>
  <si>
    <t>A24</t>
  </si>
  <si>
    <t>A25</t>
  </si>
  <si>
    <t>A26</t>
  </si>
  <si>
    <t>A27</t>
  </si>
  <si>
    <t>A28</t>
  </si>
  <si>
    <t>A29</t>
  </si>
  <si>
    <t>A30</t>
  </si>
  <si>
    <t>A31</t>
  </si>
  <si>
    <t>A32</t>
  </si>
  <si>
    <t>A33</t>
  </si>
  <si>
    <t>Sub Total Activity 1.2.1</t>
  </si>
  <si>
    <t>Activity 1.2.2 Identify key local issues that drive climate vulnerability and use this to develop local adaptation plans and measure program impact</t>
  </si>
  <si>
    <t>A34</t>
  </si>
  <si>
    <t>A35</t>
  </si>
  <si>
    <t>A36</t>
  </si>
  <si>
    <t>A37</t>
  </si>
  <si>
    <t>A38</t>
  </si>
  <si>
    <t>A39</t>
  </si>
  <si>
    <t>A40</t>
  </si>
  <si>
    <t>A41</t>
  </si>
  <si>
    <t>A42</t>
  </si>
  <si>
    <t>A43</t>
  </si>
  <si>
    <t>A44</t>
  </si>
  <si>
    <t>Sub Total Activity 1.2.2</t>
  </si>
  <si>
    <t>Activity 1.2.3 Development of inclusive Community Adaptation Plans and identification of key resilience building actions (selected from adaptation package menu)</t>
  </si>
  <si>
    <t>A45</t>
  </si>
  <si>
    <t>A46</t>
  </si>
  <si>
    <t>A47</t>
  </si>
  <si>
    <t>A48</t>
  </si>
  <si>
    <t>A49</t>
  </si>
  <si>
    <t>A50</t>
  </si>
  <si>
    <t>A51</t>
  </si>
  <si>
    <t>A52</t>
  </si>
  <si>
    <t>A53</t>
  </si>
  <si>
    <t>A54</t>
  </si>
  <si>
    <t>A55</t>
  </si>
  <si>
    <t>Sub Total Activity 1.2.3</t>
  </si>
  <si>
    <t>Sub Total Output 1.2</t>
  </si>
  <si>
    <t>Output 1.3 Communities have increased access to climate information services and early warning systems and the skills to utilise them as adaptation tools</t>
  </si>
  <si>
    <t>Activity 1.3.1 Develop and distribute CIS IEC products to support community adaptation awareness raising and adaptation planning processes</t>
  </si>
  <si>
    <t>A56</t>
  </si>
  <si>
    <t>A57</t>
  </si>
  <si>
    <t>A58</t>
  </si>
  <si>
    <t>A59</t>
  </si>
  <si>
    <t>A60</t>
  </si>
  <si>
    <t>A61</t>
  </si>
  <si>
    <t>A62</t>
  </si>
  <si>
    <t>A63</t>
  </si>
  <si>
    <t>A64</t>
  </si>
  <si>
    <t>A65</t>
  </si>
  <si>
    <t>A66</t>
  </si>
  <si>
    <t>A67</t>
  </si>
  <si>
    <t>A68</t>
  </si>
  <si>
    <t>Sub Total Activity 1.3.1</t>
  </si>
  <si>
    <t>Activity 1.3.2 Build capacity of Area Council Climate Change Officers and CDCCCs to effectively utilize CIS in community planning processes</t>
  </si>
  <si>
    <t>A69</t>
  </si>
  <si>
    <t>A70</t>
  </si>
  <si>
    <t>A71</t>
  </si>
  <si>
    <t>A72</t>
  </si>
  <si>
    <t>A73</t>
  </si>
  <si>
    <t>A74</t>
  </si>
  <si>
    <t>A75</t>
  </si>
  <si>
    <t>A76</t>
  </si>
  <si>
    <t>A77</t>
  </si>
  <si>
    <t>Sub Total Activity 1.3.2</t>
  </si>
  <si>
    <t>Sub Total Output 1.3</t>
  </si>
  <si>
    <t>Total Component 1</t>
  </si>
  <si>
    <t>GCF Funded</t>
  </si>
  <si>
    <t>Component 2:     Scalable, locally appropriate actions are implemented to meet community adaptation needs to create climate-resilient, sustainable development pathways</t>
  </si>
  <si>
    <t>Output 2.1:   Local natural resources are more resilient to climate change impacts through implementation of nature-based solutions</t>
  </si>
  <si>
    <t>Activity 2.1.1 Support adaptations that strengthen or rehabilitate coastal protection barriers, reduce risk of flood/landslides and improve water-security through nature-based solutions</t>
  </si>
  <si>
    <t>B1</t>
  </si>
  <si>
    <t>B2</t>
  </si>
  <si>
    <t>B3</t>
  </si>
  <si>
    <t>B4</t>
  </si>
  <si>
    <t>B5</t>
  </si>
  <si>
    <t>B6</t>
  </si>
  <si>
    <t>B7</t>
  </si>
  <si>
    <t>B8</t>
  </si>
  <si>
    <t>B9</t>
  </si>
  <si>
    <t>B10</t>
  </si>
  <si>
    <t>B11</t>
  </si>
  <si>
    <t>B12</t>
  </si>
  <si>
    <t>B13</t>
  </si>
  <si>
    <t>Sub Total Activity 2.1.1</t>
  </si>
  <si>
    <t>Activity 2.1.2 Introduce/scale up improved agriculture methods to minimise erosion and reduce impact of pests and diseases</t>
  </si>
  <si>
    <t>B14</t>
  </si>
  <si>
    <t>B15</t>
  </si>
  <si>
    <t>B16</t>
  </si>
  <si>
    <t>B17</t>
  </si>
  <si>
    <t>B18</t>
  </si>
  <si>
    <t>B19</t>
  </si>
  <si>
    <t>B20</t>
  </si>
  <si>
    <t>B21</t>
  </si>
  <si>
    <t>B22</t>
  </si>
  <si>
    <t>B23</t>
  </si>
  <si>
    <t>B24</t>
  </si>
  <si>
    <t>B25</t>
  </si>
  <si>
    <t>Sub Total Activity 2.1.2</t>
  </si>
  <si>
    <t>Activity 2.1.3 Support communities to protect and rehabilitate habitats that support fisheries, particularly degraded coral reefs, seagrass meadows and mangroves</t>
  </si>
  <si>
    <t>B26</t>
  </si>
  <si>
    <t>B27</t>
  </si>
  <si>
    <t>B28</t>
  </si>
  <si>
    <t>B29</t>
  </si>
  <si>
    <t>B30</t>
  </si>
  <si>
    <t>B31</t>
  </si>
  <si>
    <t>B32</t>
  </si>
  <si>
    <t>B33</t>
  </si>
  <si>
    <t>B34</t>
  </si>
  <si>
    <t>B35</t>
  </si>
  <si>
    <t>B36</t>
  </si>
  <si>
    <t>B37</t>
  </si>
  <si>
    <t>Sub Total Activity 2.1.3</t>
  </si>
  <si>
    <t>Sub Total Output 2.1</t>
  </si>
  <si>
    <t>Output 2.2:    Climate-resilient agriculture for food security and livelihood development</t>
  </si>
  <si>
    <t>Activity 2.2.1  Support adaptations to traditional farming methods to increase climate-resilience and increase food security</t>
  </si>
  <si>
    <t>B38</t>
  </si>
  <si>
    <t>B39</t>
  </si>
  <si>
    <t>B40</t>
  </si>
  <si>
    <t>B41</t>
  </si>
  <si>
    <t>B42</t>
  </si>
  <si>
    <t>B43</t>
  </si>
  <si>
    <t>B44</t>
  </si>
  <si>
    <t>B45</t>
  </si>
  <si>
    <t>B46</t>
  </si>
  <si>
    <t>B47</t>
  </si>
  <si>
    <t>B48</t>
  </si>
  <si>
    <t>B49</t>
  </si>
  <si>
    <t>Sub Total Activity 2.2.1</t>
  </si>
  <si>
    <t>Activity 2.2.2 Introduce/scale up adoption of climate-resilient native food and cash crop varieties</t>
  </si>
  <si>
    <t>B50</t>
  </si>
  <si>
    <t>B51</t>
  </si>
  <si>
    <t>B52</t>
  </si>
  <si>
    <t>B53</t>
  </si>
  <si>
    <t>B54</t>
  </si>
  <si>
    <t>B55</t>
  </si>
  <si>
    <t>B56</t>
  </si>
  <si>
    <t>B57</t>
  </si>
  <si>
    <t>B58</t>
  </si>
  <si>
    <t>B59</t>
  </si>
  <si>
    <t>B60</t>
  </si>
  <si>
    <t>Sub Total Activity 2.2.2</t>
  </si>
  <si>
    <t>Activity 2.2.3 Establish/scale-up community-, school- and home-based kitchen gardens for enhanced nutrition utilising climate-resilient crops</t>
  </si>
  <si>
    <t>B61</t>
  </si>
  <si>
    <t>B62</t>
  </si>
  <si>
    <t>B63</t>
  </si>
  <si>
    <t>B64</t>
  </si>
  <si>
    <t>B65</t>
  </si>
  <si>
    <t>B66</t>
  </si>
  <si>
    <t>B67</t>
  </si>
  <si>
    <t>B68</t>
  </si>
  <si>
    <t>B69</t>
  </si>
  <si>
    <t>B70</t>
  </si>
  <si>
    <t>B71</t>
  </si>
  <si>
    <t>B72</t>
  </si>
  <si>
    <t>Sub Total Activity 2.2.3</t>
  </si>
  <si>
    <t>Sub Total Output 2.2</t>
  </si>
  <si>
    <t>Output 2.3:    Climate-resilient fisheries for food security and livelihood development</t>
  </si>
  <si>
    <t>Activity 2.3.1 Build community capacity on coastal resource management and monitoring that supports sustainable fisheries</t>
  </si>
  <si>
    <t>B73</t>
  </si>
  <si>
    <t>B74</t>
  </si>
  <si>
    <t>B75</t>
  </si>
  <si>
    <t>B76</t>
  </si>
  <si>
    <t>B77</t>
  </si>
  <si>
    <t>B78</t>
  </si>
  <si>
    <t>B79</t>
  </si>
  <si>
    <t>Sub Total Activity 2.3.1</t>
  </si>
  <si>
    <t>Activity 2.3.2 Support communities to adopt primary community-based fisheries management to reduce climate change impacts</t>
  </si>
  <si>
    <t>B80</t>
  </si>
  <si>
    <t>B81</t>
  </si>
  <si>
    <t>B82</t>
  </si>
  <si>
    <t>B83</t>
  </si>
  <si>
    <t>B84</t>
  </si>
  <si>
    <t>B85</t>
  </si>
  <si>
    <t>B86</t>
  </si>
  <si>
    <t>B87</t>
  </si>
  <si>
    <t>B88</t>
  </si>
  <si>
    <t>B89</t>
  </si>
  <si>
    <t>B90</t>
  </si>
  <si>
    <t>B91</t>
  </si>
  <si>
    <t>Sub Total Activity 2.3.2</t>
  </si>
  <si>
    <t>Sub Total Output 2.3</t>
  </si>
  <si>
    <t>Output 2.4:    Women led climate-resilient food processing and preservation established to support food security and diversification of livelihoods options</t>
  </si>
  <si>
    <t>Activity 2.4.1 Introduce or scale up Women led local solutions for food processing and preservation </t>
  </si>
  <si>
    <t>B92</t>
  </si>
  <si>
    <t>B93</t>
  </si>
  <si>
    <t>B94</t>
  </si>
  <si>
    <t>B95</t>
  </si>
  <si>
    <t>B96</t>
  </si>
  <si>
    <t>B97</t>
  </si>
  <si>
    <t>B98</t>
  </si>
  <si>
    <t>B99</t>
  </si>
  <si>
    <t>B100</t>
  </si>
  <si>
    <t>B101</t>
  </si>
  <si>
    <t>B102</t>
  </si>
  <si>
    <t>B103</t>
  </si>
  <si>
    <t>B104</t>
  </si>
  <si>
    <t>Sub Total Activity 2.4.1</t>
  </si>
  <si>
    <t xml:space="preserve">Activity 2.4.2 Support women to diversify into new agricultural/food commodities and value-add products that deliver greater income generating opportunities </t>
  </si>
  <si>
    <t>B105</t>
  </si>
  <si>
    <t>B106</t>
  </si>
  <si>
    <t>B107</t>
  </si>
  <si>
    <t>B108</t>
  </si>
  <si>
    <t>B109</t>
  </si>
  <si>
    <t>B110</t>
  </si>
  <si>
    <t>B111</t>
  </si>
  <si>
    <t>B112</t>
  </si>
  <si>
    <t>B113</t>
  </si>
  <si>
    <t>B114</t>
  </si>
  <si>
    <t>B115</t>
  </si>
  <si>
    <t>B116</t>
  </si>
  <si>
    <t>Sub Total Activity 2.4.2</t>
  </si>
  <si>
    <t>Activity 2.4.3 Support women led enterprises to access private partnership options to access new (distant) markets for value-add products</t>
  </si>
  <si>
    <t>B117</t>
  </si>
  <si>
    <t>B118</t>
  </si>
  <si>
    <t>B119</t>
  </si>
  <si>
    <t>B120</t>
  </si>
  <si>
    <t>B121</t>
  </si>
  <si>
    <t>B122</t>
  </si>
  <si>
    <t>Sub Total Activity 2.4.3</t>
  </si>
  <si>
    <t>Total Output 2.4</t>
  </si>
  <si>
    <t>Total Component 2</t>
  </si>
  <si>
    <t>Component 3:    Institutional adaptive capacity is enhanced by building adaptive governance systems at the local level and enhancing local-provincial-national linkages</t>
  </si>
  <si>
    <t>Output 3.1:    Adaptive local governance systems strengthened through sub-national planning</t>
  </si>
  <si>
    <t>Activity 3.1.1 Support Area Council and Province officials to incorporate climate risk analysis and financing strategies into Area Council development plans and budgets</t>
  </si>
  <si>
    <t>C1</t>
  </si>
  <si>
    <t>C2</t>
  </si>
  <si>
    <t>C3</t>
  </si>
  <si>
    <t>C4</t>
  </si>
  <si>
    <t>C5</t>
  </si>
  <si>
    <t>C6</t>
  </si>
  <si>
    <t>C7</t>
  </si>
  <si>
    <t>C8</t>
  </si>
  <si>
    <t>C9</t>
  </si>
  <si>
    <t>Sub Total Activity 3.1.1</t>
  </si>
  <si>
    <t>Activity 3.1.2 Build the capacity of local authorities to support operations of the CDCCCs and ongoing inclusive local adaptation planning processes</t>
  </si>
  <si>
    <t>C10</t>
  </si>
  <si>
    <t>C11</t>
  </si>
  <si>
    <t>C12</t>
  </si>
  <si>
    <t>C13</t>
  </si>
  <si>
    <t>C14</t>
  </si>
  <si>
    <t>C15</t>
  </si>
  <si>
    <t>C16</t>
  </si>
  <si>
    <t>C17</t>
  </si>
  <si>
    <t>C18</t>
  </si>
  <si>
    <t>C19</t>
  </si>
  <si>
    <t>C20</t>
  </si>
  <si>
    <t>Sub Total Activity 3.1.2</t>
  </si>
  <si>
    <t>Activity 3.1.3:   Support NDMO to design and establish a shock-responsive social protection system designed for the needs of the most vulnerable households</t>
  </si>
  <si>
    <t>Australian Department of Foreign Affairs and Trade</t>
  </si>
  <si>
    <t>C21</t>
  </si>
  <si>
    <t>C22</t>
  </si>
  <si>
    <t>C23</t>
  </si>
  <si>
    <t>C24</t>
  </si>
  <si>
    <t>C25</t>
  </si>
  <si>
    <t>Other Delivery Services</t>
  </si>
  <si>
    <t>C26</t>
  </si>
  <si>
    <t>C27</t>
  </si>
  <si>
    <t>Sub Total Activity 3.1.3</t>
  </si>
  <si>
    <t>Sub Total Output 3.1</t>
  </si>
  <si>
    <t>Output 3.2:    Enhanced local-provincial-national linkages through knowledge management and creation of feedback loops</t>
  </si>
  <si>
    <t>C28</t>
  </si>
  <si>
    <t>C29</t>
  </si>
  <si>
    <t>C30</t>
  </si>
  <si>
    <t>C31</t>
  </si>
  <si>
    <t>C32</t>
  </si>
  <si>
    <t>C33</t>
  </si>
  <si>
    <t>C34</t>
  </si>
  <si>
    <t>C35</t>
  </si>
  <si>
    <t>C36</t>
  </si>
  <si>
    <t>Sub Total Activity 3.2.1</t>
  </si>
  <si>
    <t>Activity 3.2.2 Support local authorities in monitoring and evaluation of national CCDRR policies at the local level and increasing dialogue between stakeholders at all levels</t>
  </si>
  <si>
    <t>C37</t>
  </si>
  <si>
    <t>C38</t>
  </si>
  <si>
    <t>C39</t>
  </si>
  <si>
    <t>C40</t>
  </si>
  <si>
    <t>C41</t>
  </si>
  <si>
    <t>C42</t>
  </si>
  <si>
    <t>C43</t>
  </si>
  <si>
    <t>C44</t>
  </si>
  <si>
    <t>Sub Total Activity 3.2.2</t>
  </si>
  <si>
    <t>Sub Total Output 3.2</t>
  </si>
  <si>
    <t>Total Component 3</t>
  </si>
  <si>
    <t>Component 4:    Monitoring and Evaluation</t>
  </si>
  <si>
    <t>Output 4.1:   Monitoring and Evaluation</t>
  </si>
  <si>
    <t>Activity 4.1 Monitoring and Evaluation</t>
  </si>
  <si>
    <t>D1</t>
  </si>
  <si>
    <t>D2</t>
  </si>
  <si>
    <t>Sub Total Activity 4.1.1</t>
  </si>
  <si>
    <t>Sub Total Output 4.1</t>
  </si>
  <si>
    <t>Total Component 4</t>
  </si>
  <si>
    <t>Project Management Component</t>
  </si>
  <si>
    <t>PM1</t>
  </si>
  <si>
    <t>PM2</t>
  </si>
  <si>
    <t>Information technology</t>
  </si>
  <si>
    <t>PM3</t>
  </si>
  <si>
    <t>PM4</t>
  </si>
  <si>
    <t>AE</t>
  </si>
  <si>
    <t>PM5</t>
  </si>
  <si>
    <t xml:space="preserve">Total PM Component </t>
  </si>
  <si>
    <t>Total Component (PM Costs)  GCF Funded</t>
  </si>
  <si>
    <t>Total Component (PM Costs) Save the Children Australia Funded</t>
  </si>
  <si>
    <t>Total Amount</t>
  </si>
  <si>
    <t>Total Amount GCF</t>
  </si>
  <si>
    <t>Total Government of Vanuatu</t>
  </si>
  <si>
    <t>Total Amount AE</t>
  </si>
  <si>
    <t>Overall category %</t>
  </si>
  <si>
    <t>GCF proceeds</t>
  </si>
  <si>
    <t>GoV</t>
  </si>
  <si>
    <t>DFAT**</t>
  </si>
  <si>
    <t>Total</t>
  </si>
  <si>
    <t>Equipment*</t>
  </si>
  <si>
    <t>Training, workshops, and conference*</t>
  </si>
  <si>
    <t>Information Technolocy</t>
  </si>
  <si>
    <t>Other</t>
  </si>
  <si>
    <t>Total GCF proceeds</t>
  </si>
  <si>
    <t>Notes:</t>
  </si>
  <si>
    <t>** the DFAT (Australian Department of Foreign Affairs and Trade) breakdown applying the DFAT expenditure headings (DFAT format) is as follows:</t>
  </si>
  <si>
    <t>DFAT co-financing breakdown</t>
  </si>
  <si>
    <t>USD</t>
  </si>
  <si>
    <t>Donor Reporting Code</t>
  </si>
  <si>
    <t>Year 1</t>
  </si>
  <si>
    <t>Year 2</t>
  </si>
  <si>
    <t>Year 3</t>
  </si>
  <si>
    <t>Year 4</t>
  </si>
  <si>
    <t>Year 5</t>
  </si>
  <si>
    <t>Description</t>
  </si>
  <si>
    <t>Activity Personnel</t>
  </si>
  <si>
    <t>Direct project staff costs</t>
  </si>
  <si>
    <t>Non Personnel (Direct Program Costs/Thematic Costs)</t>
  </si>
  <si>
    <t>Travel, consultants, equipment, office supplies, vehicles and direct activity costs</t>
  </si>
  <si>
    <t>In-Country Support (Non-Thematic Costs)</t>
  </si>
  <si>
    <t>In country office support staff, office administration, SCA support staff and office costs</t>
  </si>
  <si>
    <t>Monitoring and Evaluation</t>
  </si>
  <si>
    <t>M&amp;E staff and consultant costs</t>
  </si>
  <si>
    <t>Total Direct Costs</t>
  </si>
  <si>
    <t>Indirect Cost recovery (10% of total program costs)</t>
  </si>
  <si>
    <t>Contract Agreed 10% indirect cost recovery</t>
  </si>
  <si>
    <t>Total Program Costs</t>
  </si>
  <si>
    <t>Note that only Year 1 Australian Department of Foreign Affairs and Trade (DFAT) budget has been confirmed with the donor (AUD $1,777,854) the remaining are estimates based on the total value of the funding from DFAT and may change slightly over the life of the project.</t>
  </si>
  <si>
    <t>Reference</t>
  </si>
  <si>
    <t>Detailed budget notes</t>
  </si>
  <si>
    <t>The staffing list with details of staff days for each activity (Part A) is in the Staff Activity Breakdown tab and staff support costs (Part B) included.  This tab includes the days, daily staff rates and total salary costs (Part C) for every activity which links directly to each of these number references.  It should be noted that there are EE staff included in the project and government staff are all project funded new roles that will be embedded within government areas.  Any existing government staff have been added as part of the In kind support from the Government of Vanuatu.  There are no AE staff funded by this detailed budget.  All roles have a factored in 2% yearly unit cost increment from year 2 onwards.</t>
  </si>
  <si>
    <t>7 workshops with stakeholder and training for Area Council staff at a cost base of $2,497 per workshop for 50 people to cover catering and venue hire (USD 2,380) and Materials (USD $117)etc.  50% attendees to be Female and 50% Male to maintain a gender balance.</t>
  </si>
  <si>
    <t>As per A6</t>
  </si>
  <si>
    <t>Refer to Staff Activity Breakdown Tab</t>
  </si>
  <si>
    <t>Travel of the Area Council staff (29) and Provincial Coordinators (6) to the communities.  AC staff travel cost of USD $2,051 (base cost no CPI) per trip to include car hire, daily allowance and accommodation and for Provincial coordinators at a cost of USD $1516 (base cost no CPI) per trip.  Year 2 58 AC visits and 6 provincials, Year 3 is 29 ACs and 6 provincials, Year 4 is 58 ACs and 6 provincials, Year 5 29 ACs and 6 provincials and Year 6 58 ACs and 6 provincials.   Appendix 1 below has more detailed travel information on what is included in the base cost.  Assumes travel to ACs at least one every year and 2 every two years from year 2 onwards.  Note CPI included year on year from year 2 onwards</t>
  </si>
  <si>
    <t>Staff travel refer to Staff Activity Breakdown Tab</t>
  </si>
  <si>
    <t>Travel to 29 Area Councils to conduct the baseline and community vulnerability assessments at a cost base of USD $2,051 per trip. 7 trips in year 1, 15 trips in year 2 and 7 trips in year 3. Appendix 1 below has more detailed travel information.  CPI of 2% added to the cost base year on year from year 2 onwards.  Staff travel allocation please refer to staff activity breakdown Tab</t>
  </si>
  <si>
    <t>Travel to 29 Area Councils for the community engagement workshops at a cost base of USD $2,051 per trip. Year 1 is 29 trips.  Appendix 1 below has more detailed travel information.  Staff travel breakdown in Staff Activity Tab</t>
  </si>
  <si>
    <t>15 workshops at a cost base of USD $2,497 for approx. 50 people, 29 at a cost base of USD$2,051 for under 50 people.  (Sessions will have equal participation 50% F and 50% M)  CPI of 2% added to the cost base year on year from year 2 onwards. (7 sessions in year 1, 14 smaller and 1 large in year 2, 7 large in year 4 and 14 small)</t>
  </si>
  <si>
    <t>Contract for production of materials at a cost base of USD$658 per day</t>
  </si>
  <si>
    <t>Monitoring and Supervision trips by the Provisional Coordinators (cost base of $1,516 per trip) and Area Council staff (Cost base of $2,051 per trip) Base number of ACs is 29 and 6 provinces.  ACs trips to cover 63% of area councils (Year 2 19 trips, 36 trips in year 3 and 5, 32 trips in years 4 and 6)  and Provinces to cover 30% of provinces so 3 trips in year 3 to 6.  TA travel of 2 trips in years 3 to 5 at a base cost of USD $2,051)  Appendix 1 below has more detailed travel information.   CPI added of 2% to the cost base year on year from year 2 onwards.  Staff travel allocation included in Staff Activity Tab</t>
  </si>
  <si>
    <t>Monitoring and Supervision trips by Area Council staff (cost base of $2,051 per trip).  To cover 33% area councils for review (29 in total for review).  (19 trips in year 3 and 5 and 10 trips in years 4 and 6)  Appendix 1 below has more detailed travel information.  Assumed at least 1 trip per year, 2 every 2 years to ACs.   CPI added of 2% to the cost base year on year from year 2 onwards.  Staff travel allocation in Staff Activity Breakdown tab</t>
  </si>
  <si>
    <t>Monitoring and Supervision trips by the Provisional Coordinators (cost base of $1,516 per trip) and Area Council staff (cost base of $2,051 per trip).  To cover 33% of area councils (29 in total for review) and all 6 provinces. AC trips (19 trips in year 3 and 5 and 10 trips in years 4 and 6) Trips to provinces are 6 in years 1, 3 to 6.  Appendix 1 below has more detailed travel information.   CPI added of 2% to the cost base year on year from year 2 onwards.  Staff travel allocation detail in Staff Activity Tab</t>
  </si>
  <si>
    <t>Purchase and distribution of Equipment for Canoe Making (USD $152 each), bottom fishing gear (USD $303 each) Distribution is approx. $9,363 per province and $1,873 by AC)   (3 communities in each area council, 87 sites for each type of equipment).   CPI added of 2% to the cost base year on year from year 2 onwards.  Staff equipment allocation included at staff activity tab</t>
  </si>
  <si>
    <t xml:space="preserve">Community training sessions for Women at a cost base of $473 per session to support the development.  43 sessions per year during planning,  installation and delivery in year 2 to 6. Planning workshops for Women at a cost base. USD $2,497 per workshop 1 in year 4 and 1 in year 5. Train the trainer sessions 6 in year 4 and 5 at USD$2497   CPI added of 2% tot he cost base year on year from year 2 onwards.  </t>
  </si>
  <si>
    <t>Staff travel breakdown in Staff Activity Tab</t>
  </si>
  <si>
    <t>Staff Equipment Phone Laptop and Internet.  Detail in staff Activity Tab</t>
  </si>
  <si>
    <t>Staff travel breakdown in Staff Activity Tab.  Provide technical assistance/resources to local and sub-national government.  Approx. USD $1516 per trip.  12 trips to provinces per year from ear 2 to 6.   CPI added of 2% to the cost base year on year from year 2 onwards.</t>
  </si>
  <si>
    <t>Area site visits at 6 per year at $2,497 per session from 1,2 4 &amp; 6.  Planning workshops for ACs 6 sessions at $2497 per session in 2 to 6.  Provincial workshops 1 per year from years 2 to 6. CPI added of 2% to the cost base year on year from year 2 onwards.  GESI TA workshops in years 4 and 5 at $2497.  Workshops to be gender balanced.</t>
  </si>
  <si>
    <t>Area Council office establishment (USD $13,790 per AC, 20 offices out 29) and Quad Bike purchase (USD $6,600 per bike for all 29 ACs).  For 20 out of the 29 area councils we will be operating in do not currently have a suitable functional office. The project will support the procurement of low-risk, low-cost and portable office space made from converted shipping containers in the 20 area councils without office space. Where area councils do have office space this is factored in as government co-financing already.  Quad bikes are assumed as required for all area councils for transport.  Area council support costs as part of the office establishment are included for all ACs.  Approx. USD $17,650 per AC for 5 years.   CPI added of 2% added to the cost base year on year from year 2 onwards.  The support costs include office supplies, stationary, telephone charges, postage, fuel, vehicle maintenance, PPE and health and safety costs.  Staff Equipment allocation included in staff activity tab</t>
  </si>
  <si>
    <t>Staff travel detail in Staff Activity Breakdown.</t>
  </si>
  <si>
    <t xml:space="preserve">Co-financing provided by the Australian Department of Foreign Affairs and Trade (DFAT) will be received in the form of a program grant which is subject to the same internal compliance requirements for budgeting and expenditure as the GCF project.   Note that staff rates SCA and SCV use are standardised for program employee across all projects and activities to ensure organizational equity. Travel rates are consistent to those applied for GCF.  Procurement processes will be completed through the same SCV or government mechanism and subjected to the same compliance parameters.  The Australian Department of Foreign Affairs and Trade mechanism that is providing this grant is the Australian NGO Cooperation Program (ANCP). The ANCP is a flexible mechanism to which we provide and report against level budgets only. There are 4 budget headings: total activity personnel, non-personal direct program costs, in-county support and M&amp;E (refer to summary table on main tab for descriptions). For this annex the costs have been reclassified and the account level to report in GCF expense categories. </t>
  </si>
  <si>
    <t>As per C18</t>
  </si>
  <si>
    <t>Staff Equipment Phone Laptop and Internet.  Detail in Staff Activity Tab</t>
  </si>
  <si>
    <t>Staff travel allocation.  Detail in staff activity tab</t>
  </si>
  <si>
    <t>Monitoring and Evaluation contractual services throughout the project life.  A breakdown of these is in the MEAL Annex 11. A table detailing the work to be completed is below at Appendix 2.</t>
  </si>
  <si>
    <t>Refer to Staff Activity Breakdown Tab for Project Management Costs staff list.</t>
  </si>
  <si>
    <t>Equipment relates to the Laptops 6 in total for PMU staff and 29 for the Area councils at a cost of USD$2,000 per laptop.  Costs in year 4 for 6 to replace any that fail after 3 years.  CPI of 2% has been added to the cost base from year 2 onwards year on year</t>
  </si>
  <si>
    <t>Information Technology internet charge for the Laptops.  Base cost of USD 111 per month for 5 and a half years</t>
  </si>
  <si>
    <t>Travel is USD $1,516 per person per trip and assumes 8 trips per year for PMU members to provinces.  Appendix 1 below has more detailed travel information.   CPI added of 2% to the cost base year on year from year 2 onwards.</t>
  </si>
  <si>
    <t>AE financing to support the inclusion of a Pacific Regional Climate Change advisor for SCV for USD 50k per year for 4 years.  This role will support the PMU and provide the technical supervision for day to day management and report to the Project Steering committee.  No CPI added to this role year on year.  Finance Officer role to support the Finance Manager.  This is a national role allocated for 5 years and 9 months.</t>
  </si>
  <si>
    <t>Appendix 1</t>
  </si>
  <si>
    <t>Detailed travel data assumptions</t>
  </si>
  <si>
    <t>Travel costs are based on three forms of travel: 
-	National capital to provincial capitals 
-	Provincial capitals to area councils (approximately 9 area councils per province)
-	Area councils to communities (approximately 9 communities per area councils)
-	International travel within the Pacific region  
We have also included 2% CPI increment on unit costs from year 2 onwards.</t>
  </si>
  <si>
    <t>Monitoring and supervision visits (National to provincial)</t>
  </si>
  <si>
    <t>Cost per trip (USD)</t>
  </si>
  <si>
    <t>Basis</t>
  </si>
  <si>
    <t>Assumption</t>
  </si>
  <si>
    <t xml:space="preserve">Return flights </t>
  </si>
  <si>
    <t xml:space="preserve">SCA CO operating cost historical trends </t>
  </si>
  <si>
    <t>Assumes 2 people on a 3 day trip</t>
  </si>
  <si>
    <t>DSA/per diem</t>
  </si>
  <si>
    <t xml:space="preserve">Car hire </t>
  </si>
  <si>
    <t xml:space="preserve">Accommodation </t>
  </si>
  <si>
    <t>Monitoring and supervision visits (Provincial to area council)</t>
  </si>
  <si>
    <t>Assumes 2 people on a 4 day trip</t>
  </si>
  <si>
    <t xml:space="preserve">Monitoring and supervision visits (Area council to community) </t>
  </si>
  <si>
    <t>Assumes 2 people on a 10 day trip to 9 communities</t>
  </si>
  <si>
    <t xml:space="preserve">DSA/per diem </t>
  </si>
  <si>
    <t>International travel in the Pacific region</t>
  </si>
  <si>
    <t xml:space="preserve">International return flight </t>
  </si>
  <si>
    <t>per person/per trip</t>
  </si>
  <si>
    <t xml:space="preserve">International DSA </t>
  </si>
  <si>
    <t>daily rate (includes accommodation, meals, local transport and incidentals)</t>
  </si>
  <si>
    <t>Appendix 2</t>
  </si>
  <si>
    <t>Monitoring and Evaluation Activity 4.1.1</t>
  </si>
  <si>
    <t>Yearly Tasks</t>
  </si>
  <si>
    <t>Year 6</t>
  </si>
  <si>
    <t>Initial Baseline Review</t>
  </si>
  <si>
    <t>M&amp;E Systems development</t>
  </si>
  <si>
    <t>On going monitoring and reporting (Annual monitoring of project activities via community and AC visits and survey questionnaires)*</t>
  </si>
  <si>
    <t>GIS system set up and use</t>
  </si>
  <si>
    <t>MTR internal assessment</t>
  </si>
  <si>
    <t>MTR external assessment</t>
  </si>
  <si>
    <t>Final evaluation and reporting</t>
  </si>
  <si>
    <t>Total M&amp; E</t>
  </si>
  <si>
    <t>* please note that the M &amp; E Annex 11 has more detailed information regarding the visits and the survey questions</t>
  </si>
  <si>
    <t>(A) Staff days per activity</t>
  </si>
  <si>
    <t>Existing staff or New Hire?</t>
  </si>
  <si>
    <t>Managed by</t>
  </si>
  <si>
    <t>Daily Rate</t>
  </si>
  <si>
    <t>Activity 1.1.1</t>
  </si>
  <si>
    <t>Activity 1.1.2</t>
  </si>
  <si>
    <t>Output 1.1</t>
  </si>
  <si>
    <t>Activity 1.2.1</t>
  </si>
  <si>
    <t>Activity 1.2.2</t>
  </si>
  <si>
    <t>Activity 1.2.3</t>
  </si>
  <si>
    <t>Output 1.2</t>
  </si>
  <si>
    <t>Activity 1.3.1</t>
  </si>
  <si>
    <t>Activity 1.3.2</t>
  </si>
  <si>
    <t>Output 1.3</t>
  </si>
  <si>
    <t>Component 1 Staffing and Consulting</t>
  </si>
  <si>
    <t xml:space="preserve">Climate change and DRR Adviser </t>
  </si>
  <si>
    <t>New hire</t>
  </si>
  <si>
    <t xml:space="preserve">Component Coordinator (Climate  Change and DRR) </t>
  </si>
  <si>
    <t>Provincial program coordinators (6)</t>
  </si>
  <si>
    <t>Area Council Climate Change Officers (29)</t>
  </si>
  <si>
    <t>Gender and Social Inclusion Advisor</t>
  </si>
  <si>
    <t>Communications Manager</t>
  </si>
  <si>
    <t xml:space="preserve">PMU Team Leader </t>
  </si>
  <si>
    <t>Recruitment Consultant</t>
  </si>
  <si>
    <t>Total Days per activity</t>
  </si>
  <si>
    <t>Activity 2.1.1</t>
  </si>
  <si>
    <t>Activity 2.1.2</t>
  </si>
  <si>
    <t>Activity 2.1.3</t>
  </si>
  <si>
    <t>Output 2.1</t>
  </si>
  <si>
    <t>Activity 2.2.1</t>
  </si>
  <si>
    <t>Activity 2.2.2</t>
  </si>
  <si>
    <t>Activity 2.2.3</t>
  </si>
  <si>
    <t>Output 2.2</t>
  </si>
  <si>
    <t>Activity 2.3.1</t>
  </si>
  <si>
    <t>Activity 2.3.2</t>
  </si>
  <si>
    <t>Output 2.3</t>
  </si>
  <si>
    <t>Activity 2.4.1</t>
  </si>
  <si>
    <t>Activity 2.4.2</t>
  </si>
  <si>
    <t>Activity 2.4.3</t>
  </si>
  <si>
    <t>Output 2.4</t>
  </si>
  <si>
    <t>Component 2 Staffing and Consulting</t>
  </si>
  <si>
    <t xml:space="preserve">Fisheries Adviser </t>
  </si>
  <si>
    <t xml:space="preserve">Food Security and Livelihoods Adviser </t>
  </si>
  <si>
    <t xml:space="preserve">Water resource management Adviser </t>
  </si>
  <si>
    <t xml:space="preserve">Component Coordinator (Community adaptation) </t>
  </si>
  <si>
    <t xml:space="preserve">Provincial program coordinators </t>
  </si>
  <si>
    <t xml:space="preserve">Area Council Climate Change Officers </t>
  </si>
  <si>
    <t>ESS Advisor</t>
  </si>
  <si>
    <t>Activity 3.1.1</t>
  </si>
  <si>
    <t>Activity 3.1.2</t>
  </si>
  <si>
    <t xml:space="preserve">Activity 3.1.3 </t>
  </si>
  <si>
    <t>Output 3.1</t>
  </si>
  <si>
    <t>Activity 3.2.1</t>
  </si>
  <si>
    <t>Activity 3.2.2</t>
  </si>
  <si>
    <t>Output 3.2</t>
  </si>
  <si>
    <t>Component 3 Staffing and Consulting</t>
  </si>
  <si>
    <t xml:space="preserve">Decentralisation Adviser </t>
  </si>
  <si>
    <t xml:space="preserve">NAB Secretariat Technical Officer  </t>
  </si>
  <si>
    <t>Activity 4.1.1</t>
  </si>
  <si>
    <t>Component 4 Staffing and Consulting</t>
  </si>
  <si>
    <t>MEAL Specialist</t>
  </si>
  <si>
    <t>PMU Team Leader</t>
  </si>
  <si>
    <t>Total Days</t>
  </si>
  <si>
    <t>Project Management Unit</t>
  </si>
  <si>
    <t>Project Management Specialist</t>
  </si>
  <si>
    <t>Finance Manager</t>
  </si>
  <si>
    <t>Procurement and Compliance Manager</t>
  </si>
  <si>
    <t>Admin Officer</t>
  </si>
  <si>
    <t>Supply Chain Officer</t>
  </si>
  <si>
    <t>SCV</t>
  </si>
  <si>
    <t>PMU rate / day</t>
  </si>
  <si>
    <t>Legend</t>
  </si>
  <si>
    <t>Save the Children Vanuatu</t>
  </si>
  <si>
    <t xml:space="preserve">(B) Staff Activity Expenditure </t>
  </si>
  <si>
    <t>Activity 1.1.1 (A1)</t>
  </si>
  <si>
    <t>Activity 1.1.2 (A11)</t>
  </si>
  <si>
    <t>Component 1 Staffing</t>
  </si>
  <si>
    <t>Total Staff</t>
  </si>
  <si>
    <t>Component 1 Local Consulting (Advisers)</t>
  </si>
  <si>
    <t>Total cost by activity and year</t>
  </si>
  <si>
    <t>Other staff costs</t>
  </si>
  <si>
    <t>TOTAL Activity Staff/Consulting costs</t>
  </si>
  <si>
    <t>Activity 2.1.1 (B1)</t>
  </si>
  <si>
    <t>Activity 2.1.2 (B14)</t>
  </si>
  <si>
    <t>Component 2 Staffing and Consultants</t>
  </si>
  <si>
    <t xml:space="preserve">Total Staff </t>
  </si>
  <si>
    <t>Component 2 Local Consulting (Advisers)</t>
  </si>
  <si>
    <t>Other Staff costs</t>
  </si>
  <si>
    <t>Locally hired Extension Officer/TA time</t>
  </si>
  <si>
    <t>Activity 3.1.1 (C1)</t>
  </si>
  <si>
    <t>Component 3 Staffing and Consultants</t>
  </si>
  <si>
    <t>Total Staff costs</t>
  </si>
  <si>
    <t>Component 3 Local Consulting (Advisers)</t>
  </si>
  <si>
    <t xml:space="preserve">Component 4 Staffing </t>
  </si>
  <si>
    <t>TOTAL Staff PMC</t>
  </si>
  <si>
    <t>Total Salary Cost</t>
  </si>
  <si>
    <t># Persons for the positions </t>
  </si>
  <si>
    <t>Area Council Climate Change Officers </t>
  </si>
  <si>
    <t>Component Coordinator (Climate   Change and DRR) </t>
  </si>
  <si>
    <t>Component Coordinator (Community adaptation) </t>
  </si>
  <si>
    <t>NAB Secretariat Technical Officer </t>
  </si>
  <si>
    <t>PMU Team Leader </t>
  </si>
  <si>
    <t>Provincial program coordinators </t>
  </si>
  <si>
    <t>Total GCF funded staff costs</t>
  </si>
  <si>
    <t>COMPONENT 1</t>
  </si>
  <si>
    <t>OUTPUT 1.1</t>
  </si>
  <si>
    <t xml:space="preserve">Travel </t>
  </si>
  <si>
    <t>Total Activity 1.1.1</t>
  </si>
  <si>
    <t>Total Activity 1.1.2</t>
  </si>
  <si>
    <t>TOTAL OUTPUT 1.1</t>
  </si>
  <si>
    <t>OUTPUT 1.2</t>
  </si>
  <si>
    <t>Total Activity 1.2.1</t>
  </si>
  <si>
    <t>Total Activity 1.2.2</t>
  </si>
  <si>
    <t>Total Activity 1.2.3</t>
  </si>
  <si>
    <t>TOTAL OUTPUT 1.2</t>
  </si>
  <si>
    <t>OUTPUT 1.3</t>
  </si>
  <si>
    <t>Total Activity 1.3.1</t>
  </si>
  <si>
    <t>Total Activity 1.3.2</t>
  </si>
  <si>
    <t>TOTAL OUTPUT 1.3</t>
  </si>
  <si>
    <t>TOTAL COMPONENT 1</t>
  </si>
  <si>
    <t>COMPONENT 2</t>
  </si>
  <si>
    <t>OUTPUT 2.1</t>
  </si>
  <si>
    <t>Total Activity 2.1.1</t>
  </si>
  <si>
    <t>Total Activity 2.1.2</t>
  </si>
  <si>
    <t>Total Activity 2.1.3</t>
  </si>
  <si>
    <t>TOTAL OUTPUT 2.1</t>
  </si>
  <si>
    <t>OUTPUT 2.2</t>
  </si>
  <si>
    <t>Total Activity 2.2.1</t>
  </si>
  <si>
    <t>Total Activity 2.2.2</t>
  </si>
  <si>
    <t>Total Activity 2.2.3</t>
  </si>
  <si>
    <t>TOTAL OUTPUT 2.2</t>
  </si>
  <si>
    <t>OUTPUT 2.3</t>
  </si>
  <si>
    <t>Total Activity 2.3.1</t>
  </si>
  <si>
    <t>Total Activity 2.3.2</t>
  </si>
  <si>
    <t>TOTAL OUTPUT 2.3</t>
  </si>
  <si>
    <t>OUTPUT 2.4</t>
  </si>
  <si>
    <t>Total Activity 2.4.1</t>
  </si>
  <si>
    <t>Total Activity 2.4.2</t>
  </si>
  <si>
    <t>Total Activity 2.4.3</t>
  </si>
  <si>
    <t>TOTAL OUTPUT 2.4</t>
  </si>
  <si>
    <t>TOTAL COMPONENT 2</t>
  </si>
  <si>
    <t>COMPONENT 3</t>
  </si>
  <si>
    <t>OUTPUT 3.1</t>
  </si>
  <si>
    <t>Total Activity 3.1.1</t>
  </si>
  <si>
    <t>Total Activity 3.1.2</t>
  </si>
  <si>
    <t>Total Activity 3.1.3</t>
  </si>
  <si>
    <t>TOTAL OUTPUT 3.1</t>
  </si>
  <si>
    <t>OUTPUT 3.2</t>
  </si>
  <si>
    <t>Total Activity 3.2.1</t>
  </si>
  <si>
    <t>Total Activity 3.2.2</t>
  </si>
  <si>
    <t>Total Activity 3.2.3</t>
  </si>
  <si>
    <t>TOTAL OUTPUT 3.2</t>
  </si>
  <si>
    <t>TOTAL COMPONENT 3</t>
  </si>
  <si>
    <t>COMPONENT 4</t>
  </si>
  <si>
    <t>Output 4.1</t>
  </si>
  <si>
    <t>Total Activity 4.1.1</t>
  </si>
  <si>
    <t>TOTAL OUPT 4.1</t>
  </si>
  <si>
    <t>TOTAL COMPONENT 4</t>
  </si>
  <si>
    <t>Total Activity Budget</t>
  </si>
  <si>
    <t>The Travel and Equipment costs are the following:</t>
  </si>
  <si>
    <t xml:space="preserve">Equipment - Laptop </t>
  </si>
  <si>
    <t>Laptops at USD $2,006 per item for National staff, Provincial Coordinators and Area Council staff.  44 in total and includes 4 for local advisers.</t>
  </si>
  <si>
    <t xml:space="preserve">Equipment - Phone </t>
  </si>
  <si>
    <t>15 phones for National staff and Coordinators and local Advisers.  Costs are $55 per month for 5 years and 6 months</t>
  </si>
  <si>
    <t>Equipment - Internet</t>
  </si>
  <si>
    <t>15 staff/Advisers internet at a cost of $111 per month for 5 and a half years.  Cost for Area Council staff is already included in 1.3.1</t>
  </si>
  <si>
    <t>Total Amount DFAT</t>
  </si>
  <si>
    <t>Component 1 calculation</t>
  </si>
  <si>
    <t>Staff Travel trips</t>
  </si>
  <si>
    <t>Laptops</t>
  </si>
  <si>
    <t>Phones</t>
  </si>
  <si>
    <t>Internet</t>
  </si>
  <si>
    <t>(C)  Other staff costs reclassified</t>
  </si>
  <si>
    <t>Note that these costs are allocated consistently to how staff have been allcoated by activity.</t>
  </si>
  <si>
    <t>Unit cost</t>
  </si>
  <si>
    <t>Quantity</t>
  </si>
  <si>
    <t xml:space="preserve">37 laptops purchased in year 1 </t>
  </si>
  <si>
    <t>Charge per month for 5.5 years for 8 staff</t>
  </si>
  <si>
    <t xml:space="preserve">4 laptops purchased in year 1 </t>
  </si>
  <si>
    <t>Charge per month for 5.5 years for 4 staff</t>
  </si>
  <si>
    <t xml:space="preserve">3 laptops purchased in year 1 </t>
  </si>
  <si>
    <t>Charge per month for 5.5 years for 3 staff</t>
  </si>
  <si>
    <t>Total Local Consultants (Long term contracts)</t>
  </si>
  <si>
    <t>Total Local Consultants (long term contracts)</t>
  </si>
  <si>
    <t>Total Project staff</t>
  </si>
  <si>
    <t>Total Long Term hire Local Consultants</t>
  </si>
  <si>
    <t>Other Staff costs reclassified as Travel, Equipment (for phone and laptop and internet)</t>
  </si>
  <si>
    <t>Component 2</t>
  </si>
  <si>
    <t>Component 3</t>
  </si>
  <si>
    <t>Overall Total breakdown</t>
  </si>
  <si>
    <t xml:space="preserve">107 days of a local Senior consultant at USD $312 per day in year 1 to field test CDCCC status assessment tool and review in consultation with the community to strengthen CDCCC.  Long term contract consulting time allocation please refer to Staff activity Breakdown tab.  Includes Gender and Social Inclusion Adviser time and Recruitment specialist </t>
  </si>
  <si>
    <t xml:space="preserve"> Long term contract consulting time allocation please refer to Staff activity Breakdown tab.  Includes Gender and Social Inclusion Adviser time and Recruitment specialist </t>
  </si>
  <si>
    <t xml:space="preserve">International Senior consultant at a cost base of $658 per day for 60 days and a International Information Technology Senior Consultant at a cost base of $758 per day for 15 days in year 1.  </t>
  </si>
  <si>
    <t>Staff Equipment Phone Laptop and Internet.  Breakdown refer to Staff Activity Tab section (C)</t>
  </si>
  <si>
    <t xml:space="preserve">International Senior consultant at a base cost of $758 per day for 25 days in year 1 to review existing climate change education materials and prepare community materials.  International Consultant at USD $658 per day for 20 days to produce education materials.  </t>
  </si>
  <si>
    <t>Staff Equipment Phone Laptop and Internet.  Breakdown refer to Staff Activity Tab section (c)</t>
  </si>
  <si>
    <t>Purchase of seeds and seedlings for each area council for review (29) at USD $2,500 per AC spread over 2 years.   CPI added of 2% to the cost base year on year from year 2 onwards.  Staff equipment allocation included in staff Activity tab in section (c)</t>
  </si>
  <si>
    <t>Staff Equipment Phone Laptop and Internet.  Breakdown refer to Staff Activity Tab in Section (c)</t>
  </si>
  <si>
    <t xml:space="preserve"> Long term contract consulting time allocation please refer to Staff activity Breakdown tab.  Includes Gender and Social Inclusion, Fisheries, FSL and Water resource manageement Advisers</t>
  </si>
  <si>
    <t xml:space="preserve">International senior consultant for the production of community education materials at a base costs of $758 per day for 15 days in year 2.   CPI added of 2% to the cost base year on year from year 2 onwards.  Year 1 consultant costs for an International Senior consultant for 30 days to produce training materials at a daily cost of USD $658 and 3 days in year 2.  </t>
  </si>
  <si>
    <t>Staff Equipment Phone Laptop and Internet.  Detail in staff Activity Tab in Section (c)</t>
  </si>
  <si>
    <t>Long term contract consulting time allocation please refer to Staff activity Breakdown tab.  Includes Gender and Social Inclusion and Decentralisation Advisers</t>
  </si>
  <si>
    <t>International senior consultant technical assistance to support the government ministries to report implementation of national sector policies. At a base cost of $758 per day for 30 days in year 5.   CPI added of 2% to the cost base year on year from year 2 onwards.</t>
  </si>
  <si>
    <t>Staff Equipment Phone Laptop and Internet staff cost allocation detail in Staff Activity tab in section (c)</t>
  </si>
  <si>
    <t>GCF Impl Template Totals</t>
  </si>
  <si>
    <t>Item no</t>
  </si>
  <si>
    <t>Type</t>
  </si>
  <si>
    <t>Unit</t>
  </si>
  <si>
    <t>Difference</t>
  </si>
  <si>
    <t>total</t>
  </si>
  <si>
    <t>1.1.1</t>
  </si>
  <si>
    <t>CDCCC resource kits</t>
  </si>
  <si>
    <t>staff-eq</t>
  </si>
  <si>
    <t>workshop</t>
  </si>
  <si>
    <t>travel</t>
  </si>
  <si>
    <t>staff-travel</t>
  </si>
  <si>
    <t>1.1.2</t>
  </si>
  <si>
    <t>workshop - AC Officer</t>
  </si>
  <si>
    <t>workshop - Community</t>
  </si>
  <si>
    <t>Staff Equip</t>
  </si>
  <si>
    <t>travel - AC</t>
  </si>
  <si>
    <t>travel - Provincial</t>
  </si>
  <si>
    <t>1.2.1</t>
  </si>
  <si>
    <t>workshop - Ed materials</t>
  </si>
  <si>
    <t>Workshop - train the trainer</t>
  </si>
  <si>
    <t>workshop - knowlede sharing</t>
  </si>
  <si>
    <t>Social Media</t>
  </si>
  <si>
    <t>1.2.2</t>
  </si>
  <si>
    <t>1.2.3</t>
  </si>
  <si>
    <t>1.3.1</t>
  </si>
  <si>
    <t>satellite dishes</t>
  </si>
  <si>
    <t>Labour ICT</t>
  </si>
  <si>
    <t>broadcast</t>
  </si>
  <si>
    <t>workshop - AC</t>
  </si>
  <si>
    <t>1.3.2</t>
  </si>
  <si>
    <t>Staff travel</t>
  </si>
  <si>
    <t>2.1.1</t>
  </si>
  <si>
    <t xml:space="preserve">nursery </t>
  </si>
  <si>
    <t>Demo Plots</t>
  </si>
  <si>
    <t>Agricultural Kits</t>
  </si>
  <si>
    <t>TA role</t>
  </si>
  <si>
    <t>TA Travel</t>
  </si>
  <si>
    <t>Workshop  planning</t>
  </si>
  <si>
    <t>Workshop - Design</t>
  </si>
  <si>
    <t>Workshop - Community planing</t>
  </si>
  <si>
    <t>travel - TA</t>
  </si>
  <si>
    <t>2.1.2</t>
  </si>
  <si>
    <t>demonstration plot</t>
  </si>
  <si>
    <t>TA Role</t>
  </si>
  <si>
    <t>2.1.3</t>
  </si>
  <si>
    <t>2.2.1</t>
  </si>
  <si>
    <t>2.2.2</t>
  </si>
  <si>
    <t>2.2.3</t>
  </si>
  <si>
    <t>Seeds</t>
  </si>
  <si>
    <t>School plots</t>
  </si>
  <si>
    <t>2.3.1</t>
  </si>
  <si>
    <t>2.3.2</t>
  </si>
  <si>
    <t>Canoe Making</t>
  </si>
  <si>
    <t>Bottom fishing gear</t>
  </si>
  <si>
    <t>Dist to Prov</t>
  </si>
  <si>
    <t>Dist from Prov to AC</t>
  </si>
  <si>
    <t>workshop - planning</t>
  </si>
  <si>
    <t>2.4.1</t>
  </si>
  <si>
    <t>Solar Freezers</t>
  </si>
  <si>
    <t>Solar Dryers</t>
  </si>
  <si>
    <t>Dist ACs</t>
  </si>
  <si>
    <t>Dist Prov</t>
  </si>
  <si>
    <t>2.4.2</t>
  </si>
  <si>
    <t>livelihood package</t>
  </si>
  <si>
    <t>2.4.3</t>
  </si>
  <si>
    <t>workshop - producer groups</t>
  </si>
  <si>
    <t>workshop - private sector</t>
  </si>
  <si>
    <t>3.1.1</t>
  </si>
  <si>
    <t>TA trips</t>
  </si>
  <si>
    <t>workshop- AC vistis</t>
  </si>
  <si>
    <t>workshop - AC Reps</t>
  </si>
  <si>
    <t>workshop - Planning</t>
  </si>
  <si>
    <t>GESI TA workshops</t>
  </si>
  <si>
    <t>3.1.2</t>
  </si>
  <si>
    <t>AC office establishment</t>
  </si>
  <si>
    <t>Office support costs</t>
  </si>
  <si>
    <t>AC Vehicles</t>
  </si>
  <si>
    <t>3.2.1</t>
  </si>
  <si>
    <t>Lessons learned workshops</t>
  </si>
  <si>
    <t>Knowledge sharing workshops</t>
  </si>
  <si>
    <t>Regional knowledge sharing</t>
  </si>
  <si>
    <t>Government visits</t>
  </si>
  <si>
    <t>3.2.2</t>
  </si>
  <si>
    <t>National tech working group</t>
  </si>
  <si>
    <t>Project Steering committee</t>
  </si>
  <si>
    <t>Prov TWG meetings</t>
  </si>
  <si>
    <t>PMU</t>
  </si>
  <si>
    <t>PMU Staff laptops</t>
  </si>
  <si>
    <t>PMU staff trips in PMU capacity</t>
  </si>
  <si>
    <t>TOTAL</t>
  </si>
  <si>
    <t>CDCCC resource Kits for Area Councils which will be provided to 261 communities (maintaining a gender balance 50% F, 50% M) within 29 Area Councils at a cost of USD$917 per kit.  Each kit includes 2 smart phones, 1 tablet, stationary supplies, 1 printer, 1 mini projector, 5 high-vis vests and a community workspace.  CPI added of 2% on the cost base year on year from year 2 onwards.  Staff Equipment allocation detail in Staff Activity Tab</t>
  </si>
  <si>
    <t>Refer to TWC, Eq and travel tab for calculation</t>
  </si>
  <si>
    <t>Travel to 29 Area councils USD $2,051 per trip to include car hire, daily allowance and accommodation, 29 travel trips in year 1. 1 field test trip at USD 2051 in year 1.  Appendix 1 below has more travel information.  Staff travel included in Staff Activity Breakdown Tab</t>
  </si>
  <si>
    <t>Workshops for Developing training materials, Area Council staff and  community training.  5 workshops including 2 for community participants approx. USD $2,051 per workshop less than 50 attending and 3 for AC Officers  (including targeted training for women in leadership and children/youth engagement) at USD $2,497 for more than 50.  Note CPI added of 2% year or year from year 2 so unit costs increase by 2% each year.  Year 1 has one session, Year 2 there are 2 sessions and 2 in year 4.</t>
  </si>
  <si>
    <t>Area Council staff training sessions (equal participation 50% F and 50% M).  The cost base is USD $2,497 per workshop.  There are 6 workshops budgeted, 3 in year 1 and 3 in year 4.  CPI of 2% added to the cost base year on year from year 2 onwards.</t>
  </si>
  <si>
    <t>Community Engagement workshops across the 29 Area Councils.  1 workshop at each including community participants (equal participation 50% F and 50% M) at a cost base of USD $2,051 per workshop less than 50 attending. 29 in year 1, 14.5 in year 5 and 14.5 in year 6. CPI of 2% has been added to the cost base year on year from year 2 onwards</t>
  </si>
  <si>
    <t>Procurement and installation of the Satellite dishes across the area councils therefore 261 sites.  At a base cost of USD $6,242 per dish plus labour 40 days at a cost base of USD $758 per day (20 days in year 2 and 5 days all years after to year 6).  Assumes 25% of satellites will be implemented each year for 4 years from years 2 to 5 65.25 communities per year.  CPI of 2% has been added to the cost base year on year from year 2 onwards on the ICT costs.  Staff Equipment allocation detail in Staff Activity Breakdown Tab (c)</t>
  </si>
  <si>
    <t>Assumes 10 social media and 10 radio broadcasts per month (120 each per year) over 6 years at cost base of $10 per broadcast (50% of CIS communications are targeted at women) Year 1 120 and 240 from year 2 to 6.  1 area council workshop for each area council (29) at a cost base of USD $2051 in year 2.  CPI of 2% added to the cost base year on year from year 2 onwards</t>
  </si>
  <si>
    <t xml:space="preserve">Recruitment Consultant </t>
  </si>
  <si>
    <t xml:space="preserve">ESS Advisor </t>
  </si>
  <si>
    <t>Fisheries Adviser</t>
  </si>
  <si>
    <t>Water resource management Adviser</t>
  </si>
  <si>
    <t>Decentralisation Adviser</t>
  </si>
  <si>
    <t>2 trips per month in year 2 to 5, 4 trips in year 1 and 1 per month in year 6</t>
  </si>
  <si>
    <t>2 trips per month for years 2 to 5, 6 in year 1 and only 1 per month in year 6</t>
  </si>
  <si>
    <t>Travel cost allocation for National Staff.  Two trips per month in years 2 to 5 at a cost of USD 1516 per trip.  CPI added on from year 2 onwards.  Year 1 and 6 reduced in line with changes to staff phasing.  Refer to the travel tab for breakdown of unit costs</t>
  </si>
  <si>
    <t>`</t>
  </si>
  <si>
    <t>International Senior Consultant for best practice review and baseline study of existing access to EWS in high-risk communities at a cost base of $52,669 for study in year 2 then reviews in Year 5 and 6.  This study will provide key information for the installation of the EWS specifically.</t>
  </si>
  <si>
    <t xml:space="preserve">Local hire senior consultant at cost base of USD $526 per day for 6 days from year 2 to 6 to produce CIS/EWS materials.  Additional local consultant hire for USD $312 per day for 30 days in year 2 to conduct assessment at community level of early warning systems in place.   Long term contract consulting time allocation please refer to Staff activity Breakdown tab.  Includes Gender and Social Inclusion Adviser time and Recruitment specialist </t>
  </si>
  <si>
    <t xml:space="preserve">A consultant to conduct rapid baseline biophysical and ecological survey of key natural resources and a household socioeconomic surveys to document resource dependents to inform community adaptation plans.  Cost base is $52,669 for 2 reviews in year 1. Each includes 1 research report, consultant time, travel, report production and dissemination.  Estimate based on historical cost trends.  Other International consultant to conduct Community profiling and local vulnerability assessments at a base cost of $758 per day.  Assessments in Year 1, 5 and 6 at 30 days for each review. </t>
  </si>
  <si>
    <t>Local Senior consultant to support all 261 communities at a cost base of $390 per day to visit 87 communities in years 3, 4 and 5.  Local consultant at USD $312 per day for 15 days for coastal and upland management technical training in year 2.  Long term contract consulting time allocation please refer to Staff activity Breakdown tab.  Includes Gender and Social Inclusion, Fisheries, FSL and Water resource manageement Advisers</t>
  </si>
  <si>
    <t xml:space="preserve">International consultant for the production of training materials at a cost base of $658.  30 days in the first year and 3 in year 2.  </t>
  </si>
  <si>
    <t>International consultant to produce training materials at a cost base of USD $658 per day.</t>
  </si>
  <si>
    <t>Local Senior consultant to design community education training materials. At a cost base of USD $312 for 15 days.    Long term contract consulting time allocation please refer to Staff activity Breakdown tab.  Includes Gender and Social Inclusion, Fisheries, FSL and Water resource manageement Advisers.</t>
  </si>
  <si>
    <t>Local Senior consultant to design community education training materials. At a cost base of USD $312 per day for 15 days.   Long term contract consulting time allocation please refer to Staff activity Breakdown tab.  Includes Gender and Social Inclusion, Fisheries, FSL and Water resource manageement Advisers</t>
  </si>
  <si>
    <t xml:space="preserve">International consultant to produce training materials at a base cost of USD $658 per day for 30 days in year 3.  </t>
  </si>
  <si>
    <t>Local Senior consultant to design community education training materials. USD $312 per day as a cost base for 15 days in year 2.   Long term contract consulting time allocation please refer to Staff activity Breakdown tab.  Includes Gender and Social Inclusion, Fisheries, FSL and Water resource manageement Advisers</t>
  </si>
  <si>
    <t xml:space="preserve">Contract for production of materials approx. At a cost base of USD$658 per day for 30 days in year 1 and 3 days in year 2 </t>
  </si>
  <si>
    <t>Local Senior consultant to design community education training materials. USD $312 per day cost base for 15 days in year 2.   Long term contract consulting time allocation please refer to Staff activity Breakdown tab.  Includes Gender and Social Inclusion, Fisheries, FSL and Water resource manageement Advisers</t>
  </si>
  <si>
    <t>Local Senior consultant to design community education training materials. USD $312 per day for 30 days in years 4 and 5.   Long term contract consulting time allocation please refer to Staff activity Breakdown tab.  Includes Gender and Social Inclusion, Fisheries, FSL and Water resource manageement Advisers</t>
  </si>
  <si>
    <t>Contract for production of materials at a cost base of $658 per day for 30 days in year 4.  Year 4 technical assessment ($52,669 base cost) of commodities that exist or can be harvested/grown in communities that are suitable for preservation and storage for food security, and identification of suitable preservation methods</t>
  </si>
  <si>
    <t>Local Senior consultant to design community education training materials. USD $312 per day for 30 days in years 2,3 and 4.   Long term contract consulting time allocation please refer to Staff activity Breakdown tab.  Includes Gender and Social Inclusion, Fisheries, FSL and Water resource manageement Advisers</t>
  </si>
  <si>
    <t xml:space="preserve">Market analysis at a cost base of $52,669 to be completed in year 4. This is to inform the selection of commodities for utilisation in private sector partnerships specifically. </t>
  </si>
  <si>
    <t>Analysis work to be done at a cost base of $52,669 to assess AC plans and Community Adaptation Plans to identify linkages and key points for engaging key stakeholders.   Long term contract consulting time allocation please refer to Staff activity Breakdown tab.  Includes Gender and Social Inclusion and Decentralisation Advisers</t>
  </si>
  <si>
    <t>Policy papers and Technical support to support the integration of adaptation action in AC and CDCCC budgeting processes. At a cost base of $52,669 in years 4 to 6. Long term contract consulting time allocation please refer to Staff activity Breakdown tab.  Includes Gender and Social Inclusion and Decentralisation Advisers</t>
  </si>
  <si>
    <t>Local hire contractual service to disseminate the knowledge of lessons learned at a cost base USD $526 per day for 10 days in years 5 and 6.</t>
  </si>
  <si>
    <t>This is the allocation of In Kind support from the Government of Vanuatu to support the project team.  Government of Vanuatu costs are calculated at 10.7% of the project budget being allocated to government departments. This reflects agreement with Government on the level of financing they are able to provide. 
The co-financing will be made up of fixed operational costs paid for under government recurrent budgets that the project will be drawing on above and beyond what is budgeted for in the project budget in order to deliver project activities, these include: 
-	Government staff salaries 
-	Office rental  
-	Electricity 
-	Vehicle usage
-Equipment
This budget has been allocated to each activity based on the level of outputs managed through the government systems.</t>
  </si>
  <si>
    <t>International senior consultant to produce training materials at a cost base of USD $658 per day for 30 days in year 2.</t>
  </si>
  <si>
    <t>Staff Activity Breakdown Tab</t>
  </si>
  <si>
    <t>16 workshops for training of Area Council staff and communities across Vanuatu (equal participation 50% F and 50% M).  10 workshops at USD $2,497 per workshop and further 6 at USD $2,943 cost base.  Note that CPI is added year on year of 2% to the cost base from year 2 onwards.  Training sessions are 8 in year 1, 1 in years 2 and 3, 7 in year 4 and 1 in years 5 and 6.  Dissemination of materials costs of 2 social media and radio broad casts per month 12 in year 1 then 24 in years 2 to 6 at a cost base of USD $9.</t>
  </si>
  <si>
    <t xml:space="preserve">Contractual services included services contract for Internet and data for Satellites at approx. USD$89 per month.  Increasing by 25% to include all 261 communities by Year 4.  There will be 65.25 in year 1 doubling from there to year 4 where all communities are covered. Note that the project is covering 50% of this cost as it is assumed that the area councils we pick up more of the costs incrementally as we go along. CPI added of 2% to the cost base year on year from year 2 onwards. Also includes a DRR professional Contract for year 1 at a cost base of USD $758 per day for 30 days.  </t>
  </si>
  <si>
    <t>Community training sessions at cost base of $473 per session to support the development of the nurseries.  14.355 sessions per year from year 2 to 6 during planning,  installation and delivery. Planning workshops at a base cost of $2,497 per workshop at national and provincial level 2 trips in year 1. 2 design workshops 1 in year 1 and year 2 at a base cost of USD $2,497. Train the trainer sessions at USD $2,497, 6 in year 2.  Community planning sessions also to be held at a base costs of $473. 28 sessions each year from year 2 to 6.  CPI added of 2% to the cost base year on year from year 2 onwards. Training sessions will include at least 50% women and 5% people with disabilities to maintain gender balance and social inclusion.</t>
  </si>
  <si>
    <t>Community Labour to support the area council staff and consultants in developing the nurseries.  Will be the ones using the Agricultural kits.  Approx. USD $30 per day.   CPI added of 2% to the cost base year on year from year 2 onwards. 40 days in 1st year then 130.5 days in 3, 4 and 5</t>
  </si>
  <si>
    <t>Community training sessions at a cost base of USD $473 per session to support the development of the nurseries 28.71 sessions each year from year 2 to 6.  Train the trainer sessions at a cost base of USD $2,497 per workshop, 6 in year 2. 2 design workshops 1 in year 1 and year 2 at a base cost of USD $2,497.  CPI added of 2% to the cost base year on year from year 2 onwards.  Training sessions will include at least 50% women and 5% people with disabilities to maintain gender balance and social inclusion.</t>
  </si>
  <si>
    <t>Local Senior consultant to design community education training materials. Cost base of USD $312 per day for 15 days (CPI of 2% added in year 2).   Long term contract consulting time allocation please refer to Staff activity Breakdown tab.   Long term contract consulting time allocation please refer to Staff activity Breakdown tab.  Includes Gender and Social Inclusion, Fisheries, FSL and Water resource manageement Advisers.</t>
  </si>
  <si>
    <t>Community training sessions at a cost base of USD $473 per session to support the development of the nurseries 14.355 sessions each year from year 3 to 6.  Train the trainer sessions at a cost base of USD $2,497 per workshop, 6 in year 2. 2 design workshops 1 in year 1 and year 2 at a base cost of USD $2,497.  CPI added of 2% to the cost base year on year from year 2 onwards.  Training sessions will include at least 50% women and 5% people with disabilities to maintain gender balance and social inclusion.</t>
  </si>
  <si>
    <t>Community Labour to support the area council staff and consultants in developing the nurseries.  Will be the ones using the Agricultural kits.  Approx. USD $30 per day.   CPI added of 2% to the cost base year on year from year 2 onwards. 870 days in years 3 and 4</t>
  </si>
  <si>
    <t>Community training sessions at a cost base of $473 per session to support the development of the nurseries.  Approx. 28.71 sessions per year from years 2 to 6 during planning,  installation and delivery. 2 design workshops at a base cost USD $2,497 per workshop 1 in year 1 and 1 in year 2.  6 train the trainer sessions in year 2 at base cost of USD $2497.  CPI added of 2% to the cost base year on year from year 2 onwards. Training sessions will include at least 50% women and 5% people with disabilities to maintain gender balance and social inclusion.</t>
  </si>
  <si>
    <t>Monitoring and Supervision trips by the Provisional Coordinators ($1,516 per trip) and Area Council staff ($2,051 per trip).  To cover 45% area councils for review.  AC trips per year are 27.84 in years 2, 4 and 6 and 13.92 in years 3 and 5)  Provincial trips of 7 per year from year 3 to 6 and 6 in year 1 and 2.  Appendix 1 below has more detailed travel information.   CPI added of 2% to the cost base year on year from year 2 onwards.  At least 1 trip per year, 2 trips to ACs every two years.  Staff travel allocation detail in Staff activity tab</t>
  </si>
  <si>
    <t>Relates to the Area council nurseries ($9,000 per nursery) 5.8 in this activity, Community demo plots 261, one for each community ($ 4,000 each) and Agricultural kits  ($4,500 per kit) (52 demo plots and 75 kits in this activity shared across 2.1 and 2.2 (kits detail in note B4 above).  USD $2,051 per day Technical Assistance support for the development of the nurseries and kits includes one day support per area council split over 2 years.   CPI added of 2% to the cost base year on year from year 2 onwards.  Staff Equipment allocation included at staff activity tab</t>
  </si>
  <si>
    <t>Monitoring and Supervision trips by the Provisional Coordinators ($1,516 per trip) and Area Council staff ($2,051 per trip).  To cover 15% of provisional areas and area councils for review.  (AC trips of 8.7 in years 2,4 and 6 and 4 in years 3 and 5)  and 1 provincial trip in years 3 to 6.  Appendix 1 has more detailed travel information.   CPI added of 2% to the cost base year on year from year 2 onwards.  Staff travel allocation included in staff Activity Tab</t>
  </si>
  <si>
    <t>Community training sessions at a cost base of USD $473 per session to support the development.  46.53 sessions per year from year 3 onwards during planning,  installation and delivery. Planning train the trainer workshops at a base cost of USD $2,497 per workshop 6 in year 3.  CPI added of 2% to the cost base year on year from year 2 onwards. Training sessions will include at least 50% women and 5% people with disabilities to maintain gender balance and social inclusion.</t>
  </si>
  <si>
    <t>Monitoring and Supervision trips by the Provisional Coordinators ($1,516 per trip) and Area Council staff ($2,051 per trip).  To cover 33% area councils for review and all provinces. 19.14 AC trips in years 3 and 5 and 9.57 AC trips in years 4 and 6.  6 province trips from year 3 to 6.  Appendix 1 below has more detailed travel information.   CPI added of 2% to the cost base year on year from year 2 onwards.   Staff travel allocation detail in Staff Activity Tab</t>
  </si>
  <si>
    <t>Community training sessions at a cost base of $473 per session to support the development of the nurseries.  28.71 sessions per year during planning,  installation and delivery from year 2 to 6. Train the trainer workshops at approx. USD $2,497 per workshop 6 in year 2 and year 5.  2 design workshops at USD $2497 1 in year 1 and 1 in year 2.   CPI added of 2% on the cost base year on year from year 2 onwards. Training sessions will include at least 50% women and 5% people with disabilities to maintain gender balance and social inclusion.</t>
  </si>
  <si>
    <t>Monitoring and Supervision trips by the Provisional Coordinators ($1,516 per trip) and Area Council staff ($2,051 per trip).  To cover 33% of area councils and all provinces for review. There are 6 province trips for years 2 to 6 and 19.14 AC trips in years 2,4 and 6 and 9.57 AC trips in years 3 and 5   Appendix 1 below has more detailed travel information.   CPI added of 2% to the cost base year on year from year 2 onwards.  Staff travel allocation detail in Staff Activity Tab</t>
  </si>
  <si>
    <t>Community training sessions at a cost base of $473 per session to support the development.  28.71 sessions per year during planning,  installation and delivery from year 2 to 6. Technical support for workshops approx. $2,497 per workshop 2 in year 2 and 2 in year 3.   CPI added of 2% to the cost base year on year from year 2 onwards. Training sessions will include at least 50% women and 5% people with disabilities to maintain gender balance and social inclusion.</t>
  </si>
  <si>
    <t>Monitoring and Supervision trips by the Provisional Coordinators ($1,516 per trip) and Area Council staff ($2,051 per trip).  To cover 15% of provisional areas and area councils for review.  8.7 AC trips in years 2,4 and 6 and 4.35 in years 3 and 5.  1 province trip from years 2 to 6.  Appendix 1 below has more detailed travel information.   CPI added of 2% to the cost base year on year from year 2 onwards.  Staff Travel allocation in Staff Activity breakdown Tab</t>
  </si>
  <si>
    <t>Purchase and distribution of the solar freezers (USD $5,003 each) and solar dryers (USD $1,008 each) for all 261 communities in year 3.  Distribution cost is USD $9,363 per province and USD $2,006 per AC per year ie 29 ACs and 6 provinces over years 4 and 5.  Added a distribution of 50% ACs and 50% provinces in year 3 to support livelihood packages purchased in year 2.   CPI added of 2% to the cost base year on year from year 2 onwards.  Note that this is the Adaptation Technology linked in FP in Section C of $1,632,242 (purchase cost of the Solar freezers and air dryers only).  Staff equipment allocation included at staff activity tab</t>
  </si>
  <si>
    <t>Monitoring and Supervision trips by the Provisional Coordinators ($1,516 per trip) and Area Council staff ($2,051 per trip).  To cover 33% of area councils and all provinces for review.  19.14 AC trips in years 2,4 and 6 and 9.57 in years 3 and 5.  6 province trips in years 2 to 6.   Appendix 1 below has more detailed travel information.   CPI added of 2% to the cost base year on year from year 2 onwards.  Staff travel allocation in Staff Activity tab</t>
  </si>
  <si>
    <t>Purchase and Distribution of livelihood packages.  Package includes copra dryer, shell crafting tools, potter/clay oven materials, market materials and training.  261 communities targeted (93%) at a cost base of $6,643 each.   CPI added of 2% added to the cost base year on year from year 2 onwards.  Staff Equipment allocation in staff activity tab</t>
  </si>
  <si>
    <t>Community training sessions focused on women at a cost base of $473 per session to support community.  28.71 sessions per year during planning,  installation and delivery in years 2, 3 and 5.    CPI added of 2% year on year to the cost base from year 2 onwards.  Training sessions will be women led.</t>
  </si>
  <si>
    <t>Community training sessions at a cost base of $473 per session to support community engagement, form producer groups and private sector engagement.  28.71 sessions per year during  installation and delivery from years 3 to 6 and sessions to form producer groups 7 in year 1 and 14.5 in years 2 to 6.  Private sector engagements at a base cost of USD $2,497 with 1 session each year from year 2 to 6.    CPI added of 2% to the cost base year on year from year 2 onwards.  All sessions to be focused on women, with a view of at least 6 women-led partnerships with private sector entities established.</t>
  </si>
  <si>
    <t>Workshops for AC  representatives approx. $2,497 per session 6 per year in 3-6.   CPI added of 2% to the cost base year on year from year 2 onwards.  Training sessions will include at least 50% women to maintain gender balance.</t>
  </si>
  <si>
    <t>Lessons learned workshops and knowledge sharing across area councils.  Each is at a cost base of USD $2,497 per session and 4 sessions held per year.   CPI added of 2% to the cost base year on year from year 2 onwards.  Participation by at least 50% women, 5% people with disability and at least 30% are youth overall.</t>
  </si>
  <si>
    <t>Project visits by government officials to different area councils at a cost base of USD $3,567 per visit.  This includes travel, car hire and accommodation from National to province and province to area council. 1 per year from year 2 to 6.  CPI added of 2% to the cost base year on year from year 2 onwards.  Travel information is included below at Appendix 1.  Staff travel allocation in Staff Activity Tab</t>
  </si>
  <si>
    <t>Project steering group (3 per year), provincial TWG meetings (4 per year) and National Technical working group training sessions (4 per year).  Approx. USD $2,497 per session.   CPI added of 2% to the cost base year on year from year 2 onwards.  Annual dialogues to be gender balanced including 30% youth participation and 5% participation from people with disabilities.</t>
  </si>
  <si>
    <t>PMU Team Leader and MEAL specialist Staff costs.  Refer to Staff Activity Tab</t>
  </si>
  <si>
    <t>Refer to Staff Activity Tab</t>
  </si>
  <si>
    <t>Activity 1.2.1 (A22)</t>
  </si>
  <si>
    <t>Activity 1.2.2 (A33)</t>
  </si>
  <si>
    <t>Activity 1.2.3 (A44)</t>
  </si>
  <si>
    <t>Activity 1.3.1 (A54)</t>
  </si>
  <si>
    <t>Activity 1.3.2 (A67)</t>
  </si>
  <si>
    <t>Activity 2.1.3 (B26)</t>
  </si>
  <si>
    <t>Activity 2.2.1 (B38)</t>
  </si>
  <si>
    <t>Activity 2.2.2 (B50)</t>
  </si>
  <si>
    <t>Activity 2.2.3 (B60)</t>
  </si>
  <si>
    <t>Activity 2.3.1 (B72)</t>
  </si>
  <si>
    <t>Activity 2.3.2 (B78)</t>
  </si>
  <si>
    <t>Activity 2.4.1 (B89)</t>
  </si>
  <si>
    <t>Activity 2.4.2 (B101)</t>
  </si>
  <si>
    <t>Activity 2.4.3 (B112)</t>
  </si>
  <si>
    <t>Activity 3.1.2 (C8)</t>
  </si>
  <si>
    <t>Activity 3.1.3 (C19)</t>
  </si>
  <si>
    <t>Activity 3.2.1 (C26)</t>
  </si>
  <si>
    <t>Activity 3.2.2 (C34)</t>
  </si>
  <si>
    <t>Activity 4.1.1 (D2)</t>
  </si>
  <si>
    <t>Calculations and references</t>
  </si>
  <si>
    <t>AC Capacity Assessment.  Senior International consultant at a base cost of $758 per day.</t>
  </si>
  <si>
    <t>* note that the training and development is the capacity building total in FP C2 table of $2,113,674.  The Adaptation Technology as reported in the FP in C2 is the Solar freezers and Dryers equipment cost $1,632,075 or 3rd year costs of B95 above.</t>
  </si>
  <si>
    <t>Demonstration plots for area councils at a cost base of USD 2,229 (one for each AC, 29 in total over 3 years) with CPI of 2% added to the cost base year on year.  These plots include extension officer for 3 days , extension officer travel, vetiver grass harvesting and planting, reforestation species (tree seedlings) and 10 days for community ranger (Notes overall Vertiver grass living fencing is  100,000m and 143ha mangroves). Technical support to develop the demonstration plots and distribute the preventative species for erosion control.  Cost base of USD $2,051 per trip with CPI of 2% added to the cost base from year to onwards year on year.  Includes 1 day per area council and assumes only 50% visited each year over 3 years.  Staff Equipment allocation detail in Staff Activity Tab</t>
  </si>
  <si>
    <t>Relates to the Area council nurseries ($9,000 per nursery) 5.8 in this activity, Community demo plots 261, one for each community ($ 4,000 each) and Agricultural kits  ($4,500 per kit) (52 demo plots and 75 kits in this activity shared across 2.1 and 2.2 (kits detail in note B4 above)  (Estimated 840ha Taro and Yam crops for planting overall).  USD $2,051 per day Technical Assistance support for the development of the nurseries and kits includes one day support per Area Council over 2 years only visit 50% each year.   CPI added of 2% to the cost base year on year from year 2 onwards.  Staff equipment allocation detail in Staff Activity Tab</t>
  </si>
  <si>
    <t>Relates to the Area Council nurseries (cost base of $9,002 per nursery). This cost includes 1 water tank, water catchment system, extension officer for 3 days , extension officer travel, vetiver grass harvesting and planting, resilient species of staple crops, resilient species of cash crops, chicken wire fencing using local timber, distribution and 10 days for community ranger. 17.4 budgeted in this activity. (Overall 100,000m of vertivers grass living fences ) Community demo plots of a total of 156.60, one for each community (at a cost base of $ 4,000 each).  This includes 1 water tank, water catchment system, extension officer days and travel, vetiver grass harvesting and planting, resilient species of staple crops, resilient species of cash crops, chicken wire fencing using local timber, distribution and general labour support. Agricultural kits  (cost base of $4,500 per kit) Each kit includes a garden fork and spade, yam spade, hoe, watering can, garden hose, wheelbarrow, axe, bush knife, iron crossbar, hand rotavator, signage. (234.90 in this activity shared across outputs 2.1 and 2.2) Estimated 840ha Taro and Yam crops for planting overall.  USD $2,051 per day Technical Assistance support for the development of the nurseries and kits.  Assumes one day per Area Council technical support over 2 years (ie visit 50% ACs each year).  CPI added of 2% to the cost base year on year from year 2 onwards.  Staff Equipment Allocation included at Staff Activity Tab</t>
  </si>
  <si>
    <t>Activity 3.2.1 Capture lessons learned, emerging themes and best practices at the community level to ensure sub-national and national planning processes are informed by local needs and that local actions support national objectives</t>
  </si>
  <si>
    <t>Version ITAP-v1: 2022_02_20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</si>
</sst>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 #,##0_-;_-* &quot;-&quot;??_-;_-@_-"/>
    <numFmt numFmtId="166" formatCode="0.0%"/>
  </numFmts>
  <fonts count="18" x14ac:knownFonts="1">
    <font>
      <sz val="11"/>
      <color theme="1"/>
      <name val="Calibri"/>
      <family val="2"/>
      <scheme val="minor"/>
    </font>
    <font>
      <sz val="11"/>
      <color theme="1"/>
      <name val="Calibri"/>
      <family val="2"/>
      <scheme val="minor"/>
    </font>
    <font>
      <b/>
      <sz val="18"/>
      <color theme="1"/>
      <name val="Calibri"/>
      <family val="2"/>
      <scheme val="minor"/>
    </font>
    <font>
      <sz val="8"/>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font>
    <font>
      <sz val="11"/>
      <color rgb="FF000000"/>
      <name val="Calibri"/>
      <family val="2"/>
    </font>
    <font>
      <sz val="11"/>
      <color theme="1"/>
      <name val="Times New Roman"/>
      <family val="1"/>
    </font>
    <font>
      <b/>
      <sz val="11"/>
      <color theme="1"/>
      <name val="Calibri"/>
      <family val="2"/>
    </font>
    <font>
      <b/>
      <sz val="18"/>
      <color rgb="FFFF0000"/>
      <name val="Calibri"/>
      <family val="2"/>
      <scheme val="minor"/>
    </font>
    <font>
      <sz val="11"/>
      <color rgb="FFFF3399"/>
      <name val="Calibri"/>
      <family val="2"/>
      <scheme val="minor"/>
    </font>
    <font>
      <b/>
      <sz val="11"/>
      <color rgb="FFFF3399"/>
      <name val="Calibri"/>
      <family val="2"/>
      <scheme val="minor"/>
    </font>
    <font>
      <b/>
      <sz val="11"/>
      <color rgb="FF7030A0"/>
      <name val="Calibri"/>
      <family val="2"/>
      <scheme val="minor"/>
    </font>
    <font>
      <sz val="11"/>
      <name val="Calibri"/>
      <family val="2"/>
      <scheme val="minor"/>
    </font>
    <font>
      <b/>
      <sz val="11"/>
      <name val="Calibri"/>
      <family val="2"/>
      <scheme val="minor"/>
    </font>
    <fon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7" tint="0.79998168889431442"/>
        <bgColor indexed="64"/>
      </patternFill>
    </fill>
  </fills>
  <borders count="2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356">
    <xf numFmtId="0" fontId="0" fillId="0" borderId="0" xfId="0"/>
    <xf numFmtId="165" fontId="0" fillId="0" borderId="0" xfId="1" applyNumberFormat="1" applyFont="1"/>
    <xf numFmtId="0" fontId="0" fillId="0" borderId="0" xfId="0" applyAlignment="1">
      <alignment vertical="center"/>
    </xf>
    <xf numFmtId="0" fontId="0" fillId="0" borderId="0" xfId="0" applyAlignment="1">
      <alignment horizontal="center"/>
    </xf>
    <xf numFmtId="165" fontId="0" fillId="3" borderId="2" xfId="1" applyNumberFormat="1" applyFont="1" applyFill="1" applyBorder="1"/>
    <xf numFmtId="0" fontId="0" fillId="3" borderId="2" xfId="0" applyFill="1" applyBorder="1"/>
    <xf numFmtId="0" fontId="0" fillId="3" borderId="2" xfId="0" applyFill="1" applyBorder="1" applyAlignment="1">
      <alignment vertical="center"/>
    </xf>
    <xf numFmtId="0" fontId="0" fillId="3" borderId="2" xfId="0" applyFill="1" applyBorder="1" applyAlignment="1">
      <alignment horizontal="center"/>
    </xf>
    <xf numFmtId="165" fontId="0" fillId="4" borderId="2" xfId="1" applyNumberFormat="1" applyFont="1" applyFill="1" applyBorder="1" applyAlignment="1">
      <alignment wrapText="1"/>
    </xf>
    <xf numFmtId="0" fontId="0" fillId="4" borderId="2" xfId="0" applyFill="1" applyBorder="1" applyAlignment="1">
      <alignment wrapText="1"/>
    </xf>
    <xf numFmtId="0" fontId="0" fillId="4" borderId="3" xfId="0" applyFill="1" applyBorder="1" applyAlignment="1">
      <alignment wrapText="1"/>
    </xf>
    <xf numFmtId="165" fontId="0" fillId="0" borderId="2" xfId="1" applyNumberFormat="1" applyFont="1" applyBorder="1" applyAlignment="1">
      <alignment wrapText="1"/>
    </xf>
    <xf numFmtId="0" fontId="0" fillId="0" borderId="2" xfId="0" applyBorder="1" applyAlignment="1">
      <alignment horizontal="center" wrapText="1"/>
    </xf>
    <xf numFmtId="0" fontId="0" fillId="0" borderId="2" xfId="0" applyBorder="1" applyAlignment="1">
      <alignment wrapText="1"/>
    </xf>
    <xf numFmtId="0" fontId="0" fillId="4" borderId="1" xfId="0" applyFill="1" applyBorder="1" applyAlignment="1">
      <alignment vertical="center" wrapText="1"/>
    </xf>
    <xf numFmtId="0" fontId="0" fillId="4" borderId="1" xfId="0" applyFill="1" applyBorder="1" applyAlignment="1">
      <alignment horizontal="center" vertical="center" wrapText="1"/>
    </xf>
    <xf numFmtId="0" fontId="0" fillId="4" borderId="4" xfId="0" applyFill="1" applyBorder="1" applyAlignment="1">
      <alignment horizontal="center" vertical="center" wrapText="1"/>
    </xf>
    <xf numFmtId="165" fontId="0" fillId="0" borderId="5" xfId="1" applyNumberFormat="1" applyFont="1" applyBorder="1" applyAlignment="1">
      <alignment wrapText="1"/>
    </xf>
    <xf numFmtId="0" fontId="0" fillId="0" borderId="5" xfId="0" applyBorder="1" applyAlignment="1">
      <alignment horizontal="center" wrapText="1"/>
    </xf>
    <xf numFmtId="165" fontId="0" fillId="2" borderId="2" xfId="1" applyNumberFormat="1" applyFont="1" applyFill="1" applyBorder="1" applyAlignment="1">
      <alignment wrapText="1"/>
    </xf>
    <xf numFmtId="165" fontId="0" fillId="2" borderId="5" xfId="1" applyNumberFormat="1" applyFont="1" applyFill="1" applyBorder="1" applyAlignment="1">
      <alignment wrapText="1"/>
    </xf>
    <xf numFmtId="0" fontId="0" fillId="4" borderId="4" xfId="0" applyFill="1" applyBorder="1" applyAlignment="1">
      <alignment horizontal="left" vertical="center"/>
    </xf>
    <xf numFmtId="165" fontId="0" fillId="3" borderId="2" xfId="1" applyNumberFormat="1" applyFont="1" applyFill="1" applyBorder="1" applyAlignment="1">
      <alignment horizontal="center" vertical="center" wrapText="1"/>
    </xf>
    <xf numFmtId="0" fontId="0" fillId="3" borderId="2" xfId="0" applyFill="1" applyBorder="1" applyAlignment="1">
      <alignment horizontal="center" vertical="center" wrapText="1"/>
    </xf>
    <xf numFmtId="0" fontId="0" fillId="0" borderId="0" xfId="0" applyAlignment="1">
      <alignment wrapText="1"/>
    </xf>
    <xf numFmtId="0" fontId="0" fillId="0" borderId="2" xfId="0" applyBorder="1"/>
    <xf numFmtId="0" fontId="2" fillId="0" borderId="0" xfId="0" applyFont="1"/>
    <xf numFmtId="0" fontId="2" fillId="0" borderId="0" xfId="0" applyFont="1" applyAlignment="1">
      <alignment horizontal="left"/>
    </xf>
    <xf numFmtId="0" fontId="0" fillId="0" borderId="5" xfId="0" applyBorder="1" applyAlignment="1">
      <alignment wrapText="1"/>
    </xf>
    <xf numFmtId="0" fontId="4" fillId="0" borderId="0" xfId="0" applyFont="1" applyAlignment="1">
      <alignment horizontal="center" wrapText="1"/>
    </xf>
    <xf numFmtId="0" fontId="5" fillId="0" borderId="0" xfId="0" applyFont="1" applyAlignment="1">
      <alignment wrapText="1"/>
    </xf>
    <xf numFmtId="0" fontId="4" fillId="0" borderId="0" xfId="0" applyFont="1"/>
    <xf numFmtId="0" fontId="4"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xf>
    <xf numFmtId="165" fontId="0" fillId="0" borderId="9" xfId="1" applyNumberFormat="1" applyFont="1" applyBorder="1"/>
    <xf numFmtId="165" fontId="0" fillId="0" borderId="10" xfId="1" applyNumberFormat="1" applyFont="1" applyBorder="1"/>
    <xf numFmtId="165" fontId="0" fillId="0" borderId="11" xfId="1" applyNumberFormat="1" applyFont="1" applyBorder="1"/>
    <xf numFmtId="165" fontId="0" fillId="0" borderId="0" xfId="1" applyNumberFormat="1" applyFont="1" applyBorder="1"/>
    <xf numFmtId="165" fontId="0" fillId="0" borderId="8" xfId="1" applyNumberFormat="1" applyFont="1" applyBorder="1"/>
    <xf numFmtId="165" fontId="0" fillId="0" borderId="7" xfId="1" applyNumberFormat="1" applyFont="1" applyBorder="1"/>
    <xf numFmtId="165" fontId="0" fillId="0" borderId="6" xfId="1" applyNumberFormat="1" applyFont="1" applyBorder="1"/>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0" fillId="0" borderId="0" xfId="0" applyAlignment="1">
      <alignment horizontal="right" wrapText="1"/>
    </xf>
    <xf numFmtId="0" fontId="0" fillId="0" borderId="2" xfId="0"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10" fillId="0" borderId="0" xfId="0" applyFont="1" applyAlignment="1">
      <alignment vertical="center" wrapText="1"/>
    </xf>
    <xf numFmtId="165" fontId="8" fillId="0" borderId="0" xfId="1" applyNumberFormat="1" applyFont="1" applyFill="1" applyAlignment="1">
      <alignment vertical="center"/>
    </xf>
    <xf numFmtId="165" fontId="8" fillId="0" borderId="1" xfId="1" applyNumberFormat="1" applyFont="1" applyFill="1" applyBorder="1" applyAlignment="1">
      <alignment horizontal="right" vertical="center"/>
    </xf>
    <xf numFmtId="165" fontId="8" fillId="0" borderId="1" xfId="1" applyNumberFormat="1" applyFont="1" applyFill="1" applyBorder="1" applyAlignment="1">
      <alignment vertical="center"/>
    </xf>
    <xf numFmtId="0" fontId="0" fillId="0" borderId="5" xfId="0" applyBorder="1" applyAlignment="1">
      <alignment horizontal="center"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9" fillId="0" borderId="0" xfId="0" applyFont="1" applyAlignment="1">
      <alignment vertical="center"/>
    </xf>
    <xf numFmtId="0" fontId="9" fillId="0" borderId="0" xfId="0" applyFont="1" applyAlignment="1">
      <alignment vertical="center" wrapText="1"/>
    </xf>
    <xf numFmtId="165" fontId="0" fillId="0" borderId="12" xfId="1" applyNumberFormat="1" applyFont="1" applyBorder="1"/>
    <xf numFmtId="165" fontId="0" fillId="0" borderId="14" xfId="1" applyNumberFormat="1" applyFont="1" applyBorder="1"/>
    <xf numFmtId="165" fontId="0" fillId="0" borderId="13" xfId="1" applyNumberFormat="1" applyFont="1" applyBorder="1"/>
    <xf numFmtId="165" fontId="0" fillId="0" borderId="5" xfId="1" applyNumberFormat="1" applyFont="1" applyBorder="1"/>
    <xf numFmtId="0" fontId="0" fillId="0" borderId="11" xfId="0" applyBorder="1" applyAlignment="1">
      <alignment wrapText="1"/>
    </xf>
    <xf numFmtId="0" fontId="0" fillId="0" borderId="10" xfId="0" applyBorder="1" applyAlignment="1">
      <alignment wrapText="1"/>
    </xf>
    <xf numFmtId="0" fontId="0" fillId="0" borderId="9" xfId="0" applyBorder="1" applyAlignment="1">
      <alignment wrapText="1"/>
    </xf>
    <xf numFmtId="0" fontId="0" fillId="0" borderId="4" xfId="0" applyBorder="1" applyAlignment="1">
      <alignment horizontal="center"/>
    </xf>
    <xf numFmtId="165" fontId="0" fillId="0" borderId="15" xfId="1" applyNumberFormat="1" applyFont="1" applyBorder="1"/>
    <xf numFmtId="165" fontId="0" fillId="0" borderId="4" xfId="0" applyNumberFormat="1" applyBorder="1" applyAlignment="1">
      <alignment wrapText="1"/>
    </xf>
    <xf numFmtId="165" fontId="0" fillId="0" borderId="0" xfId="0" applyNumberFormat="1"/>
    <xf numFmtId="0" fontId="4" fillId="0" borderId="0" xfId="0" applyFont="1" applyAlignment="1">
      <alignment horizontal="center"/>
    </xf>
    <xf numFmtId="165" fontId="0" fillId="0" borderId="2" xfId="0" applyNumberFormat="1" applyBorder="1" applyAlignment="1">
      <alignment wrapText="1"/>
    </xf>
    <xf numFmtId="0" fontId="11" fillId="0" borderId="0" xfId="0" applyFont="1" applyAlignment="1">
      <alignment horizontal="left"/>
    </xf>
    <xf numFmtId="0" fontId="11" fillId="0" borderId="0" xfId="0" applyFont="1"/>
    <xf numFmtId="165" fontId="13" fillId="0" borderId="0" xfId="0" applyNumberFormat="1" applyFont="1"/>
    <xf numFmtId="0" fontId="13" fillId="0" borderId="0" xfId="0" applyFont="1"/>
    <xf numFmtId="165" fontId="12" fillId="0" borderId="0" xfId="0" applyNumberFormat="1" applyFont="1"/>
    <xf numFmtId="0" fontId="14" fillId="0" borderId="0" xfId="0" applyFont="1"/>
    <xf numFmtId="165" fontId="14" fillId="0" borderId="0" xfId="0" applyNumberFormat="1" applyFont="1"/>
    <xf numFmtId="0" fontId="0" fillId="0" borderId="0" xfId="0" applyAlignment="1">
      <alignment horizontal="center" wrapText="1"/>
    </xf>
    <xf numFmtId="165" fontId="12" fillId="0" borderId="0" xfId="1" applyNumberFormat="1" applyFont="1" applyFill="1" applyAlignment="1">
      <alignment vertical="center" wrapText="1"/>
    </xf>
    <xf numFmtId="165" fontId="0" fillId="0" borderId="0" xfId="1" applyNumberFormat="1" applyFont="1" applyAlignment="1">
      <alignment vertical="center" wrapText="1"/>
    </xf>
    <xf numFmtId="165" fontId="12" fillId="0" borderId="0" xfId="1" applyNumberFormat="1" applyFont="1"/>
    <xf numFmtId="0" fontId="0" fillId="5" borderId="1" xfId="0" applyFill="1" applyBorder="1" applyAlignment="1">
      <alignment vertical="center" wrapText="1"/>
    </xf>
    <xf numFmtId="0" fontId="0" fillId="5" borderId="3" xfId="0" applyFill="1" applyBorder="1" applyAlignment="1">
      <alignment wrapText="1"/>
    </xf>
    <xf numFmtId="165" fontId="0" fillId="5" borderId="2" xfId="1" applyNumberFormat="1" applyFont="1" applyFill="1" applyBorder="1" applyAlignment="1">
      <alignment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left" vertical="center" wrapText="1"/>
    </xf>
    <xf numFmtId="0" fontId="15" fillId="5" borderId="1" xfId="0" applyFont="1" applyFill="1" applyBorder="1" applyAlignment="1">
      <alignment vertical="center" wrapText="1"/>
    </xf>
    <xf numFmtId="0" fontId="15" fillId="5" borderId="3" xfId="0" applyFont="1" applyFill="1" applyBorder="1" applyAlignment="1">
      <alignment wrapText="1"/>
    </xf>
    <xf numFmtId="0" fontId="15" fillId="5" borderId="2" xfId="0" applyFont="1" applyFill="1" applyBorder="1" applyAlignment="1">
      <alignment horizontal="center" wrapText="1"/>
    </xf>
    <xf numFmtId="165" fontId="15" fillId="5" borderId="2" xfId="1" applyNumberFormat="1" applyFont="1" applyFill="1" applyBorder="1" applyAlignment="1">
      <alignment wrapText="1"/>
    </xf>
    <xf numFmtId="0" fontId="15" fillId="4" borderId="4" xfId="0" applyFont="1" applyFill="1" applyBorder="1" applyAlignment="1">
      <alignment horizontal="center"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vertical="center" wrapText="1"/>
    </xf>
    <xf numFmtId="0" fontId="15" fillId="4" borderId="3" xfId="0" applyFont="1" applyFill="1" applyBorder="1" applyAlignment="1">
      <alignment wrapText="1"/>
    </xf>
    <xf numFmtId="0" fontId="15" fillId="4" borderId="2" xfId="0" applyFont="1" applyFill="1" applyBorder="1" applyAlignment="1">
      <alignment horizontal="center" wrapText="1"/>
    </xf>
    <xf numFmtId="165" fontId="15" fillId="4" borderId="2" xfId="1" applyNumberFormat="1" applyFont="1" applyFill="1" applyBorder="1" applyAlignment="1">
      <alignment wrapText="1"/>
    </xf>
    <xf numFmtId="0" fontId="0" fillId="5" borderId="1" xfId="0" applyFill="1" applyBorder="1" applyAlignment="1">
      <alignment horizontal="center" vertical="center" wrapText="1"/>
    </xf>
    <xf numFmtId="0" fontId="15" fillId="4" borderId="1" xfId="0" applyFont="1" applyFill="1" applyBorder="1" applyAlignment="1">
      <alignment wrapText="1"/>
    </xf>
    <xf numFmtId="0" fontId="4" fillId="0" borderId="16" xfId="0" applyFont="1" applyBorder="1" applyAlignment="1">
      <alignment horizontal="center"/>
    </xf>
    <xf numFmtId="0" fontId="4" fillId="0" borderId="16" xfId="0" applyFont="1" applyBorder="1" applyAlignment="1">
      <alignment horizontal="left"/>
    </xf>
    <xf numFmtId="0" fontId="0" fillId="0" borderId="0" xfId="0" applyAlignment="1">
      <alignment horizontal="left"/>
    </xf>
    <xf numFmtId="0" fontId="4" fillId="3" borderId="2" xfId="0" applyFont="1" applyFill="1" applyBorder="1"/>
    <xf numFmtId="0" fontId="15" fillId="0" borderId="2" xfId="0" applyFont="1" applyBorder="1" applyAlignment="1">
      <alignment horizontal="center" wrapText="1"/>
    </xf>
    <xf numFmtId="0" fontId="15" fillId="0" borderId="0" xfId="0" applyFont="1"/>
    <xf numFmtId="0" fontId="15" fillId="3" borderId="2" xfId="0" applyFont="1" applyFill="1" applyBorder="1" applyAlignment="1">
      <alignment horizontal="center" vertical="center" wrapText="1"/>
    </xf>
    <xf numFmtId="0" fontId="15" fillId="4" borderId="2" xfId="0" applyFont="1" applyFill="1" applyBorder="1" applyAlignment="1">
      <alignment wrapText="1"/>
    </xf>
    <xf numFmtId="0" fontId="15" fillId="4" borderId="3" xfId="0" applyFont="1" applyFill="1" applyBorder="1" applyAlignment="1">
      <alignment horizontal="center" wrapText="1"/>
    </xf>
    <xf numFmtId="0" fontId="15" fillId="0" borderId="5" xfId="0" applyFont="1" applyBorder="1" applyAlignment="1">
      <alignment horizontal="center" wrapText="1"/>
    </xf>
    <xf numFmtId="0" fontId="15" fillId="3" borderId="2" xfId="0" applyFont="1" applyFill="1" applyBorder="1"/>
    <xf numFmtId="0" fontId="15" fillId="0" borderId="2" xfId="0" applyFont="1" applyBorder="1" applyAlignment="1">
      <alignment wrapText="1"/>
    </xf>
    <xf numFmtId="165" fontId="15" fillId="0" borderId="2" xfId="1" applyNumberFormat="1" applyFont="1" applyBorder="1" applyAlignment="1">
      <alignment wrapText="1"/>
    </xf>
    <xf numFmtId="165" fontId="0" fillId="0" borderId="2" xfId="1" applyNumberFormat="1" applyFont="1" applyFill="1" applyBorder="1" applyAlignment="1">
      <alignment wrapText="1"/>
    </xf>
    <xf numFmtId="164" fontId="0" fillId="0" borderId="0" xfId="1" applyFont="1" applyAlignment="1">
      <alignment wrapText="1"/>
    </xf>
    <xf numFmtId="0" fontId="15" fillId="4" borderId="4" xfId="0" applyFont="1" applyFill="1" applyBorder="1" applyAlignment="1">
      <alignment horizontal="left" vertical="center" wrapText="1"/>
    </xf>
    <xf numFmtId="165" fontId="0" fillId="0" borderId="5" xfId="1" applyNumberFormat="1" applyFont="1" applyFill="1" applyBorder="1" applyAlignment="1">
      <alignment wrapText="1"/>
    </xf>
    <xf numFmtId="0" fontId="15" fillId="0" borderId="0" xfId="0" applyFont="1" applyAlignment="1">
      <alignment wrapText="1"/>
    </xf>
    <xf numFmtId="0" fontId="15" fillId="0" borderId="0" xfId="0" applyFont="1" applyAlignment="1">
      <alignment horizontal="center" wrapText="1"/>
    </xf>
    <xf numFmtId="0" fontId="4" fillId="0" borderId="2"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wrapText="1"/>
    </xf>
    <xf numFmtId="0" fontId="0" fillId="0" borderId="9" xfId="0" applyBorder="1" applyAlignment="1">
      <alignment horizontal="center"/>
    </xf>
    <xf numFmtId="0" fontId="4" fillId="0" borderId="11"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3" xfId="0" applyFont="1" applyBorder="1" applyAlignment="1">
      <alignment horizontal="center"/>
    </xf>
    <xf numFmtId="0" fontId="4" fillId="0" borderId="0" xfId="0" applyFont="1" applyAlignment="1">
      <alignment wrapText="1"/>
    </xf>
    <xf numFmtId="0" fontId="4" fillId="0" borderId="9" xfId="0" applyFont="1" applyBorder="1" applyAlignment="1">
      <alignment horizontal="center" wrapText="1"/>
    </xf>
    <xf numFmtId="0" fontId="0" fillId="0" borderId="11" xfId="0" applyBorder="1"/>
    <xf numFmtId="0" fontId="0" fillId="0" borderId="10" xfId="0" applyBorder="1"/>
    <xf numFmtId="0" fontId="0" fillId="0" borderId="9" xfId="0" applyBorder="1"/>
    <xf numFmtId="164" fontId="0" fillId="0" borderId="9" xfId="1" applyFont="1" applyFill="1" applyBorder="1" applyAlignment="1">
      <alignment horizontal="center" wrapText="1"/>
    </xf>
    <xf numFmtId="165" fontId="0" fillId="0" borderId="11" xfId="1" applyNumberFormat="1" applyFont="1" applyFill="1" applyBorder="1"/>
    <xf numFmtId="165" fontId="0" fillId="0" borderId="0" xfId="1" applyNumberFormat="1" applyFont="1" applyFill="1" applyBorder="1"/>
    <xf numFmtId="165" fontId="0" fillId="0" borderId="10" xfId="1" applyNumberFormat="1" applyFont="1" applyFill="1" applyBorder="1"/>
    <xf numFmtId="165" fontId="0" fillId="0" borderId="9" xfId="0" applyNumberFormat="1" applyBorder="1"/>
    <xf numFmtId="165" fontId="0" fillId="0" borderId="11" xfId="0" applyNumberFormat="1" applyBorder="1"/>
    <xf numFmtId="165" fontId="4" fillId="0" borderId="9" xfId="0" applyNumberFormat="1" applyFont="1" applyBorder="1"/>
    <xf numFmtId="165" fontId="0" fillId="0" borderId="8" xfId="1" applyNumberFormat="1" applyFont="1" applyFill="1" applyBorder="1"/>
    <xf numFmtId="165" fontId="0" fillId="0" borderId="7" xfId="1" applyNumberFormat="1" applyFont="1" applyFill="1" applyBorder="1"/>
    <xf numFmtId="165" fontId="0" fillId="0" borderId="6" xfId="1" applyNumberFormat="1" applyFont="1" applyFill="1" applyBorder="1"/>
    <xf numFmtId="165" fontId="4" fillId="0" borderId="4" xfId="1" applyNumberFormat="1" applyFont="1" applyFill="1" applyBorder="1" applyAlignment="1">
      <alignment wrapText="1"/>
    </xf>
    <xf numFmtId="165" fontId="0" fillId="0" borderId="2" xfId="1" applyNumberFormat="1" applyFont="1" applyFill="1" applyBorder="1" applyAlignment="1">
      <alignment horizontal="center" wrapText="1"/>
    </xf>
    <xf numFmtId="165" fontId="0" fillId="0" borderId="1" xfId="1" applyNumberFormat="1" applyFont="1" applyFill="1" applyBorder="1" applyAlignment="1">
      <alignment wrapText="1"/>
    </xf>
    <xf numFmtId="165" fontId="0" fillId="0" borderId="4" xfId="1" applyNumberFormat="1" applyFont="1" applyFill="1" applyBorder="1"/>
    <xf numFmtId="165" fontId="0" fillId="0" borderId="1" xfId="1" applyNumberFormat="1" applyFont="1" applyFill="1" applyBorder="1"/>
    <xf numFmtId="165" fontId="0" fillId="0" borderId="3" xfId="1" applyNumberFormat="1" applyFont="1" applyFill="1" applyBorder="1"/>
    <xf numFmtId="165" fontId="0" fillId="0" borderId="2" xfId="1" applyNumberFormat="1" applyFont="1" applyFill="1" applyBorder="1"/>
    <xf numFmtId="165" fontId="0" fillId="0" borderId="0" xfId="1" applyNumberFormat="1" applyFont="1" applyFill="1"/>
    <xf numFmtId="164" fontId="1" fillId="0" borderId="9" xfId="1" applyFont="1" applyFill="1" applyBorder="1" applyAlignment="1">
      <alignment horizontal="center" wrapText="1"/>
    </xf>
    <xf numFmtId="0" fontId="0" fillId="0" borderId="4" xfId="0" applyBorder="1" applyAlignment="1">
      <alignment wrapText="1"/>
    </xf>
    <xf numFmtId="0" fontId="4" fillId="0" borderId="2" xfId="0" applyFont="1" applyBorder="1"/>
    <xf numFmtId="0" fontId="4" fillId="0" borderId="4" xfId="0" applyFont="1" applyBorder="1"/>
    <xf numFmtId="0" fontId="0" fillId="0" borderId="9" xfId="0" applyBorder="1" applyAlignment="1">
      <alignment horizontal="center" wrapText="1"/>
    </xf>
    <xf numFmtId="0" fontId="4" fillId="0" borderId="11" xfId="0" applyFont="1" applyBorder="1"/>
    <xf numFmtId="0" fontId="4" fillId="0" borderId="10" xfId="0" applyFont="1" applyBorder="1"/>
    <xf numFmtId="0" fontId="4" fillId="0" borderId="9" xfId="0" applyFont="1" applyBorder="1"/>
    <xf numFmtId="165" fontId="0" fillId="0" borderId="9" xfId="1" applyNumberFormat="1" applyFont="1" applyFill="1" applyBorder="1"/>
    <xf numFmtId="164" fontId="12" fillId="0" borderId="0" xfId="1" applyFont="1" applyFill="1"/>
    <xf numFmtId="165" fontId="4" fillId="0" borderId="9" xfId="1" applyNumberFormat="1" applyFont="1" applyFill="1" applyBorder="1"/>
    <xf numFmtId="0" fontId="0" fillId="0" borderId="1" xfId="0" applyBorder="1"/>
    <xf numFmtId="164" fontId="13" fillId="0" borderId="1" xfId="1" applyFont="1" applyFill="1" applyBorder="1"/>
    <xf numFmtId="0" fontId="4" fillId="0" borderId="9" xfId="0" applyFont="1" applyBorder="1" applyAlignment="1">
      <alignment wrapText="1"/>
    </xf>
    <xf numFmtId="0" fontId="4" fillId="0" borderId="5" xfId="0" applyFont="1" applyBorder="1" applyAlignment="1">
      <alignment horizontal="center" wrapText="1"/>
    </xf>
    <xf numFmtId="0" fontId="0" fillId="0" borderId="8" xfId="0" applyBorder="1"/>
    <xf numFmtId="0" fontId="0" fillId="0" borderId="7" xfId="0" applyBorder="1"/>
    <xf numFmtId="0" fontId="0" fillId="0" borderId="6" xfId="0" applyBorder="1"/>
    <xf numFmtId="0" fontId="0" fillId="0" borderId="5" xfId="0" applyBorder="1"/>
    <xf numFmtId="165" fontId="4" fillId="0" borderId="4" xfId="0" applyNumberFormat="1" applyFont="1" applyBorder="1"/>
    <xf numFmtId="165" fontId="4" fillId="0" borderId="1" xfId="0" applyNumberFormat="1" applyFont="1" applyBorder="1"/>
    <xf numFmtId="165" fontId="4" fillId="0" borderId="3" xfId="0" applyNumberFormat="1" applyFont="1" applyBorder="1"/>
    <xf numFmtId="165" fontId="4" fillId="0" borderId="2" xfId="0" applyNumberFormat="1" applyFont="1" applyBorder="1"/>
    <xf numFmtId="0" fontId="5" fillId="0" borderId="0" xfId="0" applyFont="1"/>
    <xf numFmtId="0" fontId="13" fillId="0" borderId="0" xfId="0" applyFont="1" applyAlignment="1">
      <alignment horizontal="center"/>
    </xf>
    <xf numFmtId="165" fontId="0" fillId="5" borderId="0" xfId="1" applyNumberFormat="1" applyFont="1" applyFill="1" applyAlignment="1">
      <alignment horizontal="center"/>
    </xf>
    <xf numFmtId="165" fontId="0" fillId="5" borderId="0" xfId="1" applyNumberFormat="1" applyFont="1" applyFill="1" applyAlignment="1">
      <alignment vertical="center"/>
    </xf>
    <xf numFmtId="0" fontId="0" fillId="0" borderId="2" xfId="0" applyBorder="1" applyAlignment="1">
      <alignment horizontal="center" vertical="center" wrapText="1"/>
    </xf>
    <xf numFmtId="0" fontId="0" fillId="0" borderId="3" xfId="0" applyBorder="1" applyAlignment="1">
      <alignment vertical="center" wrapText="1"/>
    </xf>
    <xf numFmtId="0" fontId="4" fillId="0" borderId="2" xfId="0" applyFont="1" applyBorder="1" applyAlignment="1">
      <alignment wrapText="1"/>
    </xf>
    <xf numFmtId="165" fontId="4" fillId="0" borderId="2" xfId="1" applyNumberFormat="1" applyFont="1" applyFill="1" applyBorder="1" applyAlignment="1">
      <alignment wrapText="1"/>
    </xf>
    <xf numFmtId="0" fontId="4" fillId="0" borderId="4" xfId="0" applyFont="1" applyBorder="1" applyAlignment="1">
      <alignment wrapText="1"/>
    </xf>
    <xf numFmtId="0" fontId="0" fillId="0" borderId="4" xfId="0" applyBorder="1"/>
    <xf numFmtId="0" fontId="4" fillId="0" borderId="11" xfId="0" applyFont="1" applyBorder="1" applyAlignment="1">
      <alignment wrapText="1"/>
    </xf>
    <xf numFmtId="165" fontId="4" fillId="0" borderId="2" xfId="1" applyNumberFormat="1" applyFont="1" applyFill="1" applyBorder="1" applyAlignment="1">
      <alignment horizontal="center" wrapText="1"/>
    </xf>
    <xf numFmtId="0" fontId="4" fillId="0" borderId="3" xfId="0" applyFont="1" applyBorder="1" applyAlignment="1">
      <alignment horizontal="center" wrapText="1"/>
    </xf>
    <xf numFmtId="0" fontId="0" fillId="0" borderId="10" xfId="0" applyBorder="1" applyAlignment="1">
      <alignment horizontal="center" wrapText="1"/>
    </xf>
    <xf numFmtId="0" fontId="4" fillId="0" borderId="10" xfId="0" applyFont="1" applyBorder="1" applyAlignment="1">
      <alignment horizontal="center" wrapText="1"/>
    </xf>
    <xf numFmtId="0" fontId="4" fillId="0" borderId="3" xfId="0" applyFont="1" applyBorder="1" applyAlignment="1">
      <alignment horizontal="center"/>
    </xf>
    <xf numFmtId="164" fontId="0" fillId="0" borderId="0" xfId="1" applyFont="1"/>
    <xf numFmtId="164" fontId="0" fillId="0" borderId="0" xfId="0" applyNumberFormat="1"/>
    <xf numFmtId="164" fontId="4" fillId="0" borderId="0" xfId="0" applyNumberFormat="1" applyFont="1"/>
    <xf numFmtId="164" fontId="4" fillId="0" borderId="0" xfId="1" applyFont="1"/>
    <xf numFmtId="164" fontId="0" fillId="0" borderId="0" xfId="1" applyFont="1" applyFill="1"/>
    <xf numFmtId="0" fontId="0" fillId="0" borderId="16" xfId="0" applyBorder="1"/>
    <xf numFmtId="0" fontId="0" fillId="0" borderId="16" xfId="0" applyBorder="1" applyAlignment="1">
      <alignment horizontal="center"/>
    </xf>
    <xf numFmtId="164" fontId="4" fillId="0" borderId="16" xfId="0" applyNumberFormat="1" applyFont="1" applyBorder="1"/>
    <xf numFmtId="0" fontId="4" fillId="0" borderId="16" xfId="0" applyFont="1" applyBorder="1"/>
    <xf numFmtId="164" fontId="0" fillId="0" borderId="11" xfId="1" applyFont="1" applyBorder="1"/>
    <xf numFmtId="164" fontId="0" fillId="0" borderId="0" xfId="1" applyFont="1" applyBorder="1"/>
    <xf numFmtId="164" fontId="0" fillId="0" borderId="10" xfId="1" applyFont="1" applyBorder="1"/>
    <xf numFmtId="164" fontId="4" fillId="0" borderId="11" xfId="0" applyNumberFormat="1" applyFont="1" applyBorder="1"/>
    <xf numFmtId="164" fontId="4" fillId="0" borderId="10" xfId="0" applyNumberFormat="1" applyFont="1" applyBorder="1"/>
    <xf numFmtId="164" fontId="4" fillId="0" borderId="17" xfId="0" applyNumberFormat="1" applyFont="1" applyBorder="1"/>
    <xf numFmtId="164" fontId="4" fillId="0" borderId="19" xfId="0" applyNumberFormat="1" applyFont="1" applyBorder="1"/>
    <xf numFmtId="164" fontId="0" fillId="0" borderId="9" xfId="1" applyFont="1" applyBorder="1"/>
    <xf numFmtId="164" fontId="4" fillId="0" borderId="9" xfId="1" applyFont="1" applyBorder="1"/>
    <xf numFmtId="164" fontId="4" fillId="0" borderId="18" xfId="0" applyNumberFormat="1" applyFont="1" applyBorder="1"/>
    <xf numFmtId="164" fontId="4" fillId="0" borderId="9" xfId="0" applyNumberFormat="1" applyFont="1" applyBorder="1"/>
    <xf numFmtId="164" fontId="4" fillId="0" borderId="11" xfId="1" applyFont="1" applyBorder="1"/>
    <xf numFmtId="164" fontId="0" fillId="0" borderId="9" xfId="0" applyNumberFormat="1" applyBorder="1"/>
    <xf numFmtId="164" fontId="0" fillId="0" borderId="11" xfId="1" applyFont="1" applyFill="1" applyBorder="1"/>
    <xf numFmtId="164" fontId="0" fillId="0" borderId="0" xfId="1" applyFont="1" applyFill="1" applyBorder="1"/>
    <xf numFmtId="164" fontId="0" fillId="0" borderId="10" xfId="1" applyFont="1" applyFill="1" applyBorder="1"/>
    <xf numFmtId="0" fontId="4" fillId="0" borderId="1" xfId="0" applyFont="1" applyBorder="1"/>
    <xf numFmtId="165" fontId="0" fillId="5" borderId="0" xfId="1" applyNumberFormat="1" applyFont="1" applyFill="1"/>
    <xf numFmtId="165" fontId="4" fillId="0" borderId="16" xfId="1" applyNumberFormat="1" applyFont="1" applyBorder="1" applyAlignment="1">
      <alignment horizontal="left"/>
    </xf>
    <xf numFmtId="0" fontId="16" fillId="6" borderId="2" xfId="0" applyFont="1" applyFill="1" applyBorder="1" applyAlignment="1">
      <alignment vertical="top"/>
    </xf>
    <xf numFmtId="0" fontId="15" fillId="2" borderId="2" xfId="0" applyFont="1" applyFill="1" applyBorder="1" applyAlignment="1">
      <alignment vertical="top"/>
    </xf>
    <xf numFmtId="0" fontId="16" fillId="6" borderId="2" xfId="0" applyFont="1" applyFill="1" applyBorder="1" applyAlignment="1">
      <alignment horizontal="center" vertical="top"/>
    </xf>
    <xf numFmtId="165" fontId="15" fillId="2" borderId="2" xfId="1" applyNumberFormat="1" applyFont="1" applyFill="1" applyBorder="1" applyAlignment="1">
      <alignment vertical="top"/>
    </xf>
    <xf numFmtId="165" fontId="16" fillId="6" borderId="2" xfId="1" applyNumberFormat="1" applyFont="1" applyFill="1" applyBorder="1" applyAlignment="1">
      <alignment vertical="top"/>
    </xf>
    <xf numFmtId="165" fontId="4" fillId="0" borderId="0" xfId="1" applyNumberFormat="1" applyFont="1"/>
    <xf numFmtId="0" fontId="0" fillId="0" borderId="0" xfId="0" applyAlignment="1">
      <alignment horizontal="right"/>
    </xf>
    <xf numFmtId="0" fontId="17" fillId="0" borderId="0" xfId="0" applyFont="1" applyAlignment="1">
      <alignment vertical="center"/>
    </xf>
    <xf numFmtId="165" fontId="1" fillId="3" borderId="2" xfId="1" applyNumberFormat="1" applyFont="1" applyFill="1" applyBorder="1"/>
    <xf numFmtId="165" fontId="1" fillId="4" borderId="2" xfId="1" applyNumberFormat="1" applyFont="1" applyFill="1" applyBorder="1" applyAlignment="1">
      <alignment wrapText="1"/>
    </xf>
    <xf numFmtId="165" fontId="4" fillId="0" borderId="0" xfId="1" applyNumberFormat="1" applyFont="1" applyFill="1"/>
    <xf numFmtId="165" fontId="4" fillId="0" borderId="0" xfId="0" applyNumberFormat="1" applyFont="1"/>
    <xf numFmtId="9" fontId="0" fillId="0" borderId="0" xfId="2" applyFont="1"/>
    <xf numFmtId="9" fontId="0" fillId="0" borderId="0" xfId="0" applyNumberFormat="1"/>
    <xf numFmtId="0" fontId="4" fillId="0" borderId="1" xfId="0" applyFont="1" applyBorder="1" applyAlignment="1">
      <alignment horizontal="center"/>
    </xf>
    <xf numFmtId="164" fontId="0" fillId="0" borderId="9" xfId="1" applyFont="1" applyBorder="1" applyAlignment="1">
      <alignment horizontal="center" wrapText="1"/>
    </xf>
    <xf numFmtId="0" fontId="0" fillId="0" borderId="7" xfId="0" applyBorder="1" applyAlignment="1">
      <alignment wrapText="1"/>
    </xf>
    <xf numFmtId="0" fontId="0" fillId="0" borderId="6" xfId="0" applyBorder="1" applyAlignment="1">
      <alignment horizontal="center" wrapText="1"/>
    </xf>
    <xf numFmtId="164" fontId="0" fillId="0" borderId="5" xfId="1" applyFont="1" applyBorder="1" applyAlignment="1">
      <alignment horizontal="center" wrapText="1"/>
    </xf>
    <xf numFmtId="165" fontId="4" fillId="0" borderId="4" xfId="1" applyNumberFormat="1" applyFont="1" applyBorder="1" applyAlignment="1">
      <alignment wrapText="1"/>
    </xf>
    <xf numFmtId="165" fontId="4" fillId="0" borderId="8" xfId="1" applyNumberFormat="1" applyFont="1" applyBorder="1" applyAlignment="1">
      <alignment wrapText="1"/>
    </xf>
    <xf numFmtId="165" fontId="4" fillId="0" borderId="2" xfId="1" applyNumberFormat="1" applyFont="1" applyBorder="1" applyAlignment="1">
      <alignment horizontal="center" wrapText="1"/>
    </xf>
    <xf numFmtId="165" fontId="0" fillId="0" borderId="4" xfId="1" applyNumberFormat="1" applyFont="1" applyBorder="1"/>
    <xf numFmtId="165" fontId="0" fillId="0" borderId="1" xfId="1" applyNumberFormat="1" applyFont="1" applyBorder="1"/>
    <xf numFmtId="165" fontId="0" fillId="0" borderId="3" xfId="1" applyNumberFormat="1" applyFont="1" applyBorder="1"/>
    <xf numFmtId="0" fontId="0" fillId="0" borderId="12" xfId="0" applyBorder="1"/>
    <xf numFmtId="164" fontId="4" fillId="0" borderId="2" xfId="1" applyFont="1" applyBorder="1"/>
    <xf numFmtId="165" fontId="4" fillId="0" borderId="2" xfId="1" applyNumberFormat="1" applyFont="1" applyBorder="1"/>
    <xf numFmtId="164" fontId="4" fillId="0" borderId="4" xfId="0" applyNumberFormat="1" applyFont="1" applyBorder="1"/>
    <xf numFmtId="164" fontId="4" fillId="0" borderId="1" xfId="0" applyNumberFormat="1" applyFont="1" applyBorder="1"/>
    <xf numFmtId="164" fontId="4" fillId="0" borderId="4" xfId="1" applyFont="1" applyBorder="1"/>
    <xf numFmtId="164" fontId="4" fillId="0" borderId="3" xfId="0" applyNumberFormat="1" applyFont="1" applyBorder="1"/>
    <xf numFmtId="164" fontId="4" fillId="0" borderId="1" xfId="1" applyFont="1" applyBorder="1"/>
    <xf numFmtId="164" fontId="4" fillId="0" borderId="2" xfId="0" applyNumberFormat="1" applyFont="1" applyBorder="1"/>
    <xf numFmtId="164" fontId="4" fillId="0" borderId="3" xfId="1" applyFont="1" applyBorder="1"/>
    <xf numFmtId="165" fontId="4" fillId="0" borderId="4" xfId="1" applyNumberFormat="1" applyFont="1" applyFill="1" applyBorder="1" applyAlignment="1">
      <alignment horizontal="center" wrapText="1"/>
    </xf>
    <xf numFmtId="0" fontId="6" fillId="0" borderId="0" xfId="0" applyFont="1"/>
    <xf numFmtId="165" fontId="0" fillId="0" borderId="1" xfId="0" applyNumberFormat="1" applyBorder="1"/>
    <xf numFmtId="0" fontId="4" fillId="0" borderId="15" xfId="0" applyFont="1" applyBorder="1"/>
    <xf numFmtId="165" fontId="0" fillId="0" borderId="14" xfId="0" applyNumberFormat="1" applyBorder="1"/>
    <xf numFmtId="0" fontId="4" fillId="0" borderId="20" xfId="0" applyFont="1" applyBorder="1"/>
    <xf numFmtId="165" fontId="4" fillId="0" borderId="21" xfId="0" applyNumberFormat="1" applyFont="1" applyBorder="1"/>
    <xf numFmtId="165" fontId="4" fillId="0" borderId="21" xfId="1" applyNumberFormat="1" applyFont="1" applyBorder="1"/>
    <xf numFmtId="0" fontId="0" fillId="0" borderId="14" xfId="0" applyBorder="1"/>
    <xf numFmtId="0" fontId="0" fillId="0" borderId="21" xfId="0" applyBorder="1"/>
    <xf numFmtId="165" fontId="0" fillId="0" borderId="22" xfId="1" applyNumberFormat="1" applyFont="1" applyBorder="1"/>
    <xf numFmtId="165" fontId="10" fillId="0" borderId="0" xfId="1" applyNumberFormat="1" applyFont="1" applyAlignment="1">
      <alignment vertical="center"/>
    </xf>
    <xf numFmtId="165" fontId="8" fillId="0" borderId="0" xfId="1" applyNumberFormat="1" applyFont="1" applyAlignment="1">
      <alignment vertical="center" wrapText="1"/>
    </xf>
    <xf numFmtId="165" fontId="8" fillId="0" borderId="0" xfId="1" applyNumberFormat="1" applyFont="1" applyAlignment="1">
      <alignment horizontal="right" vertical="center"/>
    </xf>
    <xf numFmtId="165" fontId="0" fillId="0" borderId="0" xfId="1" applyNumberFormat="1" applyFont="1" applyAlignment="1">
      <alignment vertical="center"/>
    </xf>
    <xf numFmtId="165" fontId="0" fillId="0" borderId="9" xfId="1" applyNumberFormat="1" applyFont="1" applyBorder="1" applyAlignment="1">
      <alignment vertical="center" wrapText="1"/>
    </xf>
    <xf numFmtId="0" fontId="4" fillId="0" borderId="1" xfId="0" applyFont="1" applyBorder="1" applyAlignment="1">
      <alignment horizontal="center"/>
    </xf>
    <xf numFmtId="0" fontId="4" fillId="0" borderId="0" xfId="0" applyFont="1" applyBorder="1"/>
    <xf numFmtId="165" fontId="0" fillId="0" borderId="0" xfId="0" applyNumberFormat="1" applyBorder="1"/>
    <xf numFmtId="165" fontId="4" fillId="0" borderId="0" xfId="0" applyNumberFormat="1" applyFont="1" applyBorder="1"/>
    <xf numFmtId="0" fontId="0" fillId="0" borderId="0" xfId="0" applyFont="1"/>
    <xf numFmtId="165" fontId="9" fillId="0" borderId="0" xfId="1" applyNumberFormat="1" applyFont="1" applyAlignment="1">
      <alignment vertical="center"/>
    </xf>
    <xf numFmtId="0" fontId="0" fillId="0" borderId="0" xfId="0" applyFont="1" applyAlignment="1">
      <alignment wrapText="1"/>
    </xf>
    <xf numFmtId="0" fontId="5" fillId="0" borderId="0" xfId="0" applyFont="1" applyBorder="1"/>
    <xf numFmtId="0" fontId="0" fillId="0" borderId="0" xfId="0" applyAlignment="1">
      <alignment horizontal="center" vertical="center"/>
    </xf>
    <xf numFmtId="0" fontId="0" fillId="0" borderId="0" xfId="0" applyAlignment="1">
      <alignment horizontal="center" vertical="center" wrapText="1"/>
    </xf>
    <xf numFmtId="2" fontId="0" fillId="0" borderId="0" xfId="0" applyNumberFormat="1" applyAlignment="1">
      <alignment wrapText="1"/>
    </xf>
    <xf numFmtId="0" fontId="4" fillId="0" borderId="0" xfId="0" applyFont="1" applyAlignment="1">
      <alignment horizontal="center" vertical="center"/>
    </xf>
    <xf numFmtId="0" fontId="4" fillId="0" borderId="0" xfId="0" applyFont="1" applyAlignment="1">
      <alignment horizontal="center" vertical="center" wrapText="1"/>
    </xf>
    <xf numFmtId="164" fontId="4" fillId="0" borderId="0" xfId="1" applyFont="1" applyAlignment="1">
      <alignment horizontal="center" wrapText="1"/>
    </xf>
    <xf numFmtId="164" fontId="4" fillId="0" borderId="11" xfId="1" applyFont="1" applyBorder="1" applyAlignment="1">
      <alignment horizontal="center" wrapText="1"/>
    </xf>
    <xf numFmtId="164" fontId="4" fillId="0" borderId="10" xfId="1" applyFont="1" applyBorder="1" applyAlignment="1">
      <alignment horizontal="center" wrapText="1"/>
    </xf>
    <xf numFmtId="164" fontId="0" fillId="0" borderId="11" xfId="1" applyFont="1" applyBorder="1" applyAlignment="1">
      <alignment wrapText="1"/>
    </xf>
    <xf numFmtId="164" fontId="0" fillId="0" borderId="0" xfId="1" applyFont="1" applyBorder="1" applyAlignment="1">
      <alignment wrapText="1"/>
    </xf>
    <xf numFmtId="164" fontId="0" fillId="0" borderId="10" xfId="1" applyFont="1" applyBorder="1" applyAlignment="1">
      <alignment wrapText="1"/>
    </xf>
    <xf numFmtId="165" fontId="0" fillId="0" borderId="0" xfId="1" applyNumberFormat="1" applyFont="1" applyBorder="1" applyAlignment="1">
      <alignment wrapText="1"/>
    </xf>
    <xf numFmtId="0" fontId="4" fillId="0" borderId="23" xfId="0" applyFont="1" applyBorder="1" applyAlignment="1">
      <alignment horizontal="center" vertical="center" wrapText="1"/>
    </xf>
    <xf numFmtId="0" fontId="0" fillId="0" borderId="24" xfId="0" applyBorder="1" applyAlignment="1">
      <alignment horizontal="center" vertical="center"/>
    </xf>
    <xf numFmtId="0" fontId="13" fillId="0" borderId="0" xfId="1" applyNumberFormat="1" applyFont="1" applyAlignment="1"/>
    <xf numFmtId="0" fontId="0" fillId="0" borderId="25" xfId="0" applyBorder="1" applyAlignment="1">
      <alignment horizontal="center" vertical="center" wrapText="1"/>
    </xf>
    <xf numFmtId="165" fontId="0" fillId="0" borderId="26" xfId="1" applyNumberFormat="1" applyFont="1" applyBorder="1" applyAlignment="1">
      <alignment horizontal="center" vertical="center"/>
    </xf>
    <xf numFmtId="0" fontId="0" fillId="0" borderId="27" xfId="0" applyBorder="1" applyAlignment="1">
      <alignment horizontal="center" vertical="center" wrapText="1"/>
    </xf>
    <xf numFmtId="165" fontId="0" fillId="0" borderId="28" xfId="1" applyNumberFormat="1" applyFont="1" applyBorder="1" applyAlignment="1">
      <alignment horizontal="center" vertical="center"/>
    </xf>
    <xf numFmtId="165" fontId="0" fillId="0" borderId="0" xfId="0" applyNumberFormat="1" applyAlignment="1">
      <alignment horizontal="center" vertical="center"/>
    </xf>
    <xf numFmtId="165" fontId="0" fillId="0" borderId="2" xfId="1" applyNumberFormat="1" applyFont="1" applyBorder="1" applyAlignment="1">
      <alignment horizontal="center" vertical="center"/>
    </xf>
    <xf numFmtId="165" fontId="0" fillId="0" borderId="12" xfId="1" applyNumberFormat="1" applyFont="1" applyBorder="1" applyAlignment="1">
      <alignment vertical="center"/>
    </xf>
    <xf numFmtId="165" fontId="0" fillId="0" borderId="9" xfId="1" applyNumberFormat="1" applyFont="1" applyBorder="1" applyAlignment="1">
      <alignment vertical="center"/>
    </xf>
    <xf numFmtId="165" fontId="0" fillId="0" borderId="5" xfId="1" applyNumberFormat="1" applyFont="1" applyBorder="1" applyAlignment="1">
      <alignment vertical="center"/>
    </xf>
    <xf numFmtId="165" fontId="0" fillId="0" borderId="4" xfId="1" applyNumberFormat="1" applyFont="1" applyFill="1" applyBorder="1" applyAlignment="1">
      <alignment vertical="center" wrapText="1"/>
    </xf>
    <xf numFmtId="165" fontId="0" fillId="0" borderId="0" xfId="0" applyNumberFormat="1" applyAlignment="1">
      <alignment wrapText="1"/>
    </xf>
    <xf numFmtId="164" fontId="0" fillId="7" borderId="9" xfId="1" applyFont="1" applyFill="1" applyBorder="1" applyAlignment="1">
      <alignment wrapText="1"/>
    </xf>
    <xf numFmtId="165" fontId="0" fillId="0" borderId="9" xfId="1" applyNumberFormat="1" applyFont="1" applyBorder="1" applyAlignment="1">
      <alignment horizontal="center" vertical="center"/>
    </xf>
    <xf numFmtId="43" fontId="0" fillId="0" borderId="0" xfId="0" applyNumberFormat="1"/>
    <xf numFmtId="164" fontId="0" fillId="0" borderId="0" xfId="0" applyNumberFormat="1" applyAlignment="1">
      <alignment horizontal="center"/>
    </xf>
    <xf numFmtId="166" fontId="0" fillId="0" borderId="0" xfId="2" applyNumberFormat="1" applyFont="1"/>
    <xf numFmtId="10" fontId="0" fillId="0" borderId="0" xfId="2" applyNumberFormat="1" applyFont="1"/>
    <xf numFmtId="0" fontId="0" fillId="0" borderId="0" xfId="0" applyFill="1" applyBorder="1"/>
    <xf numFmtId="0" fontId="4" fillId="0" borderId="0" xfId="0" applyFont="1" applyFill="1" applyBorder="1"/>
    <xf numFmtId="9" fontId="0" fillId="0" borderId="0" xfId="0" applyNumberFormat="1" applyFill="1" applyBorder="1"/>
    <xf numFmtId="164" fontId="0" fillId="0" borderId="0" xfId="0" applyNumberFormat="1" applyFill="1" applyBorder="1"/>
    <xf numFmtId="0" fontId="0" fillId="0" borderId="0" xfId="0" applyFill="1"/>
    <xf numFmtId="0" fontId="0" fillId="0" borderId="0" xfId="0" applyFill="1" applyAlignment="1">
      <alignment wrapText="1"/>
    </xf>
    <xf numFmtId="0" fontId="4" fillId="0" borderId="12" xfId="0" applyFont="1" applyBorder="1" applyAlignment="1">
      <alignment horizontal="center"/>
    </xf>
    <xf numFmtId="0" fontId="15" fillId="0" borderId="3" xfId="0" applyFont="1" applyBorder="1" applyAlignment="1">
      <alignment horizontal="center" wrapText="1"/>
    </xf>
    <xf numFmtId="0" fontId="0" fillId="4" borderId="13" xfId="0" applyFill="1" applyBorder="1" applyAlignment="1">
      <alignment wrapText="1"/>
    </xf>
    <xf numFmtId="0" fontId="4" fillId="0" borderId="2" xfId="0" applyFont="1" applyBorder="1" applyAlignment="1">
      <alignment horizontal="center"/>
    </xf>
    <xf numFmtId="164" fontId="0" fillId="0" borderId="0" xfId="1" applyFont="1" applyFill="1" applyAlignment="1">
      <alignment wrapText="1"/>
    </xf>
    <xf numFmtId="164" fontId="0" fillId="0" borderId="11" xfId="1" applyFont="1" applyFill="1" applyBorder="1" applyAlignment="1">
      <alignment wrapText="1"/>
    </xf>
    <xf numFmtId="164" fontId="0" fillId="0" borderId="0" xfId="1" applyFont="1" applyFill="1" applyBorder="1" applyAlignment="1">
      <alignment wrapText="1"/>
    </xf>
    <xf numFmtId="164" fontId="0" fillId="0" borderId="10" xfId="1" applyFont="1" applyFill="1" applyBorder="1" applyAlignment="1">
      <alignment wrapText="1"/>
    </xf>
    <xf numFmtId="165" fontId="0" fillId="0" borderId="9" xfId="1" applyNumberFormat="1" applyFont="1" applyFill="1" applyBorder="1" applyAlignment="1">
      <alignment vertical="center" wrapText="1"/>
    </xf>
    <xf numFmtId="165" fontId="16" fillId="4" borderId="2" xfId="1" applyNumberFormat="1" applyFont="1" applyFill="1" applyBorder="1" applyAlignment="1">
      <alignment wrapText="1"/>
    </xf>
    <xf numFmtId="0" fontId="4" fillId="0" borderId="4" xfId="0" applyFont="1" applyBorder="1" applyAlignment="1">
      <alignment horizontal="center"/>
    </xf>
    <xf numFmtId="0" fontId="4" fillId="0" borderId="1" xfId="0" applyFont="1" applyBorder="1" applyAlignment="1">
      <alignment horizontal="center"/>
    </xf>
    <xf numFmtId="0" fontId="4" fillId="0" borderId="3" xfId="0" applyFont="1" applyBorder="1" applyAlignment="1">
      <alignment horizontal="center"/>
    </xf>
    <xf numFmtId="0" fontId="0" fillId="0" borderId="12" xfId="0" applyBorder="1" applyAlignment="1">
      <alignment horizontal="center"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15" fillId="4" borderId="4" xfId="0" applyFont="1" applyFill="1" applyBorder="1" applyAlignment="1">
      <alignment horizontal="left" vertical="center" wrapText="1"/>
    </xf>
    <xf numFmtId="0" fontId="15" fillId="4" borderId="1" xfId="0" applyFont="1" applyFill="1" applyBorder="1" applyAlignment="1">
      <alignment horizontal="left" vertical="center" wrapText="1"/>
    </xf>
    <xf numFmtId="0" fontId="0" fillId="0" borderId="15" xfId="0" applyBorder="1" applyAlignment="1">
      <alignment horizontal="center" vertical="center" wrapText="1"/>
    </xf>
    <xf numFmtId="0" fontId="15" fillId="0" borderId="12" xfId="0" applyFont="1" applyBorder="1" applyAlignment="1">
      <alignment horizontal="center" vertical="center" wrapText="1"/>
    </xf>
    <xf numFmtId="0" fontId="0" fillId="0" borderId="10" xfId="0" applyBorder="1" applyAlignment="1">
      <alignment horizontal="center" vertical="center" wrapText="1"/>
    </xf>
    <xf numFmtId="0" fontId="0" fillId="2" borderId="9" xfId="0" applyFill="1" applyBorder="1" applyAlignment="1">
      <alignment horizontal="center" vertical="center" wrapText="1"/>
    </xf>
    <xf numFmtId="0" fontId="0" fillId="0" borderId="9" xfId="0"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13" xfId="0" applyBorder="1" applyAlignment="1">
      <alignment horizontal="center" vertical="center" wrapText="1"/>
    </xf>
    <xf numFmtId="0" fontId="0" fillId="0" borderId="11" xfId="0" applyBorder="1" applyAlignment="1">
      <alignment horizontal="center" vertical="center" wrapText="1"/>
    </xf>
    <xf numFmtId="0" fontId="0" fillId="2" borderId="12" xfId="0" applyFill="1" applyBorder="1" applyAlignment="1">
      <alignment horizontal="center" vertical="center" wrapText="1"/>
    </xf>
    <xf numFmtId="165" fontId="9" fillId="0" borderId="0" xfId="1" applyNumberFormat="1" applyFont="1" applyAlignment="1">
      <alignment vertical="center"/>
    </xf>
    <xf numFmtId="0" fontId="9" fillId="0" borderId="0" xfId="0" applyFont="1" applyAlignment="1">
      <alignment vertical="center" wrapText="1"/>
    </xf>
    <xf numFmtId="0" fontId="4" fillId="0" borderId="2"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Fill="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164" fontId="4" fillId="0" borderId="12" xfId="1" applyFont="1" applyBorder="1" applyAlignment="1">
      <alignment horizontal="center" wrapText="1"/>
    </xf>
    <xf numFmtId="164" fontId="4" fillId="0" borderId="5" xfId="1" applyFont="1" applyBorder="1" applyAlignment="1">
      <alignment horizontal="center" wrapText="1"/>
    </xf>
    <xf numFmtId="0" fontId="0" fillId="0" borderId="4" xfId="0" applyBorder="1" applyAlignment="1">
      <alignment horizontal="center" wrapText="1"/>
    </xf>
    <xf numFmtId="0" fontId="0" fillId="0" borderId="1" xfId="0" applyBorder="1" applyAlignment="1">
      <alignment horizontal="center" wrapText="1"/>
    </xf>
    <xf numFmtId="0" fontId="0" fillId="0" borderId="3" xfId="0" applyBorder="1" applyAlignment="1">
      <alignment horizontal="center"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FFFCC"/>
      <color rgb="FFCCFF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climate-my.sharepoint.com/FINANCE/JOHN/John%202002/Balance%20Sheet%20ACS/Gratuity%20Revalu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c365.sharepoint.com/FINANCE/JOHN/John%202002/Balance%20Sheet%20ACS/Gratuity%20Revaluati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reenclimate-my.sharepoint.com/sites/XCR04/site030/Shared%20Documents/_Funding%20Proposal/Internal%20sign-off%20package/Budget/VAN%20VCCRP%20MASTER%20Budget_for%20internal%20sign-off%20V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tc365.sharepoint.com/sites/XCR04/site030/Shared%20Documents/_Funding%20Proposal/Internal%20sign-off%20package/Budget/VAN%20VCCRP%20MASTER%20Budget_for%20internal%20sign-off%20V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tuity Regional staff"/>
      <sheetName val="Gratuity Kenyan staff"/>
      <sheetName val="Gratuity Kenyan staff (2)"/>
      <sheetName val="Gratuity 1999"/>
      <sheetName val="SUDBASE"/>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Look up for area recharge rates"/>
      <sheetName val="Guidance"/>
      <sheetName val="Kenya and Ethiopia summary"/>
      <sheetName val="IRC SUMMARY"/>
      <sheetName val="Detailed Budg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tuity Regional staff"/>
      <sheetName val="Gratuity Kenyan staff"/>
      <sheetName val="Gratuity Kenyan staff (2)"/>
      <sheetName val="Gratuity 1999"/>
      <sheetName val="SUDBASE"/>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Look up for area recharge rates"/>
      <sheetName val="Guidance"/>
      <sheetName val="Kenya and Ethiopia summary"/>
      <sheetName val="IRC SUMMARY"/>
      <sheetName val="Detailed Budg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Log Frame"/>
      <sheetName val="Summary Impl Budget "/>
      <sheetName val="Vanuatu Gov Contribution"/>
      <sheetName val="Activity detail "/>
      <sheetName val="PMC Budget"/>
      <sheetName val="Staff Split"/>
      <sheetName val="Cost assumptions"/>
      <sheetName val="Lists"/>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Log Frame"/>
      <sheetName val="Summary Impl Budget "/>
      <sheetName val="Vanuatu Gov Contribution"/>
      <sheetName val="Activity detail "/>
      <sheetName val="PMC Budget"/>
      <sheetName val="Staff Split"/>
      <sheetName val="Cost assumptions"/>
      <sheetName val="Lists"/>
    </sheetNames>
    <sheetDataSet>
      <sheetData sheetId="0"/>
      <sheetData sheetId="1"/>
      <sheetData sheetId="2"/>
      <sheetData sheetId="3"/>
      <sheetData sheetId="4"/>
      <sheetData sheetId="5"/>
      <sheetData sheetId="6"/>
      <sheetData sheetId="7"/>
      <sheetData sheetId="8">
        <row r="5">
          <cell r="D5" t="str">
            <v xml:space="preserve">Staff Cost </v>
          </cell>
          <cell r="F5" t="str">
            <v>STCV</v>
          </cell>
        </row>
        <row r="6">
          <cell r="D6" t="str">
            <v>Local consultants</v>
          </cell>
          <cell r="F6" t="str">
            <v>DoCC</v>
          </cell>
        </row>
        <row r="7">
          <cell r="D7" t="str">
            <v>International consultant</v>
          </cell>
          <cell r="F7" t="str">
            <v>DLA</v>
          </cell>
        </row>
        <row r="8">
          <cell r="D8" t="str">
            <v>Equipment</v>
          </cell>
          <cell r="F8" t="str">
            <v>DoA</v>
          </cell>
        </row>
        <row r="9">
          <cell r="D9" t="str">
            <v xml:space="preserve">Constuction cost </v>
          </cell>
          <cell r="F9" t="str">
            <v>VFD</v>
          </cell>
        </row>
        <row r="10">
          <cell r="D10" t="str">
            <v>Training, workshops, and conference</v>
          </cell>
          <cell r="F10" t="str">
            <v>NDMO</v>
          </cell>
        </row>
        <row r="11">
          <cell r="D11" t="str">
            <v>Travel</v>
          </cell>
          <cell r="F11" t="str">
            <v>DoWR</v>
          </cell>
        </row>
        <row r="12">
          <cell r="D12" t="str">
            <v xml:space="preserve">Professional/ Contractual Services </v>
          </cell>
          <cell r="F12" t="str">
            <v>DoWA</v>
          </cell>
        </row>
        <row r="13">
          <cell r="D13" t="str">
            <v>Other</v>
          </cell>
          <cell r="F13" t="str">
            <v>MoIA</v>
          </cell>
        </row>
        <row r="14">
          <cell r="D14" t="str">
            <v>Office Supplies</v>
          </cell>
          <cell r="F14" t="str">
            <v>DoF</v>
          </cell>
        </row>
        <row r="15">
          <cell r="D15" t="str">
            <v>Services</v>
          </cell>
        </row>
      </sheetData>
    </sheetDataSet>
  </externalBook>
</externalLink>
</file>

<file path=xl/persons/person.xml><?xml version="1.0" encoding="utf-8"?>
<personList xmlns="http://schemas.microsoft.com/office/spreadsheetml/2018/threadedcomments" xmlns:x="http://schemas.openxmlformats.org/spreadsheetml/2006/main">
  <person displayName="GCF Finance" id="{282E0C74-D69D-4E21-8A4A-DEB9DA42862D}" userId="GCF Financ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11" dT="2021-10-28T12:45:19.03" personId="{282E0C74-D69D-4E21-8A4A-DEB9DA42862D}" id="{0F4A335A-86B1-41AC-9B07-9D014EC87034}">
    <text>3.	For DFAT co-financier, the budget can be made in budget account description as follow: ‘budget headings: total activity personnel, non-personal direct program costs, in-county support and M&amp;E.’. Please provide more information on the excel file.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9F532-1E7B-4B47-99D2-A243423EFF12}">
  <dimension ref="A1:T340"/>
  <sheetViews>
    <sheetView zoomScale="80" zoomScaleNormal="80" workbookViewId="0">
      <pane xSplit="5" ySplit="5" topLeftCell="F201" activePane="bottomRight" state="frozen"/>
      <selection pane="topRight" activeCell="F1" sqref="F1"/>
      <selection pane="bottomLeft" activeCell="A6" sqref="A6"/>
      <selection pane="bottomRight" activeCell="F210" sqref="F210"/>
    </sheetView>
  </sheetViews>
  <sheetFormatPr defaultColWidth="9.19921875" defaultRowHeight="14" x14ac:dyDescent="0.3"/>
  <cols>
    <col min="1" max="1" width="54.69921875" customWidth="1"/>
    <col min="2" max="2" width="20.296875" customWidth="1"/>
    <col min="3" max="3" width="24.69921875" style="3" customWidth="1"/>
    <col min="4" max="4" width="19.69921875" style="2" customWidth="1"/>
    <col min="5" max="5" width="28.19921875" customWidth="1"/>
    <col min="6" max="6" width="17.5" style="104" bestFit="1" customWidth="1"/>
    <col min="7" max="7" width="15.796875" style="1" bestFit="1" customWidth="1"/>
    <col min="8" max="12" width="13.5" style="1" customWidth="1"/>
    <col min="13" max="13" width="17.5" style="1" bestFit="1" customWidth="1"/>
    <col min="14" max="14" width="11" customWidth="1"/>
    <col min="15" max="15" width="12.5" customWidth="1"/>
  </cols>
  <sheetData>
    <row r="1" spans="1:14" ht="23.65" x14ac:dyDescent="0.5">
      <c r="A1" s="26" t="s">
        <v>0</v>
      </c>
    </row>
    <row r="2" spans="1:14" ht="23.65" x14ac:dyDescent="0.5">
      <c r="A2" s="72" t="s">
        <v>856</v>
      </c>
      <c r="I2" s="81"/>
    </row>
    <row r="3" spans="1:14" ht="23.65" x14ac:dyDescent="0.5">
      <c r="A3" s="26" t="s">
        <v>1</v>
      </c>
      <c r="C3" s="71" t="s">
        <v>2</v>
      </c>
    </row>
    <row r="4" spans="1:14" ht="23.65" x14ac:dyDescent="0.5">
      <c r="A4" s="26" t="s">
        <v>3</v>
      </c>
      <c r="C4" s="27"/>
    </row>
    <row r="5" spans="1:14" ht="27.95" x14ac:dyDescent="0.3">
      <c r="A5" s="23" t="s">
        <v>4</v>
      </c>
      <c r="B5" s="23" t="s">
        <v>5</v>
      </c>
      <c r="C5" s="23" t="s">
        <v>6</v>
      </c>
      <c r="D5" s="23" t="s">
        <v>7</v>
      </c>
      <c r="E5" s="23" t="s">
        <v>8</v>
      </c>
      <c r="F5" s="105" t="s">
        <v>9</v>
      </c>
      <c r="G5" s="22" t="s">
        <v>10</v>
      </c>
      <c r="H5" s="22" t="s">
        <v>11</v>
      </c>
      <c r="I5" s="22" t="s">
        <v>12</v>
      </c>
      <c r="J5" s="22" t="s">
        <v>13</v>
      </c>
      <c r="K5" s="22" t="s">
        <v>14</v>
      </c>
      <c r="L5" s="22" t="s">
        <v>15</v>
      </c>
      <c r="M5" s="22" t="s">
        <v>16</v>
      </c>
    </row>
    <row r="6" spans="1:14" ht="15.05" customHeight="1" x14ac:dyDescent="0.3">
      <c r="A6" s="328" t="s">
        <v>17</v>
      </c>
      <c r="B6" s="328" t="s">
        <v>18</v>
      </c>
      <c r="C6" s="342" t="s">
        <v>19</v>
      </c>
      <c r="D6" s="328" t="s">
        <v>20</v>
      </c>
      <c r="E6" t="s">
        <v>21</v>
      </c>
      <c r="F6" s="103" t="s">
        <v>22</v>
      </c>
      <c r="G6" s="11">
        <v>27038.426589708386</v>
      </c>
      <c r="H6" s="19">
        <v>0</v>
      </c>
      <c r="I6" s="19">
        <v>0</v>
      </c>
      <c r="J6" s="19">
        <v>0</v>
      </c>
      <c r="K6" s="19">
        <v>0</v>
      </c>
      <c r="L6" s="19">
        <v>0</v>
      </c>
      <c r="M6" s="11">
        <f t="shared" ref="M6:M15" si="0">SUM(G6:L6)</f>
        <v>27038.426589708386</v>
      </c>
      <c r="N6" s="68"/>
    </row>
    <row r="7" spans="1:14" x14ac:dyDescent="0.3">
      <c r="A7" s="328"/>
      <c r="B7" s="328"/>
      <c r="C7" s="342"/>
      <c r="D7" s="328"/>
      <c r="E7" s="13" t="s">
        <v>23</v>
      </c>
      <c r="F7" s="103" t="s">
        <v>24</v>
      </c>
      <c r="G7" s="11">
        <v>40418.22721598002</v>
      </c>
      <c r="H7" s="19">
        <v>0</v>
      </c>
      <c r="I7" s="19">
        <v>0</v>
      </c>
      <c r="J7" s="19">
        <v>0</v>
      </c>
      <c r="K7" s="19">
        <v>0</v>
      </c>
      <c r="L7" s="19">
        <v>0</v>
      </c>
      <c r="M7" s="11">
        <f t="shared" si="0"/>
        <v>40418.22721598002</v>
      </c>
      <c r="N7" s="68"/>
    </row>
    <row r="8" spans="1:14" x14ac:dyDescent="0.3">
      <c r="A8" s="328"/>
      <c r="B8" s="328"/>
      <c r="C8" s="342"/>
      <c r="D8" s="328"/>
      <c r="E8" s="13" t="s">
        <v>27</v>
      </c>
      <c r="F8" s="103" t="s">
        <v>26</v>
      </c>
      <c r="G8" s="11">
        <v>16452.648475120386</v>
      </c>
      <c r="H8" s="19">
        <v>239536.27608346709</v>
      </c>
      <c r="I8" s="19">
        <v>0</v>
      </c>
      <c r="J8" s="19">
        <v>0</v>
      </c>
      <c r="K8" s="19">
        <v>0</v>
      </c>
      <c r="L8" s="19">
        <v>0</v>
      </c>
      <c r="M8" s="11">
        <f>SUM(G8:L8)</f>
        <v>255988.92455858749</v>
      </c>
      <c r="N8" s="68"/>
    </row>
    <row r="9" spans="1:14" ht="27.95" x14ac:dyDescent="0.3">
      <c r="A9" s="328"/>
      <c r="B9" s="328"/>
      <c r="C9" s="342"/>
      <c r="D9" s="328"/>
      <c r="E9" s="13" t="s">
        <v>29</v>
      </c>
      <c r="F9" s="103" t="s">
        <v>28</v>
      </c>
      <c r="G9" s="11">
        <v>17478.152309612982</v>
      </c>
      <c r="H9" s="19">
        <v>0</v>
      </c>
      <c r="I9" s="19">
        <v>0</v>
      </c>
      <c r="J9" s="19">
        <v>0</v>
      </c>
      <c r="K9" s="19">
        <v>0</v>
      </c>
      <c r="L9" s="19">
        <v>0</v>
      </c>
      <c r="M9" s="11">
        <f>SUM(G9:L9)</f>
        <v>17478.152309612982</v>
      </c>
      <c r="N9" s="68"/>
    </row>
    <row r="10" spans="1:14" x14ac:dyDescent="0.3">
      <c r="A10" s="328"/>
      <c r="B10" s="328"/>
      <c r="C10" s="342"/>
      <c r="D10" s="328"/>
      <c r="E10" s="13" t="s">
        <v>31</v>
      </c>
      <c r="F10" s="103" t="s">
        <v>30</v>
      </c>
      <c r="G10" s="11">
        <v>63804.173354735154</v>
      </c>
      <c r="H10" s="19">
        <v>0</v>
      </c>
      <c r="I10" s="19">
        <v>0</v>
      </c>
      <c r="J10" s="19">
        <v>0</v>
      </c>
      <c r="K10" s="19">
        <v>0</v>
      </c>
      <c r="L10" s="19">
        <v>0</v>
      </c>
      <c r="M10" s="11">
        <f>SUM(G10:L10)</f>
        <v>63804.173354735154</v>
      </c>
      <c r="N10" s="68"/>
    </row>
    <row r="11" spans="1:14" x14ac:dyDescent="0.3">
      <c r="A11" s="328"/>
      <c r="B11" s="328"/>
      <c r="C11" s="342"/>
      <c r="D11" s="328" t="s">
        <v>33</v>
      </c>
      <c r="E11" t="s">
        <v>21</v>
      </c>
      <c r="F11" s="103" t="s">
        <v>32</v>
      </c>
      <c r="G11" s="11">
        <v>3588.8503314606737</v>
      </c>
      <c r="H11" s="11">
        <v>0</v>
      </c>
      <c r="I11" s="11">
        <v>0</v>
      </c>
      <c r="J11" s="11">
        <v>0</v>
      </c>
      <c r="K11" s="11">
        <v>0</v>
      </c>
      <c r="L11" s="11">
        <v>0</v>
      </c>
      <c r="M11" s="11">
        <f t="shared" si="0"/>
        <v>3588.8503314606737</v>
      </c>
      <c r="N11" s="68"/>
    </row>
    <row r="12" spans="1:14" x14ac:dyDescent="0.3">
      <c r="A12" s="328"/>
      <c r="B12" s="328"/>
      <c r="C12" s="342"/>
      <c r="D12" s="328"/>
      <c r="E12" s="13" t="s">
        <v>27</v>
      </c>
      <c r="F12" s="103" t="s">
        <v>34</v>
      </c>
      <c r="G12" s="11">
        <v>43646.397050561791</v>
      </c>
      <c r="H12" s="11">
        <v>0</v>
      </c>
      <c r="I12" s="11">
        <v>0</v>
      </c>
      <c r="J12" s="11">
        <v>0</v>
      </c>
      <c r="K12" s="11">
        <v>0</v>
      </c>
      <c r="L12" s="11">
        <v>0</v>
      </c>
      <c r="M12" s="11">
        <f t="shared" si="0"/>
        <v>43646.397050561791</v>
      </c>
      <c r="N12" s="68"/>
    </row>
    <row r="13" spans="1:14" ht="27.95" x14ac:dyDescent="0.3">
      <c r="A13" s="328"/>
      <c r="B13" s="328"/>
      <c r="C13" s="342"/>
      <c r="D13" s="328"/>
      <c r="E13" s="13" t="s">
        <v>29</v>
      </c>
      <c r="F13" s="103" t="s">
        <v>35</v>
      </c>
      <c r="G13" s="11">
        <v>1487.8475006991259</v>
      </c>
      <c r="H13" s="11">
        <v>0</v>
      </c>
      <c r="I13" s="11">
        <v>0</v>
      </c>
      <c r="J13" s="11">
        <v>0</v>
      </c>
      <c r="K13" s="11">
        <v>0</v>
      </c>
      <c r="L13" s="11">
        <v>0</v>
      </c>
      <c r="M13" s="11">
        <f t="shared" si="0"/>
        <v>1487.8475006991259</v>
      </c>
      <c r="N13" s="68"/>
    </row>
    <row r="14" spans="1:14" x14ac:dyDescent="0.3">
      <c r="A14" s="328"/>
      <c r="B14" s="328"/>
      <c r="C14" s="342"/>
      <c r="D14" s="328"/>
      <c r="E14" s="13" t="s">
        <v>31</v>
      </c>
      <c r="F14" s="103" t="s">
        <v>36</v>
      </c>
      <c r="G14" s="11">
        <v>4278.4450936329586</v>
      </c>
      <c r="H14" s="11">
        <v>0</v>
      </c>
      <c r="I14" s="11">
        <v>0</v>
      </c>
      <c r="J14" s="11">
        <v>0</v>
      </c>
      <c r="K14" s="11">
        <v>0</v>
      </c>
      <c r="L14" s="11">
        <v>0</v>
      </c>
      <c r="M14" s="11">
        <f t="shared" si="0"/>
        <v>4278.4450936329586</v>
      </c>
      <c r="N14" s="68"/>
    </row>
    <row r="15" spans="1:14" ht="27.95" x14ac:dyDescent="0.3">
      <c r="A15" s="328"/>
      <c r="B15" s="328"/>
      <c r="C15" s="342"/>
      <c r="D15" s="328"/>
      <c r="E15" s="13" t="s">
        <v>38</v>
      </c>
      <c r="F15" s="103" t="s">
        <v>37</v>
      </c>
      <c r="G15" s="11">
        <v>1252.0082022471911</v>
      </c>
      <c r="H15" s="11">
        <v>0</v>
      </c>
      <c r="I15" s="11">
        <v>0</v>
      </c>
      <c r="J15" s="11">
        <v>0</v>
      </c>
      <c r="K15" s="11">
        <v>0</v>
      </c>
      <c r="L15" s="11">
        <v>0</v>
      </c>
      <c r="M15" s="11">
        <f t="shared" si="0"/>
        <v>1252.0082022471911</v>
      </c>
      <c r="N15" s="68"/>
    </row>
    <row r="16" spans="1:14" x14ac:dyDescent="0.3">
      <c r="A16" s="328"/>
      <c r="B16" s="328"/>
      <c r="C16" s="342"/>
      <c r="D16" s="21" t="s">
        <v>40</v>
      </c>
      <c r="E16" s="10"/>
      <c r="F16" s="106"/>
      <c r="G16" s="8">
        <f t="shared" ref="G16:M16" si="1">SUM(G6:G15)</f>
        <v>219445.17612375869</v>
      </c>
      <c r="H16" s="8">
        <f t="shared" si="1"/>
        <v>239536.27608346709</v>
      </c>
      <c r="I16" s="8">
        <f t="shared" si="1"/>
        <v>0</v>
      </c>
      <c r="J16" s="8">
        <f t="shared" si="1"/>
        <v>0</v>
      </c>
      <c r="K16" s="8">
        <f t="shared" si="1"/>
        <v>0</v>
      </c>
      <c r="L16" s="8">
        <f t="shared" si="1"/>
        <v>0</v>
      </c>
      <c r="M16" s="8">
        <f t="shared" si="1"/>
        <v>458981.45220722567</v>
      </c>
      <c r="N16" s="68"/>
    </row>
    <row r="17" spans="1:15" x14ac:dyDescent="0.3">
      <c r="A17" s="328"/>
      <c r="B17" s="328"/>
      <c r="C17" s="328" t="s">
        <v>41</v>
      </c>
      <c r="D17" s="328" t="s">
        <v>20</v>
      </c>
      <c r="E17" s="25" t="s">
        <v>21</v>
      </c>
      <c r="F17" s="103" t="s">
        <v>39</v>
      </c>
      <c r="G17" s="11">
        <v>27038.426589708386</v>
      </c>
      <c r="H17" s="11">
        <v>109899.88780608281</v>
      </c>
      <c r="I17" s="11">
        <v>112097.88556220446</v>
      </c>
      <c r="J17" s="11">
        <v>114339.84327344854</v>
      </c>
      <c r="K17" s="11">
        <v>116626.64013891752</v>
      </c>
      <c r="L17" s="11">
        <v>66639.267239584951</v>
      </c>
      <c r="M17" s="11">
        <f t="shared" ref="M17:M27" si="2">SUM(G17:L17)</f>
        <v>546641.95060994662</v>
      </c>
      <c r="N17" s="68"/>
    </row>
    <row r="18" spans="1:15" x14ac:dyDescent="0.3">
      <c r="A18" s="328"/>
      <c r="B18" s="328"/>
      <c r="C18" s="328"/>
      <c r="D18" s="328"/>
      <c r="E18" s="13" t="s">
        <v>23</v>
      </c>
      <c r="F18" s="103" t="s">
        <v>42</v>
      </c>
      <c r="G18" s="11">
        <v>7022.4719101123592</v>
      </c>
      <c r="H18" s="11">
        <v>9362.3595505617977</v>
      </c>
      <c r="I18" s="11">
        <v>9362.3595505617977</v>
      </c>
      <c r="J18" s="11">
        <v>9362.3595505617977</v>
      </c>
      <c r="K18" s="11">
        <v>9362.3595505617977</v>
      </c>
      <c r="L18" s="11">
        <v>0</v>
      </c>
      <c r="M18" s="11">
        <f>SUM(G18:L18)</f>
        <v>44471.910112359554</v>
      </c>
      <c r="N18" s="68"/>
    </row>
    <row r="19" spans="1:15" x14ac:dyDescent="0.3">
      <c r="A19" s="328"/>
      <c r="B19" s="328"/>
      <c r="C19" s="328"/>
      <c r="D19" s="328"/>
      <c r="E19" s="13" t="s">
        <v>25</v>
      </c>
      <c r="F19" s="103" t="s">
        <v>43</v>
      </c>
      <c r="G19" s="11">
        <v>50829.320492241837</v>
      </c>
      <c r="H19" s="11">
        <v>0</v>
      </c>
      <c r="I19" s="11">
        <v>0</v>
      </c>
      <c r="J19" s="11">
        <v>0</v>
      </c>
      <c r="K19" s="11">
        <v>0</v>
      </c>
      <c r="L19" s="11">
        <v>0</v>
      </c>
      <c r="M19" s="11">
        <f t="shared" si="2"/>
        <v>50829.320492241837</v>
      </c>
      <c r="N19" s="68"/>
    </row>
    <row r="20" spans="1:15" ht="27.95" x14ac:dyDescent="0.3">
      <c r="A20" s="328"/>
      <c r="B20" s="328"/>
      <c r="C20" s="328"/>
      <c r="D20" s="328"/>
      <c r="E20" s="13" t="s">
        <v>29</v>
      </c>
      <c r="F20" s="103" t="s">
        <v>44</v>
      </c>
      <c r="G20" s="11">
        <v>2496.8789013732835</v>
      </c>
      <c r="H20" s="11">
        <v>4638.84430176565</v>
      </c>
      <c r="I20" s="11">
        <v>0</v>
      </c>
      <c r="J20" s="11">
        <v>4826.2536115569819</v>
      </c>
      <c r="K20" s="11">
        <v>0</v>
      </c>
      <c r="L20" s="11">
        <v>0</v>
      </c>
      <c r="M20" s="11">
        <f t="shared" si="2"/>
        <v>11961.976814695916</v>
      </c>
      <c r="N20" s="68"/>
      <c r="O20" s="191"/>
    </row>
    <row r="21" spans="1:15" x14ac:dyDescent="0.3">
      <c r="A21" s="328"/>
      <c r="B21" s="328"/>
      <c r="C21" s="328"/>
      <c r="D21" s="328"/>
      <c r="E21" s="13" t="s">
        <v>27</v>
      </c>
      <c r="F21" s="103" t="s">
        <v>45</v>
      </c>
      <c r="G21" s="11">
        <v>16452.648475120386</v>
      </c>
      <c r="H21" s="11">
        <v>6548.9566613162115</v>
      </c>
      <c r="I21" s="11">
        <v>6679.9357945425363</v>
      </c>
      <c r="J21" s="11">
        <v>6813.5345104333883</v>
      </c>
      <c r="K21" s="11">
        <v>6949.8052006420539</v>
      </c>
      <c r="L21" s="11">
        <v>7088.8013046548958</v>
      </c>
      <c r="M21" s="11">
        <f t="shared" si="2"/>
        <v>50533.681946709476</v>
      </c>
      <c r="N21" s="68"/>
      <c r="O21" s="191"/>
    </row>
    <row r="22" spans="1:15" x14ac:dyDescent="0.3">
      <c r="A22" s="328"/>
      <c r="B22" s="328"/>
      <c r="C22" s="328"/>
      <c r="D22" s="328"/>
      <c r="E22" s="13" t="s">
        <v>31</v>
      </c>
      <c r="F22" s="103" t="s">
        <v>46</v>
      </c>
      <c r="G22" s="11">
        <v>2273.9432851792403</v>
      </c>
      <c r="H22" s="11">
        <v>149170.67950775818</v>
      </c>
      <c r="I22" s="11">
        <v>90271.910112359546</v>
      </c>
      <c r="J22" s="11">
        <v>155197.1749598716</v>
      </c>
      <c r="K22" s="11">
        <v>93918.895280898869</v>
      </c>
      <c r="L22" s="11">
        <v>151424.67231332263</v>
      </c>
      <c r="M22" s="11">
        <f t="shared" si="2"/>
        <v>642257.27545939013</v>
      </c>
      <c r="N22" s="68"/>
    </row>
    <row r="23" spans="1:15" ht="14.25" customHeight="1" x14ac:dyDescent="0.3">
      <c r="A23" s="328"/>
      <c r="B23" s="328"/>
      <c r="C23" s="328"/>
      <c r="D23" s="328" t="s">
        <v>33</v>
      </c>
      <c r="E23" s="25" t="s">
        <v>21</v>
      </c>
      <c r="F23" s="103" t="s">
        <v>47</v>
      </c>
      <c r="G23" s="11">
        <v>2707.3783202247191</v>
      </c>
      <c r="H23" s="11">
        <v>13630.604966292136</v>
      </c>
      <c r="I23" s="11">
        <v>13911.097218876403</v>
      </c>
      <c r="J23" s="11">
        <v>13291.769707119098</v>
      </c>
      <c r="K23" s="11">
        <v>13557.605101261488</v>
      </c>
      <c r="L23" s="11">
        <v>13828.757203286714</v>
      </c>
      <c r="M23" s="11">
        <f t="shared" si="2"/>
        <v>70927.212517060558</v>
      </c>
      <c r="N23" s="68"/>
    </row>
    <row r="24" spans="1:15" x14ac:dyDescent="0.3">
      <c r="A24" s="328"/>
      <c r="B24" s="328"/>
      <c r="C24" s="328"/>
      <c r="D24" s="328"/>
      <c r="E24" s="13" t="s">
        <v>27</v>
      </c>
      <c r="F24" s="103" t="s">
        <v>48</v>
      </c>
      <c r="G24" s="11">
        <v>32926.229353932584</v>
      </c>
      <c r="H24" s="11">
        <v>15576.932241198505</v>
      </c>
      <c r="I24" s="11">
        <v>16144.673152764044</v>
      </c>
      <c r="J24" s="11">
        <v>409.16645107280897</v>
      </c>
      <c r="K24" s="11">
        <v>417.34978009426521</v>
      </c>
      <c r="L24" s="11">
        <v>425.69677569615038</v>
      </c>
      <c r="M24" s="11">
        <f t="shared" si="2"/>
        <v>65900.047754758358</v>
      </c>
      <c r="N24" s="68"/>
    </row>
    <row r="25" spans="1:15" ht="27.95" x14ac:dyDescent="0.3">
      <c r="A25" s="328"/>
      <c r="B25" s="328"/>
      <c r="C25" s="328"/>
      <c r="D25" s="328"/>
      <c r="E25" s="13" t="s">
        <v>29</v>
      </c>
      <c r="F25" s="103" t="s">
        <v>49</v>
      </c>
      <c r="G25" s="11">
        <v>2047.7164204708401</v>
      </c>
      <c r="H25" s="11">
        <v>5838.8306988121994</v>
      </c>
      <c r="I25" s="11">
        <v>4584.5321211351502</v>
      </c>
      <c r="J25" s="11">
        <v>6363.6858107231837</v>
      </c>
      <c r="K25" s="11">
        <v>4769.7472188290121</v>
      </c>
      <c r="L25" s="11">
        <v>4266.1097255949662</v>
      </c>
      <c r="M25" s="11">
        <f t="shared" si="2"/>
        <v>27870.621995565351</v>
      </c>
      <c r="N25" s="68"/>
    </row>
    <row r="26" spans="1:15" x14ac:dyDescent="0.3">
      <c r="A26" s="328"/>
      <c r="B26" s="328"/>
      <c r="C26" s="328"/>
      <c r="D26" s="328"/>
      <c r="E26" s="13" t="s">
        <v>31</v>
      </c>
      <c r="F26" s="103" t="s">
        <v>50</v>
      </c>
      <c r="G26" s="11">
        <v>3382.2740074906364</v>
      </c>
      <c r="H26" s="11">
        <v>12222.05687583735</v>
      </c>
      <c r="I26" s="11">
        <v>11369.941749237238</v>
      </c>
      <c r="J26" s="11">
        <v>11433.396930933264</v>
      </c>
      <c r="K26" s="11">
        <v>13854.623372645301</v>
      </c>
      <c r="L26" s="11">
        <v>13785.689183962322</v>
      </c>
      <c r="M26" s="11">
        <f t="shared" si="2"/>
        <v>66047.982120106113</v>
      </c>
      <c r="N26" s="68"/>
    </row>
    <row r="27" spans="1:15" ht="27.95" x14ac:dyDescent="0.3">
      <c r="A27" s="328"/>
      <c r="B27" s="328"/>
      <c r="C27" s="328"/>
      <c r="D27" s="328"/>
      <c r="E27" s="13" t="s">
        <v>38</v>
      </c>
      <c r="F27" s="103" t="s">
        <v>51</v>
      </c>
      <c r="G27" s="11">
        <v>944.49741573033702</v>
      </c>
      <c r="H27" s="11">
        <v>4480.8714606741569</v>
      </c>
      <c r="I27" s="11">
        <v>4570.4888898876397</v>
      </c>
      <c r="J27" s="11">
        <v>4661.898667685392</v>
      </c>
      <c r="K27" s="11">
        <v>4755.1366410391011</v>
      </c>
      <c r="L27" s="11">
        <v>4850.2393738598812</v>
      </c>
      <c r="M27" s="11">
        <f t="shared" si="2"/>
        <v>24263.132448876509</v>
      </c>
      <c r="N27" s="68"/>
    </row>
    <row r="28" spans="1:15" ht="27.95" x14ac:dyDescent="0.3">
      <c r="A28" s="328"/>
      <c r="B28" s="328"/>
      <c r="C28" s="328"/>
      <c r="D28" s="54" t="s">
        <v>53</v>
      </c>
      <c r="E28" s="10"/>
      <c r="F28" s="106"/>
      <c r="G28" s="8">
        <f t="shared" ref="G28:M28" si="3">SUM(G17:G27)</f>
        <v>148121.78517158463</v>
      </c>
      <c r="H28" s="8">
        <f t="shared" si="3"/>
        <v>331370.024070299</v>
      </c>
      <c r="I28" s="8">
        <f t="shared" si="3"/>
        <v>268992.82415156881</v>
      </c>
      <c r="J28" s="8">
        <f t="shared" si="3"/>
        <v>326699.08347340603</v>
      </c>
      <c r="K28" s="8">
        <f t="shared" si="3"/>
        <v>264212.16228488937</v>
      </c>
      <c r="L28" s="8">
        <f t="shared" si="3"/>
        <v>262309.2331199625</v>
      </c>
      <c r="M28" s="8">
        <f t="shared" si="3"/>
        <v>1601705.1122717105</v>
      </c>
      <c r="N28" s="68"/>
    </row>
    <row r="29" spans="1:15" x14ac:dyDescent="0.3">
      <c r="A29" s="328"/>
      <c r="B29" s="328"/>
      <c r="C29" s="16" t="s">
        <v>54</v>
      </c>
      <c r="D29" s="14"/>
      <c r="E29" s="10"/>
      <c r="F29" s="107"/>
      <c r="G29" s="8">
        <f t="shared" ref="G29:L29" si="4">G16+G28</f>
        <v>367566.96129534335</v>
      </c>
      <c r="H29" s="8">
        <f t="shared" si="4"/>
        <v>570906.30015376606</v>
      </c>
      <c r="I29" s="8">
        <f t="shared" si="4"/>
        <v>268992.82415156881</v>
      </c>
      <c r="J29" s="8">
        <f t="shared" si="4"/>
        <v>326699.08347340603</v>
      </c>
      <c r="K29" s="8">
        <f t="shared" si="4"/>
        <v>264212.16228488937</v>
      </c>
      <c r="L29" s="8">
        <f t="shared" si="4"/>
        <v>262309.2331199625</v>
      </c>
      <c r="M29" s="324">
        <f t="shared" ref="M29:M40" si="5">SUM(G29:L29)</f>
        <v>2060686.5644789364</v>
      </c>
      <c r="N29" s="68"/>
    </row>
    <row r="30" spans="1:15" x14ac:dyDescent="0.3">
      <c r="A30" s="328"/>
      <c r="B30" s="328" t="s">
        <v>55</v>
      </c>
      <c r="C30" s="337" t="s">
        <v>56</v>
      </c>
      <c r="D30" s="337" t="s">
        <v>20</v>
      </c>
      <c r="E30" s="25" t="s">
        <v>21</v>
      </c>
      <c r="F30" s="103" t="s">
        <v>52</v>
      </c>
      <c r="G30" s="17">
        <v>16561.036286196388</v>
      </c>
      <c r="H30" s="17">
        <v>62505.561189709595</v>
      </c>
      <c r="I30" s="17">
        <v>63755.672413503773</v>
      </c>
      <c r="J30" s="17">
        <v>35016.577002493606</v>
      </c>
      <c r="K30" s="17">
        <v>35716.908542543482</v>
      </c>
      <c r="L30" s="17">
        <v>20408.275592122885</v>
      </c>
      <c r="M30" s="17">
        <f t="shared" si="5"/>
        <v>233964.03102656975</v>
      </c>
      <c r="N30" s="68"/>
    </row>
    <row r="31" spans="1:15" x14ac:dyDescent="0.3">
      <c r="A31" s="328"/>
      <c r="B31" s="328"/>
      <c r="C31" s="337"/>
      <c r="D31" s="337"/>
      <c r="E31" s="25" t="s">
        <v>23</v>
      </c>
      <c r="F31" s="103" t="s">
        <v>57</v>
      </c>
      <c r="G31" s="17">
        <v>4301.2640449438195</v>
      </c>
      <c r="H31" s="17">
        <v>5324.8419943820218</v>
      </c>
      <c r="I31" s="17">
        <v>5324.8419943820218</v>
      </c>
      <c r="J31" s="17">
        <v>2867.2226123595501</v>
      </c>
      <c r="K31" s="17">
        <v>2867.2226123595501</v>
      </c>
      <c r="L31" s="17">
        <v>0</v>
      </c>
      <c r="M31" s="17">
        <f>SUM(G31:L31)</f>
        <v>20685.393258426964</v>
      </c>
      <c r="N31" s="68"/>
    </row>
    <row r="32" spans="1:15" x14ac:dyDescent="0.3">
      <c r="A32" s="328"/>
      <c r="B32" s="328"/>
      <c r="C32" s="337"/>
      <c r="D32" s="337"/>
      <c r="E32" s="13" t="s">
        <v>25</v>
      </c>
      <c r="F32" s="103" t="s">
        <v>58</v>
      </c>
      <c r="G32" s="17">
        <v>32102.728731942214</v>
      </c>
      <c r="H32" s="17">
        <v>0</v>
      </c>
      <c r="I32" s="17">
        <v>0</v>
      </c>
      <c r="J32" s="17">
        <v>0</v>
      </c>
      <c r="K32" s="17">
        <v>0</v>
      </c>
      <c r="L32" s="17">
        <v>0</v>
      </c>
      <c r="M32" s="17">
        <f>SUM(G32:L32)</f>
        <v>32102.728731942214</v>
      </c>
      <c r="N32" s="68"/>
    </row>
    <row r="33" spans="1:14" x14ac:dyDescent="0.3">
      <c r="A33" s="328"/>
      <c r="B33" s="328"/>
      <c r="C33" s="337"/>
      <c r="D33" s="337"/>
      <c r="E33" s="13" t="s">
        <v>27</v>
      </c>
      <c r="F33" s="103" t="s">
        <v>59</v>
      </c>
      <c r="G33" s="17">
        <v>10077.247191011236</v>
      </c>
      <c r="H33" s="17">
        <v>3724.7191011235955</v>
      </c>
      <c r="I33" s="17">
        <v>3799.2134831460671</v>
      </c>
      <c r="J33" s="17">
        <v>2086.6449438202249</v>
      </c>
      <c r="K33" s="17">
        <v>2128.3778426966287</v>
      </c>
      <c r="L33" s="17">
        <v>2170.9453995505614</v>
      </c>
      <c r="M33" s="11">
        <f t="shared" si="5"/>
        <v>23987.147961348313</v>
      </c>
      <c r="N33" s="68"/>
    </row>
    <row r="34" spans="1:14" x14ac:dyDescent="0.3">
      <c r="A34" s="328"/>
      <c r="B34" s="328"/>
      <c r="C34" s="337"/>
      <c r="D34" s="337"/>
      <c r="E34" s="13" t="s">
        <v>31</v>
      </c>
      <c r="F34" s="103" t="s">
        <v>60</v>
      </c>
      <c r="G34" s="17">
        <v>1392.7902621722847</v>
      </c>
      <c r="H34" s="17">
        <v>10553.370786516854</v>
      </c>
      <c r="I34" s="17">
        <v>10764.438202247189</v>
      </c>
      <c r="J34" s="17">
        <v>5912.1606741573032</v>
      </c>
      <c r="K34" s="17">
        <v>6030.4038876404484</v>
      </c>
      <c r="L34" s="17">
        <v>3075.505982696629</v>
      </c>
      <c r="M34" s="11">
        <f t="shared" si="5"/>
        <v>37728.669795430716</v>
      </c>
      <c r="N34" s="68"/>
    </row>
    <row r="35" spans="1:14" ht="27.95" x14ac:dyDescent="0.3">
      <c r="A35" s="328"/>
      <c r="B35" s="328"/>
      <c r="C35" s="337"/>
      <c r="D35" s="337"/>
      <c r="E35" s="13" t="s">
        <v>29</v>
      </c>
      <c r="F35" s="103" t="s">
        <v>61</v>
      </c>
      <c r="G35" s="17">
        <v>13037.274835027645</v>
      </c>
      <c r="H35" s="17">
        <v>3219.903691813804</v>
      </c>
      <c r="I35" s="17">
        <v>3284.3017656500801</v>
      </c>
      <c r="J35" s="17">
        <v>19248.234991974317</v>
      </c>
      <c r="K35" s="17">
        <v>3416.9875569823434</v>
      </c>
      <c r="L35" s="17">
        <v>3485.3273081219904</v>
      </c>
      <c r="M35" s="11">
        <f t="shared" si="5"/>
        <v>45692.030149570179</v>
      </c>
      <c r="N35" s="68"/>
    </row>
    <row r="36" spans="1:14" x14ac:dyDescent="0.3">
      <c r="A36" s="328"/>
      <c r="B36" s="328"/>
      <c r="C36" s="337"/>
      <c r="D36" s="328" t="s">
        <v>33</v>
      </c>
      <c r="E36" t="s">
        <v>21</v>
      </c>
      <c r="F36" s="103" t="s">
        <v>62</v>
      </c>
      <c r="G36" s="11">
        <v>916.16551605136431</v>
      </c>
      <c r="H36" s="11">
        <v>4311.7219791332273</v>
      </c>
      <c r="I36" s="11">
        <v>4400.4491202568233</v>
      </c>
      <c r="J36" s="11">
        <v>1934.0881226889628</v>
      </c>
      <c r="K36" s="11">
        <v>1972.7698851427433</v>
      </c>
      <c r="L36" s="11">
        <v>2012.2252828455978</v>
      </c>
      <c r="M36" s="11">
        <f t="shared" si="5"/>
        <v>15547.419906118719</v>
      </c>
      <c r="N36" s="68"/>
    </row>
    <row r="37" spans="1:14" x14ac:dyDescent="0.3">
      <c r="A37" s="328"/>
      <c r="B37" s="328"/>
      <c r="C37" s="337"/>
      <c r="D37" s="328"/>
      <c r="E37" s="13" t="s">
        <v>27</v>
      </c>
      <c r="F37" s="103" t="s">
        <v>63</v>
      </c>
      <c r="G37" s="11">
        <v>11142.098495184591</v>
      </c>
      <c r="H37" s="11">
        <v>4927.3969334403446</v>
      </c>
      <c r="I37" s="11">
        <v>5106.9884462825066</v>
      </c>
      <c r="J37" s="11">
        <v>59.53789379896179</v>
      </c>
      <c r="K37" s="11">
        <v>60.728651674941048</v>
      </c>
      <c r="L37" s="11">
        <v>61.943224708439857</v>
      </c>
      <c r="M37" s="11">
        <f t="shared" si="5"/>
        <v>21358.693645089785</v>
      </c>
      <c r="N37" s="68"/>
    </row>
    <row r="38" spans="1:14" ht="27.95" x14ac:dyDescent="0.3">
      <c r="A38" s="328"/>
      <c r="B38" s="328"/>
      <c r="C38" s="337"/>
      <c r="D38" s="328"/>
      <c r="E38" s="13" t="s">
        <v>29</v>
      </c>
      <c r="F38" s="103" t="s">
        <v>64</v>
      </c>
      <c r="G38" s="11">
        <v>2602.5212201212771</v>
      </c>
      <c r="H38" s="11">
        <v>4175.6259757945427</v>
      </c>
      <c r="I38" s="11">
        <v>2353.8449017309786</v>
      </c>
      <c r="J38" s="11">
        <v>2505.4215611925929</v>
      </c>
      <c r="K38" s="11">
        <v>1722.9793139264543</v>
      </c>
      <c r="L38" s="11">
        <v>1670.2735679567431</v>
      </c>
      <c r="M38" s="11">
        <f t="shared" si="5"/>
        <v>15030.66654072259</v>
      </c>
      <c r="N38" s="68"/>
    </row>
    <row r="39" spans="1:14" x14ac:dyDescent="0.3">
      <c r="A39" s="328"/>
      <c r="B39" s="328"/>
      <c r="C39" s="337"/>
      <c r="D39" s="328"/>
      <c r="E39" s="13" t="s">
        <v>31</v>
      </c>
      <c r="F39" s="103" t="s">
        <v>65</v>
      </c>
      <c r="G39" s="11">
        <v>1463.7554200107011</v>
      </c>
      <c r="H39" s="11">
        <v>4302.7121091118261</v>
      </c>
      <c r="I39" s="11">
        <v>3800.5822416061005</v>
      </c>
      <c r="J39" s="11">
        <v>2155.4765737141111</v>
      </c>
      <c r="K39" s="11">
        <v>2248.2389616046189</v>
      </c>
      <c r="L39" s="11">
        <v>2512.2401103145035</v>
      </c>
      <c r="M39" s="11">
        <f t="shared" si="5"/>
        <v>16483.005416361859</v>
      </c>
      <c r="N39" s="68"/>
    </row>
    <row r="40" spans="1:14" ht="27.95" x14ac:dyDescent="0.3">
      <c r="A40" s="328"/>
      <c r="B40" s="328"/>
      <c r="C40" s="337"/>
      <c r="D40" s="328"/>
      <c r="E40" s="13" t="s">
        <v>38</v>
      </c>
      <c r="F40" s="103" t="s">
        <v>66</v>
      </c>
      <c r="G40" s="11">
        <v>319.61398073836278</v>
      </c>
      <c r="H40" s="11">
        <v>1417.4185232744783</v>
      </c>
      <c r="I40" s="11">
        <v>1445.7668937399681</v>
      </c>
      <c r="J40" s="11">
        <v>678.35382654279283</v>
      </c>
      <c r="K40" s="11">
        <v>691.92090307364879</v>
      </c>
      <c r="L40" s="11">
        <v>705.75932113512158</v>
      </c>
      <c r="M40" s="11">
        <f t="shared" si="5"/>
        <v>5258.8334485043724</v>
      </c>
      <c r="N40" s="68"/>
    </row>
    <row r="41" spans="1:14" ht="27.95" x14ac:dyDescent="0.3">
      <c r="A41" s="328"/>
      <c r="B41" s="328"/>
      <c r="C41" s="337"/>
      <c r="D41" s="54" t="s">
        <v>68</v>
      </c>
      <c r="E41" s="317"/>
      <c r="F41" s="106"/>
      <c r="G41" s="8">
        <f t="shared" ref="G41:M41" si="6">SUM(G30:G40)</f>
        <v>93916.495983399858</v>
      </c>
      <c r="H41" s="8">
        <f t="shared" si="6"/>
        <v>104463.2722843003</v>
      </c>
      <c r="I41" s="8">
        <f t="shared" si="6"/>
        <v>104036.09946254551</v>
      </c>
      <c r="J41" s="8">
        <f t="shared" si="6"/>
        <v>72463.718202742413</v>
      </c>
      <c r="K41" s="8">
        <f t="shared" si="6"/>
        <v>56856.538157644864</v>
      </c>
      <c r="L41" s="8">
        <f t="shared" si="6"/>
        <v>36102.495789452463</v>
      </c>
      <c r="M41" s="8">
        <f t="shared" si="6"/>
        <v>467838.61988008546</v>
      </c>
      <c r="N41" s="68"/>
    </row>
    <row r="42" spans="1:14" x14ac:dyDescent="0.3">
      <c r="A42" s="328"/>
      <c r="B42" s="328"/>
      <c r="C42" s="328" t="s">
        <v>69</v>
      </c>
      <c r="D42" s="341" t="s">
        <v>20</v>
      </c>
      <c r="E42" s="25" t="s">
        <v>21</v>
      </c>
      <c r="F42" s="316" t="s">
        <v>67</v>
      </c>
      <c r="G42" s="17">
        <v>14195.173959596901</v>
      </c>
      <c r="H42" s="20">
        <v>0</v>
      </c>
      <c r="I42" s="20">
        <v>0</v>
      </c>
      <c r="J42" s="17">
        <v>30014.208859280236</v>
      </c>
      <c r="K42" s="17">
        <v>30614.493036465843</v>
      </c>
      <c r="L42" s="17">
        <v>17492.807650391045</v>
      </c>
      <c r="M42" s="17">
        <f t="shared" ref="M42:M52" si="7">SUM(G42:L42)</f>
        <v>92316.683505734021</v>
      </c>
      <c r="N42" s="68"/>
    </row>
    <row r="43" spans="1:14" x14ac:dyDescent="0.3">
      <c r="A43" s="328"/>
      <c r="B43" s="328"/>
      <c r="C43" s="328"/>
      <c r="D43" s="341"/>
      <c r="E43" s="13" t="s">
        <v>23</v>
      </c>
      <c r="F43" s="316" t="s">
        <v>70</v>
      </c>
      <c r="G43" s="17">
        <v>3686.7977528089887</v>
      </c>
      <c r="H43" s="20">
        <v>0</v>
      </c>
      <c r="I43" s="20">
        <v>0</v>
      </c>
      <c r="J43" s="17">
        <v>2457.6193820224712</v>
      </c>
      <c r="K43" s="17">
        <v>2457.6193820224712</v>
      </c>
      <c r="L43" s="17">
        <v>0</v>
      </c>
      <c r="M43" s="17">
        <f>SUM(G43:L43)</f>
        <v>8602.0365168539302</v>
      </c>
      <c r="N43" s="68"/>
    </row>
    <row r="44" spans="1:14" x14ac:dyDescent="0.3">
      <c r="A44" s="328"/>
      <c r="B44" s="328"/>
      <c r="C44" s="328"/>
      <c r="D44" s="341"/>
      <c r="E44" s="13" t="s">
        <v>25</v>
      </c>
      <c r="F44" s="316" t="s">
        <v>71</v>
      </c>
      <c r="G44" s="17">
        <v>128076.51150347778</v>
      </c>
      <c r="H44" s="20">
        <v>0</v>
      </c>
      <c r="I44" s="20">
        <v>0</v>
      </c>
      <c r="J44" s="17">
        <v>0</v>
      </c>
      <c r="K44" s="17">
        <v>22739.4328517924</v>
      </c>
      <c r="L44" s="17">
        <v>22739.4328517924</v>
      </c>
      <c r="M44" s="17">
        <f>SUM(G44:L44)</f>
        <v>173555.37720706259</v>
      </c>
      <c r="N44" s="68"/>
    </row>
    <row r="45" spans="1:14" x14ac:dyDescent="0.3">
      <c r="A45" s="328"/>
      <c r="B45" s="328"/>
      <c r="C45" s="328"/>
      <c r="D45" s="337"/>
      <c r="E45" s="28" t="s">
        <v>27</v>
      </c>
      <c r="F45" s="316" t="s">
        <v>72</v>
      </c>
      <c r="G45" s="17">
        <v>8637.6404494382023</v>
      </c>
      <c r="H45" s="20">
        <v>0</v>
      </c>
      <c r="I45" s="20">
        <v>0</v>
      </c>
      <c r="J45" s="17">
        <v>1788.5528089887641</v>
      </c>
      <c r="K45" s="17">
        <v>1824.3238651685392</v>
      </c>
      <c r="L45" s="17">
        <v>1860.81034247191</v>
      </c>
      <c r="M45" s="17">
        <f>SUM(G45:L45)</f>
        <v>14111.327466067416</v>
      </c>
      <c r="N45" s="68"/>
    </row>
    <row r="46" spans="1:14" ht="27.95" x14ac:dyDescent="0.3">
      <c r="A46" s="328"/>
      <c r="B46" s="328"/>
      <c r="C46" s="328"/>
      <c r="D46" s="337"/>
      <c r="E46" s="13" t="s">
        <v>29</v>
      </c>
      <c r="F46" s="316" t="s">
        <v>73</v>
      </c>
      <c r="G46" s="17">
        <v>7490.63670411985</v>
      </c>
      <c r="H46" s="20">
        <v>0</v>
      </c>
      <c r="I46" s="20">
        <v>0</v>
      </c>
      <c r="J46" s="17">
        <v>7949.1235955056181</v>
      </c>
      <c r="K46" s="17">
        <v>0</v>
      </c>
      <c r="L46" s="17">
        <v>0</v>
      </c>
      <c r="M46" s="11">
        <f t="shared" si="7"/>
        <v>15439.760299625468</v>
      </c>
      <c r="N46" s="68"/>
    </row>
    <row r="47" spans="1:14" x14ac:dyDescent="0.3">
      <c r="A47" s="328"/>
      <c r="B47" s="328"/>
      <c r="C47" s="328"/>
      <c r="D47" s="337"/>
      <c r="E47" s="13" t="s">
        <v>31</v>
      </c>
      <c r="F47" s="316" t="s">
        <v>74</v>
      </c>
      <c r="G47" s="17">
        <v>16063.625824861781</v>
      </c>
      <c r="H47" s="20">
        <v>30334.403424291064</v>
      </c>
      <c r="I47" s="20">
        <v>15470.545746388443</v>
      </c>
      <c r="J47" s="17">
        <v>5067.5662921348312</v>
      </c>
      <c r="K47" s="17">
        <v>5168.9176179775277</v>
      </c>
      <c r="L47" s="17">
        <v>2636.147985168539</v>
      </c>
      <c r="M47" s="11">
        <f t="shared" si="7"/>
        <v>74741.206890822185</v>
      </c>
      <c r="N47" s="68"/>
    </row>
    <row r="48" spans="1:14" x14ac:dyDescent="0.3">
      <c r="A48" s="328"/>
      <c r="B48" s="328"/>
      <c r="C48" s="328"/>
      <c r="D48" s="328" t="s">
        <v>33</v>
      </c>
      <c r="E48" t="s">
        <v>21</v>
      </c>
      <c r="F48" s="316" t="s">
        <v>75</v>
      </c>
      <c r="G48" s="11">
        <v>1075.4986492776886</v>
      </c>
      <c r="H48" s="11">
        <v>0</v>
      </c>
      <c r="I48" s="11">
        <v>0</v>
      </c>
      <c r="J48" s="11">
        <v>2270.451274460956</v>
      </c>
      <c r="K48" s="11">
        <v>2315.8602999501768</v>
      </c>
      <c r="L48" s="11">
        <v>2362.1775059491797</v>
      </c>
      <c r="M48" s="11">
        <f t="shared" si="7"/>
        <v>8023.987729638</v>
      </c>
      <c r="N48" s="68"/>
    </row>
    <row r="49" spans="1:14" x14ac:dyDescent="0.3">
      <c r="A49" s="328"/>
      <c r="B49" s="328"/>
      <c r="C49" s="328"/>
      <c r="D49" s="328"/>
      <c r="E49" s="13" t="s">
        <v>27</v>
      </c>
      <c r="F49" s="316" t="s">
        <v>76</v>
      </c>
      <c r="G49" s="11">
        <v>13079.854755216695</v>
      </c>
      <c r="H49" s="11">
        <v>0</v>
      </c>
      <c r="I49" s="11">
        <v>0</v>
      </c>
      <c r="J49" s="11">
        <v>69.892310111824699</v>
      </c>
      <c r="K49" s="11">
        <v>71.290156314061235</v>
      </c>
      <c r="L49" s="11">
        <v>72.715959440342431</v>
      </c>
      <c r="M49" s="11">
        <f t="shared" si="7"/>
        <v>13293.753181082922</v>
      </c>
      <c r="N49" s="68"/>
    </row>
    <row r="50" spans="1:14" ht="27.95" x14ac:dyDescent="0.3">
      <c r="A50" s="328"/>
      <c r="B50" s="328"/>
      <c r="C50" s="328"/>
      <c r="D50" s="328"/>
      <c r="E50" s="13" t="s">
        <v>29</v>
      </c>
      <c r="F50" s="316" t="s">
        <v>77</v>
      </c>
      <c r="G50" s="11">
        <v>423.74680324237568</v>
      </c>
      <c r="H50" s="11">
        <v>0</v>
      </c>
      <c r="I50" s="11">
        <v>0</v>
      </c>
      <c r="J50" s="11">
        <v>950.72661769981164</v>
      </c>
      <c r="K50" s="11">
        <v>725.96092183445649</v>
      </c>
      <c r="L50" s="11">
        <v>638.15561980582027</v>
      </c>
      <c r="M50" s="11">
        <f t="shared" si="7"/>
        <v>2738.5899625824636</v>
      </c>
      <c r="N50" s="68"/>
    </row>
    <row r="51" spans="1:14" x14ac:dyDescent="0.3">
      <c r="A51" s="328"/>
      <c r="B51" s="328"/>
      <c r="C51" s="328"/>
      <c r="D51" s="328"/>
      <c r="E51" s="13" t="s">
        <v>31</v>
      </c>
      <c r="F51" s="316" t="s">
        <v>78</v>
      </c>
      <c r="G51" s="11">
        <v>1278.4559229534511</v>
      </c>
      <c r="H51" s="11">
        <v>0</v>
      </c>
      <c r="I51" s="11">
        <v>0</v>
      </c>
      <c r="J51" s="11">
        <v>1910.5718567021465</v>
      </c>
      <c r="K51" s="11">
        <v>2346.5543054083391</v>
      </c>
      <c r="L51" s="11">
        <v>2311.1321668634205</v>
      </c>
      <c r="M51" s="11">
        <f t="shared" si="7"/>
        <v>7846.7142519273566</v>
      </c>
      <c r="N51" s="68"/>
    </row>
    <row r="52" spans="1:14" ht="27.95" x14ac:dyDescent="0.3">
      <c r="A52" s="328"/>
      <c r="B52" s="328"/>
      <c r="C52" s="328"/>
      <c r="D52" s="328"/>
      <c r="E52" s="13" t="s">
        <v>38</v>
      </c>
      <c r="F52" s="316" t="s">
        <v>79</v>
      </c>
      <c r="G52" s="11">
        <v>375.19902086677371</v>
      </c>
      <c r="H52" s="11">
        <v>0</v>
      </c>
      <c r="I52" s="11">
        <v>0</v>
      </c>
      <c r="J52" s="11">
        <v>796.3284050719742</v>
      </c>
      <c r="K52" s="11">
        <v>812.25497317341387</v>
      </c>
      <c r="L52" s="11">
        <v>828.50007263688178</v>
      </c>
      <c r="M52" s="11">
        <f t="shared" si="7"/>
        <v>2812.2824717490435</v>
      </c>
      <c r="N52" s="68"/>
    </row>
    <row r="53" spans="1:14" ht="27.95" x14ac:dyDescent="0.3">
      <c r="A53" s="328"/>
      <c r="B53" s="328"/>
      <c r="C53" s="328"/>
      <c r="D53" s="54" t="s">
        <v>81</v>
      </c>
      <c r="E53" s="10"/>
      <c r="F53" s="106"/>
      <c r="G53" s="8">
        <f t="shared" ref="G53:M53" si="8">SUM(G42:G52)</f>
        <v>194383.14134586049</v>
      </c>
      <c r="H53" s="8">
        <f t="shared" si="8"/>
        <v>30334.403424291064</v>
      </c>
      <c r="I53" s="8">
        <f t="shared" si="8"/>
        <v>15470.545746388443</v>
      </c>
      <c r="J53" s="8">
        <f t="shared" si="8"/>
        <v>53275.041401978633</v>
      </c>
      <c r="K53" s="8">
        <f t="shared" si="8"/>
        <v>69076.707410107236</v>
      </c>
      <c r="L53" s="8">
        <f t="shared" si="8"/>
        <v>50941.880154519524</v>
      </c>
      <c r="M53" s="8">
        <f t="shared" si="8"/>
        <v>413481.71948314534</v>
      </c>
      <c r="N53" s="68"/>
    </row>
    <row r="54" spans="1:14" x14ac:dyDescent="0.3">
      <c r="A54" s="328"/>
      <c r="B54" s="328"/>
      <c r="C54" s="328" t="s">
        <v>82</v>
      </c>
      <c r="D54" s="337" t="s">
        <v>20</v>
      </c>
      <c r="E54" s="25" t="s">
        <v>21</v>
      </c>
      <c r="F54" s="103" t="s">
        <v>80</v>
      </c>
      <c r="G54" s="17">
        <v>16561.036286196388</v>
      </c>
      <c r="H54" s="11">
        <v>33656.840640612849</v>
      </c>
      <c r="I54" s="11">
        <v>34329.977453425105</v>
      </c>
      <c r="J54" s="11">
        <v>35016.577002493606</v>
      </c>
      <c r="K54" s="11">
        <v>35716.908542543482</v>
      </c>
      <c r="L54" s="11">
        <v>20408.275592122885</v>
      </c>
      <c r="M54" s="17">
        <f t="shared" ref="M54:M63" si="9">SUM(G54:L54)</f>
        <v>175689.61551739433</v>
      </c>
      <c r="N54" s="68"/>
    </row>
    <row r="55" spans="1:14" x14ac:dyDescent="0.3">
      <c r="A55" s="328"/>
      <c r="B55" s="328"/>
      <c r="C55" s="328"/>
      <c r="D55" s="337"/>
      <c r="E55" s="13" t="s">
        <v>23</v>
      </c>
      <c r="F55" s="103" t="s">
        <v>83</v>
      </c>
      <c r="G55" s="17">
        <v>4301.2640449438195</v>
      </c>
      <c r="H55" s="11">
        <v>2867.2226123595501</v>
      </c>
      <c r="I55" s="11">
        <v>2867.2226123595501</v>
      </c>
      <c r="J55" s="11">
        <v>2867.2226123595501</v>
      </c>
      <c r="K55" s="11">
        <v>2867.2226123595501</v>
      </c>
      <c r="L55" s="11">
        <v>0</v>
      </c>
      <c r="M55" s="17">
        <f>SUM(G55:L55)</f>
        <v>15770.154494382019</v>
      </c>
      <c r="N55" s="68"/>
    </row>
    <row r="56" spans="1:14" x14ac:dyDescent="0.3">
      <c r="A56" s="328"/>
      <c r="B56" s="328"/>
      <c r="C56" s="328"/>
      <c r="D56" s="337"/>
      <c r="E56" s="13" t="s">
        <v>27</v>
      </c>
      <c r="F56" s="103" t="s">
        <v>84</v>
      </c>
      <c r="G56" s="17">
        <v>10077.247191011236</v>
      </c>
      <c r="H56" s="11">
        <v>2005.6179775280898</v>
      </c>
      <c r="I56" s="11">
        <v>2045.7303370786515</v>
      </c>
      <c r="J56" s="11">
        <v>2086.6449438202249</v>
      </c>
      <c r="K56" s="11">
        <v>2128.3778426966287</v>
      </c>
      <c r="L56" s="11">
        <v>2170.9453995505614</v>
      </c>
      <c r="M56" s="17">
        <f>SUM(G56:L56)</f>
        <v>20514.563691685395</v>
      </c>
      <c r="N56" s="68"/>
    </row>
    <row r="57" spans="1:14" ht="27.95" x14ac:dyDescent="0.3">
      <c r="A57" s="328"/>
      <c r="B57" s="328"/>
      <c r="C57" s="328"/>
      <c r="D57" s="337"/>
      <c r="E57" s="13" t="s">
        <v>29</v>
      </c>
      <c r="F57" s="103" t="s">
        <v>85</v>
      </c>
      <c r="G57" s="17">
        <v>59479.222400570718</v>
      </c>
      <c r="H57" s="11">
        <v>0</v>
      </c>
      <c r="I57" s="11">
        <v>0</v>
      </c>
      <c r="J57" s="11">
        <v>0</v>
      </c>
      <c r="K57" s="11">
        <v>32191.111589085071</v>
      </c>
      <c r="L57" s="11">
        <v>32834.933820866769</v>
      </c>
      <c r="M57" s="17">
        <f>SUM(G57:L57)</f>
        <v>124505.26781052255</v>
      </c>
      <c r="N57" s="68"/>
    </row>
    <row r="58" spans="1:14" x14ac:dyDescent="0.3">
      <c r="A58" s="328"/>
      <c r="B58" s="328"/>
      <c r="C58" s="328"/>
      <c r="D58" s="337"/>
      <c r="E58" s="13" t="s">
        <v>31</v>
      </c>
      <c r="F58" s="103" t="s">
        <v>86</v>
      </c>
      <c r="G58" s="17">
        <v>60872.012662743</v>
      </c>
      <c r="H58" s="17">
        <v>5682.5842696629215</v>
      </c>
      <c r="I58" s="17">
        <v>5796.2359550561787</v>
      </c>
      <c r="J58" s="17">
        <v>5912.1606741573032</v>
      </c>
      <c r="K58" s="17">
        <v>6030.4038876404484</v>
      </c>
      <c r="L58" s="17">
        <v>3075.505982696629</v>
      </c>
      <c r="M58" s="11">
        <f t="shared" si="9"/>
        <v>87368.903431956496</v>
      </c>
      <c r="N58" s="68"/>
    </row>
    <row r="59" spans="1:14" x14ac:dyDescent="0.3">
      <c r="A59" s="328"/>
      <c r="B59" s="328"/>
      <c r="C59" s="328"/>
      <c r="D59" s="328" t="s">
        <v>33</v>
      </c>
      <c r="E59" s="25" t="s">
        <v>21</v>
      </c>
      <c r="F59" s="103" t="s">
        <v>87</v>
      </c>
      <c r="G59" s="11">
        <v>1991.6641653290528</v>
      </c>
      <c r="H59" s="11">
        <v>4311.7219791332263</v>
      </c>
      <c r="I59" s="11">
        <v>4400.4491202568224</v>
      </c>
      <c r="J59" s="11">
        <v>4204.5393971499188</v>
      </c>
      <c r="K59" s="11">
        <v>4288.6301850929194</v>
      </c>
      <c r="L59" s="11">
        <v>4374.4027887947777</v>
      </c>
      <c r="M59" s="11">
        <f t="shared" si="9"/>
        <v>23571.407635756717</v>
      </c>
      <c r="N59" s="68"/>
    </row>
    <row r="60" spans="1:14" x14ac:dyDescent="0.3">
      <c r="A60" s="328"/>
      <c r="B60" s="328"/>
      <c r="C60" s="328"/>
      <c r="D60" s="328"/>
      <c r="E60" s="13" t="s">
        <v>27</v>
      </c>
      <c r="F60" s="103" t="s">
        <v>88</v>
      </c>
      <c r="G60" s="11">
        <v>24221.953250401282</v>
      </c>
      <c r="H60" s="11">
        <v>4927.3969334403428</v>
      </c>
      <c r="I60" s="11">
        <v>5106.9884462825048</v>
      </c>
      <c r="J60" s="11">
        <v>129.4302039107865</v>
      </c>
      <c r="K60" s="11">
        <v>132.01880798900228</v>
      </c>
      <c r="L60" s="11">
        <v>134.65918414878229</v>
      </c>
      <c r="M60" s="11">
        <f t="shared" si="9"/>
        <v>34652.446826172702</v>
      </c>
      <c r="N60" s="68"/>
    </row>
    <row r="61" spans="1:14" ht="27.95" x14ac:dyDescent="0.3">
      <c r="A61" s="328"/>
      <c r="B61" s="328"/>
      <c r="C61" s="328"/>
      <c r="D61" s="328"/>
      <c r="E61" s="13" t="s">
        <v>29</v>
      </c>
      <c r="F61" s="103" t="s">
        <v>89</v>
      </c>
      <c r="G61" s="11">
        <v>784.71630230069547</v>
      </c>
      <c r="H61" s="11">
        <v>1439.7098281219905</v>
      </c>
      <c r="I61" s="11">
        <v>1292.1684712333865</v>
      </c>
      <c r="J61" s="11">
        <v>1760.6048475922435</v>
      </c>
      <c r="K61" s="11">
        <v>1344.3720774712156</v>
      </c>
      <c r="L61" s="11">
        <v>1181.7696663070747</v>
      </c>
      <c r="M61" s="11">
        <f t="shared" si="9"/>
        <v>7803.3411930266066</v>
      </c>
      <c r="N61" s="68"/>
    </row>
    <row r="62" spans="1:14" x14ac:dyDescent="0.3">
      <c r="A62" s="328"/>
      <c r="B62" s="328"/>
      <c r="C62" s="328"/>
      <c r="D62" s="328"/>
      <c r="E62" s="13" t="s">
        <v>31</v>
      </c>
      <c r="F62" s="103" t="s">
        <v>90</v>
      </c>
      <c r="G62" s="11">
        <v>2367.5109684323165</v>
      </c>
      <c r="H62" s="11">
        <v>3789.8105574799365</v>
      </c>
      <c r="I62" s="11">
        <v>3560.9414005146073</v>
      </c>
      <c r="J62" s="11">
        <v>3538.0960309299007</v>
      </c>
      <c r="K62" s="11">
        <v>4345.4709359413682</v>
      </c>
      <c r="L62" s="11">
        <v>4279.8743830804087</v>
      </c>
      <c r="M62" s="11">
        <f t="shared" si="9"/>
        <v>21881.704276378539</v>
      </c>
      <c r="N62" s="68"/>
    </row>
    <row r="63" spans="1:14" ht="27.95" x14ac:dyDescent="0.3">
      <c r="A63" s="328"/>
      <c r="B63" s="328"/>
      <c r="C63" s="328"/>
      <c r="D63" s="328"/>
      <c r="E63" s="13" t="s">
        <v>38</v>
      </c>
      <c r="F63" s="103" t="s">
        <v>91</v>
      </c>
      <c r="G63" s="11">
        <v>694.81300160513649</v>
      </c>
      <c r="H63" s="11">
        <v>1417.418523274478</v>
      </c>
      <c r="I63" s="11">
        <v>1445.7668937399678</v>
      </c>
      <c r="J63" s="11">
        <v>1474.682231614767</v>
      </c>
      <c r="K63" s="11">
        <v>1504.1758762470627</v>
      </c>
      <c r="L63" s="11">
        <v>1534.2593937720032</v>
      </c>
      <c r="M63" s="11">
        <f t="shared" si="9"/>
        <v>8071.1159202534154</v>
      </c>
      <c r="N63" s="68"/>
    </row>
    <row r="64" spans="1:14" ht="27.95" x14ac:dyDescent="0.3">
      <c r="A64" s="328"/>
      <c r="B64" s="328"/>
      <c r="C64" s="328"/>
      <c r="D64" s="54" t="s">
        <v>94</v>
      </c>
      <c r="E64" s="10"/>
      <c r="F64" s="106"/>
      <c r="G64" s="8">
        <f t="shared" ref="G64:M64" si="10">SUM(G54:G63)</f>
        <v>181351.44027353363</v>
      </c>
      <c r="H64" s="8">
        <f t="shared" si="10"/>
        <v>60098.323321613374</v>
      </c>
      <c r="I64" s="8">
        <f t="shared" si="10"/>
        <v>60845.48068994678</v>
      </c>
      <c r="J64" s="8">
        <f t="shared" si="10"/>
        <v>56989.957944028305</v>
      </c>
      <c r="K64" s="8">
        <f t="shared" si="10"/>
        <v>90548.692357066742</v>
      </c>
      <c r="L64" s="8">
        <f t="shared" si="10"/>
        <v>69994.626211339899</v>
      </c>
      <c r="M64" s="8">
        <f t="shared" si="10"/>
        <v>519828.52079752873</v>
      </c>
      <c r="N64" s="68"/>
    </row>
    <row r="65" spans="1:14" x14ac:dyDescent="0.3">
      <c r="A65" s="328"/>
      <c r="B65" s="328"/>
      <c r="C65" s="16" t="s">
        <v>95</v>
      </c>
      <c r="D65" s="14"/>
      <c r="E65" s="10"/>
      <c r="F65" s="95"/>
      <c r="G65" s="8">
        <f t="shared" ref="G65:M65" si="11">G41+G53+G64</f>
        <v>469651.07760279399</v>
      </c>
      <c r="H65" s="8">
        <f t="shared" si="11"/>
        <v>194895.99903020472</v>
      </c>
      <c r="I65" s="8">
        <f t="shared" si="11"/>
        <v>180352.12589888071</v>
      </c>
      <c r="J65" s="8">
        <f t="shared" si="11"/>
        <v>182728.71754874935</v>
      </c>
      <c r="K65" s="8">
        <f t="shared" si="11"/>
        <v>216481.93792481883</v>
      </c>
      <c r="L65" s="8">
        <f t="shared" si="11"/>
        <v>157039.00215531187</v>
      </c>
      <c r="M65" s="227">
        <f t="shared" si="11"/>
        <v>1401148.8601607597</v>
      </c>
      <c r="N65" s="68"/>
    </row>
    <row r="66" spans="1:14" x14ac:dyDescent="0.3">
      <c r="A66" s="328"/>
      <c r="B66" s="328" t="s">
        <v>96</v>
      </c>
      <c r="C66" s="328" t="s">
        <v>97</v>
      </c>
      <c r="D66" s="337" t="s">
        <v>20</v>
      </c>
      <c r="E66" t="s">
        <v>21</v>
      </c>
      <c r="F66" s="103" t="s">
        <v>92</v>
      </c>
      <c r="G66" s="17">
        <v>3379.8033237135483</v>
      </c>
      <c r="H66" s="17">
        <v>6868.7429878801759</v>
      </c>
      <c r="I66" s="17">
        <v>70061.178476377783</v>
      </c>
      <c r="J66" s="17">
        <v>7146.2402045905337</v>
      </c>
      <c r="K66" s="17">
        <v>72891.650086823443</v>
      </c>
      <c r="L66" s="17">
        <v>41649.542024740593</v>
      </c>
      <c r="M66" s="17">
        <f t="shared" ref="M66:M78" si="12">SUM(G66:L66)</f>
        <v>201997.15710412606</v>
      </c>
      <c r="N66" s="68"/>
    </row>
    <row r="67" spans="1:14" x14ac:dyDescent="0.3">
      <c r="A67" s="328"/>
      <c r="B67" s="328"/>
      <c r="C67" s="328"/>
      <c r="D67" s="337"/>
      <c r="E67" s="13" t="s">
        <v>23</v>
      </c>
      <c r="F67" s="103" t="s">
        <v>93</v>
      </c>
      <c r="G67" s="17">
        <v>877.8089887640449</v>
      </c>
      <c r="H67" s="17">
        <v>13105.211677367575</v>
      </c>
      <c r="I67" s="17">
        <v>9008.2430444087749</v>
      </c>
      <c r="J67" s="17">
        <v>3741.9157972177636</v>
      </c>
      <c r="K67" s="17">
        <v>9008.2430444087749</v>
      </c>
      <c r="L67" s="17">
        <v>3156.7683253076511</v>
      </c>
      <c r="M67" s="11">
        <f t="shared" si="12"/>
        <v>38898.19087747459</v>
      </c>
      <c r="N67" s="68"/>
    </row>
    <row r="68" spans="1:14" x14ac:dyDescent="0.3">
      <c r="A68" s="328"/>
      <c r="B68" s="328"/>
      <c r="C68" s="328"/>
      <c r="D68" s="337"/>
      <c r="E68" s="13" t="s">
        <v>25</v>
      </c>
      <c r="F68" s="103" t="s">
        <v>98</v>
      </c>
      <c r="G68" s="17">
        <v>0</v>
      </c>
      <c r="H68" s="17">
        <v>52668.539325842699</v>
      </c>
      <c r="I68" s="17">
        <v>0</v>
      </c>
      <c r="J68" s="17">
        <v>0</v>
      </c>
      <c r="K68" s="17">
        <v>52668.539325842699</v>
      </c>
      <c r="L68" s="17">
        <v>52668.539325842699</v>
      </c>
      <c r="M68" s="11">
        <f t="shared" si="12"/>
        <v>158005.61797752811</v>
      </c>
      <c r="N68" s="68"/>
    </row>
    <row r="69" spans="1:14" x14ac:dyDescent="0.3">
      <c r="A69" s="328"/>
      <c r="B69" s="328"/>
      <c r="C69" s="328"/>
      <c r="D69" s="337"/>
      <c r="E69" s="13" t="s">
        <v>27</v>
      </c>
      <c r="F69" s="103" t="s">
        <v>99</v>
      </c>
      <c r="G69" s="17">
        <v>2056.5810593900483</v>
      </c>
      <c r="H69" s="17">
        <v>423175.49491706799</v>
      </c>
      <c r="I69" s="17">
        <v>415421.34831460676</v>
      </c>
      <c r="J69" s="17">
        <v>411751.09470304981</v>
      </c>
      <c r="K69" s="17">
        <v>415749.31460674159</v>
      </c>
      <c r="L69" s="17">
        <v>8614.862696629214</v>
      </c>
      <c r="M69" s="11">
        <f t="shared" si="12"/>
        <v>1676768.6962974854</v>
      </c>
      <c r="N69" s="68"/>
    </row>
    <row r="70" spans="1:14" ht="27.95" x14ac:dyDescent="0.3">
      <c r="A70" s="328"/>
      <c r="B70" s="328"/>
      <c r="C70" s="328"/>
      <c r="D70" s="337"/>
      <c r="E70" s="13" t="s">
        <v>29</v>
      </c>
      <c r="F70" s="103" t="s">
        <v>100</v>
      </c>
      <c r="G70" s="17">
        <v>1070.0909577314071</v>
      </c>
      <c r="H70" s="17">
        <v>62851.7924023542</v>
      </c>
      <c r="I70" s="17">
        <v>2226.645264847512</v>
      </c>
      <c r="J70" s="17">
        <v>2271.1781701444625</v>
      </c>
      <c r="K70" s="17">
        <v>2316.6017335473516</v>
      </c>
      <c r="L70" s="17">
        <v>2362.9337682182986</v>
      </c>
      <c r="M70" s="11">
        <f t="shared" si="12"/>
        <v>73099.242296843237</v>
      </c>
      <c r="N70" s="68"/>
    </row>
    <row r="71" spans="1:14" x14ac:dyDescent="0.3">
      <c r="A71" s="328"/>
      <c r="B71" s="328"/>
      <c r="C71" s="328"/>
      <c r="D71" s="337"/>
      <c r="E71" s="13" t="s">
        <v>31</v>
      </c>
      <c r="F71" s="103" t="s">
        <v>101</v>
      </c>
      <c r="G71" s="17">
        <v>284.24291064740504</v>
      </c>
      <c r="H71" s="17">
        <v>1159.7110754414125</v>
      </c>
      <c r="I71" s="17">
        <v>11829.052969502407</v>
      </c>
      <c r="J71" s="17">
        <v>1206.5634028892457</v>
      </c>
      <c r="K71" s="17">
        <v>12306.946709470307</v>
      </c>
      <c r="L71" s="17">
        <v>6276.5428218298557</v>
      </c>
      <c r="M71" s="11">
        <f t="shared" si="12"/>
        <v>33063.059889780634</v>
      </c>
      <c r="N71" s="68"/>
    </row>
    <row r="72" spans="1:14" ht="27.95" x14ac:dyDescent="0.3">
      <c r="A72" s="328"/>
      <c r="B72" s="328"/>
      <c r="C72" s="328"/>
      <c r="D72" s="337"/>
      <c r="E72" s="13" t="s">
        <v>38</v>
      </c>
      <c r="F72" s="103" t="s">
        <v>102</v>
      </c>
      <c r="G72" s="17">
        <v>22739.4328517924</v>
      </c>
      <c r="H72" s="17">
        <v>35609.9518459069</v>
      </c>
      <c r="I72" s="17">
        <v>72644.301765650074</v>
      </c>
      <c r="J72" s="17">
        <v>111145.78170144462</v>
      </c>
      <c r="K72" s="17">
        <v>151158.26311396467</v>
      </c>
      <c r="L72" s="17">
        <v>154181.42837624394</v>
      </c>
      <c r="M72" s="11">
        <f t="shared" si="12"/>
        <v>547479.15965500264</v>
      </c>
      <c r="N72" s="68"/>
    </row>
    <row r="73" spans="1:14" x14ac:dyDescent="0.3">
      <c r="A73" s="328"/>
      <c r="B73" s="328"/>
      <c r="C73" s="328"/>
      <c r="D73" s="328" t="s">
        <v>33</v>
      </c>
      <c r="E73" t="s">
        <v>21</v>
      </c>
      <c r="F73" s="103" t="s">
        <v>103</v>
      </c>
      <c r="G73" s="11">
        <v>0</v>
      </c>
      <c r="H73" s="11">
        <v>0</v>
      </c>
      <c r="I73" s="11">
        <v>5677.9988648475137</v>
      </c>
      <c r="J73" s="11">
        <v>0</v>
      </c>
      <c r="K73" s="11">
        <v>5533.7163678618308</v>
      </c>
      <c r="L73" s="11">
        <v>5644.3906952190682</v>
      </c>
      <c r="M73" s="11">
        <f t="shared" si="12"/>
        <v>16856.105927928413</v>
      </c>
      <c r="N73" s="68"/>
    </row>
    <row r="74" spans="1:14" x14ac:dyDescent="0.3">
      <c r="A74" s="328"/>
      <c r="B74" s="328"/>
      <c r="C74" s="328"/>
      <c r="D74" s="328"/>
      <c r="E74" s="13" t="s">
        <v>23</v>
      </c>
      <c r="F74" s="103" t="s">
        <v>104</v>
      </c>
      <c r="G74" s="11">
        <v>1001.87265917603</v>
      </c>
      <c r="H74" s="11">
        <v>0</v>
      </c>
      <c r="I74" s="11">
        <v>0</v>
      </c>
      <c r="J74" s="11">
        <v>0</v>
      </c>
      <c r="K74" s="11">
        <v>0</v>
      </c>
      <c r="L74" s="11">
        <v>0</v>
      </c>
      <c r="M74" s="11">
        <f t="shared" si="12"/>
        <v>1001.87265917603</v>
      </c>
      <c r="N74" s="68"/>
    </row>
    <row r="75" spans="1:14" x14ac:dyDescent="0.3">
      <c r="A75" s="328"/>
      <c r="B75" s="328"/>
      <c r="C75" s="328"/>
      <c r="D75" s="328"/>
      <c r="E75" s="13" t="s">
        <v>27</v>
      </c>
      <c r="F75" s="103" t="s">
        <v>105</v>
      </c>
      <c r="G75" s="11">
        <v>0</v>
      </c>
      <c r="H75" s="11">
        <v>0</v>
      </c>
      <c r="I75" s="11">
        <v>6589.6625113322652</v>
      </c>
      <c r="J75" s="11">
        <v>0</v>
      </c>
      <c r="K75" s="11">
        <v>170.34684901806742</v>
      </c>
      <c r="L75" s="11">
        <v>173.75378599842878</v>
      </c>
      <c r="M75" s="11">
        <f t="shared" si="12"/>
        <v>6933.7631463487614</v>
      </c>
      <c r="N75" s="68"/>
    </row>
    <row r="76" spans="1:14" ht="27.95" x14ac:dyDescent="0.3">
      <c r="A76" s="328"/>
      <c r="B76" s="328"/>
      <c r="C76" s="328"/>
      <c r="D76" s="328"/>
      <c r="E76" s="13" t="s">
        <v>29</v>
      </c>
      <c r="F76" s="103" t="s">
        <v>106</v>
      </c>
      <c r="G76" s="11">
        <v>3065.6516185125738</v>
      </c>
      <c r="H76" s="11">
        <v>3741.7676725521669</v>
      </c>
      <c r="I76" s="11">
        <v>3228.6030248089883</v>
      </c>
      <c r="J76" s="11">
        <v>2318.9048501605139</v>
      </c>
      <c r="K76" s="11">
        <v>3359.0385870112718</v>
      </c>
      <c r="L76" s="11">
        <v>3181.7163229920584</v>
      </c>
      <c r="M76" s="11">
        <f t="shared" si="12"/>
        <v>18895.68207603757</v>
      </c>
      <c r="N76" s="68"/>
    </row>
    <row r="77" spans="1:14" x14ac:dyDescent="0.3">
      <c r="A77" s="328"/>
      <c r="B77" s="328"/>
      <c r="C77" s="328"/>
      <c r="D77" s="328"/>
      <c r="E77" s="13" t="s">
        <v>31</v>
      </c>
      <c r="F77" s="103" t="s">
        <v>107</v>
      </c>
      <c r="G77" s="11">
        <v>512.45786516853934</v>
      </c>
      <c r="H77" s="11">
        <v>701.46829855537715</v>
      </c>
      <c r="I77" s="11">
        <v>4947.1760990433404</v>
      </c>
      <c r="J77" s="11">
        <v>722.05254635634049</v>
      </c>
      <c r="K77" s="11">
        <v>5973.7097590523954</v>
      </c>
      <c r="L77" s="11">
        <v>6321.6801677803651</v>
      </c>
      <c r="M77" s="11">
        <f t="shared" si="12"/>
        <v>19178.544735956359</v>
      </c>
      <c r="N77" s="68"/>
    </row>
    <row r="78" spans="1:14" ht="27.95" x14ac:dyDescent="0.3">
      <c r="A78" s="328"/>
      <c r="B78" s="328"/>
      <c r="C78" s="328"/>
      <c r="D78" s="328"/>
      <c r="E78" s="13" t="s">
        <v>38</v>
      </c>
      <c r="F78" s="103" t="s">
        <v>108</v>
      </c>
      <c r="G78" s="11">
        <v>0</v>
      </c>
      <c r="H78" s="11">
        <v>0</v>
      </c>
      <c r="I78" s="11">
        <v>1865.5056693418942</v>
      </c>
      <c r="J78" s="11">
        <v>0</v>
      </c>
      <c r="K78" s="11">
        <v>1940.8720983833064</v>
      </c>
      <c r="L78" s="11">
        <v>1979.6895403509723</v>
      </c>
      <c r="M78" s="11">
        <f t="shared" si="12"/>
        <v>5786.0673080761726</v>
      </c>
      <c r="N78" s="68"/>
    </row>
    <row r="79" spans="1:14" ht="27.95" x14ac:dyDescent="0.3">
      <c r="A79" s="328"/>
      <c r="B79" s="328"/>
      <c r="C79" s="328"/>
      <c r="D79" s="54" t="s">
        <v>111</v>
      </c>
      <c r="E79" s="10"/>
      <c r="F79" s="106"/>
      <c r="G79" s="8">
        <f t="shared" ref="G79:M79" si="13">SUM(G66:G78)</f>
        <v>34987.942234896</v>
      </c>
      <c r="H79" s="8">
        <f t="shared" si="13"/>
        <v>599882.68020296854</v>
      </c>
      <c r="I79" s="8">
        <f t="shared" si="13"/>
        <v>603499.71600476734</v>
      </c>
      <c r="J79" s="8">
        <f t="shared" si="13"/>
        <v>540303.73137585318</v>
      </c>
      <c r="K79" s="8">
        <f t="shared" si="13"/>
        <v>733077.24228212575</v>
      </c>
      <c r="L79" s="8">
        <f t="shared" si="13"/>
        <v>286211.84785115317</v>
      </c>
      <c r="M79" s="8">
        <f t="shared" si="13"/>
        <v>2797963.1599517637</v>
      </c>
      <c r="N79" s="68"/>
    </row>
    <row r="80" spans="1:14" x14ac:dyDescent="0.3">
      <c r="A80" s="328"/>
      <c r="B80" s="328"/>
      <c r="C80" s="328" t="s">
        <v>112</v>
      </c>
      <c r="D80" s="328" t="s">
        <v>20</v>
      </c>
      <c r="E80" s="25" t="s">
        <v>21</v>
      </c>
      <c r="F80" s="103" t="s">
        <v>109</v>
      </c>
      <c r="G80" s="11">
        <v>30418.229913421936</v>
      </c>
      <c r="H80" s="11">
        <v>61818.686890921577</v>
      </c>
      <c r="I80" s="19">
        <v>0</v>
      </c>
      <c r="J80" s="19">
        <v>64316.161841314795</v>
      </c>
      <c r="K80" s="19">
        <v>0</v>
      </c>
      <c r="L80" s="19">
        <v>0</v>
      </c>
      <c r="M80" s="11">
        <f t="shared" ref="M80:M90" si="14">SUM(G80:L80)</f>
        <v>156553.07864565833</v>
      </c>
      <c r="N80" s="68"/>
    </row>
    <row r="81" spans="1:20" x14ac:dyDescent="0.3">
      <c r="A81" s="328"/>
      <c r="B81" s="328"/>
      <c r="C81" s="328"/>
      <c r="D81" s="328"/>
      <c r="E81" s="13" t="s">
        <v>23</v>
      </c>
      <c r="F81" s="103" t="s">
        <v>110</v>
      </c>
      <c r="G81" s="11">
        <v>7900.2808988764045</v>
      </c>
      <c r="H81" s="11">
        <v>5266.3272471910113</v>
      </c>
      <c r="I81" s="19">
        <v>0</v>
      </c>
      <c r="J81" s="19">
        <v>5266.3272471910113</v>
      </c>
      <c r="K81" s="19">
        <v>0</v>
      </c>
      <c r="L81" s="19">
        <v>0</v>
      </c>
      <c r="M81" s="11">
        <f>SUM(G81:L81)</f>
        <v>18432.935393258427</v>
      </c>
      <c r="N81" s="68"/>
    </row>
    <row r="82" spans="1:20" x14ac:dyDescent="0.3">
      <c r="A82" s="328"/>
      <c r="B82" s="328"/>
      <c r="C82" s="328"/>
      <c r="D82" s="328"/>
      <c r="E82" s="13" t="s">
        <v>27</v>
      </c>
      <c r="F82" s="103" t="s">
        <v>113</v>
      </c>
      <c r="G82" s="11">
        <v>18509.229534510432</v>
      </c>
      <c r="H82" s="11">
        <v>3683.7881219903693</v>
      </c>
      <c r="I82" s="19">
        <v>0</v>
      </c>
      <c r="J82" s="19">
        <v>3832.6131621187806</v>
      </c>
      <c r="K82" s="19">
        <v>0</v>
      </c>
      <c r="L82" s="19">
        <v>0</v>
      </c>
      <c r="M82" s="11">
        <f t="shared" si="14"/>
        <v>26025.630818619582</v>
      </c>
      <c r="N82" s="68"/>
    </row>
    <row r="83" spans="1:20" x14ac:dyDescent="0.3">
      <c r="A83" s="328"/>
      <c r="B83" s="328"/>
      <c r="C83" s="328"/>
      <c r="D83" s="328"/>
      <c r="E83" s="13" t="s">
        <v>31</v>
      </c>
      <c r="F83" s="103" t="s">
        <v>114</v>
      </c>
      <c r="G83" s="11">
        <v>2558.1861958266454</v>
      </c>
      <c r="H83" s="11">
        <v>10437.399678972713</v>
      </c>
      <c r="I83" s="19">
        <v>0</v>
      </c>
      <c r="J83" s="19">
        <v>10859.070626003211</v>
      </c>
      <c r="K83" s="19">
        <v>0</v>
      </c>
      <c r="L83" s="19">
        <v>0</v>
      </c>
      <c r="M83" s="11">
        <f t="shared" si="14"/>
        <v>23854.656500802572</v>
      </c>
      <c r="N83" s="68"/>
    </row>
    <row r="84" spans="1:20" ht="27.95" x14ac:dyDescent="0.3">
      <c r="A84" s="328"/>
      <c r="B84" s="328"/>
      <c r="C84" s="328"/>
      <c r="D84" s="328"/>
      <c r="E84" s="13" t="s">
        <v>29</v>
      </c>
      <c r="F84" s="103" t="s">
        <v>115</v>
      </c>
      <c r="G84" s="11">
        <v>17478.152309612982</v>
      </c>
      <c r="H84" s="11">
        <v>32881.21990369181</v>
      </c>
      <c r="I84" s="19">
        <v>0</v>
      </c>
      <c r="J84" s="19">
        <v>50107.8683788122</v>
      </c>
      <c r="K84" s="19">
        <v>0</v>
      </c>
      <c r="L84" s="19">
        <v>0</v>
      </c>
      <c r="M84" s="11">
        <f t="shared" si="14"/>
        <v>100467.24059211698</v>
      </c>
      <c r="N84" s="68"/>
    </row>
    <row r="85" spans="1:20" ht="27.95" x14ac:dyDescent="0.3">
      <c r="A85" s="328"/>
      <c r="B85" s="328"/>
      <c r="C85" s="328"/>
      <c r="D85" s="328"/>
      <c r="E85" s="13" t="s">
        <v>38</v>
      </c>
      <c r="F85" s="103" t="s">
        <v>116</v>
      </c>
      <c r="G85" s="11">
        <v>19729.802033172818</v>
      </c>
      <c r="H85" s="11">
        <v>0</v>
      </c>
      <c r="I85" s="19">
        <v>0</v>
      </c>
      <c r="J85" s="19">
        <v>0</v>
      </c>
      <c r="K85" s="19">
        <v>0</v>
      </c>
      <c r="L85" s="19">
        <v>0</v>
      </c>
      <c r="M85" s="11">
        <f t="shared" si="14"/>
        <v>19729.802033172818</v>
      </c>
      <c r="N85" s="68"/>
    </row>
    <row r="86" spans="1:20" x14ac:dyDescent="0.3">
      <c r="A86" s="328"/>
      <c r="B86" s="328"/>
      <c r="C86" s="328"/>
      <c r="D86" s="328" t="s">
        <v>33</v>
      </c>
      <c r="E86" t="s">
        <v>21</v>
      </c>
      <c r="F86" s="103" t="s">
        <v>117</v>
      </c>
      <c r="G86" s="11">
        <v>2569.889245585875</v>
      </c>
      <c r="H86" s="11">
        <v>5563.5122311396462</v>
      </c>
      <c r="I86" s="11">
        <v>0</v>
      </c>
      <c r="J86" s="11">
        <v>5425.2121253547339</v>
      </c>
      <c r="K86" s="11">
        <v>0</v>
      </c>
      <c r="L86" s="11">
        <v>0</v>
      </c>
      <c r="M86" s="11">
        <f t="shared" si="14"/>
        <v>13558.613602080255</v>
      </c>
      <c r="N86" s="68"/>
    </row>
    <row r="87" spans="1:20" x14ac:dyDescent="0.3">
      <c r="A87" s="328"/>
      <c r="B87" s="328"/>
      <c r="C87" s="328"/>
      <c r="D87" s="328"/>
      <c r="E87" s="13" t="s">
        <v>27</v>
      </c>
      <c r="F87" s="103" t="s">
        <v>118</v>
      </c>
      <c r="G87" s="11">
        <v>31254.133226324237</v>
      </c>
      <c r="H87" s="11">
        <v>6357.9315270197976</v>
      </c>
      <c r="I87" s="11">
        <v>0</v>
      </c>
      <c r="J87" s="11">
        <v>167.00671472359551</v>
      </c>
      <c r="K87" s="11">
        <v>0</v>
      </c>
      <c r="L87" s="11">
        <v>0</v>
      </c>
      <c r="M87" s="11">
        <f t="shared" si="14"/>
        <v>37779.071468067632</v>
      </c>
      <c r="N87" s="68"/>
    </row>
    <row r="88" spans="1:20" ht="27.95" x14ac:dyDescent="0.3">
      <c r="A88" s="328"/>
      <c r="B88" s="328"/>
      <c r="C88" s="328"/>
      <c r="D88" s="328"/>
      <c r="E88" s="13" t="s">
        <v>29</v>
      </c>
      <c r="F88" s="103" t="s">
        <v>119</v>
      </c>
      <c r="G88" s="11">
        <v>1243.2851355448547</v>
      </c>
      <c r="H88" s="11">
        <v>2139.3285277688601</v>
      </c>
      <c r="I88" s="11">
        <v>0</v>
      </c>
      <c r="J88" s="11">
        <v>2446.2894157225037</v>
      </c>
      <c r="K88" s="11">
        <v>0</v>
      </c>
      <c r="L88" s="11">
        <v>0</v>
      </c>
      <c r="M88" s="11">
        <f t="shared" si="14"/>
        <v>5828.9030790362185</v>
      </c>
      <c r="N88" s="68"/>
    </row>
    <row r="89" spans="1:20" x14ac:dyDescent="0.3">
      <c r="A89" s="328"/>
      <c r="B89" s="328"/>
      <c r="C89" s="328"/>
      <c r="D89" s="328"/>
      <c r="E89" s="13" t="s">
        <v>31</v>
      </c>
      <c r="F89" s="103" t="s">
        <v>120</v>
      </c>
      <c r="G89" s="11">
        <v>3093.4249598715892</v>
      </c>
      <c r="H89" s="11">
        <v>4942.8768278223661</v>
      </c>
      <c r="I89" s="11">
        <v>0</v>
      </c>
      <c r="J89" s="11">
        <v>4619.6332423234689</v>
      </c>
      <c r="K89" s="11">
        <v>0</v>
      </c>
      <c r="L89" s="11">
        <v>0</v>
      </c>
      <c r="M89" s="11">
        <f t="shared" si="14"/>
        <v>12655.935030017425</v>
      </c>
      <c r="N89" s="68"/>
    </row>
    <row r="90" spans="1:20" ht="27.95" x14ac:dyDescent="0.3">
      <c r="A90" s="328"/>
      <c r="B90" s="328"/>
      <c r="C90" s="328"/>
      <c r="D90" s="328"/>
      <c r="E90" s="13" t="s">
        <v>38</v>
      </c>
      <c r="F90" s="103" t="s">
        <v>121</v>
      </c>
      <c r="G90" s="11">
        <v>896.53290529695016</v>
      </c>
      <c r="H90" s="11">
        <v>1828.9271268057782</v>
      </c>
      <c r="I90" s="11">
        <v>0</v>
      </c>
      <c r="J90" s="11">
        <v>1902.8157827287318</v>
      </c>
      <c r="K90" s="11">
        <v>0</v>
      </c>
      <c r="L90" s="11">
        <v>0</v>
      </c>
      <c r="M90" s="11">
        <f t="shared" si="14"/>
        <v>4628.2758148314606</v>
      </c>
      <c r="N90" s="68"/>
    </row>
    <row r="91" spans="1:20" ht="27.95" x14ac:dyDescent="0.3">
      <c r="A91" s="328"/>
      <c r="B91" s="328"/>
      <c r="C91" s="328"/>
      <c r="D91" s="54" t="s">
        <v>122</v>
      </c>
      <c r="E91" s="10"/>
      <c r="F91" s="106"/>
      <c r="G91" s="8">
        <f t="shared" ref="G91:M91" si="15">SUM(G80:G90)</f>
        <v>135651.14635804473</v>
      </c>
      <c r="H91" s="8">
        <f t="shared" si="15"/>
        <v>134919.99808332394</v>
      </c>
      <c r="I91" s="8">
        <f t="shared" si="15"/>
        <v>0</v>
      </c>
      <c r="J91" s="8">
        <f t="shared" si="15"/>
        <v>148942.99853629305</v>
      </c>
      <c r="K91" s="8">
        <f t="shared" si="15"/>
        <v>0</v>
      </c>
      <c r="L91" s="8">
        <f t="shared" si="15"/>
        <v>0</v>
      </c>
      <c r="M91" s="8">
        <f t="shared" si="15"/>
        <v>419514.14297766169</v>
      </c>
      <c r="N91" s="68"/>
    </row>
    <row r="92" spans="1:20" ht="17.2" customHeight="1" x14ac:dyDescent="0.3">
      <c r="A92" s="328"/>
      <c r="B92" s="328"/>
      <c r="C92" s="16" t="s">
        <v>123</v>
      </c>
      <c r="D92" s="14"/>
      <c r="E92" s="10"/>
      <c r="F92" s="95"/>
      <c r="G92" s="8">
        <f t="shared" ref="G92:M92" si="16">G79+G91</f>
        <v>170639.08859294074</v>
      </c>
      <c r="H92" s="8">
        <f t="shared" si="16"/>
        <v>734802.67828629247</v>
      </c>
      <c r="I92" s="8">
        <f t="shared" si="16"/>
        <v>603499.71600476734</v>
      </c>
      <c r="J92" s="8">
        <f t="shared" si="16"/>
        <v>689246.72991214623</v>
      </c>
      <c r="K92" s="8">
        <f t="shared" si="16"/>
        <v>733077.24228212575</v>
      </c>
      <c r="L92" s="8">
        <f t="shared" si="16"/>
        <v>286211.84785115317</v>
      </c>
      <c r="M92" s="8">
        <f t="shared" si="16"/>
        <v>3217477.3029294256</v>
      </c>
      <c r="N92" s="68"/>
    </row>
    <row r="93" spans="1:20" ht="17.2" customHeight="1" x14ac:dyDescent="0.3">
      <c r="A93" s="328"/>
      <c r="B93" s="85" t="s">
        <v>124</v>
      </c>
      <c r="C93" s="86"/>
      <c r="D93" s="87"/>
      <c r="E93" s="88"/>
      <c r="F93" s="89"/>
      <c r="G93" s="90">
        <f t="shared" ref="G93:M93" si="17">SUM(G29,G65,G92)</f>
        <v>1007857.1274910781</v>
      </c>
      <c r="H93" s="90">
        <f t="shared" si="17"/>
        <v>1500604.9774702634</v>
      </c>
      <c r="I93" s="90">
        <f t="shared" si="17"/>
        <v>1052844.6660552169</v>
      </c>
      <c r="J93" s="90">
        <f t="shared" si="17"/>
        <v>1198674.5309343017</v>
      </c>
      <c r="K93" s="90">
        <f t="shared" si="17"/>
        <v>1213771.342491834</v>
      </c>
      <c r="L93" s="90">
        <f t="shared" si="17"/>
        <v>705560.08312642761</v>
      </c>
      <c r="M93" s="90">
        <f t="shared" si="17"/>
        <v>6679312.7275691219</v>
      </c>
      <c r="N93" s="68"/>
      <c r="S93" s="68"/>
      <c r="T93" s="230"/>
    </row>
    <row r="94" spans="1:20" ht="18" customHeight="1" x14ac:dyDescent="0.3">
      <c r="A94" s="328"/>
      <c r="B94" s="91" t="s">
        <v>124</v>
      </c>
      <c r="C94" s="92" t="s">
        <v>125</v>
      </c>
      <c r="D94" s="93"/>
      <c r="E94" s="94"/>
      <c r="F94" s="95"/>
      <c r="G94" s="96">
        <f t="shared" ref="G94:L94" si="18">SUM(G6:G10,G17:G22,G30:G35,G42:G47,G54:G58,G66:G72,G80:G85)</f>
        <v>805220.66870741476</v>
      </c>
      <c r="H94" s="96">
        <f t="shared" si="18"/>
        <v>1388558.935673581</v>
      </c>
      <c r="I94" s="96">
        <f t="shared" si="18"/>
        <v>947041.0408182987</v>
      </c>
      <c r="J94" s="96">
        <f t="shared" si="18"/>
        <v>1120474.4975362164</v>
      </c>
      <c r="K94" s="96">
        <f t="shared" si="18"/>
        <v>1134855.9704617935</v>
      </c>
      <c r="L94" s="96">
        <f t="shared" si="18"/>
        <v>626422.27210392745</v>
      </c>
      <c r="M94" s="96">
        <f>SUM(G94:L94)</f>
        <v>6022573.3853012314</v>
      </c>
      <c r="N94" s="75"/>
      <c r="O94" s="73"/>
      <c r="P94" s="74"/>
      <c r="S94" s="68"/>
      <c r="T94" s="230"/>
    </row>
    <row r="95" spans="1:20" ht="18" customHeight="1" x14ac:dyDescent="0.3">
      <c r="A95" s="328"/>
      <c r="B95" s="91" t="s">
        <v>124</v>
      </c>
      <c r="C95" s="92" t="s">
        <v>33</v>
      </c>
      <c r="D95" s="93"/>
      <c r="E95" s="94"/>
      <c r="F95" s="95"/>
      <c r="G95" s="96">
        <f t="shared" ref="G95:L95" si="19">SUM(G11:G15,G23:G27,G36:G40,G48:G52,G59:G63,G73:G78,G86:G90)</f>
        <v>202636.45878366329</v>
      </c>
      <c r="H95" s="96">
        <f t="shared" si="19"/>
        <v>112046.04179668274</v>
      </c>
      <c r="I95" s="96">
        <f t="shared" si="19"/>
        <v>105803.62523691813</v>
      </c>
      <c r="J95" s="96">
        <f t="shared" si="19"/>
        <v>78200.03339808539</v>
      </c>
      <c r="K95" s="96">
        <f t="shared" si="19"/>
        <v>78915.372030040438</v>
      </c>
      <c r="L95" s="96">
        <f t="shared" si="19"/>
        <v>79137.811022499998</v>
      </c>
      <c r="M95" s="96">
        <f>SUM(G95:L95)</f>
        <v>656739.34226789011</v>
      </c>
      <c r="N95" s="75"/>
      <c r="R95" s="68"/>
      <c r="S95" s="68"/>
      <c r="T95" s="230"/>
    </row>
    <row r="96" spans="1:20" ht="15.05" customHeight="1" x14ac:dyDescent="0.3">
      <c r="A96" s="328" t="s">
        <v>126</v>
      </c>
      <c r="B96" s="328" t="s">
        <v>127</v>
      </c>
      <c r="C96" s="328" t="s">
        <v>128</v>
      </c>
      <c r="D96" s="328" t="s">
        <v>20</v>
      </c>
      <c r="E96" t="s">
        <v>21</v>
      </c>
      <c r="F96" s="103" t="s">
        <v>129</v>
      </c>
      <c r="G96" s="11">
        <v>19462.694182459603</v>
      </c>
      <c r="H96" s="11">
        <v>31710.215502096369</v>
      </c>
      <c r="I96" s="11">
        <v>32949.78899351872</v>
      </c>
      <c r="J96" s="11">
        <v>33608.784773389089</v>
      </c>
      <c r="K96" s="11">
        <v>34280.960468856872</v>
      </c>
      <c r="L96" s="11">
        <v>22288.779361195073</v>
      </c>
      <c r="M96" s="11">
        <f t="shared" ref="M96:M108" si="20">SUM(G96:L96)</f>
        <v>174301.22328151573</v>
      </c>
      <c r="N96" s="68"/>
      <c r="T96" s="68"/>
    </row>
    <row r="97" spans="1:20" x14ac:dyDescent="0.3">
      <c r="A97" s="328"/>
      <c r="B97" s="328"/>
      <c r="C97" s="328"/>
      <c r="D97" s="328"/>
      <c r="E97" s="13" t="s">
        <v>23</v>
      </c>
      <c r="F97" s="103" t="s">
        <v>130</v>
      </c>
      <c r="G97" s="11">
        <v>0</v>
      </c>
      <c r="H97" s="11">
        <v>45645.657771535582</v>
      </c>
      <c r="I97" s="11">
        <v>74905.957397003745</v>
      </c>
      <c r="J97" s="11">
        <v>74905.957397003745</v>
      </c>
      <c r="K97" s="11">
        <v>66713.073501872655</v>
      </c>
      <c r="L97" s="11">
        <v>0</v>
      </c>
      <c r="M97" s="11">
        <f t="shared" si="20"/>
        <v>262170.64606741571</v>
      </c>
      <c r="N97" s="68"/>
      <c r="T97" s="191"/>
    </row>
    <row r="98" spans="1:20" x14ac:dyDescent="0.3">
      <c r="A98" s="328"/>
      <c r="B98" s="328"/>
      <c r="C98" s="328"/>
      <c r="D98" s="328"/>
      <c r="E98" s="13" t="s">
        <v>25</v>
      </c>
      <c r="F98" s="103" t="s">
        <v>131</v>
      </c>
      <c r="G98" s="11">
        <v>19729.802033172818</v>
      </c>
      <c r="H98" s="11">
        <v>1972.9802033172818</v>
      </c>
      <c r="I98" s="11">
        <v>0</v>
      </c>
      <c r="J98" s="11">
        <v>0</v>
      </c>
      <c r="K98" s="11">
        <v>0</v>
      </c>
      <c r="L98" s="11">
        <v>0</v>
      </c>
      <c r="M98" s="11">
        <f t="shared" si="20"/>
        <v>21702.7822364901</v>
      </c>
      <c r="N98" s="68"/>
    </row>
    <row r="99" spans="1:20" x14ac:dyDescent="0.3">
      <c r="A99" s="328"/>
      <c r="B99" s="328"/>
      <c r="C99" s="328"/>
      <c r="D99" s="328"/>
      <c r="E99" s="13" t="s">
        <v>27</v>
      </c>
      <c r="F99" s="103" t="s">
        <v>132</v>
      </c>
      <c r="G99" s="11">
        <v>2106.7415730337075</v>
      </c>
      <c r="H99" s="11">
        <v>1432.5842696629213</v>
      </c>
      <c r="I99" s="11">
        <v>676086.89379347244</v>
      </c>
      <c r="J99" s="11">
        <v>689608.63166934182</v>
      </c>
      <c r="K99" s="11">
        <v>703400.80430272885</v>
      </c>
      <c r="L99" s="11">
        <v>1550.6752853932583</v>
      </c>
      <c r="M99" s="11">
        <f t="shared" si="20"/>
        <v>2074186.330893633</v>
      </c>
      <c r="N99" s="68"/>
    </row>
    <row r="100" spans="1:20" ht="27.95" x14ac:dyDescent="0.3">
      <c r="A100" s="328"/>
      <c r="B100" s="328"/>
      <c r="C100" s="328"/>
      <c r="D100" s="328"/>
      <c r="E100" s="13" t="s">
        <v>29</v>
      </c>
      <c r="F100" s="103" t="s">
        <v>133</v>
      </c>
      <c r="G100" s="11">
        <v>7490.63670411985</v>
      </c>
      <c r="H100" s="11">
        <v>38588.317281968964</v>
      </c>
      <c r="I100" s="11">
        <v>21175.813964687</v>
      </c>
      <c r="J100" s="11">
        <v>21599.330243980745</v>
      </c>
      <c r="K100" s="11">
        <v>22031.316848860355</v>
      </c>
      <c r="L100" s="11">
        <v>22471.943185837568</v>
      </c>
      <c r="M100" s="11">
        <f t="shared" si="20"/>
        <v>133357.35822945449</v>
      </c>
      <c r="N100" s="68"/>
    </row>
    <row r="101" spans="1:20" x14ac:dyDescent="0.3">
      <c r="A101" s="328"/>
      <c r="B101" s="328"/>
      <c r="C101" s="328"/>
      <c r="D101" s="328"/>
      <c r="E101" s="13" t="s">
        <v>31</v>
      </c>
      <c r="F101" s="103" t="s">
        <v>134</v>
      </c>
      <c r="G101" s="11">
        <v>1326.4669163545568</v>
      </c>
      <c r="H101" s="11">
        <v>48159.390048154099</v>
      </c>
      <c r="I101" s="11">
        <v>93295.044943820219</v>
      </c>
      <c r="J101" s="11">
        <v>87586.566645264858</v>
      </c>
      <c r="K101" s="11">
        <v>97064.164759550549</v>
      </c>
      <c r="L101" s="11">
        <v>81806.243889322621</v>
      </c>
      <c r="M101" s="11">
        <f t="shared" si="20"/>
        <v>409237.87720246689</v>
      </c>
      <c r="N101" s="68"/>
    </row>
    <row r="102" spans="1:20" ht="27.95" x14ac:dyDescent="0.3">
      <c r="A102" s="328"/>
      <c r="B102" s="328"/>
      <c r="C102" s="328"/>
      <c r="D102" s="328"/>
      <c r="E102" s="13" t="s">
        <v>38</v>
      </c>
      <c r="F102" s="103" t="s">
        <v>135</v>
      </c>
      <c r="G102" s="11">
        <v>1070.0909577314071</v>
      </c>
      <c r="H102" s="11">
        <v>0</v>
      </c>
      <c r="I102" s="11">
        <v>3632.2150882825044</v>
      </c>
      <c r="J102" s="11">
        <v>3632.2150882825044</v>
      </c>
      <c r="K102" s="11">
        <v>3632.2150882825044</v>
      </c>
      <c r="L102" s="11">
        <v>0</v>
      </c>
      <c r="M102" s="11">
        <f t="shared" si="20"/>
        <v>11966.73622257892</v>
      </c>
      <c r="N102" s="68"/>
    </row>
    <row r="103" spans="1:20" x14ac:dyDescent="0.3">
      <c r="A103" s="328"/>
      <c r="B103" s="328"/>
      <c r="C103" s="328"/>
      <c r="D103" s="328" t="s">
        <v>33</v>
      </c>
      <c r="E103" t="s">
        <v>21</v>
      </c>
      <c r="F103" s="103" t="s">
        <v>136</v>
      </c>
      <c r="G103" s="11">
        <v>457.954263563403</v>
      </c>
      <c r="H103" s="11">
        <v>1299.6945834414128</v>
      </c>
      <c r="I103" s="11">
        <v>1339.0722453386197</v>
      </c>
      <c r="J103" s="11">
        <v>966.77280073821385</v>
      </c>
      <c r="K103" s="11">
        <v>986.10825675297838</v>
      </c>
      <c r="L103" s="11">
        <v>1005.8304218880379</v>
      </c>
      <c r="M103" s="11">
        <f t="shared" si="20"/>
        <v>6055.4325717226648</v>
      </c>
      <c r="N103" s="68"/>
    </row>
    <row r="104" spans="1:20" x14ac:dyDescent="0.3">
      <c r="A104" s="328"/>
      <c r="B104" s="328"/>
      <c r="C104" s="328"/>
      <c r="D104" s="328"/>
      <c r="E104" s="13" t="s">
        <v>23</v>
      </c>
      <c r="F104" s="103" t="s">
        <v>137</v>
      </c>
      <c r="G104" s="11">
        <v>940.27752808988782</v>
      </c>
      <c r="H104" s="11">
        <v>1269.8970393258423</v>
      </c>
      <c r="I104" s="11">
        <v>271.74020561797755</v>
      </c>
      <c r="J104" s="11">
        <v>277.17500973033714</v>
      </c>
      <c r="K104" s="11">
        <v>735.06812580485382</v>
      </c>
      <c r="L104" s="11">
        <v>288.37288012344271</v>
      </c>
      <c r="M104" s="11">
        <f t="shared" si="20"/>
        <v>3782.5307886923415</v>
      </c>
      <c r="N104" s="68"/>
    </row>
    <row r="105" spans="1:20" x14ac:dyDescent="0.3">
      <c r="A105" s="328"/>
      <c r="B105" s="328"/>
      <c r="C105" s="328"/>
      <c r="D105" s="328"/>
      <c r="E105" s="13" t="s">
        <v>27</v>
      </c>
      <c r="F105" s="103" t="s">
        <v>138</v>
      </c>
      <c r="G105" s="11">
        <v>13700.524027554844</v>
      </c>
      <c r="H105" s="11">
        <v>26254.838926706419</v>
      </c>
      <c r="I105" s="11">
        <v>13309.37051679409</v>
      </c>
      <c r="J105" s="11">
        <v>29.760596563744723</v>
      </c>
      <c r="K105" s="11">
        <v>8357.3044696729503</v>
      </c>
      <c r="L105" s="11">
        <v>30.962924664920003</v>
      </c>
      <c r="M105" s="11">
        <f t="shared" si="20"/>
        <v>61682.761461956965</v>
      </c>
      <c r="N105" s="68"/>
    </row>
    <row r="106" spans="1:20" ht="27.95" x14ac:dyDescent="0.3">
      <c r="A106" s="328"/>
      <c r="B106" s="328"/>
      <c r="C106" s="328"/>
      <c r="D106" s="328"/>
      <c r="E106" s="13" t="s">
        <v>29</v>
      </c>
      <c r="F106" s="103" t="s">
        <v>139</v>
      </c>
      <c r="G106" s="11">
        <v>389.3846844686999</v>
      </c>
      <c r="H106" s="11">
        <v>544.16994899672557</v>
      </c>
      <c r="I106" s="11">
        <v>7543.5208658219262</v>
      </c>
      <c r="J106" s="11">
        <v>478.73886346478395</v>
      </c>
      <c r="K106" s="11">
        <v>384.51044678261377</v>
      </c>
      <c r="L106" s="11">
        <v>348.63021474593404</v>
      </c>
      <c r="M106" s="11">
        <f t="shared" si="20"/>
        <v>9688.9550242806818</v>
      </c>
      <c r="N106" s="68"/>
    </row>
    <row r="107" spans="1:20" x14ac:dyDescent="0.3">
      <c r="A107" s="328"/>
      <c r="B107" s="328"/>
      <c r="C107" s="328"/>
      <c r="D107" s="328"/>
      <c r="E107" s="13" t="s">
        <v>31</v>
      </c>
      <c r="F107" s="103" t="s">
        <v>140</v>
      </c>
      <c r="G107" s="11">
        <v>1051.8261444622794</v>
      </c>
      <c r="H107" s="11">
        <v>7807.1303096264519</v>
      </c>
      <c r="I107" s="11">
        <v>4799.7807962668594</v>
      </c>
      <c r="J107" s="11">
        <v>3143.7837260867227</v>
      </c>
      <c r="K107" s="11">
        <v>3238.7124444940673</v>
      </c>
      <c r="L107" s="11">
        <v>3408.4869865040678</v>
      </c>
      <c r="M107" s="11">
        <f t="shared" si="20"/>
        <v>23449.720407440447</v>
      </c>
      <c r="N107" s="68"/>
    </row>
    <row r="108" spans="1:20" ht="27.95" x14ac:dyDescent="0.3">
      <c r="A108" s="328"/>
      <c r="B108" s="328"/>
      <c r="C108" s="328"/>
      <c r="D108" s="328"/>
      <c r="E108" s="13" t="s">
        <v>38</v>
      </c>
      <c r="F108" s="103" t="s">
        <v>141</v>
      </c>
      <c r="G108" s="11">
        <v>159.76216372391656</v>
      </c>
      <c r="H108" s="11">
        <v>325.9148139967898</v>
      </c>
      <c r="I108" s="11">
        <v>332.43311027672559</v>
      </c>
      <c r="J108" s="11">
        <v>339.08177248226002</v>
      </c>
      <c r="K108" s="11">
        <v>345.86340793190521</v>
      </c>
      <c r="L108" s="11">
        <v>352.78067609054318</v>
      </c>
      <c r="M108" s="11">
        <f t="shared" si="20"/>
        <v>1855.8359445021404</v>
      </c>
      <c r="N108" s="68"/>
    </row>
    <row r="109" spans="1:20" ht="27.95" x14ac:dyDescent="0.3">
      <c r="A109" s="328"/>
      <c r="B109" s="328"/>
      <c r="C109" s="328"/>
      <c r="D109" s="54" t="s">
        <v>142</v>
      </c>
      <c r="E109" s="10"/>
      <c r="F109" s="106"/>
      <c r="G109" s="8">
        <f t="shared" ref="G109:M109" si="21">SUM(G96:G108)</f>
        <v>67886.161178734983</v>
      </c>
      <c r="H109" s="8">
        <f t="shared" si="21"/>
        <v>205010.79069882887</v>
      </c>
      <c r="I109" s="8">
        <f t="shared" si="21"/>
        <v>929641.63192090078</v>
      </c>
      <c r="J109" s="8">
        <f t="shared" si="21"/>
        <v>916176.79858632875</v>
      </c>
      <c r="K109" s="8">
        <f t="shared" si="21"/>
        <v>941170.1021215911</v>
      </c>
      <c r="L109" s="8">
        <f t="shared" si="21"/>
        <v>133552.70582576544</v>
      </c>
      <c r="M109" s="8">
        <f t="shared" si="21"/>
        <v>3193438.1903321501</v>
      </c>
      <c r="N109" s="68"/>
    </row>
    <row r="110" spans="1:20" x14ac:dyDescent="0.3">
      <c r="A110" s="328"/>
      <c r="B110" s="328"/>
      <c r="C110" s="328" t="s">
        <v>143</v>
      </c>
      <c r="D110" s="337" t="s">
        <v>20</v>
      </c>
      <c r="E110" s="25" t="s">
        <v>21</v>
      </c>
      <c r="F110" s="108" t="s">
        <v>144</v>
      </c>
      <c r="G110" s="17">
        <v>5560.76976641703</v>
      </c>
      <c r="H110" s="17">
        <v>9060.0615720275382</v>
      </c>
      <c r="I110" s="17">
        <v>9241.2628034680874</v>
      </c>
      <c r="J110" s="17">
        <v>9426.0880595374492</v>
      </c>
      <c r="K110" s="17">
        <v>9614.6098207281975</v>
      </c>
      <c r="L110" s="17">
        <v>6368.2226746271654</v>
      </c>
      <c r="M110" s="17">
        <f t="shared" ref="M110:M121" si="22">SUM(G110:L110)</f>
        <v>49271.014696805461</v>
      </c>
      <c r="N110" s="68"/>
    </row>
    <row r="111" spans="1:20" x14ac:dyDescent="0.3">
      <c r="A111" s="328"/>
      <c r="B111" s="328"/>
      <c r="C111" s="328"/>
      <c r="D111" s="337"/>
      <c r="E111" s="13" t="s">
        <v>23</v>
      </c>
      <c r="F111" s="108" t="s">
        <v>145</v>
      </c>
      <c r="G111" s="17">
        <v>0</v>
      </c>
      <c r="H111" s="17">
        <v>11704.002808988764</v>
      </c>
      <c r="I111" s="17">
        <v>11704.002808988764</v>
      </c>
      <c r="J111" s="17">
        <v>11704.002808988764</v>
      </c>
      <c r="K111" s="17">
        <v>9363.1788389513113</v>
      </c>
      <c r="L111" s="17">
        <v>0</v>
      </c>
      <c r="M111" s="11">
        <f>SUM(G111:L111)</f>
        <v>44475.187265917601</v>
      </c>
      <c r="N111" s="68"/>
    </row>
    <row r="112" spans="1:20" x14ac:dyDescent="0.3">
      <c r="A112" s="328"/>
      <c r="B112" s="328"/>
      <c r="C112" s="328"/>
      <c r="D112" s="337"/>
      <c r="E112" s="13" t="s">
        <v>25</v>
      </c>
      <c r="F112" s="108" t="s">
        <v>146</v>
      </c>
      <c r="G112" s="17">
        <v>19729.802033172818</v>
      </c>
      <c r="H112" s="17">
        <v>13342.696629213482</v>
      </c>
      <c r="I112" s="17">
        <v>0</v>
      </c>
      <c r="J112" s="17">
        <v>0</v>
      </c>
      <c r="K112" s="17">
        <v>0</v>
      </c>
      <c r="L112" s="17">
        <v>0</v>
      </c>
      <c r="M112" s="11">
        <f t="shared" si="22"/>
        <v>33072.498662386301</v>
      </c>
      <c r="N112" s="68"/>
    </row>
    <row r="113" spans="1:14" x14ac:dyDescent="0.3">
      <c r="A113" s="328"/>
      <c r="B113" s="328"/>
      <c r="C113" s="328"/>
      <c r="D113" s="337"/>
      <c r="E113" s="13" t="s">
        <v>27</v>
      </c>
      <c r="F113" s="108" t="s">
        <v>147</v>
      </c>
      <c r="G113" s="17">
        <v>601.92616372391649</v>
      </c>
      <c r="H113" s="17">
        <v>409.30979133226322</v>
      </c>
      <c r="I113" s="17">
        <v>124630.2835741038</v>
      </c>
      <c r="J113" s="17">
        <v>127122.88924558586</v>
      </c>
      <c r="K113" s="17">
        <v>129665.34703049756</v>
      </c>
      <c r="L113" s="17">
        <v>443.05008154093099</v>
      </c>
      <c r="M113" s="11">
        <f t="shared" si="22"/>
        <v>382872.80588678434</v>
      </c>
      <c r="N113" s="68"/>
    </row>
    <row r="114" spans="1:14" ht="27.95" x14ac:dyDescent="0.3">
      <c r="A114" s="328"/>
      <c r="B114" s="328"/>
      <c r="C114" s="328"/>
      <c r="D114" s="337"/>
      <c r="E114" s="13" t="s">
        <v>29</v>
      </c>
      <c r="F114" s="108" t="s">
        <v>148</v>
      </c>
      <c r="G114" s="17">
        <v>2496.8789013732835</v>
      </c>
      <c r="H114" s="17">
        <v>31668.116639914391</v>
      </c>
      <c r="I114" s="17">
        <v>14117.209309791333</v>
      </c>
      <c r="J114" s="17">
        <v>14399.553495987162</v>
      </c>
      <c r="K114" s="17">
        <v>14687.544565906905</v>
      </c>
      <c r="L114" s="17">
        <v>14981.295457225046</v>
      </c>
      <c r="M114" s="11">
        <f t="shared" si="22"/>
        <v>92350.598370198117</v>
      </c>
      <c r="N114" s="68"/>
    </row>
    <row r="115" spans="1:14" x14ac:dyDescent="0.3">
      <c r="A115" s="328"/>
      <c r="B115" s="328"/>
      <c r="C115" s="328"/>
      <c r="D115" s="337"/>
      <c r="E115" s="13" t="s">
        <v>31</v>
      </c>
      <c r="F115" s="108" t="s">
        <v>149</v>
      </c>
      <c r="G115" s="17">
        <v>378.99054752987337</v>
      </c>
      <c r="H115" s="17">
        <v>2319.422150882825</v>
      </c>
      <c r="I115" s="17">
        <v>43208.051364365972</v>
      </c>
      <c r="J115" s="17">
        <v>23242.669598715893</v>
      </c>
      <c r="K115" s="17">
        <v>44953.656639486362</v>
      </c>
      <c r="L115" s="17">
        <v>22926.364886138042</v>
      </c>
      <c r="M115" s="11">
        <f t="shared" si="22"/>
        <v>137029.15518711897</v>
      </c>
      <c r="N115" s="68"/>
    </row>
    <row r="116" spans="1:14" x14ac:dyDescent="0.3">
      <c r="A116" s="328"/>
      <c r="B116" s="328"/>
      <c r="C116" s="328"/>
      <c r="D116" s="328" t="s">
        <v>33</v>
      </c>
      <c r="E116" t="s">
        <v>21</v>
      </c>
      <c r="F116" s="108" t="s">
        <v>150</v>
      </c>
      <c r="G116" s="17">
        <v>525.79933964687007</v>
      </c>
      <c r="H116" s="17">
        <v>7118.1227943049762</v>
      </c>
      <c r="I116" s="17">
        <v>7669.5754490174641</v>
      </c>
      <c r="J116" s="17">
        <v>1109.9984008475788</v>
      </c>
      <c r="K116" s="17">
        <v>1132.1983688645307</v>
      </c>
      <c r="L116" s="17">
        <v>1154.8423362418212</v>
      </c>
      <c r="M116" s="11">
        <f t="shared" si="22"/>
        <v>18710.536688923243</v>
      </c>
      <c r="N116" s="68"/>
    </row>
    <row r="117" spans="1:14" x14ac:dyDescent="0.3">
      <c r="A117" s="328"/>
      <c r="B117" s="328"/>
      <c r="C117" s="328"/>
      <c r="D117" s="328"/>
      <c r="E117" s="13" t="s">
        <v>23</v>
      </c>
      <c r="F117" s="108" t="s">
        <v>151</v>
      </c>
      <c r="G117" s="17">
        <v>249.94719101123593</v>
      </c>
      <c r="H117" s="17">
        <v>337.5675674157302</v>
      </c>
      <c r="I117" s="17">
        <v>72.2347382022472</v>
      </c>
      <c r="J117" s="17">
        <v>73.67943296629214</v>
      </c>
      <c r="K117" s="17">
        <v>195.39785622660671</v>
      </c>
      <c r="L117" s="17">
        <v>76.656082058130352</v>
      </c>
      <c r="M117" s="11">
        <f t="shared" si="22"/>
        <v>1005.4828678802425</v>
      </c>
      <c r="N117" s="68"/>
    </row>
    <row r="118" spans="1:14" x14ac:dyDescent="0.3">
      <c r="A118" s="328"/>
      <c r="B118" s="328"/>
      <c r="C118" s="328"/>
      <c r="D118" s="328"/>
      <c r="E118" s="13" t="s">
        <v>27</v>
      </c>
      <c r="F118" s="108" t="s">
        <v>152</v>
      </c>
      <c r="G118" s="17">
        <v>8556.0106861958284</v>
      </c>
      <c r="H118" s="17">
        <v>7978.7943866361156</v>
      </c>
      <c r="I118" s="17">
        <v>4574.0290739042557</v>
      </c>
      <c r="J118" s="17">
        <v>34.169573832447639</v>
      </c>
      <c r="K118" s="17">
        <v>2248.3456473943693</v>
      </c>
      <c r="L118" s="17">
        <v>35.550024615278517</v>
      </c>
      <c r="M118" s="11">
        <f t="shared" si="22"/>
        <v>23426.899392578292</v>
      </c>
      <c r="N118" s="68"/>
    </row>
    <row r="119" spans="1:14" ht="27.95" x14ac:dyDescent="0.3">
      <c r="A119" s="328"/>
      <c r="B119" s="328"/>
      <c r="C119" s="328"/>
      <c r="D119" s="328"/>
      <c r="E119" s="13" t="s">
        <v>29</v>
      </c>
      <c r="F119" s="108" t="s">
        <v>153</v>
      </c>
      <c r="G119" s="17">
        <v>262.70892403210274</v>
      </c>
      <c r="H119" s="17">
        <v>436.73809125341893</v>
      </c>
      <c r="I119" s="17">
        <v>2267.3921617988726</v>
      </c>
      <c r="J119" s="17">
        <v>484.44752855536359</v>
      </c>
      <c r="K119" s="17">
        <v>374.9550342192324</v>
      </c>
      <c r="L119" s="17">
        <v>332.42881378723575</v>
      </c>
      <c r="M119" s="11">
        <f t="shared" si="22"/>
        <v>4158.6705536462259</v>
      </c>
      <c r="N119" s="68"/>
    </row>
    <row r="120" spans="1:14" x14ac:dyDescent="0.3">
      <c r="A120" s="328"/>
      <c r="B120" s="328"/>
      <c r="C120" s="328"/>
      <c r="D120" s="328"/>
      <c r="E120" s="13" t="s">
        <v>31</v>
      </c>
      <c r="F120" s="108" t="s">
        <v>154</v>
      </c>
      <c r="G120" s="17">
        <v>759.9150304975924</v>
      </c>
      <c r="H120" s="17">
        <v>7858.3542476615949</v>
      </c>
      <c r="I120" s="17">
        <v>7478.1014411885053</v>
      </c>
      <c r="J120" s="17">
        <v>1553.4908707463928</v>
      </c>
      <c r="K120" s="17">
        <v>1742.5236198228804</v>
      </c>
      <c r="L120" s="17">
        <v>1774.3454698647947</v>
      </c>
      <c r="M120" s="11">
        <f t="shared" si="22"/>
        <v>21166.730679781762</v>
      </c>
      <c r="N120" s="68"/>
    </row>
    <row r="121" spans="1:14" ht="27.95" x14ac:dyDescent="0.3">
      <c r="A121" s="328"/>
      <c r="B121" s="328"/>
      <c r="C121" s="328"/>
      <c r="D121" s="328"/>
      <c r="E121" s="13" t="s">
        <v>38</v>
      </c>
      <c r="F121" s="108" t="s">
        <v>155</v>
      </c>
      <c r="G121" s="17">
        <v>183.43063242375607</v>
      </c>
      <c r="H121" s="17">
        <v>374.19849014446226</v>
      </c>
      <c r="I121" s="17">
        <v>381.6824599473515</v>
      </c>
      <c r="J121" s="17">
        <v>389.31610914629852</v>
      </c>
      <c r="K121" s="17">
        <v>397.10243132922449</v>
      </c>
      <c r="L121" s="17">
        <v>405.04447995580881</v>
      </c>
      <c r="M121" s="11">
        <f t="shared" si="22"/>
        <v>2130.7746029469017</v>
      </c>
      <c r="N121" s="68"/>
    </row>
    <row r="122" spans="1:14" ht="27.95" x14ac:dyDescent="0.3">
      <c r="A122" s="328"/>
      <c r="B122" s="328"/>
      <c r="C122" s="328"/>
      <c r="D122" s="54" t="s">
        <v>156</v>
      </c>
      <c r="E122" s="10"/>
      <c r="F122" s="106"/>
      <c r="G122" s="8">
        <f t="shared" ref="G122:M122" si="23">SUM(G110:G121)</f>
        <v>39306.179216024306</v>
      </c>
      <c r="H122" s="8">
        <f t="shared" si="23"/>
        <v>92607.38516977556</v>
      </c>
      <c r="I122" s="8">
        <f t="shared" si="23"/>
        <v>225343.82518477665</v>
      </c>
      <c r="J122" s="8">
        <f t="shared" si="23"/>
        <v>189540.30512490956</v>
      </c>
      <c r="K122" s="8">
        <f t="shared" si="23"/>
        <v>214374.85985342716</v>
      </c>
      <c r="L122" s="8">
        <f t="shared" si="23"/>
        <v>48497.800306054247</v>
      </c>
      <c r="M122" s="8">
        <f t="shared" si="23"/>
        <v>809670.35485496756</v>
      </c>
      <c r="N122" s="68"/>
    </row>
    <row r="123" spans="1:14" x14ac:dyDescent="0.3">
      <c r="A123" s="328"/>
      <c r="B123" s="328"/>
      <c r="C123" s="328" t="s">
        <v>157</v>
      </c>
      <c r="D123" s="337" t="s">
        <v>20</v>
      </c>
      <c r="E123" t="s">
        <v>21</v>
      </c>
      <c r="F123" s="108" t="s">
        <v>158</v>
      </c>
      <c r="G123" s="17">
        <v>2780.384883208515</v>
      </c>
      <c r="H123" s="17">
        <v>4530.0307860137691</v>
      </c>
      <c r="I123" s="17">
        <v>4620.6314017340437</v>
      </c>
      <c r="J123" s="17">
        <v>4713.0440297687246</v>
      </c>
      <c r="K123" s="17">
        <v>4807.3049103640988</v>
      </c>
      <c r="L123" s="17">
        <v>3184.1113373135827</v>
      </c>
      <c r="M123" s="17">
        <f t="shared" ref="M123:M134" si="24">SUM(G123:L123)</f>
        <v>24635.507348402731</v>
      </c>
      <c r="N123" s="68"/>
    </row>
    <row r="124" spans="1:14" x14ac:dyDescent="0.3">
      <c r="A124" s="328"/>
      <c r="B124" s="328"/>
      <c r="C124" s="328"/>
      <c r="D124" s="337"/>
      <c r="E124" s="13" t="s">
        <v>23</v>
      </c>
      <c r="F124" s="108" t="s">
        <v>159</v>
      </c>
      <c r="G124" s="17">
        <v>0</v>
      </c>
      <c r="H124" s="17">
        <v>10627.282303370786</v>
      </c>
      <c r="I124" s="17">
        <v>5852.0014044943819</v>
      </c>
      <c r="J124" s="17">
        <v>5852.0014044943819</v>
      </c>
      <c r="K124" s="17">
        <v>4681.5894194756556</v>
      </c>
      <c r="L124" s="17">
        <v>0</v>
      </c>
      <c r="M124" s="11">
        <f t="shared" si="24"/>
        <v>27012.874531835205</v>
      </c>
      <c r="N124" s="68"/>
    </row>
    <row r="125" spans="1:14" x14ac:dyDescent="0.3">
      <c r="A125" s="328"/>
      <c r="B125" s="328"/>
      <c r="C125" s="328"/>
      <c r="D125" s="337"/>
      <c r="E125" s="13" t="s">
        <v>25</v>
      </c>
      <c r="F125" s="108" t="s">
        <v>160</v>
      </c>
      <c r="G125" s="17">
        <v>0</v>
      </c>
      <c r="H125" s="17">
        <v>19729.802033172818</v>
      </c>
      <c r="I125" s="17">
        <v>0</v>
      </c>
      <c r="J125" s="17">
        <v>0</v>
      </c>
      <c r="K125" s="17">
        <v>0</v>
      </c>
      <c r="L125" s="17">
        <v>0</v>
      </c>
      <c r="M125" s="11">
        <f t="shared" si="24"/>
        <v>19729.802033172818</v>
      </c>
      <c r="N125" s="68"/>
    </row>
    <row r="126" spans="1:14" x14ac:dyDescent="0.3">
      <c r="A126" s="328"/>
      <c r="B126" s="328"/>
      <c r="C126" s="328"/>
      <c r="D126" s="337"/>
      <c r="E126" s="13" t="s">
        <v>27</v>
      </c>
      <c r="F126" s="108" t="s">
        <v>161</v>
      </c>
      <c r="G126" s="17">
        <v>300.96308186195824</v>
      </c>
      <c r="H126" s="17">
        <v>204.65489566613161</v>
      </c>
      <c r="I126" s="17">
        <v>208.74799357945426</v>
      </c>
      <c r="J126" s="17">
        <v>212.92295345104338</v>
      </c>
      <c r="K126" s="17">
        <v>217.18141252006419</v>
      </c>
      <c r="L126" s="17">
        <v>221.52504077046549</v>
      </c>
      <c r="M126" s="11">
        <f t="shared" si="24"/>
        <v>1365.9953778491172</v>
      </c>
      <c r="N126" s="68"/>
    </row>
    <row r="127" spans="1:14" ht="27.95" x14ac:dyDescent="0.3">
      <c r="A127" s="328"/>
      <c r="B127" s="328"/>
      <c r="C127" s="328"/>
      <c r="D127" s="337"/>
      <c r="E127" s="13" t="s">
        <v>29</v>
      </c>
      <c r="F127" s="108" t="s">
        <v>162</v>
      </c>
      <c r="G127" s="17">
        <v>2496.8789013732835</v>
      </c>
      <c r="H127" s="17">
        <v>17827.715355805241</v>
      </c>
      <c r="I127" s="17">
        <v>7058.6046548956665</v>
      </c>
      <c r="J127" s="17">
        <v>7199.776747993581</v>
      </c>
      <c r="K127" s="17">
        <v>7343.7722829534523</v>
      </c>
      <c r="L127" s="17">
        <v>7490.6477286125228</v>
      </c>
      <c r="M127" s="11">
        <f t="shared" si="24"/>
        <v>49417.395671633749</v>
      </c>
      <c r="N127" s="68"/>
    </row>
    <row r="128" spans="1:14" x14ac:dyDescent="0.3">
      <c r="A128" s="328"/>
      <c r="B128" s="328"/>
      <c r="C128" s="328"/>
      <c r="D128" s="337"/>
      <c r="E128" s="13" t="s">
        <v>31</v>
      </c>
      <c r="F128" s="108" t="s">
        <v>163</v>
      </c>
      <c r="G128" s="17">
        <v>9285.2684144818977</v>
      </c>
      <c r="H128" s="17">
        <v>1159.7110754414125</v>
      </c>
      <c r="I128" s="17">
        <v>51488.388443017655</v>
      </c>
      <c r="J128" s="17">
        <v>31688.613418940615</v>
      </c>
      <c r="K128" s="17">
        <v>53568.519336115569</v>
      </c>
      <c r="L128" s="17">
        <v>32341.179118882828</v>
      </c>
      <c r="M128" s="11">
        <f t="shared" si="24"/>
        <v>179531.67980687998</v>
      </c>
      <c r="N128" s="68"/>
    </row>
    <row r="129" spans="1:14" ht="27.95" x14ac:dyDescent="0.3">
      <c r="A129" s="328"/>
      <c r="B129" s="328"/>
      <c r="C129" s="328"/>
      <c r="D129" s="337"/>
      <c r="E129" s="13" t="s">
        <v>38</v>
      </c>
      <c r="F129" s="108" t="s">
        <v>164</v>
      </c>
      <c r="G129" s="17">
        <v>0</v>
      </c>
      <c r="H129" s="17">
        <v>0</v>
      </c>
      <c r="I129" s="17">
        <v>24214.767255216699</v>
      </c>
      <c r="J129" s="17">
        <v>24699.062600321031</v>
      </c>
      <c r="K129" s="17">
        <v>0</v>
      </c>
      <c r="L129" s="17">
        <v>0</v>
      </c>
      <c r="M129" s="11">
        <f t="shared" si="24"/>
        <v>48913.829855537726</v>
      </c>
      <c r="N129" s="68"/>
    </row>
    <row r="130" spans="1:14" x14ac:dyDescent="0.3">
      <c r="A130" s="328"/>
      <c r="B130" s="328"/>
      <c r="C130" s="328"/>
      <c r="D130" s="328" t="s">
        <v>33</v>
      </c>
      <c r="E130" t="s">
        <v>21</v>
      </c>
      <c r="F130" s="108" t="s">
        <v>165</v>
      </c>
      <c r="G130" s="11">
        <v>712.37329887640465</v>
      </c>
      <c r="H130" s="11">
        <v>1542.2055904719102</v>
      </c>
      <c r="I130" s="11">
        <v>1573.9412853357305</v>
      </c>
      <c r="J130" s="11">
        <v>1503.8688011483325</v>
      </c>
      <c r="K130" s="11">
        <v>1533.9461771712995</v>
      </c>
      <c r="L130" s="11">
        <v>1564.6251007147255</v>
      </c>
      <c r="M130" s="11">
        <f t="shared" si="24"/>
        <v>8430.9602537184037</v>
      </c>
      <c r="N130" s="68"/>
    </row>
    <row r="131" spans="1:14" x14ac:dyDescent="0.3">
      <c r="A131" s="328"/>
      <c r="B131" s="328"/>
      <c r="C131" s="328"/>
      <c r="D131" s="328"/>
      <c r="E131" s="13" t="s">
        <v>27</v>
      </c>
      <c r="F131" s="108" t="s">
        <v>166</v>
      </c>
      <c r="G131" s="11">
        <v>8663.6457303370789</v>
      </c>
      <c r="H131" s="11">
        <v>1762.4186192898883</v>
      </c>
      <c r="I131" s="11">
        <v>1826.6544481413039</v>
      </c>
      <c r="J131" s="11">
        <v>46.294261321380674</v>
      </c>
      <c r="K131" s="11">
        <v>47.220146547808291</v>
      </c>
      <c r="L131" s="11">
        <v>48.164549478764449</v>
      </c>
      <c r="M131" s="11">
        <f t="shared" si="24"/>
        <v>12394.397755116224</v>
      </c>
      <c r="N131" s="68"/>
    </row>
    <row r="132" spans="1:14" ht="27.95" x14ac:dyDescent="0.3">
      <c r="A132" s="328"/>
      <c r="B132" s="328"/>
      <c r="C132" s="328"/>
      <c r="D132" s="328"/>
      <c r="E132" s="13" t="s">
        <v>29</v>
      </c>
      <c r="F132" s="108" t="s">
        <v>167</v>
      </c>
      <c r="G132" s="11">
        <v>280.67530193258432</v>
      </c>
      <c r="H132" s="11">
        <v>514.95169594247193</v>
      </c>
      <c r="I132" s="11">
        <v>462.17948416244485</v>
      </c>
      <c r="J132" s="11">
        <v>629.7285983904128</v>
      </c>
      <c r="K132" s="11">
        <v>480.85153532260762</v>
      </c>
      <c r="L132" s="11">
        <v>422.69232451654335</v>
      </c>
      <c r="M132" s="11">
        <f t="shared" si="24"/>
        <v>2791.0789402670653</v>
      </c>
      <c r="N132" s="68"/>
    </row>
    <row r="133" spans="1:14" x14ac:dyDescent="0.3">
      <c r="A133" s="328"/>
      <c r="B133" s="328"/>
      <c r="C133" s="328"/>
      <c r="D133" s="328"/>
      <c r="E133" s="13" t="s">
        <v>31</v>
      </c>
      <c r="F133" s="108" t="s">
        <v>168</v>
      </c>
      <c r="G133" s="11">
        <v>846.80521348314619</v>
      </c>
      <c r="H133" s="11">
        <v>1355.5296600431464</v>
      </c>
      <c r="I133" s="11">
        <v>1273.6683306098701</v>
      </c>
      <c r="J133" s="11">
        <v>1265.4970577726046</v>
      </c>
      <c r="K133" s="11">
        <v>1554.276830248964</v>
      </c>
      <c r="L133" s="11">
        <v>1530.8144245030826</v>
      </c>
      <c r="M133" s="11">
        <f t="shared" si="24"/>
        <v>7826.5915166608138</v>
      </c>
      <c r="N133" s="68"/>
    </row>
    <row r="134" spans="1:14" ht="27.95" x14ac:dyDescent="0.3">
      <c r="A134" s="328"/>
      <c r="B134" s="328"/>
      <c r="C134" s="328"/>
      <c r="D134" s="328"/>
      <c r="E134" s="13" t="s">
        <v>38</v>
      </c>
      <c r="F134" s="108" t="s">
        <v>169</v>
      </c>
      <c r="G134" s="11">
        <v>248.51892134831465</v>
      </c>
      <c r="H134" s="11">
        <v>506.9785995505618</v>
      </c>
      <c r="I134" s="11">
        <v>517.11817154157302</v>
      </c>
      <c r="J134" s="11">
        <v>527.46053497240439</v>
      </c>
      <c r="K134" s="11">
        <v>538.00974567185244</v>
      </c>
      <c r="L134" s="11">
        <v>548.76994058528942</v>
      </c>
      <c r="M134" s="11">
        <f t="shared" si="24"/>
        <v>2886.8559136699955</v>
      </c>
      <c r="N134" s="68"/>
    </row>
    <row r="135" spans="1:14" ht="27.95" x14ac:dyDescent="0.3">
      <c r="A135" s="328"/>
      <c r="B135" s="328"/>
      <c r="C135" s="328"/>
      <c r="D135" s="54" t="s">
        <v>170</v>
      </c>
      <c r="E135" s="10"/>
      <c r="F135" s="106"/>
      <c r="G135" s="8">
        <f t="shared" ref="G135:M135" si="25">SUM(G123:G134)</f>
        <v>25615.51374690318</v>
      </c>
      <c r="H135" s="8">
        <f t="shared" si="25"/>
        <v>59761.280614768119</v>
      </c>
      <c r="I135" s="8">
        <f t="shared" si="25"/>
        <v>99096.702872728827</v>
      </c>
      <c r="J135" s="8">
        <f t="shared" si="25"/>
        <v>78338.270408574506</v>
      </c>
      <c r="K135" s="8">
        <f t="shared" si="25"/>
        <v>74772.671796391369</v>
      </c>
      <c r="L135" s="8">
        <f t="shared" si="25"/>
        <v>47352.529565377808</v>
      </c>
      <c r="M135" s="8">
        <f t="shared" si="25"/>
        <v>384936.96900474385</v>
      </c>
      <c r="N135" s="68"/>
    </row>
    <row r="136" spans="1:14" x14ac:dyDescent="0.3">
      <c r="A136" s="328"/>
      <c r="B136" s="328"/>
      <c r="C136" s="16" t="s">
        <v>171</v>
      </c>
      <c r="D136" s="14"/>
      <c r="E136" s="10"/>
      <c r="F136" s="95"/>
      <c r="G136" s="8">
        <f t="shared" ref="G136:M136" si="26">G109+G122+G135</f>
        <v>132807.85414166248</v>
      </c>
      <c r="H136" s="8">
        <f t="shared" si="26"/>
        <v>357379.45648337255</v>
      </c>
      <c r="I136" s="8">
        <f t="shared" si="26"/>
        <v>1254082.1599784063</v>
      </c>
      <c r="J136" s="8">
        <f t="shared" si="26"/>
        <v>1184055.3741198129</v>
      </c>
      <c r="K136" s="8">
        <f t="shared" si="26"/>
        <v>1230317.6337714097</v>
      </c>
      <c r="L136" s="8">
        <f t="shared" si="26"/>
        <v>229403.03569719748</v>
      </c>
      <c r="M136" s="8">
        <f t="shared" si="26"/>
        <v>4388045.5141918613</v>
      </c>
      <c r="N136" s="68"/>
    </row>
    <row r="137" spans="1:14" x14ac:dyDescent="0.3">
      <c r="A137" s="328"/>
      <c r="B137" s="328" t="s">
        <v>172</v>
      </c>
      <c r="C137" s="328" t="s">
        <v>173</v>
      </c>
      <c r="D137" s="337" t="s">
        <v>20</v>
      </c>
      <c r="E137" t="s">
        <v>21</v>
      </c>
      <c r="F137" s="103" t="s">
        <v>174</v>
      </c>
      <c r="G137" s="17">
        <v>15570.155345967683</v>
      </c>
      <c r="H137" s="17">
        <v>12684.086200838548</v>
      </c>
      <c r="I137" s="17">
        <v>12937.767924855321</v>
      </c>
      <c r="J137" s="17">
        <v>13196.523283352428</v>
      </c>
      <c r="K137" s="17">
        <v>13460.453749019478</v>
      </c>
      <c r="L137" s="17">
        <v>8915.5117444780299</v>
      </c>
      <c r="M137" s="17">
        <f t="shared" ref="M137:M148" si="27">SUM(G137:L137)</f>
        <v>76764.498248511503</v>
      </c>
      <c r="N137" s="68"/>
    </row>
    <row r="138" spans="1:14" x14ac:dyDescent="0.3">
      <c r="A138" s="328"/>
      <c r="B138" s="328"/>
      <c r="C138" s="328"/>
      <c r="D138" s="337"/>
      <c r="E138" s="13" t="s">
        <v>23</v>
      </c>
      <c r="F138" s="103" t="s">
        <v>175</v>
      </c>
      <c r="G138" s="17">
        <v>0</v>
      </c>
      <c r="H138" s="17">
        <v>21067.251872659177</v>
      </c>
      <c r="I138" s="17">
        <v>16385.603932584268</v>
      </c>
      <c r="J138" s="17">
        <v>16385.603932584268</v>
      </c>
      <c r="K138" s="17">
        <v>13108.450374531836</v>
      </c>
      <c r="L138" s="17">
        <v>0</v>
      </c>
      <c r="M138" s="11">
        <f t="shared" si="27"/>
        <v>66946.910112359546</v>
      </c>
      <c r="N138" s="68"/>
    </row>
    <row r="139" spans="1:14" x14ac:dyDescent="0.3">
      <c r="A139" s="328"/>
      <c r="B139" s="328"/>
      <c r="C139" s="328"/>
      <c r="D139" s="337"/>
      <c r="E139" s="13" t="s">
        <v>25</v>
      </c>
      <c r="F139" s="103" t="s">
        <v>176</v>
      </c>
      <c r="G139" s="17">
        <v>0</v>
      </c>
      <c r="H139" s="17">
        <v>19729.802033172818</v>
      </c>
      <c r="I139" s="17">
        <v>0</v>
      </c>
      <c r="J139" s="17">
        <v>0</v>
      </c>
      <c r="K139" s="17">
        <v>0</v>
      </c>
      <c r="L139" s="17">
        <v>0</v>
      </c>
      <c r="M139" s="11">
        <f t="shared" si="27"/>
        <v>19729.802033172818</v>
      </c>
      <c r="N139" s="68"/>
    </row>
    <row r="140" spans="1:14" x14ac:dyDescent="0.3">
      <c r="A140" s="328"/>
      <c r="B140" s="328"/>
      <c r="C140" s="328"/>
      <c r="D140" s="337"/>
      <c r="E140" s="13" t="s">
        <v>27</v>
      </c>
      <c r="F140" s="103" t="s">
        <v>177</v>
      </c>
      <c r="G140" s="17">
        <v>1685.3932584269662</v>
      </c>
      <c r="H140" s="17">
        <v>322856.61650615302</v>
      </c>
      <c r="I140" s="17">
        <v>329313.74883627595</v>
      </c>
      <c r="J140" s="17">
        <v>596.18426966292145</v>
      </c>
      <c r="K140" s="17">
        <v>255183.81608282501</v>
      </c>
      <c r="L140" s="17">
        <v>620.27011415730328</v>
      </c>
      <c r="M140" s="11">
        <f t="shared" si="27"/>
        <v>910256.02906750119</v>
      </c>
      <c r="N140" s="68"/>
    </row>
    <row r="141" spans="1:14" ht="27.95" x14ac:dyDescent="0.3">
      <c r="A141" s="328"/>
      <c r="B141" s="328"/>
      <c r="C141" s="328"/>
      <c r="D141" s="337"/>
      <c r="E141" s="13" t="s">
        <v>29</v>
      </c>
      <c r="F141" s="103" t="s">
        <v>178</v>
      </c>
      <c r="G141" s="17">
        <v>2496.8789013732835</v>
      </c>
      <c r="H141" s="17">
        <v>31668.116639914391</v>
      </c>
      <c r="I141" s="17">
        <v>14117.209309791333</v>
      </c>
      <c r="J141" s="17">
        <v>14399.553495987162</v>
      </c>
      <c r="K141" s="17">
        <v>14687.544565906905</v>
      </c>
      <c r="L141" s="17">
        <v>14981.295457225046</v>
      </c>
      <c r="M141" s="11">
        <f t="shared" si="27"/>
        <v>92350.598370198117</v>
      </c>
      <c r="N141" s="68"/>
    </row>
    <row r="142" spans="1:14" x14ac:dyDescent="0.3">
      <c r="A142" s="328"/>
      <c r="B142" s="328"/>
      <c r="C142" s="328"/>
      <c r="D142" s="337"/>
      <c r="E142" s="13" t="s">
        <v>31</v>
      </c>
      <c r="F142" s="103" t="s">
        <v>179</v>
      </c>
      <c r="G142" s="17">
        <v>10156.946673800607</v>
      </c>
      <c r="H142" s="17">
        <v>72158.587479935799</v>
      </c>
      <c r="I142" s="17">
        <v>43898.3113964687</v>
      </c>
      <c r="J142" s="17">
        <v>75073.794414125208</v>
      </c>
      <c r="K142" s="17">
        <v>45671.803176886031</v>
      </c>
      <c r="L142" s="17">
        <v>76349.343718343487</v>
      </c>
      <c r="M142" s="11">
        <f t="shared" si="27"/>
        <v>323308.78685955983</v>
      </c>
      <c r="N142" s="68"/>
    </row>
    <row r="143" spans="1:14" x14ac:dyDescent="0.3">
      <c r="A143" s="328"/>
      <c r="B143" s="328"/>
      <c r="C143" s="328"/>
      <c r="D143" s="328" t="s">
        <v>33</v>
      </c>
      <c r="E143" t="s">
        <v>21</v>
      </c>
      <c r="F143" s="103" t="s">
        <v>180</v>
      </c>
      <c r="G143" s="11">
        <v>764.54205056179774</v>
      </c>
      <c r="H143" s="11">
        <v>1419.4219342536114</v>
      </c>
      <c r="I143" s="11">
        <v>1457.3239157874798</v>
      </c>
      <c r="J143" s="11">
        <v>1177.2710312019776</v>
      </c>
      <c r="K143" s="11">
        <v>1200.8164518260171</v>
      </c>
      <c r="L143" s="11">
        <v>1224.8327808625377</v>
      </c>
      <c r="M143" s="11">
        <f t="shared" si="27"/>
        <v>7244.2081644934206</v>
      </c>
      <c r="N143" s="68"/>
    </row>
    <row r="144" spans="1:14" x14ac:dyDescent="0.3">
      <c r="A144" s="328"/>
      <c r="B144" s="328"/>
      <c r="C144" s="328"/>
      <c r="D144" s="328"/>
      <c r="E144" s="13" t="s">
        <v>23</v>
      </c>
      <c r="F144" s="103" t="s">
        <v>181</v>
      </c>
      <c r="G144" s="11">
        <v>1036.9382022471909</v>
      </c>
      <c r="H144" s="11">
        <v>873.87621348314588</v>
      </c>
      <c r="I144" s="11">
        <v>186.99728764044946</v>
      </c>
      <c r="J144" s="11">
        <v>190.73723339325844</v>
      </c>
      <c r="K144" s="11">
        <v>505.83514295892132</v>
      </c>
      <c r="L144" s="11">
        <v>198.44301762234608</v>
      </c>
      <c r="M144" s="11">
        <f t="shared" si="27"/>
        <v>2992.8270973453118</v>
      </c>
      <c r="N144" s="68"/>
    </row>
    <row r="145" spans="1:14" x14ac:dyDescent="0.3">
      <c r="A145" s="328"/>
      <c r="B145" s="328"/>
      <c r="C145" s="328"/>
      <c r="D145" s="328"/>
      <c r="E145" s="13" t="s">
        <v>27</v>
      </c>
      <c r="F145" s="103" t="s">
        <v>182</v>
      </c>
      <c r="G145" s="11">
        <v>18265.014022650259</v>
      </c>
      <c r="H145" s="11">
        <v>18667.208087390583</v>
      </c>
      <c r="I145" s="11">
        <v>9780.6879606440943</v>
      </c>
      <c r="J145" s="11">
        <v>36.240457095020226</v>
      </c>
      <c r="K145" s="11">
        <v>5767.1324692109174</v>
      </c>
      <c r="L145" s="11">
        <v>37.704571561659037</v>
      </c>
      <c r="M145" s="11">
        <f t="shared" si="27"/>
        <v>52553.987568552533</v>
      </c>
      <c r="N145" s="68"/>
    </row>
    <row r="146" spans="1:14" ht="27.95" x14ac:dyDescent="0.3">
      <c r="A146" s="328"/>
      <c r="B146" s="328"/>
      <c r="C146" s="328"/>
      <c r="D146" s="328"/>
      <c r="E146" s="13" t="s">
        <v>29</v>
      </c>
      <c r="F146" s="103" t="s">
        <v>183</v>
      </c>
      <c r="G146" s="11">
        <v>531.66051797752812</v>
      </c>
      <c r="H146" s="11">
        <v>549.78329120000001</v>
      </c>
      <c r="I146" s="11">
        <v>5348.401509024</v>
      </c>
      <c r="J146" s="11">
        <v>543.83261956403044</v>
      </c>
      <c r="K146" s="11">
        <v>428.30470917490652</v>
      </c>
      <c r="L146" s="11">
        <v>383.81364459860646</v>
      </c>
      <c r="M146" s="11">
        <f t="shared" si="27"/>
        <v>7785.7962915390717</v>
      </c>
      <c r="N146" s="68"/>
    </row>
    <row r="147" spans="1:14" x14ac:dyDescent="0.3">
      <c r="A147" s="328"/>
      <c r="B147" s="328"/>
      <c r="C147" s="328"/>
      <c r="D147" s="328"/>
      <c r="E147" s="13" t="s">
        <v>31</v>
      </c>
      <c r="F147" s="103" t="s">
        <v>184</v>
      </c>
      <c r="G147" s="11">
        <v>1468.4361690743713</v>
      </c>
      <c r="H147" s="11">
        <v>5833.9428069772057</v>
      </c>
      <c r="I147" s="11">
        <v>3736.5738560766745</v>
      </c>
      <c r="J147" s="11">
        <v>2594.222057973695</v>
      </c>
      <c r="K147" s="11">
        <v>2757.8614597049118</v>
      </c>
      <c r="L147" s="11">
        <v>2866.7036254160957</v>
      </c>
      <c r="M147" s="11">
        <f t="shared" si="27"/>
        <v>19257.739975222954</v>
      </c>
      <c r="N147" s="68"/>
    </row>
    <row r="148" spans="1:14" ht="27.95" x14ac:dyDescent="0.3">
      <c r="A148" s="328"/>
      <c r="B148" s="328"/>
      <c r="C148" s="328"/>
      <c r="D148" s="328"/>
      <c r="E148" s="13" t="s">
        <v>38</v>
      </c>
      <c r="F148" s="103" t="s">
        <v>185</v>
      </c>
      <c r="G148" s="11">
        <v>266.71853932584264</v>
      </c>
      <c r="H148" s="11">
        <v>396.87718651685384</v>
      </c>
      <c r="I148" s="11">
        <v>404.81473024719094</v>
      </c>
      <c r="J148" s="11">
        <v>412.9110248521348</v>
      </c>
      <c r="K148" s="11">
        <v>421.16924534917734</v>
      </c>
      <c r="L148" s="11">
        <v>429.59263025616087</v>
      </c>
      <c r="M148" s="11">
        <f t="shared" si="27"/>
        <v>2332.0833565473604</v>
      </c>
      <c r="N148" s="68"/>
    </row>
    <row r="149" spans="1:14" ht="27.95" x14ac:dyDescent="0.3">
      <c r="A149" s="328"/>
      <c r="B149" s="328"/>
      <c r="C149" s="328"/>
      <c r="D149" s="54" t="s">
        <v>186</v>
      </c>
      <c r="E149" s="10"/>
      <c r="F149" s="106"/>
      <c r="G149" s="8">
        <f t="shared" ref="G149:M149" si="28">SUM(G137:G148)</f>
        <v>52242.683681405528</v>
      </c>
      <c r="H149" s="8">
        <f t="shared" si="28"/>
        <v>507905.57025249518</v>
      </c>
      <c r="I149" s="8">
        <f t="shared" si="28"/>
        <v>437567.44065939554</v>
      </c>
      <c r="J149" s="8">
        <f t="shared" si="28"/>
        <v>124606.87381979209</v>
      </c>
      <c r="K149" s="8">
        <f t="shared" si="28"/>
        <v>353193.18742739415</v>
      </c>
      <c r="L149" s="8">
        <f t="shared" si="28"/>
        <v>106007.51130452125</v>
      </c>
      <c r="M149" s="8">
        <f t="shared" si="28"/>
        <v>1581523.2671450037</v>
      </c>
      <c r="N149" s="68"/>
    </row>
    <row r="150" spans="1:14" x14ac:dyDescent="0.3">
      <c r="A150" s="328"/>
      <c r="B150" s="328"/>
      <c r="C150" s="328" t="s">
        <v>187</v>
      </c>
      <c r="D150" s="328" t="s">
        <v>20</v>
      </c>
      <c r="E150" s="25" t="s">
        <v>21</v>
      </c>
      <c r="F150" s="103" t="s">
        <v>188</v>
      </c>
      <c r="G150" s="11">
        <v>0</v>
      </c>
      <c r="H150" s="11">
        <v>25368.172401677097</v>
      </c>
      <c r="I150" s="11">
        <v>25875.535849710643</v>
      </c>
      <c r="J150" s="11">
        <v>26393.046566704856</v>
      </c>
      <c r="K150" s="11">
        <v>26920.907498038956</v>
      </c>
      <c r="L150" s="11">
        <v>17831.02348895606</v>
      </c>
      <c r="M150" s="11">
        <f t="shared" ref="M150:M159" si="29">SUM(G150:L150)</f>
        <v>122388.68580508762</v>
      </c>
      <c r="N150" s="68"/>
    </row>
    <row r="151" spans="1:14" x14ac:dyDescent="0.3">
      <c r="A151" s="328"/>
      <c r="B151" s="328"/>
      <c r="C151" s="328"/>
      <c r="D151" s="328"/>
      <c r="E151" s="13" t="s">
        <v>23</v>
      </c>
      <c r="F151" s="103" t="s">
        <v>189</v>
      </c>
      <c r="G151" s="11">
        <v>0</v>
      </c>
      <c r="H151" s="11">
        <v>32771.207865168537</v>
      </c>
      <c r="I151" s="11">
        <v>32771.207865168537</v>
      </c>
      <c r="J151" s="11">
        <v>32771.207865168537</v>
      </c>
      <c r="K151" s="11">
        <v>26216.900749063672</v>
      </c>
      <c r="L151" s="11">
        <v>0</v>
      </c>
      <c r="M151" s="11">
        <f>SUM(G151:L151)</f>
        <v>124530.52434456928</v>
      </c>
      <c r="N151" s="68"/>
    </row>
    <row r="152" spans="1:14" x14ac:dyDescent="0.3">
      <c r="A152" s="328"/>
      <c r="B152" s="328"/>
      <c r="C152" s="328"/>
      <c r="D152" s="328"/>
      <c r="E152" s="13" t="s">
        <v>27</v>
      </c>
      <c r="F152" s="103" t="s">
        <v>190</v>
      </c>
      <c r="G152" s="11">
        <v>0</v>
      </c>
      <c r="H152" s="11">
        <v>323429.65021401818</v>
      </c>
      <c r="I152" s="11">
        <v>329898.24321829842</v>
      </c>
      <c r="J152" s="11">
        <v>1192.3685393258429</v>
      </c>
      <c r="K152" s="11">
        <v>255791.9240378812</v>
      </c>
      <c r="L152" s="11">
        <v>1240.5402283146066</v>
      </c>
      <c r="M152" s="11">
        <f t="shared" si="29"/>
        <v>911552.72623783827</v>
      </c>
      <c r="N152" s="68"/>
    </row>
    <row r="153" spans="1:14" x14ac:dyDescent="0.3">
      <c r="A153" s="328"/>
      <c r="B153" s="328"/>
      <c r="C153" s="328"/>
      <c r="D153" s="328"/>
      <c r="E153" s="13" t="s">
        <v>31</v>
      </c>
      <c r="F153" s="103" t="s">
        <v>191</v>
      </c>
      <c r="G153" s="11">
        <v>0</v>
      </c>
      <c r="H153" s="11">
        <v>26086.677367576245</v>
      </c>
      <c r="I153" s="11">
        <v>17326.083467094701</v>
      </c>
      <c r="J153" s="11">
        <v>27140.579133226325</v>
      </c>
      <c r="K153" s="11">
        <v>18026.057239165326</v>
      </c>
      <c r="L153" s="11">
        <v>24722.194549983946</v>
      </c>
      <c r="M153" s="11">
        <f t="shared" si="29"/>
        <v>113301.59175704655</v>
      </c>
      <c r="N153" s="68"/>
    </row>
    <row r="154" spans="1:14" x14ac:dyDescent="0.3">
      <c r="A154" s="328"/>
      <c r="B154" s="328"/>
      <c r="C154" s="328"/>
      <c r="D154" s="328" t="s">
        <v>33</v>
      </c>
      <c r="E154" t="s">
        <v>21</v>
      </c>
      <c r="F154" s="103" t="s">
        <v>192</v>
      </c>
      <c r="G154" s="11">
        <v>0</v>
      </c>
      <c r="H154" s="11">
        <v>1151.381101637239</v>
      </c>
      <c r="I154" s="11">
        <v>1185.5504741489567</v>
      </c>
      <c r="J154" s="11">
        <v>873.45915218211235</v>
      </c>
      <c r="K154" s="11">
        <v>890.92833522575472</v>
      </c>
      <c r="L154" s="11">
        <v>908.74690193026993</v>
      </c>
      <c r="M154" s="11">
        <f t="shared" si="29"/>
        <v>5010.0659651243323</v>
      </c>
      <c r="N154" s="68"/>
    </row>
    <row r="155" spans="1:14" x14ac:dyDescent="0.3">
      <c r="A155" s="328"/>
      <c r="B155" s="328"/>
      <c r="C155" s="328"/>
      <c r="D155" s="328"/>
      <c r="E155" s="13" t="s">
        <v>23</v>
      </c>
      <c r="F155" s="103" t="s">
        <v>193</v>
      </c>
      <c r="G155" s="11">
        <v>0</v>
      </c>
      <c r="H155" s="11">
        <v>1053.1328726591757</v>
      </c>
      <c r="I155" s="11">
        <v>225.35570561797752</v>
      </c>
      <c r="J155" s="11">
        <v>229.86281973033707</v>
      </c>
      <c r="K155" s="11">
        <v>609.59619792485387</v>
      </c>
      <c r="L155" s="11">
        <v>239.14927764744269</v>
      </c>
      <c r="M155" s="11">
        <f t="shared" si="29"/>
        <v>2357.0968735797874</v>
      </c>
      <c r="N155" s="68"/>
    </row>
    <row r="156" spans="1:14" x14ac:dyDescent="0.3">
      <c r="A156" s="328"/>
      <c r="B156" s="328"/>
      <c r="C156" s="328"/>
      <c r="D156" s="328"/>
      <c r="E156" s="13" t="s">
        <v>27</v>
      </c>
      <c r="F156" s="103" t="s">
        <v>194</v>
      </c>
      <c r="G156" s="11">
        <v>0</v>
      </c>
      <c r="H156" s="11">
        <v>21857.325346703583</v>
      </c>
      <c r="I156" s="11">
        <v>11124.637361688459</v>
      </c>
      <c r="J156" s="11">
        <v>26.888081070498874</v>
      </c>
      <c r="K156" s="11">
        <v>6933.0119590964678</v>
      </c>
      <c r="L156" s="11">
        <v>27.974359545747031</v>
      </c>
      <c r="M156" s="11">
        <f t="shared" si="29"/>
        <v>39969.837108104759</v>
      </c>
      <c r="N156" s="68"/>
    </row>
    <row r="157" spans="1:14" ht="27.95" x14ac:dyDescent="0.3">
      <c r="A157" s="328"/>
      <c r="B157" s="328"/>
      <c r="C157" s="328"/>
      <c r="D157" s="328"/>
      <c r="E157" s="13" t="s">
        <v>29</v>
      </c>
      <c r="F157" s="103" t="s">
        <v>195</v>
      </c>
      <c r="G157" s="11">
        <v>0</v>
      </c>
      <c r="H157" s="11">
        <v>475.83767926292137</v>
      </c>
      <c r="I157" s="11">
        <v>6277.923062331326</v>
      </c>
      <c r="J157" s="11">
        <v>427.04821058918827</v>
      </c>
      <c r="K157" s="11">
        <v>341.80514435099451</v>
      </c>
      <c r="L157" s="11">
        <v>309.27625848074479</v>
      </c>
      <c r="M157" s="11">
        <f t="shared" si="29"/>
        <v>7831.8903550151754</v>
      </c>
      <c r="N157" s="68"/>
    </row>
    <row r="158" spans="1:14" x14ac:dyDescent="0.3">
      <c r="A158" s="328"/>
      <c r="B158" s="328"/>
      <c r="C158" s="328"/>
      <c r="D158" s="328"/>
      <c r="E158" s="13" t="s">
        <v>31</v>
      </c>
      <c r="F158" s="103" t="s">
        <v>196</v>
      </c>
      <c r="G158" s="11">
        <v>0</v>
      </c>
      <c r="H158" s="11">
        <v>6539.1334775458527</v>
      </c>
      <c r="I158" s="11">
        <v>4041.2179459909212</v>
      </c>
      <c r="J158" s="11">
        <v>2667.5004804117993</v>
      </c>
      <c r="K158" s="11">
        <v>2759.9952886968158</v>
      </c>
      <c r="L158" s="11">
        <v>2899.6715293335337</v>
      </c>
      <c r="M158" s="11">
        <f t="shared" si="29"/>
        <v>18907.518721978922</v>
      </c>
      <c r="N158" s="68"/>
    </row>
    <row r="159" spans="1:14" ht="27.95" x14ac:dyDescent="0.3">
      <c r="A159" s="328"/>
      <c r="B159" s="328"/>
      <c r="C159" s="328"/>
      <c r="D159" s="328"/>
      <c r="E159" s="13" t="s">
        <v>38</v>
      </c>
      <c r="F159" s="103" t="s">
        <v>197</v>
      </c>
      <c r="G159" s="11">
        <v>0</v>
      </c>
      <c r="H159" s="11">
        <v>294.45726741573026</v>
      </c>
      <c r="I159" s="11">
        <v>300.34641276404489</v>
      </c>
      <c r="J159" s="11">
        <v>306.3533410193258</v>
      </c>
      <c r="K159" s="11">
        <v>312.48040783971231</v>
      </c>
      <c r="L159" s="11">
        <v>318.73001599650644</v>
      </c>
      <c r="M159" s="11">
        <f t="shared" si="29"/>
        <v>1532.3674450353196</v>
      </c>
      <c r="N159" s="68"/>
    </row>
    <row r="160" spans="1:14" ht="27.95" x14ac:dyDescent="0.3">
      <c r="A160" s="328"/>
      <c r="B160" s="328"/>
      <c r="C160" s="328"/>
      <c r="D160" s="54" t="s">
        <v>199</v>
      </c>
      <c r="E160" s="10"/>
      <c r="F160" s="106"/>
      <c r="G160" s="8">
        <f t="shared" ref="G160:M160" si="30">SUM(G150:G159)</f>
        <v>0</v>
      </c>
      <c r="H160" s="8">
        <f t="shared" si="30"/>
        <v>439026.97559366457</v>
      </c>
      <c r="I160" s="8">
        <f t="shared" si="30"/>
        <v>429026.10136281396</v>
      </c>
      <c r="J160" s="8">
        <f t="shared" si="30"/>
        <v>92028.314189428798</v>
      </c>
      <c r="K160" s="8">
        <f t="shared" si="30"/>
        <v>338803.60685728374</v>
      </c>
      <c r="L160" s="8">
        <f t="shared" si="30"/>
        <v>48497.306610188862</v>
      </c>
      <c r="M160" s="8">
        <f t="shared" si="30"/>
        <v>1347382.30461338</v>
      </c>
      <c r="N160" s="68"/>
    </row>
    <row r="161" spans="1:14" x14ac:dyDescent="0.3">
      <c r="A161" s="328"/>
      <c r="B161" s="328"/>
      <c r="C161" s="328" t="s">
        <v>200</v>
      </c>
      <c r="D161" s="328" t="s">
        <v>20</v>
      </c>
      <c r="E161" t="s">
        <v>21</v>
      </c>
      <c r="F161" s="103" t="s">
        <v>198</v>
      </c>
      <c r="G161" s="11">
        <v>23355.233018951527</v>
      </c>
      <c r="H161" s="11">
        <v>25368.172401677097</v>
      </c>
      <c r="I161" s="11">
        <v>25875.535849710643</v>
      </c>
      <c r="J161" s="11">
        <v>26393.046566704856</v>
      </c>
      <c r="K161" s="11">
        <v>26920.907498038956</v>
      </c>
      <c r="L161" s="11">
        <v>17831.02348895606</v>
      </c>
      <c r="M161" s="11">
        <f t="shared" ref="M161:M172" si="31">SUM(G161:L161)</f>
        <v>145743.91882403914</v>
      </c>
      <c r="N161" s="68"/>
    </row>
    <row r="162" spans="1:14" x14ac:dyDescent="0.3">
      <c r="A162" s="328"/>
      <c r="B162" s="328"/>
      <c r="C162" s="328"/>
      <c r="D162" s="328"/>
      <c r="E162" s="110" t="s">
        <v>23</v>
      </c>
      <c r="F162" s="103" t="s">
        <v>201</v>
      </c>
      <c r="G162" s="111">
        <v>0</v>
      </c>
      <c r="H162" s="111">
        <v>32771.207865168537</v>
      </c>
      <c r="I162" s="111">
        <v>37452.855805243446</v>
      </c>
      <c r="J162" s="111">
        <v>32771.207865168537</v>
      </c>
      <c r="K162" s="111">
        <v>26216.900749063672</v>
      </c>
      <c r="L162" s="111">
        <v>0</v>
      </c>
      <c r="M162" s="111">
        <f t="shared" si="31"/>
        <v>129212.17228464418</v>
      </c>
      <c r="N162" s="68"/>
    </row>
    <row r="163" spans="1:14" x14ac:dyDescent="0.3">
      <c r="A163" s="328"/>
      <c r="B163" s="328"/>
      <c r="C163" s="328"/>
      <c r="D163" s="328"/>
      <c r="E163" s="110" t="s">
        <v>25</v>
      </c>
      <c r="F163" s="103" t="s">
        <v>202</v>
      </c>
      <c r="G163" s="111">
        <v>0</v>
      </c>
      <c r="H163" s="111">
        <v>0</v>
      </c>
      <c r="I163" s="111">
        <v>19729.802033172818</v>
      </c>
      <c r="J163" s="111">
        <v>0</v>
      </c>
      <c r="K163" s="111">
        <v>0</v>
      </c>
      <c r="L163" s="111">
        <v>0</v>
      </c>
      <c r="M163" s="111">
        <f t="shared" si="31"/>
        <v>19729.802033172818</v>
      </c>
      <c r="N163" s="68"/>
    </row>
    <row r="164" spans="1:14" x14ac:dyDescent="0.3">
      <c r="A164" s="328"/>
      <c r="B164" s="328"/>
      <c r="C164" s="328"/>
      <c r="D164" s="328"/>
      <c r="E164" s="110" t="s">
        <v>27</v>
      </c>
      <c r="F164" s="103" t="s">
        <v>203</v>
      </c>
      <c r="G164" s="111">
        <v>74937.578027465672</v>
      </c>
      <c r="H164" s="111">
        <v>75003.74531835207</v>
      </c>
      <c r="I164" s="111">
        <v>61631.169966113797</v>
      </c>
      <c r="J164" s="111">
        <v>62863.793365436068</v>
      </c>
      <c r="K164" s="111">
        <v>1216.2159101123593</v>
      </c>
      <c r="L164" s="111">
        <v>1240.5402283146066</v>
      </c>
      <c r="M164" s="111">
        <f t="shared" si="31"/>
        <v>276893.04281579459</v>
      </c>
      <c r="N164" s="68"/>
    </row>
    <row r="165" spans="1:14" ht="27.95" x14ac:dyDescent="0.3">
      <c r="A165" s="328"/>
      <c r="B165" s="328"/>
      <c r="C165" s="328"/>
      <c r="D165" s="328"/>
      <c r="E165" s="110" t="s">
        <v>29</v>
      </c>
      <c r="F165" s="103" t="s">
        <v>204</v>
      </c>
      <c r="G165" s="111">
        <v>0</v>
      </c>
      <c r="H165" s="111">
        <v>0</v>
      </c>
      <c r="I165" s="111">
        <v>38466.131942215092</v>
      </c>
      <c r="J165" s="111">
        <v>23337.207390048156</v>
      </c>
      <c r="K165" s="111">
        <v>23803.951537849123</v>
      </c>
      <c r="L165" s="111">
        <v>24280.030568606104</v>
      </c>
      <c r="M165" s="111">
        <f t="shared" si="31"/>
        <v>109887.32143871847</v>
      </c>
      <c r="N165" s="68"/>
    </row>
    <row r="166" spans="1:14" x14ac:dyDescent="0.3">
      <c r="A166" s="328"/>
      <c r="B166" s="328"/>
      <c r="C166" s="328"/>
      <c r="D166" s="328"/>
      <c r="E166" s="110" t="s">
        <v>31</v>
      </c>
      <c r="F166" s="103" t="s">
        <v>205</v>
      </c>
      <c r="G166" s="111">
        <v>1591.7602996254682</v>
      </c>
      <c r="H166" s="111">
        <v>6494.3820224719102</v>
      </c>
      <c r="I166" s="111">
        <v>56929.752808988764</v>
      </c>
      <c r="J166" s="111">
        <v>37238.805072231145</v>
      </c>
      <c r="K166" s="111">
        <v>59229.714822471913</v>
      </c>
      <c r="L166" s="111">
        <v>35228.388816924562</v>
      </c>
      <c r="M166" s="111">
        <f t="shared" si="31"/>
        <v>196712.80384271377</v>
      </c>
      <c r="N166" s="68"/>
    </row>
    <row r="167" spans="1:14" x14ac:dyDescent="0.3">
      <c r="A167" s="328"/>
      <c r="B167" s="328"/>
      <c r="C167" s="328"/>
      <c r="D167" s="328" t="s">
        <v>33</v>
      </c>
      <c r="E167" s="104" t="s">
        <v>21</v>
      </c>
      <c r="F167" s="103" t="s">
        <v>206</v>
      </c>
      <c r="G167" s="111">
        <v>1034.3804213483145</v>
      </c>
      <c r="H167" s="111">
        <v>1867.6036799999997</v>
      </c>
      <c r="I167" s="111">
        <v>1909.1560003685393</v>
      </c>
      <c r="J167" s="111">
        <v>1746.9183043642247</v>
      </c>
      <c r="K167" s="111">
        <v>1781.8566704515094</v>
      </c>
      <c r="L167" s="111">
        <v>1817.4938038605399</v>
      </c>
      <c r="M167" s="111">
        <f t="shared" si="31"/>
        <v>10157.408880393126</v>
      </c>
      <c r="N167" s="68"/>
    </row>
    <row r="168" spans="1:14" x14ac:dyDescent="0.3">
      <c r="A168" s="328"/>
      <c r="B168" s="328"/>
      <c r="C168" s="328"/>
      <c r="D168" s="328"/>
      <c r="E168" s="13" t="s">
        <v>23</v>
      </c>
      <c r="F168" s="103" t="s">
        <v>207</v>
      </c>
      <c r="G168" s="11">
        <v>622.16292134831463</v>
      </c>
      <c r="H168" s="11">
        <v>313.69915355805233</v>
      </c>
      <c r="I168" s="11">
        <v>67.127231460674167</v>
      </c>
      <c r="J168" s="11">
        <v>68.469776089887645</v>
      </c>
      <c r="K168" s="11">
        <v>181.58184619038201</v>
      </c>
      <c r="L168" s="11">
        <v>71.235955043919105</v>
      </c>
      <c r="M168" s="11">
        <f t="shared" si="31"/>
        <v>1324.2768836912298</v>
      </c>
      <c r="N168" s="68"/>
    </row>
    <row r="169" spans="1:14" x14ac:dyDescent="0.3">
      <c r="A169" s="328"/>
      <c r="B169" s="328"/>
      <c r="C169" s="328"/>
      <c r="D169" s="328"/>
      <c r="E169" s="13" t="s">
        <v>27</v>
      </c>
      <c r="F169" s="103" t="s">
        <v>208</v>
      </c>
      <c r="G169" s="11">
        <v>17959.934256286782</v>
      </c>
      <c r="H169" s="11">
        <v>8253.0364451460682</v>
      </c>
      <c r="I169" s="11">
        <v>5119.5697065871927</v>
      </c>
      <c r="J169" s="11">
        <v>53.776162140997748</v>
      </c>
      <c r="K169" s="11">
        <v>2111.8347838873033</v>
      </c>
      <c r="L169" s="11">
        <v>55.948719091494063</v>
      </c>
      <c r="M169" s="11">
        <f t="shared" si="31"/>
        <v>33554.100073139845</v>
      </c>
      <c r="N169" s="68"/>
    </row>
    <row r="170" spans="1:14" ht="27.95" x14ac:dyDescent="0.3">
      <c r="A170" s="328"/>
      <c r="B170" s="328"/>
      <c r="C170" s="328"/>
      <c r="D170" s="328"/>
      <c r="E170" s="13" t="s">
        <v>29</v>
      </c>
      <c r="F170" s="103" t="s">
        <v>209</v>
      </c>
      <c r="G170" s="11">
        <v>545.80463558052429</v>
      </c>
      <c r="H170" s="11">
        <v>650.82502144719103</v>
      </c>
      <c r="I170" s="11">
        <v>2326.9346639884948</v>
      </c>
      <c r="J170" s="11">
        <v>749.76152427950012</v>
      </c>
      <c r="K170" s="11">
        <v>577.18869386513506</v>
      </c>
      <c r="L170" s="11">
        <v>510.00249022789848</v>
      </c>
      <c r="M170" s="11">
        <f t="shared" si="31"/>
        <v>5360.517029388744</v>
      </c>
      <c r="N170" s="68"/>
    </row>
    <row r="171" spans="1:14" x14ac:dyDescent="0.3">
      <c r="A171" s="328"/>
      <c r="B171" s="328"/>
      <c r="C171" s="328"/>
      <c r="D171" s="328"/>
      <c r="E171" s="13" t="s">
        <v>31</v>
      </c>
      <c r="F171" s="103" t="s">
        <v>210</v>
      </c>
      <c r="G171" s="11">
        <v>1565.3487426431243</v>
      </c>
      <c r="H171" s="11">
        <v>3287.9164917423223</v>
      </c>
      <c r="I171" s="11">
        <v>2462.9276582739781</v>
      </c>
      <c r="J171" s="11">
        <v>2045.6570237706287</v>
      </c>
      <c r="K171" s="11">
        <v>2358.6990950524437</v>
      </c>
      <c r="L171" s="11">
        <v>2377.1096265571587</v>
      </c>
      <c r="M171" s="11">
        <f t="shared" si="31"/>
        <v>14097.658638039655</v>
      </c>
      <c r="N171" s="68"/>
    </row>
    <row r="172" spans="1:14" ht="27.95" x14ac:dyDescent="0.3">
      <c r="A172" s="328"/>
      <c r="B172" s="328"/>
      <c r="C172" s="328"/>
      <c r="D172" s="328"/>
      <c r="E172" s="13" t="s">
        <v>38</v>
      </c>
      <c r="F172" s="103" t="s">
        <v>211</v>
      </c>
      <c r="G172" s="11">
        <v>360.85449438202238</v>
      </c>
      <c r="H172" s="11">
        <v>588.91453483146051</v>
      </c>
      <c r="I172" s="11">
        <v>600.69282552808977</v>
      </c>
      <c r="J172" s="11">
        <v>612.70668203865159</v>
      </c>
      <c r="K172" s="11">
        <v>624.96081567942463</v>
      </c>
      <c r="L172" s="11">
        <v>637.46003199301288</v>
      </c>
      <c r="M172" s="11">
        <f t="shared" si="31"/>
        <v>3425.5893844526618</v>
      </c>
      <c r="N172" s="68"/>
    </row>
    <row r="173" spans="1:14" ht="27.95" x14ac:dyDescent="0.3">
      <c r="A173" s="328"/>
      <c r="B173" s="328"/>
      <c r="C173" s="328"/>
      <c r="D173" s="54" t="s">
        <v>213</v>
      </c>
      <c r="E173" s="10"/>
      <c r="F173" s="106"/>
      <c r="G173" s="8">
        <f t="shared" ref="G173:M173" si="32">SUM(G161:G172)</f>
        <v>121973.05681763173</v>
      </c>
      <c r="H173" s="8">
        <f t="shared" si="32"/>
        <v>154599.50293439472</v>
      </c>
      <c r="I173" s="8">
        <f t="shared" si="32"/>
        <v>252571.65649165152</v>
      </c>
      <c r="J173" s="8">
        <f t="shared" si="32"/>
        <v>187881.34973227265</v>
      </c>
      <c r="K173" s="8">
        <f t="shared" si="32"/>
        <v>145023.81242266222</v>
      </c>
      <c r="L173" s="8">
        <f t="shared" si="32"/>
        <v>84049.233729575353</v>
      </c>
      <c r="M173" s="8">
        <f t="shared" si="32"/>
        <v>946098.61212818802</v>
      </c>
      <c r="N173" s="68"/>
    </row>
    <row r="174" spans="1:14" x14ac:dyDescent="0.3">
      <c r="A174" s="328"/>
      <c r="B174" s="328"/>
      <c r="C174" s="16" t="s">
        <v>214</v>
      </c>
      <c r="D174" s="14"/>
      <c r="E174" s="10"/>
      <c r="F174" s="95"/>
      <c r="G174" s="8">
        <f t="shared" ref="G174:M174" si="33">G149+G160+G173</f>
        <v>174215.74049903726</v>
      </c>
      <c r="H174" s="8">
        <f t="shared" si="33"/>
        <v>1101532.0487805544</v>
      </c>
      <c r="I174" s="8">
        <f t="shared" si="33"/>
        <v>1119165.198513861</v>
      </c>
      <c r="J174" s="8">
        <f t="shared" si="33"/>
        <v>404516.53774149355</v>
      </c>
      <c r="K174" s="8">
        <f t="shared" si="33"/>
        <v>837020.60670734011</v>
      </c>
      <c r="L174" s="8">
        <f t="shared" si="33"/>
        <v>238554.05164428547</v>
      </c>
      <c r="M174" s="8">
        <f t="shared" si="33"/>
        <v>3875004.1838865718</v>
      </c>
      <c r="N174" s="68"/>
    </row>
    <row r="175" spans="1:14" x14ac:dyDescent="0.3">
      <c r="A175" s="328"/>
      <c r="B175" s="328" t="s">
        <v>215</v>
      </c>
      <c r="C175" s="340" t="s">
        <v>216</v>
      </c>
      <c r="D175" s="328" t="s">
        <v>20</v>
      </c>
      <c r="E175" t="s">
        <v>21</v>
      </c>
      <c r="F175" s="103" t="s">
        <v>212</v>
      </c>
      <c r="G175" s="11">
        <v>8341.1546496255451</v>
      </c>
      <c r="H175" s="11">
        <v>13590.092358041304</v>
      </c>
      <c r="I175" s="11">
        <v>13861.894205202127</v>
      </c>
      <c r="J175" s="11">
        <v>14139.132089306171</v>
      </c>
      <c r="K175" s="11">
        <v>14421.914731092296</v>
      </c>
      <c r="L175" s="11">
        <v>9552.3340119407458</v>
      </c>
      <c r="M175" s="11">
        <f t="shared" ref="M175:M180" si="34">SUM(G175:L175)</f>
        <v>73906.522045208185</v>
      </c>
      <c r="N175" s="68"/>
    </row>
    <row r="176" spans="1:14" x14ac:dyDescent="0.3">
      <c r="A176" s="328"/>
      <c r="B176" s="328"/>
      <c r="C176" s="340"/>
      <c r="D176" s="328"/>
      <c r="E176" s="13" t="s">
        <v>23</v>
      </c>
      <c r="F176" s="103" t="s">
        <v>217</v>
      </c>
      <c r="G176" s="11">
        <v>0</v>
      </c>
      <c r="H176" s="11">
        <v>22237.652153558054</v>
      </c>
      <c r="I176" s="11">
        <v>17556.004213483146</v>
      </c>
      <c r="J176" s="11">
        <v>17556.004213483146</v>
      </c>
      <c r="K176" s="11">
        <v>14044.768258426966</v>
      </c>
      <c r="L176" s="11">
        <v>0</v>
      </c>
      <c r="M176" s="11">
        <f t="shared" si="34"/>
        <v>71394.428838951309</v>
      </c>
      <c r="N176" s="68"/>
    </row>
    <row r="177" spans="1:14" x14ac:dyDescent="0.3">
      <c r="A177" s="328"/>
      <c r="B177" s="328"/>
      <c r="C177" s="340"/>
      <c r="D177" s="328"/>
      <c r="E177" s="13" t="s">
        <v>27</v>
      </c>
      <c r="F177" s="103" t="s">
        <v>218</v>
      </c>
      <c r="G177" s="11">
        <v>902.88924558587485</v>
      </c>
      <c r="H177" s="11">
        <v>613.96468699839488</v>
      </c>
      <c r="I177" s="11">
        <v>626.24398073836278</v>
      </c>
      <c r="J177" s="11">
        <v>638.76886035313009</v>
      </c>
      <c r="K177" s="11">
        <v>651.54423756019253</v>
      </c>
      <c r="L177" s="11">
        <v>664.5751223113964</v>
      </c>
      <c r="M177" s="11">
        <f t="shared" si="34"/>
        <v>4097.9861335473515</v>
      </c>
      <c r="N177" s="68"/>
    </row>
    <row r="178" spans="1:14" ht="27.95" x14ac:dyDescent="0.3">
      <c r="A178" s="328"/>
      <c r="B178" s="328"/>
      <c r="C178" s="340"/>
      <c r="D178" s="328"/>
      <c r="E178" s="13" t="s">
        <v>29</v>
      </c>
      <c r="F178" s="103" t="s">
        <v>219</v>
      </c>
      <c r="G178" s="11">
        <v>2496.8789013732835</v>
      </c>
      <c r="H178" s="11">
        <v>31668.116639914391</v>
      </c>
      <c r="I178" s="11">
        <v>14117.209309791333</v>
      </c>
      <c r="J178" s="11">
        <v>14399.553495987162</v>
      </c>
      <c r="K178" s="11">
        <v>30903.756700738362</v>
      </c>
      <c r="L178" s="11">
        <v>14981.295457225046</v>
      </c>
      <c r="M178" s="11">
        <f t="shared" si="34"/>
        <v>108566.81050502957</v>
      </c>
      <c r="N178" s="68"/>
    </row>
    <row r="179" spans="1:14" x14ac:dyDescent="0.3">
      <c r="A179" s="328"/>
      <c r="B179" s="328"/>
      <c r="C179" s="340"/>
      <c r="D179" s="328"/>
      <c r="E179" s="13" t="s">
        <v>31</v>
      </c>
      <c r="F179" s="103" t="s">
        <v>220</v>
      </c>
      <c r="G179" s="11">
        <v>568.48582129481008</v>
      </c>
      <c r="H179" s="11">
        <v>52798.234349919745</v>
      </c>
      <c r="I179" s="11">
        <v>33433.078651685391</v>
      </c>
      <c r="J179" s="11">
        <v>54931.283017656504</v>
      </c>
      <c r="K179" s="11">
        <v>34783.775029213488</v>
      </c>
      <c r="L179" s="11">
        <v>55267.544005020871</v>
      </c>
      <c r="M179" s="11">
        <f t="shared" si="34"/>
        <v>231782.40087479082</v>
      </c>
      <c r="N179" s="68"/>
    </row>
    <row r="180" spans="1:14" ht="27.95" x14ac:dyDescent="0.3">
      <c r="A180" s="328"/>
      <c r="B180" s="328"/>
      <c r="C180" s="340"/>
      <c r="D180" s="328"/>
      <c r="E180" s="13" t="s">
        <v>38</v>
      </c>
      <c r="F180" s="103" t="s">
        <v>221</v>
      </c>
      <c r="G180" s="11">
        <v>19729.802033172818</v>
      </c>
      <c r="H180" s="11">
        <v>1972.9802033172818</v>
      </c>
      <c r="I180" s="11">
        <v>0</v>
      </c>
      <c r="J180" s="11">
        <v>0</v>
      </c>
      <c r="K180" s="11">
        <v>0</v>
      </c>
      <c r="L180" s="11">
        <v>0</v>
      </c>
      <c r="M180" s="11">
        <f t="shared" si="34"/>
        <v>21702.7822364901</v>
      </c>
      <c r="N180" s="68"/>
    </row>
    <row r="181" spans="1:14" ht="27.95" x14ac:dyDescent="0.3">
      <c r="A181" s="328"/>
      <c r="B181" s="328"/>
      <c r="C181" s="340"/>
      <c r="D181" s="54" t="s">
        <v>224</v>
      </c>
      <c r="E181" s="10"/>
      <c r="F181" s="106"/>
      <c r="G181" s="8">
        <f t="shared" ref="G181:M181" si="35">SUM(G175:G180)</f>
        <v>32039.21065105233</v>
      </c>
      <c r="H181" s="8">
        <f t="shared" si="35"/>
        <v>122881.04039174918</v>
      </c>
      <c r="I181" s="8">
        <f t="shared" si="35"/>
        <v>79594.430360900355</v>
      </c>
      <c r="J181" s="8">
        <f t="shared" si="35"/>
        <v>101664.74167678611</v>
      </c>
      <c r="K181" s="8">
        <f t="shared" si="35"/>
        <v>94805.758957031299</v>
      </c>
      <c r="L181" s="8">
        <f t="shared" si="35"/>
        <v>80465.748596498059</v>
      </c>
      <c r="M181" s="8">
        <f t="shared" si="35"/>
        <v>511450.93063401734</v>
      </c>
      <c r="N181" s="68"/>
    </row>
    <row r="182" spans="1:14" x14ac:dyDescent="0.3">
      <c r="A182" s="328"/>
      <c r="B182" s="328"/>
      <c r="C182" s="340" t="s">
        <v>225</v>
      </c>
      <c r="D182" s="328" t="s">
        <v>20</v>
      </c>
      <c r="E182" t="s">
        <v>21</v>
      </c>
      <c r="F182" s="103" t="s">
        <v>222</v>
      </c>
      <c r="G182" s="11">
        <v>25023.463948876633</v>
      </c>
      <c r="H182" s="11">
        <v>41363.776271555696</v>
      </c>
      <c r="I182" s="11">
        <v>42191.051796986801</v>
      </c>
      <c r="J182" s="11">
        <v>42417.396267918521</v>
      </c>
      <c r="K182" s="11">
        <v>43265.744193276892</v>
      </c>
      <c r="L182" s="11">
        <v>28657.002035822239</v>
      </c>
      <c r="M182" s="11">
        <f t="shared" ref="M182:M192" si="36">SUM(G182:L182)</f>
        <v>222918.43451443675</v>
      </c>
      <c r="N182" s="68"/>
    </row>
    <row r="183" spans="1:14" x14ac:dyDescent="0.3">
      <c r="A183" s="328"/>
      <c r="B183" s="328"/>
      <c r="C183" s="340"/>
      <c r="D183" s="328"/>
      <c r="E183" s="13" t="s">
        <v>23</v>
      </c>
      <c r="F183" s="103" t="s">
        <v>223</v>
      </c>
      <c r="G183" s="11">
        <v>0</v>
      </c>
      <c r="H183" s="11">
        <v>57349.660580524345</v>
      </c>
      <c r="I183" s="11">
        <v>52668.012640449437</v>
      </c>
      <c r="J183" s="11">
        <v>52668.012640449437</v>
      </c>
      <c r="K183" s="11">
        <v>42134.304775280892</v>
      </c>
      <c r="L183" s="11">
        <v>0</v>
      </c>
      <c r="M183" s="11">
        <f t="shared" si="36"/>
        <v>204819.99063670408</v>
      </c>
      <c r="N183" s="68"/>
    </row>
    <row r="184" spans="1:14" x14ac:dyDescent="0.3">
      <c r="A184" s="328"/>
      <c r="B184" s="328"/>
      <c r="C184" s="340"/>
      <c r="D184" s="328"/>
      <c r="E184" s="13" t="s">
        <v>27</v>
      </c>
      <c r="F184" s="103" t="s">
        <v>226</v>
      </c>
      <c r="G184" s="11">
        <v>2708.6677367576244</v>
      </c>
      <c r="H184" s="11">
        <v>42199.839486356337</v>
      </c>
      <c r="I184" s="11">
        <v>116829.29373996789</v>
      </c>
      <c r="J184" s="11">
        <v>1916.3065810593903</v>
      </c>
      <c r="K184" s="11">
        <v>1954.6327126805777</v>
      </c>
      <c r="L184" s="11">
        <v>1993.7253669341894</v>
      </c>
      <c r="M184" s="11">
        <f>SUM(G184:L184)</f>
        <v>167602.46562375603</v>
      </c>
      <c r="N184" s="68"/>
    </row>
    <row r="185" spans="1:14" ht="27.95" x14ac:dyDescent="0.3">
      <c r="A185" s="328"/>
      <c r="B185" s="328"/>
      <c r="C185" s="340"/>
      <c r="D185" s="328"/>
      <c r="E185" s="13" t="s">
        <v>29</v>
      </c>
      <c r="F185" s="103" t="s">
        <v>227</v>
      </c>
      <c r="G185" s="11">
        <v>0</v>
      </c>
      <c r="H185" s="11">
        <v>18390.561797752809</v>
      </c>
      <c r="I185" s="11">
        <v>18758.373033707867</v>
      </c>
      <c r="J185" s="11">
        <v>14399.553495987162</v>
      </c>
      <c r="K185" s="11">
        <v>14687.544565906905</v>
      </c>
      <c r="L185" s="11">
        <v>14981.295457225046</v>
      </c>
      <c r="M185" s="11">
        <f>SUM(G185:L185)</f>
        <v>81217.328350579788</v>
      </c>
      <c r="N185" s="68"/>
    </row>
    <row r="186" spans="1:14" x14ac:dyDescent="0.3">
      <c r="A186" s="328"/>
      <c r="B186" s="328"/>
      <c r="C186" s="340"/>
      <c r="D186" s="328"/>
      <c r="E186" s="13" t="s">
        <v>31</v>
      </c>
      <c r="F186" s="103" t="s">
        <v>228</v>
      </c>
      <c r="G186" s="11">
        <v>1705.4574638844301</v>
      </c>
      <c r="H186" s="11">
        <v>30029.695024077049</v>
      </c>
      <c r="I186" s="11">
        <v>21347.961476725519</v>
      </c>
      <c r="J186" s="11">
        <v>31242.894703049758</v>
      </c>
      <c r="K186" s="11">
        <v>22210.419120385232</v>
      </c>
      <c r="L186" s="11">
        <v>26856.219109406098</v>
      </c>
      <c r="M186" s="11">
        <f t="shared" si="36"/>
        <v>133392.64689752809</v>
      </c>
      <c r="N186" s="68"/>
    </row>
    <row r="187" spans="1:14" x14ac:dyDescent="0.3">
      <c r="A187" s="328"/>
      <c r="B187" s="328"/>
      <c r="C187" s="340"/>
      <c r="D187" s="328" t="s">
        <v>33</v>
      </c>
      <c r="E187" t="s">
        <v>21</v>
      </c>
      <c r="F187" s="103" t="s">
        <v>229</v>
      </c>
      <c r="G187" s="11">
        <v>1027.9556982343499</v>
      </c>
      <c r="H187" s="11">
        <v>2320.2965457463883</v>
      </c>
      <c r="I187" s="11">
        <v>2368.7335668057785</v>
      </c>
      <c r="J187" s="11">
        <v>2170.0848501418941</v>
      </c>
      <c r="K187" s="11">
        <v>2213.4865471447324</v>
      </c>
      <c r="L187" s="11">
        <v>2257.7562780876274</v>
      </c>
      <c r="M187" s="11">
        <f t="shared" si="36"/>
        <v>12358.31348616077</v>
      </c>
      <c r="N187" s="68"/>
    </row>
    <row r="188" spans="1:14" x14ac:dyDescent="0.3">
      <c r="A188" s="328"/>
      <c r="B188" s="328"/>
      <c r="C188" s="340"/>
      <c r="D188" s="328"/>
      <c r="E188" s="13" t="s">
        <v>23</v>
      </c>
      <c r="F188" s="103" t="s">
        <v>230</v>
      </c>
      <c r="G188" s="11">
        <v>0</v>
      </c>
      <c r="H188" s="11">
        <v>1021.9101123595506</v>
      </c>
      <c r="I188" s="11">
        <v>0</v>
      </c>
      <c r="J188" s="11">
        <v>0</v>
      </c>
      <c r="K188" s="11">
        <v>0</v>
      </c>
      <c r="L188" s="11">
        <v>0</v>
      </c>
      <c r="M188" s="11">
        <f t="shared" si="36"/>
        <v>1021.9101123595506</v>
      </c>
      <c r="N188" s="68"/>
    </row>
    <row r="189" spans="1:14" x14ac:dyDescent="0.3">
      <c r="A189" s="328"/>
      <c r="B189" s="328"/>
      <c r="C189" s="340"/>
      <c r="D189" s="328"/>
      <c r="E189" s="13" t="s">
        <v>27</v>
      </c>
      <c r="F189" s="103" t="s">
        <v>231</v>
      </c>
      <c r="G189" s="11">
        <v>50501.132735865882</v>
      </c>
      <c r="H189" s="11">
        <v>15565.34275861423</v>
      </c>
      <c r="I189" s="11">
        <v>3101.3461191195834</v>
      </c>
      <c r="J189" s="11">
        <v>66.802685889438209</v>
      </c>
      <c r="K189" s="11">
        <v>387.54605303944521</v>
      </c>
      <c r="L189" s="11">
        <v>69.501514399371516</v>
      </c>
      <c r="M189" s="11">
        <f t="shared" si="36"/>
        <v>69691.671866927951</v>
      </c>
      <c r="N189" s="68"/>
    </row>
    <row r="190" spans="1:14" ht="27.95" x14ac:dyDescent="0.3">
      <c r="A190" s="328"/>
      <c r="B190" s="328"/>
      <c r="C190" s="340"/>
      <c r="D190" s="328"/>
      <c r="E190" s="13" t="s">
        <v>29</v>
      </c>
      <c r="F190" s="103" t="s">
        <v>232</v>
      </c>
      <c r="G190" s="11">
        <v>983.42934760121273</v>
      </c>
      <c r="H190" s="11">
        <v>4626.9184159229535</v>
      </c>
      <c r="I190" s="11">
        <v>967.86154812584266</v>
      </c>
      <c r="J190" s="11">
        <v>922.16641640136129</v>
      </c>
      <c r="K190" s="11">
        <v>2460.0919877804317</v>
      </c>
      <c r="L190" s="11">
        <v>623.95684691280417</v>
      </c>
      <c r="M190" s="11">
        <f t="shared" si="36"/>
        <v>10584.424562744605</v>
      </c>
      <c r="N190" s="68"/>
    </row>
    <row r="191" spans="1:14" x14ac:dyDescent="0.3">
      <c r="A191" s="328"/>
      <c r="B191" s="328"/>
      <c r="C191" s="340"/>
      <c r="D191" s="328"/>
      <c r="E191" s="13" t="s">
        <v>31</v>
      </c>
      <c r="F191" s="103" t="s">
        <v>233</v>
      </c>
      <c r="G191" s="11">
        <v>3187.9015516318887</v>
      </c>
      <c r="H191" s="11">
        <v>5800.2186524772624</v>
      </c>
      <c r="I191" s="11">
        <v>5674.5660246895668</v>
      </c>
      <c r="J191" s="11">
        <v>5149.1309309293874</v>
      </c>
      <c r="K191" s="11">
        <v>5627.0335231397366</v>
      </c>
      <c r="L191" s="11">
        <v>5666.234154732967</v>
      </c>
      <c r="M191" s="11">
        <f t="shared" si="36"/>
        <v>31105.084837600807</v>
      </c>
      <c r="N191" s="68"/>
    </row>
    <row r="192" spans="1:14" ht="27.95" x14ac:dyDescent="0.3">
      <c r="A192" s="328"/>
      <c r="B192" s="328"/>
      <c r="C192" s="340"/>
      <c r="D192" s="328"/>
      <c r="E192" s="13" t="s">
        <v>38</v>
      </c>
      <c r="F192" s="103" t="s">
        <v>234</v>
      </c>
      <c r="G192" s="11">
        <v>358.61316211878011</v>
      </c>
      <c r="H192" s="11">
        <v>731.57085072231143</v>
      </c>
      <c r="I192" s="11">
        <v>746.20226773675756</v>
      </c>
      <c r="J192" s="11">
        <v>761.12631309149276</v>
      </c>
      <c r="K192" s="11">
        <v>776.34883935332243</v>
      </c>
      <c r="L192" s="11">
        <v>791.87581614038891</v>
      </c>
      <c r="M192" s="11">
        <f t="shared" si="36"/>
        <v>4165.7372491630531</v>
      </c>
      <c r="N192" s="68"/>
    </row>
    <row r="193" spans="1:14" ht="27.95" x14ac:dyDescent="0.3">
      <c r="A193" s="328"/>
      <c r="B193" s="328"/>
      <c r="C193" s="340"/>
      <c r="D193" s="54" t="s">
        <v>238</v>
      </c>
      <c r="E193" s="10"/>
      <c r="F193" s="106"/>
      <c r="G193" s="8">
        <f t="shared" ref="G193:M193" si="37">SUM(G182:G192)</f>
        <v>85496.621644970801</v>
      </c>
      <c r="H193" s="8">
        <f t="shared" si="37"/>
        <v>219399.79049610894</v>
      </c>
      <c r="I193" s="8">
        <f t="shared" si="37"/>
        <v>264653.40221431508</v>
      </c>
      <c r="J193" s="8">
        <f t="shared" si="37"/>
        <v>151713.47488491784</v>
      </c>
      <c r="K193" s="8">
        <f t="shared" si="37"/>
        <v>135717.15231798819</v>
      </c>
      <c r="L193" s="8">
        <f t="shared" si="37"/>
        <v>81897.566579660721</v>
      </c>
      <c r="M193" s="8">
        <f t="shared" si="37"/>
        <v>938878.00813796162</v>
      </c>
      <c r="N193" s="68"/>
    </row>
    <row r="194" spans="1:14" x14ac:dyDescent="0.3">
      <c r="A194" s="328"/>
      <c r="B194" s="328"/>
      <c r="C194" s="15" t="s">
        <v>239</v>
      </c>
      <c r="D194" s="14"/>
      <c r="E194" s="10"/>
      <c r="F194" s="95"/>
      <c r="G194" s="8">
        <f t="shared" ref="G194:M194" si="38">G181+G193</f>
        <v>117535.83229602313</v>
      </c>
      <c r="H194" s="8">
        <f t="shared" si="38"/>
        <v>342280.83088785812</v>
      </c>
      <c r="I194" s="8">
        <f t="shared" si="38"/>
        <v>344247.83257521543</v>
      </c>
      <c r="J194" s="8">
        <f t="shared" si="38"/>
        <v>253378.21656170394</v>
      </c>
      <c r="K194" s="8">
        <f t="shared" si="38"/>
        <v>230522.91127501949</v>
      </c>
      <c r="L194" s="8">
        <f t="shared" si="38"/>
        <v>162363.31517615879</v>
      </c>
      <c r="M194" s="8">
        <f t="shared" si="38"/>
        <v>1450328.938771979</v>
      </c>
      <c r="N194" s="68"/>
    </row>
    <row r="195" spans="1:14" x14ac:dyDescent="0.3">
      <c r="A195" s="328"/>
      <c r="B195" s="328" t="s">
        <v>240</v>
      </c>
      <c r="C195" s="340" t="s">
        <v>241</v>
      </c>
      <c r="D195" s="328" t="s">
        <v>20</v>
      </c>
      <c r="E195" t="s">
        <v>21</v>
      </c>
      <c r="F195" s="103" t="s">
        <v>235</v>
      </c>
      <c r="G195" s="11">
        <v>2224.3079065668126</v>
      </c>
      <c r="H195" s="11">
        <v>3624.0246288110147</v>
      </c>
      <c r="I195" s="11">
        <v>3696.5051213872348</v>
      </c>
      <c r="J195" s="11">
        <v>3770.4352238149795</v>
      </c>
      <c r="K195" s="11">
        <v>3845.8439282912796</v>
      </c>
      <c r="L195" s="11">
        <v>2547.2890698508663</v>
      </c>
      <c r="M195" s="11">
        <f t="shared" ref="M195:M206" si="39">SUM(G195:L195)</f>
        <v>19708.405878722191</v>
      </c>
      <c r="N195" s="68"/>
    </row>
    <row r="196" spans="1:14" x14ac:dyDescent="0.3">
      <c r="A196" s="328"/>
      <c r="B196" s="328"/>
      <c r="C196" s="340"/>
      <c r="D196" s="328"/>
      <c r="E196" s="13" t="s">
        <v>23</v>
      </c>
      <c r="F196" s="103" t="s">
        <v>236</v>
      </c>
      <c r="G196" s="112">
        <v>0</v>
      </c>
      <c r="H196" s="112">
        <v>4681.6011235955057</v>
      </c>
      <c r="I196" s="112">
        <v>4681.6011235955057</v>
      </c>
      <c r="J196" s="112">
        <v>14044.897003745318</v>
      </c>
      <c r="K196" s="112">
        <v>13108.567415730337</v>
      </c>
      <c r="L196" s="112">
        <v>0</v>
      </c>
      <c r="M196" s="112">
        <f t="shared" si="39"/>
        <v>36516.666666666664</v>
      </c>
      <c r="N196" s="68"/>
    </row>
    <row r="197" spans="1:14" x14ac:dyDescent="0.3">
      <c r="A197" s="328"/>
      <c r="B197" s="328"/>
      <c r="C197" s="340"/>
      <c r="D197" s="328"/>
      <c r="E197" s="13" t="s">
        <v>27</v>
      </c>
      <c r="F197" s="103" t="s">
        <v>237</v>
      </c>
      <c r="G197" s="112">
        <v>240.77046548956662</v>
      </c>
      <c r="H197" s="112">
        <v>163.72391653290529</v>
      </c>
      <c r="I197" s="112">
        <v>1781497.1268057786</v>
      </c>
      <c r="J197" s="112">
        <v>152410.25008025684</v>
      </c>
      <c r="K197" s="112">
        <v>155458.45508186196</v>
      </c>
      <c r="L197" s="112">
        <v>177.22003261637244</v>
      </c>
      <c r="M197" s="112">
        <f>SUM(G197:L197)</f>
        <v>2089947.5463825359</v>
      </c>
      <c r="N197" s="68"/>
    </row>
    <row r="198" spans="1:14" ht="27.95" x14ac:dyDescent="0.3">
      <c r="A198" s="328"/>
      <c r="B198" s="328"/>
      <c r="C198" s="340"/>
      <c r="D198" s="328"/>
      <c r="E198" s="13" t="s">
        <v>29</v>
      </c>
      <c r="F198" s="103" t="s">
        <v>242</v>
      </c>
      <c r="G198" s="112">
        <v>0</v>
      </c>
      <c r="H198" s="112">
        <v>20760.601926163723</v>
      </c>
      <c r="I198" s="112">
        <v>21175.813964687</v>
      </c>
      <c r="J198" s="112">
        <v>40147.285300160518</v>
      </c>
      <c r="K198" s="112">
        <v>40950.231006163725</v>
      </c>
      <c r="L198" s="112">
        <v>22471.943185837561</v>
      </c>
      <c r="M198" s="112">
        <f t="shared" si="39"/>
        <v>145505.87538301252</v>
      </c>
      <c r="N198" s="68"/>
    </row>
    <row r="199" spans="1:14" x14ac:dyDescent="0.3">
      <c r="A199" s="328"/>
      <c r="B199" s="328"/>
      <c r="C199" s="340"/>
      <c r="D199" s="328"/>
      <c r="E199" s="13" t="s">
        <v>31</v>
      </c>
      <c r="F199" s="103" t="s">
        <v>243</v>
      </c>
      <c r="G199" s="112">
        <v>151.59621901194936</v>
      </c>
      <c r="H199" s="112">
        <v>50246.869983948636</v>
      </c>
      <c r="I199" s="112">
        <v>30830.686998394864</v>
      </c>
      <c r="J199" s="112">
        <v>52276.843531300161</v>
      </c>
      <c r="K199" s="112">
        <v>27153.468069341896</v>
      </c>
      <c r="L199" s="112">
        <v>53886.7045842183</v>
      </c>
      <c r="M199" s="112">
        <f t="shared" si="39"/>
        <v>214546.16938621583</v>
      </c>
      <c r="N199" s="68"/>
    </row>
    <row r="200" spans="1:14" ht="27.95" x14ac:dyDescent="0.3">
      <c r="A200" s="328"/>
      <c r="B200" s="328"/>
      <c r="C200" s="340"/>
      <c r="D200" s="328"/>
      <c r="E200" s="13" t="s">
        <v>38</v>
      </c>
      <c r="F200" s="103" t="s">
        <v>244</v>
      </c>
      <c r="G200" s="11">
        <v>0</v>
      </c>
      <c r="H200" s="11">
        <v>0</v>
      </c>
      <c r="I200" s="11">
        <v>0</v>
      </c>
      <c r="J200" s="11">
        <v>72398.341359015525</v>
      </c>
      <c r="K200" s="11">
        <v>0</v>
      </c>
      <c r="L200" s="11">
        <v>0</v>
      </c>
      <c r="M200" s="11">
        <f t="shared" si="39"/>
        <v>72398.341359015525</v>
      </c>
      <c r="N200" s="68"/>
    </row>
    <row r="201" spans="1:14" x14ac:dyDescent="0.3">
      <c r="A201" s="328"/>
      <c r="B201" s="328"/>
      <c r="C201" s="340"/>
      <c r="D201" s="328" t="s">
        <v>33</v>
      </c>
      <c r="E201" t="s">
        <v>21</v>
      </c>
      <c r="F201" s="103" t="s">
        <v>245</v>
      </c>
      <c r="G201" s="11">
        <v>259.04483595505616</v>
      </c>
      <c r="H201" s="11">
        <v>662.49668779454237</v>
      </c>
      <c r="I201" s="11">
        <v>680.29681145142831</v>
      </c>
      <c r="J201" s="11">
        <v>546.86138223575711</v>
      </c>
      <c r="K201" s="11">
        <v>557.79860988047244</v>
      </c>
      <c r="L201" s="11">
        <v>568.9545820780819</v>
      </c>
      <c r="M201" s="11">
        <f t="shared" si="39"/>
        <v>3275.4529093953383</v>
      </c>
      <c r="N201" s="68"/>
    </row>
    <row r="202" spans="1:14" x14ac:dyDescent="0.3">
      <c r="A202" s="328"/>
      <c r="B202" s="328"/>
      <c r="C202" s="340"/>
      <c r="D202" s="328"/>
      <c r="E202" s="13" t="s">
        <v>23</v>
      </c>
      <c r="F202" s="103" t="s">
        <v>246</v>
      </c>
      <c r="G202" s="11">
        <v>310.17977528089892</v>
      </c>
      <c r="H202" s="11">
        <v>418.91501872659171</v>
      </c>
      <c r="I202" s="11">
        <v>89.641955056179782</v>
      </c>
      <c r="J202" s="11">
        <v>91.434794157303372</v>
      </c>
      <c r="K202" s="11">
        <v>242.48507410516851</v>
      </c>
      <c r="L202" s="11">
        <v>95.128759841258443</v>
      </c>
      <c r="M202" s="11">
        <f t="shared" si="39"/>
        <v>1247.7853771674008</v>
      </c>
      <c r="N202" s="68"/>
    </row>
    <row r="203" spans="1:14" x14ac:dyDescent="0.3">
      <c r="A203" s="328"/>
      <c r="B203" s="328"/>
      <c r="C203" s="340"/>
      <c r="D203" s="328"/>
      <c r="E203" s="13" t="s">
        <v>27</v>
      </c>
      <c r="F203" s="103" t="s">
        <v>247</v>
      </c>
      <c r="G203" s="11">
        <v>5832.6921330479763</v>
      </c>
      <c r="H203" s="11">
        <v>8928.1045668106999</v>
      </c>
      <c r="I203" s="11">
        <v>4667.3755665877179</v>
      </c>
      <c r="J203" s="11">
        <v>16.834276844138426</v>
      </c>
      <c r="K203" s="11">
        <v>2764.0738578980977</v>
      </c>
      <c r="L203" s="11">
        <v>17.514381628641619</v>
      </c>
      <c r="M203" s="11">
        <f t="shared" si="39"/>
        <v>22226.594782817272</v>
      </c>
      <c r="N203" s="68"/>
    </row>
    <row r="204" spans="1:14" ht="27.95" x14ac:dyDescent="0.3">
      <c r="A204" s="328"/>
      <c r="B204" s="328"/>
      <c r="C204" s="340"/>
      <c r="D204" s="328"/>
      <c r="E204" s="13" t="s">
        <v>29</v>
      </c>
      <c r="F204" s="103" t="s">
        <v>248</v>
      </c>
      <c r="G204" s="11">
        <v>170.99258510861421</v>
      </c>
      <c r="H204" s="11">
        <v>257.56257789123595</v>
      </c>
      <c r="I204" s="11">
        <v>2558.5174017996228</v>
      </c>
      <c r="J204" s="11">
        <v>253.37482937179462</v>
      </c>
      <c r="K204" s="11">
        <v>199.72536776446202</v>
      </c>
      <c r="L204" s="11">
        <v>179.07396911519979</v>
      </c>
      <c r="M204" s="11">
        <f t="shared" si="39"/>
        <v>3619.2467310509296</v>
      </c>
      <c r="N204" s="68"/>
    </row>
    <row r="205" spans="1:14" x14ac:dyDescent="0.3">
      <c r="A205" s="328"/>
      <c r="B205" s="328"/>
      <c r="C205" s="340"/>
      <c r="D205" s="328"/>
      <c r="E205" s="13" t="s">
        <v>31</v>
      </c>
      <c r="F205" s="103" t="s">
        <v>249</v>
      </c>
      <c r="G205" s="11">
        <v>475.32777742108078</v>
      </c>
      <c r="H205" s="11">
        <v>2780.882212922932</v>
      </c>
      <c r="I205" s="11">
        <v>1776.4067617948044</v>
      </c>
      <c r="J205" s="11">
        <v>1228.8861248748476</v>
      </c>
      <c r="K205" s="11">
        <v>1303.971649313547</v>
      </c>
      <c r="L205" s="11">
        <v>1356.4208645366878</v>
      </c>
      <c r="M205" s="11">
        <f t="shared" si="39"/>
        <v>8921.8953908638996</v>
      </c>
      <c r="N205" s="68"/>
    </row>
    <row r="206" spans="1:14" ht="27.95" x14ac:dyDescent="0.3">
      <c r="A206" s="328"/>
      <c r="B206" s="328"/>
      <c r="C206" s="340"/>
      <c r="D206" s="328"/>
      <c r="E206" s="13" t="s">
        <v>38</v>
      </c>
      <c r="F206" s="103" t="s">
        <v>250</v>
      </c>
      <c r="G206" s="11">
        <v>90.370516853932571</v>
      </c>
      <c r="H206" s="11">
        <v>184.35585438202244</v>
      </c>
      <c r="I206" s="11">
        <v>188.04297146966286</v>
      </c>
      <c r="J206" s="11">
        <v>191.80383089905612</v>
      </c>
      <c r="K206" s="11">
        <v>195.63990751703724</v>
      </c>
      <c r="L206" s="11">
        <v>199.55270566737795</v>
      </c>
      <c r="M206" s="11">
        <f t="shared" si="39"/>
        <v>1049.7657867890894</v>
      </c>
      <c r="N206" s="68"/>
    </row>
    <row r="207" spans="1:14" ht="27.95" x14ac:dyDescent="0.3">
      <c r="A207" s="328"/>
      <c r="B207" s="328"/>
      <c r="C207" s="340"/>
      <c r="D207" s="54" t="s">
        <v>255</v>
      </c>
      <c r="E207" s="10"/>
      <c r="F207" s="106"/>
      <c r="G207" s="8">
        <f t="shared" ref="G207:M207" si="40">SUM(G195:G206)</f>
        <v>9755.2822147358856</v>
      </c>
      <c r="H207" s="8">
        <f t="shared" si="40"/>
        <v>92709.138497579814</v>
      </c>
      <c r="I207" s="8">
        <f t="shared" si="40"/>
        <v>1851842.0154820026</v>
      </c>
      <c r="J207" s="8">
        <f t="shared" si="40"/>
        <v>337377.24773667631</v>
      </c>
      <c r="K207" s="8">
        <f t="shared" si="40"/>
        <v>245780.25996786798</v>
      </c>
      <c r="L207" s="8">
        <f t="shared" si="40"/>
        <v>81499.802135390346</v>
      </c>
      <c r="M207" s="8">
        <f t="shared" si="40"/>
        <v>2618963.7460342529</v>
      </c>
      <c r="N207" s="68"/>
    </row>
    <row r="208" spans="1:14" x14ac:dyDescent="0.3">
      <c r="A208" s="328"/>
      <c r="B208" s="328"/>
      <c r="C208" s="340" t="s">
        <v>256</v>
      </c>
      <c r="D208" s="328" t="s">
        <v>20</v>
      </c>
      <c r="E208" t="s">
        <v>21</v>
      </c>
      <c r="F208" s="103" t="s">
        <v>251</v>
      </c>
      <c r="G208" s="11">
        <v>556.07697664170314</v>
      </c>
      <c r="H208" s="11">
        <v>906.00615720275368</v>
      </c>
      <c r="I208" s="11">
        <v>924.1262803468087</v>
      </c>
      <c r="J208" s="11">
        <v>942.60880595374488</v>
      </c>
      <c r="K208" s="11">
        <v>961.46098207281989</v>
      </c>
      <c r="L208" s="11">
        <v>636.82226746271658</v>
      </c>
      <c r="M208" s="11">
        <f t="shared" ref="M208:M218" si="41">SUM(G208:L208)</f>
        <v>4927.1014696805478</v>
      </c>
      <c r="N208" s="68"/>
    </row>
    <row r="209" spans="1:14" x14ac:dyDescent="0.3">
      <c r="A209" s="328"/>
      <c r="B209" s="328"/>
      <c r="C209" s="340"/>
      <c r="D209" s="328"/>
      <c r="E209" s="13" t="s">
        <v>23</v>
      </c>
      <c r="F209" s="103" t="s">
        <v>252</v>
      </c>
      <c r="G209" s="11">
        <v>0</v>
      </c>
      <c r="H209" s="11">
        <v>10533.696161048691</v>
      </c>
      <c r="I209" s="11">
        <v>10533.696161048691</v>
      </c>
      <c r="J209" s="11">
        <v>10533.696161048691</v>
      </c>
      <c r="K209" s="11">
        <v>936.31788389513099</v>
      </c>
      <c r="L209" s="11">
        <v>0</v>
      </c>
      <c r="M209" s="11">
        <f t="shared" si="41"/>
        <v>32537.406367041203</v>
      </c>
      <c r="N209" s="68"/>
    </row>
    <row r="210" spans="1:14" x14ac:dyDescent="0.3">
      <c r="A210" s="328"/>
      <c r="B210" s="328"/>
      <c r="C210" s="340"/>
      <c r="D210" s="328"/>
      <c r="E210" s="13" t="s">
        <v>27</v>
      </c>
      <c r="F210" s="103" t="s">
        <v>253</v>
      </c>
      <c r="G210" s="11">
        <v>60.192616372391655</v>
      </c>
      <c r="H210" s="11">
        <v>1768668.5393258426</v>
      </c>
      <c r="I210" s="11">
        <v>41.749598715890855</v>
      </c>
      <c r="J210" s="11">
        <v>42.584590690208671</v>
      </c>
      <c r="K210" s="11">
        <v>43.436282504012837</v>
      </c>
      <c r="L210" s="11">
        <v>44.305008154093109</v>
      </c>
      <c r="M210" s="11">
        <f>SUM(G210:L210)</f>
        <v>1768900.8074222794</v>
      </c>
      <c r="N210" s="68"/>
    </row>
    <row r="211" spans="1:14" x14ac:dyDescent="0.3">
      <c r="A211" s="328"/>
      <c r="B211" s="328"/>
      <c r="C211" s="340"/>
      <c r="D211" s="328"/>
      <c r="E211" s="13" t="s">
        <v>31</v>
      </c>
      <c r="F211" s="103" t="s">
        <v>254</v>
      </c>
      <c r="G211" s="11">
        <v>37.89905475298734</v>
      </c>
      <c r="H211" s="11">
        <v>231.9422150882825</v>
      </c>
      <c r="I211" s="11">
        <v>236.58105939004815</v>
      </c>
      <c r="J211" s="11">
        <v>241.31268057784914</v>
      </c>
      <c r="K211" s="11">
        <v>246.13893418940611</v>
      </c>
      <c r="L211" s="11">
        <v>125.53085643659713</v>
      </c>
      <c r="M211" s="11">
        <f>SUM(G211:L211)</f>
        <v>1119.4048004351703</v>
      </c>
      <c r="N211" s="68"/>
    </row>
    <row r="212" spans="1:14" ht="27.95" x14ac:dyDescent="0.3">
      <c r="A212" s="328"/>
      <c r="B212" s="328"/>
      <c r="C212" s="340"/>
      <c r="D212" s="328"/>
      <c r="E212" s="13" t="s">
        <v>29</v>
      </c>
      <c r="F212" s="103" t="s">
        <v>257</v>
      </c>
      <c r="G212" s="11">
        <v>0</v>
      </c>
      <c r="H212" s="11">
        <v>13840.40128410915</v>
      </c>
      <c r="I212" s="11">
        <v>14117.209309791333</v>
      </c>
      <c r="J212" s="11">
        <v>0</v>
      </c>
      <c r="K212" s="11">
        <v>14687.544565906905</v>
      </c>
      <c r="L212" s="11">
        <v>0</v>
      </c>
      <c r="M212" s="11">
        <f t="shared" si="41"/>
        <v>42645.155159807386</v>
      </c>
      <c r="N212" s="68"/>
    </row>
    <row r="213" spans="1:14" x14ac:dyDescent="0.3">
      <c r="A213" s="328"/>
      <c r="B213" s="328"/>
      <c r="C213" s="340"/>
      <c r="D213" s="328" t="s">
        <v>33</v>
      </c>
      <c r="E213" t="s">
        <v>21</v>
      </c>
      <c r="F213" s="103" t="s">
        <v>258</v>
      </c>
      <c r="G213" s="11">
        <v>135.69015216693418</v>
      </c>
      <c r="H213" s="11">
        <v>421.46301241733551</v>
      </c>
      <c r="I213" s="11">
        <v>435.36913999974308</v>
      </c>
      <c r="J213" s="11">
        <v>286.45120021872998</v>
      </c>
      <c r="K213" s="11">
        <v>292.18022422310463</v>
      </c>
      <c r="L213" s="11">
        <v>298.02382870756679</v>
      </c>
      <c r="M213" s="11">
        <f t="shared" si="41"/>
        <v>1869.1775577334142</v>
      </c>
      <c r="N213" s="68"/>
    </row>
    <row r="214" spans="1:14" x14ac:dyDescent="0.3">
      <c r="A214" s="328"/>
      <c r="B214" s="328"/>
      <c r="C214" s="340"/>
      <c r="D214" s="328"/>
      <c r="E214" s="13" t="s">
        <v>23</v>
      </c>
      <c r="F214" s="103" t="s">
        <v>259</v>
      </c>
      <c r="G214" s="11">
        <v>389.52808988764048</v>
      </c>
      <c r="H214" s="11">
        <v>526.07932584269656</v>
      </c>
      <c r="I214" s="11">
        <v>112.5736179775281</v>
      </c>
      <c r="J214" s="11">
        <v>114.82509033707868</v>
      </c>
      <c r="K214" s="11">
        <v>304.51613957393255</v>
      </c>
      <c r="L214" s="11">
        <v>119.46402398669665</v>
      </c>
      <c r="M214" s="11">
        <f t="shared" si="41"/>
        <v>1566.9862876055729</v>
      </c>
      <c r="N214" s="68"/>
    </row>
    <row r="215" spans="1:14" x14ac:dyDescent="0.3">
      <c r="A215" s="328"/>
      <c r="B215" s="328"/>
      <c r="C215" s="340"/>
      <c r="D215" s="328"/>
      <c r="E215" s="13" t="s">
        <v>27</v>
      </c>
      <c r="F215" s="103" t="s">
        <v>260</v>
      </c>
      <c r="G215" s="11">
        <v>5018.657239165329</v>
      </c>
      <c r="H215" s="11">
        <v>10742.911661833708</v>
      </c>
      <c r="I215" s="11">
        <v>5375.130218134459</v>
      </c>
      <c r="J215" s="11">
        <v>8.8179545374058428</v>
      </c>
      <c r="K215" s="11">
        <v>3458.5932986961111</v>
      </c>
      <c r="L215" s="11">
        <v>9.1741999007170385</v>
      </c>
      <c r="M215" s="11">
        <f t="shared" si="41"/>
        <v>24613.28457226773</v>
      </c>
      <c r="N215" s="68"/>
    </row>
    <row r="216" spans="1:14" ht="27.95" x14ac:dyDescent="0.3">
      <c r="A216" s="328"/>
      <c r="B216" s="328"/>
      <c r="C216" s="340"/>
      <c r="D216" s="328"/>
      <c r="E216" s="13" t="s">
        <v>29</v>
      </c>
      <c r="F216" s="103" t="s">
        <v>261</v>
      </c>
      <c r="G216" s="11">
        <v>140.02376002568218</v>
      </c>
      <c r="H216" s="11">
        <v>186.37907103024077</v>
      </c>
      <c r="I216" s="11">
        <v>3089.9973335269297</v>
      </c>
      <c r="J216" s="11">
        <v>150.56832854520439</v>
      </c>
      <c r="K216" s="11">
        <v>122.82319320456304</v>
      </c>
      <c r="L216" s="11">
        <v>112.36989678055595</v>
      </c>
      <c r="M216" s="11">
        <f t="shared" si="41"/>
        <v>3802.1615831131758</v>
      </c>
      <c r="N216" s="68"/>
    </row>
    <row r="217" spans="1:14" x14ac:dyDescent="0.3">
      <c r="A217" s="328"/>
      <c r="B217" s="328"/>
      <c r="C217" s="340"/>
      <c r="D217" s="328"/>
      <c r="E217" s="13" t="s">
        <v>31</v>
      </c>
      <c r="F217" s="103" t="s">
        <v>262</v>
      </c>
      <c r="G217" s="11">
        <v>371.51773996789728</v>
      </c>
      <c r="H217" s="11">
        <v>3131.4511530098225</v>
      </c>
      <c r="I217" s="11">
        <v>1891.8069949155233</v>
      </c>
      <c r="J217" s="11">
        <v>1206.3979966715076</v>
      </c>
      <c r="K217" s="11">
        <v>1223.8230559104927</v>
      </c>
      <c r="L217" s="11">
        <v>1295.9348158506489</v>
      </c>
      <c r="M217" s="11">
        <f t="shared" si="41"/>
        <v>9120.9317563258937</v>
      </c>
      <c r="N217" s="68"/>
    </row>
    <row r="218" spans="1:14" ht="27.95" x14ac:dyDescent="0.3">
      <c r="A218" s="328"/>
      <c r="B218" s="328"/>
      <c r="C218" s="340"/>
      <c r="D218" s="328"/>
      <c r="E218" s="13" t="s">
        <v>38</v>
      </c>
      <c r="F218" s="103" t="s">
        <v>263</v>
      </c>
      <c r="G218" s="11">
        <v>47.336937399678973</v>
      </c>
      <c r="H218" s="11">
        <v>96.567352295345103</v>
      </c>
      <c r="I218" s="11">
        <v>98.498699341251978</v>
      </c>
      <c r="J218" s="11">
        <v>100.46867332807705</v>
      </c>
      <c r="K218" s="11">
        <v>102.47804679463857</v>
      </c>
      <c r="L218" s="11">
        <v>104.52760773053133</v>
      </c>
      <c r="M218" s="11">
        <f t="shared" si="41"/>
        <v>549.87731688952306</v>
      </c>
      <c r="N218" s="68"/>
    </row>
    <row r="219" spans="1:14" ht="27.95" x14ac:dyDescent="0.3">
      <c r="A219" s="328"/>
      <c r="B219" s="328"/>
      <c r="C219" s="340"/>
      <c r="D219" s="54" t="s">
        <v>269</v>
      </c>
      <c r="E219" s="10"/>
      <c r="F219" s="106"/>
      <c r="G219" s="8">
        <f t="shared" ref="G219:M219" si="42">SUM(G208:G218)</f>
        <v>6756.9225663802445</v>
      </c>
      <c r="H219" s="8">
        <f t="shared" si="42"/>
        <v>1809285.4367197207</v>
      </c>
      <c r="I219" s="8">
        <f t="shared" si="42"/>
        <v>36856.738413188206</v>
      </c>
      <c r="J219" s="8">
        <f t="shared" si="42"/>
        <v>13627.731481908497</v>
      </c>
      <c r="K219" s="8">
        <f t="shared" si="42"/>
        <v>22379.312606971125</v>
      </c>
      <c r="L219" s="8">
        <f t="shared" si="42"/>
        <v>2746.1525050101231</v>
      </c>
      <c r="M219" s="8">
        <f t="shared" si="42"/>
        <v>1891652.2942931789</v>
      </c>
      <c r="N219" s="68"/>
    </row>
    <row r="220" spans="1:14" x14ac:dyDescent="0.3">
      <c r="A220" s="328"/>
      <c r="B220" s="328"/>
      <c r="C220" s="340" t="s">
        <v>270</v>
      </c>
      <c r="D220" s="328" t="s">
        <v>20</v>
      </c>
      <c r="E220" s="25" t="s">
        <v>21</v>
      </c>
      <c r="F220" s="103" t="s">
        <v>264</v>
      </c>
      <c r="G220" s="11">
        <v>8341.1546496255451</v>
      </c>
      <c r="H220" s="11">
        <v>13590.092358041305</v>
      </c>
      <c r="I220" s="11">
        <v>13861.89420520213</v>
      </c>
      <c r="J220" s="11">
        <v>14139.132089306175</v>
      </c>
      <c r="K220" s="11">
        <v>14421.914731092296</v>
      </c>
      <c r="L220" s="11">
        <v>9552.3340119407476</v>
      </c>
      <c r="M220" s="11">
        <f t="shared" ref="M220:M230" si="43">SUM(G220:L220)</f>
        <v>73906.522045208214</v>
      </c>
      <c r="N220" s="68"/>
    </row>
    <row r="221" spans="1:14" x14ac:dyDescent="0.3">
      <c r="A221" s="328"/>
      <c r="B221" s="328"/>
      <c r="C221" s="340"/>
      <c r="D221" s="328"/>
      <c r="E221" s="13" t="s">
        <v>23</v>
      </c>
      <c r="F221" s="103" t="s">
        <v>265</v>
      </c>
      <c r="G221" s="11">
        <v>0</v>
      </c>
      <c r="H221" s="11">
        <v>17556.004213483146</v>
      </c>
      <c r="I221" s="11">
        <v>17556.004213483146</v>
      </c>
      <c r="J221" s="11">
        <v>17556.004213483146</v>
      </c>
      <c r="K221" s="11">
        <v>14044.768258426966</v>
      </c>
      <c r="L221" s="11">
        <v>0</v>
      </c>
      <c r="M221" s="11">
        <f t="shared" ref="M221:M225" si="44">SUM(G221:L221)</f>
        <v>66712.780898876401</v>
      </c>
      <c r="N221" s="68"/>
    </row>
    <row r="222" spans="1:14" x14ac:dyDescent="0.3">
      <c r="A222" s="328"/>
      <c r="B222" s="328"/>
      <c r="C222" s="340"/>
      <c r="D222" s="328"/>
      <c r="E222" s="13" t="s">
        <v>27</v>
      </c>
      <c r="F222" s="103" t="s">
        <v>266</v>
      </c>
      <c r="G222" s="11">
        <v>902.88924558587485</v>
      </c>
      <c r="H222" s="11">
        <v>613.96468699839488</v>
      </c>
      <c r="I222" s="11">
        <v>626.24398073836278</v>
      </c>
      <c r="J222" s="11">
        <v>638.76886035313009</v>
      </c>
      <c r="K222" s="11">
        <v>651.54423756019253</v>
      </c>
      <c r="L222" s="11">
        <v>664.57512231139663</v>
      </c>
      <c r="M222" s="11">
        <f t="shared" si="44"/>
        <v>4097.9861335473524</v>
      </c>
      <c r="N222" s="68"/>
    </row>
    <row r="223" spans="1:14" x14ac:dyDescent="0.3">
      <c r="A223" s="328"/>
      <c r="B223" s="328"/>
      <c r="C223" s="340"/>
      <c r="D223" s="328"/>
      <c r="E223" s="13" t="s">
        <v>31</v>
      </c>
      <c r="F223" s="103" t="s">
        <v>267</v>
      </c>
      <c r="G223" s="11">
        <v>568.48582129481008</v>
      </c>
      <c r="H223" s="11">
        <v>3479.1332263242375</v>
      </c>
      <c r="I223" s="11">
        <v>3548.7158908507222</v>
      </c>
      <c r="J223" s="11">
        <v>3619.6902086677374</v>
      </c>
      <c r="K223" s="11">
        <v>3692.0840128410914</v>
      </c>
      <c r="L223" s="11">
        <v>1882.962846548957</v>
      </c>
      <c r="M223" s="11">
        <f t="shared" si="44"/>
        <v>16791.072006527556</v>
      </c>
      <c r="N223" s="68"/>
    </row>
    <row r="224" spans="1:14" ht="27.95" x14ac:dyDescent="0.3">
      <c r="A224" s="328"/>
      <c r="B224" s="328"/>
      <c r="C224" s="340"/>
      <c r="D224" s="328"/>
      <c r="E224" s="13" t="s">
        <v>29</v>
      </c>
      <c r="F224" s="103" t="s">
        <v>268</v>
      </c>
      <c r="G224" s="11">
        <v>3426.5204209024432</v>
      </c>
      <c r="H224" s="11">
        <v>9536.9181380417322</v>
      </c>
      <c r="I224" s="11">
        <v>23844.865810593903</v>
      </c>
      <c r="J224" s="11">
        <v>24321.763126805785</v>
      </c>
      <c r="K224" s="11">
        <v>24808.198389341895</v>
      </c>
      <c r="L224" s="11">
        <v>25304.362357128739</v>
      </c>
      <c r="M224" s="11">
        <f t="shared" si="44"/>
        <v>111242.62824281451</v>
      </c>
      <c r="N224" s="68"/>
    </row>
    <row r="225" spans="1:20" ht="27.95" x14ac:dyDescent="0.3">
      <c r="A225" s="328"/>
      <c r="B225" s="328"/>
      <c r="C225" s="340"/>
      <c r="D225" s="328"/>
      <c r="E225" s="13" t="s">
        <v>38</v>
      </c>
      <c r="F225" s="103" t="s">
        <v>271</v>
      </c>
      <c r="G225" s="11">
        <v>0</v>
      </c>
      <c r="H225" s="11">
        <v>0</v>
      </c>
      <c r="I225" s="11">
        <v>0</v>
      </c>
      <c r="J225" s="11">
        <v>52668.539325842699</v>
      </c>
      <c r="K225" s="11">
        <v>0</v>
      </c>
      <c r="L225" s="11">
        <v>0</v>
      </c>
      <c r="M225" s="11">
        <f t="shared" si="44"/>
        <v>52668.539325842699</v>
      </c>
      <c r="N225" s="68"/>
    </row>
    <row r="226" spans="1:20" x14ac:dyDescent="0.3">
      <c r="A226" s="328"/>
      <c r="B226" s="328"/>
      <c r="C226" s="340"/>
      <c r="D226" s="328" t="s">
        <v>33</v>
      </c>
      <c r="E226" t="s">
        <v>21</v>
      </c>
      <c r="F226" s="103" t="s">
        <v>272</v>
      </c>
      <c r="G226" s="11">
        <v>222.03843081861953</v>
      </c>
      <c r="H226" s="11">
        <v>487.78243269341891</v>
      </c>
      <c r="I226" s="11">
        <v>498.11081303036912</v>
      </c>
      <c r="J226" s="11">
        <v>468.73832763064905</v>
      </c>
      <c r="K226" s="11">
        <v>478.11309418326215</v>
      </c>
      <c r="L226" s="11">
        <v>487.67535606692741</v>
      </c>
      <c r="M226" s="11">
        <f t="shared" si="43"/>
        <v>2642.4584544232466</v>
      </c>
      <c r="N226" s="68"/>
    </row>
    <row r="227" spans="1:20" x14ac:dyDescent="0.3">
      <c r="A227" s="328"/>
      <c r="B227" s="328"/>
      <c r="C227" s="340"/>
      <c r="D227" s="328"/>
      <c r="E227" s="13" t="s">
        <v>27</v>
      </c>
      <c r="F227" s="103" t="s">
        <v>273</v>
      </c>
      <c r="G227" s="11">
        <v>2887.4926110219362</v>
      </c>
      <c r="H227" s="11">
        <v>1127.5037771126808</v>
      </c>
      <c r="I227" s="11">
        <v>848.63550973111398</v>
      </c>
      <c r="J227" s="11">
        <v>14.42938015211865</v>
      </c>
      <c r="K227" s="11">
        <v>206.36235581449199</v>
      </c>
      <c r="L227" s="11">
        <v>15.012327110264243</v>
      </c>
      <c r="M227" s="11">
        <f t="shared" si="43"/>
        <v>5099.4359609426056</v>
      </c>
      <c r="N227" s="68"/>
    </row>
    <row r="228" spans="1:20" ht="27.95" x14ac:dyDescent="0.3">
      <c r="A228" s="328"/>
      <c r="B228" s="328"/>
      <c r="C228" s="340"/>
      <c r="D228" s="328"/>
      <c r="E228" s="13" t="s">
        <v>29</v>
      </c>
      <c r="F228" s="103" t="s">
        <v>274</v>
      </c>
      <c r="G228" s="11">
        <v>113.9326491942215</v>
      </c>
      <c r="H228" s="11">
        <v>194.63622246215087</v>
      </c>
      <c r="I228" s="11">
        <v>317.08576334028629</v>
      </c>
      <c r="J228" s="11">
        <v>204.35932778898609</v>
      </c>
      <c r="K228" s="11">
        <v>168.52850122552604</v>
      </c>
      <c r="L228" s="11">
        <v>140.154984606048</v>
      </c>
      <c r="M228" s="11">
        <f t="shared" si="43"/>
        <v>1138.6974486172187</v>
      </c>
      <c r="N228" s="68"/>
    </row>
    <row r="229" spans="1:20" x14ac:dyDescent="0.3">
      <c r="A229" s="328"/>
      <c r="B229" s="328"/>
      <c r="C229" s="340"/>
      <c r="D229" s="328"/>
      <c r="E229" s="13" t="s">
        <v>31</v>
      </c>
      <c r="F229" s="103" t="s">
        <v>275</v>
      </c>
      <c r="G229" s="11">
        <v>275.61826003210274</v>
      </c>
      <c r="H229" s="11">
        <v>582.12803047601938</v>
      </c>
      <c r="I229" s="11">
        <v>488.6099484725932</v>
      </c>
      <c r="J229" s="11">
        <v>448.07124905301083</v>
      </c>
      <c r="K229" s="11">
        <v>535.99271702429701</v>
      </c>
      <c r="L229" s="11">
        <v>532.9342477006636</v>
      </c>
      <c r="M229" s="11">
        <f t="shared" si="43"/>
        <v>2863.3544527586869</v>
      </c>
      <c r="N229" s="68"/>
    </row>
    <row r="230" spans="1:20" ht="27.95" x14ac:dyDescent="0.3">
      <c r="A230" s="328"/>
      <c r="B230" s="328"/>
      <c r="C230" s="340"/>
      <c r="D230" s="328"/>
      <c r="E230" s="13" t="s">
        <v>38</v>
      </c>
      <c r="F230" s="103" t="s">
        <v>276</v>
      </c>
      <c r="G230" s="11">
        <v>77.460443017656488</v>
      </c>
      <c r="H230" s="11">
        <v>158.01930375601924</v>
      </c>
      <c r="I230" s="11">
        <v>161.1796898311396</v>
      </c>
      <c r="J230" s="11">
        <v>164.40328362776242</v>
      </c>
      <c r="K230" s="11">
        <v>167.69134930031765</v>
      </c>
      <c r="L230" s="11">
        <v>171.04517628632397</v>
      </c>
      <c r="M230" s="11">
        <f t="shared" si="43"/>
        <v>899.79924581921955</v>
      </c>
      <c r="N230" s="68"/>
    </row>
    <row r="231" spans="1:20" ht="27.95" x14ac:dyDescent="0.3">
      <c r="A231" s="328"/>
      <c r="B231" s="328"/>
      <c r="C231" s="340"/>
      <c r="D231" s="54" t="s">
        <v>277</v>
      </c>
      <c r="E231" s="10"/>
      <c r="F231" s="106"/>
      <c r="G231" s="8">
        <f t="shared" ref="G231:M231" si="45">SUM(G220:G230)</f>
        <v>16815.59253149321</v>
      </c>
      <c r="H231" s="8">
        <f t="shared" si="45"/>
        <v>47326.182389389105</v>
      </c>
      <c r="I231" s="8">
        <f t="shared" si="45"/>
        <v>61751.345825273762</v>
      </c>
      <c r="J231" s="8">
        <f t="shared" si="45"/>
        <v>114243.89939271119</v>
      </c>
      <c r="K231" s="8">
        <f t="shared" si="45"/>
        <v>59175.197646810331</v>
      </c>
      <c r="L231" s="8">
        <f t="shared" si="45"/>
        <v>38751.056429700067</v>
      </c>
      <c r="M231" s="8">
        <f t="shared" si="45"/>
        <v>338063.27421537763</v>
      </c>
      <c r="N231" s="68"/>
    </row>
    <row r="232" spans="1:20" x14ac:dyDescent="0.3">
      <c r="A232" s="328"/>
      <c r="B232" s="328"/>
      <c r="C232" s="15" t="s">
        <v>278</v>
      </c>
      <c r="D232" s="14"/>
      <c r="E232" s="10"/>
      <c r="F232" s="95"/>
      <c r="G232" s="8">
        <f t="shared" ref="G232:M232" si="46">G207+G219+G231</f>
        <v>33327.797312609342</v>
      </c>
      <c r="H232" s="8">
        <f t="shared" si="46"/>
        <v>1949320.7576066896</v>
      </c>
      <c r="I232" s="8">
        <f t="shared" si="46"/>
        <v>1950450.0997204646</v>
      </c>
      <c r="J232" s="8">
        <f t="shared" si="46"/>
        <v>465248.87861129595</v>
      </c>
      <c r="K232" s="8">
        <f t="shared" si="46"/>
        <v>327334.77022164944</v>
      </c>
      <c r="L232" s="8">
        <f t="shared" si="46"/>
        <v>122997.01107010053</v>
      </c>
      <c r="M232" s="8">
        <f t="shared" si="46"/>
        <v>4848679.3145428095</v>
      </c>
      <c r="N232" s="68"/>
    </row>
    <row r="233" spans="1:20" x14ac:dyDescent="0.3">
      <c r="A233" s="328"/>
      <c r="B233" s="85" t="s">
        <v>279</v>
      </c>
      <c r="C233" s="97"/>
      <c r="D233" s="82"/>
      <c r="E233" s="83"/>
      <c r="F233" s="89"/>
      <c r="G233" s="84">
        <f t="shared" ref="G233:M233" si="47">SUM(G136,G174,G194,G232)</f>
        <v>457887.22424933221</v>
      </c>
      <c r="H233" s="84">
        <f t="shared" si="47"/>
        <v>3750513.0937584746</v>
      </c>
      <c r="I233" s="84">
        <f t="shared" si="47"/>
        <v>4667945.2907879474</v>
      </c>
      <c r="J233" s="84">
        <f t="shared" si="47"/>
        <v>2307199.0070343064</v>
      </c>
      <c r="K233" s="84">
        <f t="shared" si="47"/>
        <v>2625195.9219754189</v>
      </c>
      <c r="L233" s="84">
        <f t="shared" si="47"/>
        <v>753317.41358774225</v>
      </c>
      <c r="M233" s="84">
        <f t="shared" si="47"/>
        <v>14562057.951393222</v>
      </c>
      <c r="N233" s="68"/>
      <c r="S233" s="68"/>
      <c r="T233" s="230"/>
    </row>
    <row r="234" spans="1:20" x14ac:dyDescent="0.3">
      <c r="A234" s="328"/>
      <c r="B234" s="91" t="s">
        <v>279</v>
      </c>
      <c r="C234" s="92" t="s">
        <v>125</v>
      </c>
      <c r="D234" s="93"/>
      <c r="E234" s="94"/>
      <c r="F234" s="95"/>
      <c r="G234" s="96">
        <f t="shared" ref="G234:L234" si="48">SUM(G96:G102,G110:G115,G123:G129,G137:G142,G150:G153,G161:G166,G175:G180,G182:G186,G195:G200,G208:G212,G220:G225)</f>
        <v>302598.93376244092</v>
      </c>
      <c r="H234" s="96">
        <f t="shared" si="48"/>
        <v>3548197.7202045955</v>
      </c>
      <c r="I234" s="96">
        <f t="shared" si="48"/>
        <v>4519560.5689728735</v>
      </c>
      <c r="J234" s="96">
        <f t="shared" si="48"/>
        <v>2265016.0898670461</v>
      </c>
      <c r="K234" s="96">
        <f t="shared" si="48"/>
        <v>2546549.1653217864</v>
      </c>
      <c r="L234" s="96">
        <f t="shared" si="48"/>
        <v>709562.24035951088</v>
      </c>
      <c r="M234" s="96">
        <f>SUM(G234:L234)</f>
        <v>13891484.718488254</v>
      </c>
      <c r="N234" s="77"/>
      <c r="S234" s="68"/>
      <c r="T234" s="230"/>
    </row>
    <row r="235" spans="1:20" x14ac:dyDescent="0.3">
      <c r="A235" s="328"/>
      <c r="B235" s="91" t="s">
        <v>279</v>
      </c>
      <c r="C235" s="92" t="s">
        <v>33</v>
      </c>
      <c r="D235" s="93"/>
      <c r="E235" s="98"/>
      <c r="F235" s="95"/>
      <c r="G235" s="96">
        <f t="shared" ref="G235:L235" si="49">SUM(G103:G108,G116:G121,G130:G134,G143:G148,G154:G159,G167:G172,G187:G192,G201:G206,G213:G218,G226:G230)</f>
        <v>155288.29048689138</v>
      </c>
      <c r="H235" s="96">
        <f t="shared" si="49"/>
        <v>202315.37355387904</v>
      </c>
      <c r="I235" s="96">
        <f t="shared" si="49"/>
        <v>148384.72181507226</v>
      </c>
      <c r="J235" s="96">
        <f t="shared" si="49"/>
        <v>42182.917167259868</v>
      </c>
      <c r="K235" s="96">
        <f t="shared" si="49"/>
        <v>78646.756653631586</v>
      </c>
      <c r="L235" s="96">
        <f t="shared" si="49"/>
        <v>43755.173228231441</v>
      </c>
      <c r="M235" s="96">
        <f>SUM(G235:L235)</f>
        <v>670573.23290496552</v>
      </c>
      <c r="N235" s="76"/>
      <c r="R235" s="68"/>
      <c r="S235" s="68"/>
      <c r="T235" s="230"/>
    </row>
    <row r="236" spans="1:20" ht="15.05" customHeight="1" x14ac:dyDescent="0.3">
      <c r="A236" s="328" t="s">
        <v>280</v>
      </c>
      <c r="B236" s="337" t="s">
        <v>281</v>
      </c>
      <c r="C236" s="337" t="s">
        <v>282</v>
      </c>
      <c r="D236" s="337" t="s">
        <v>20</v>
      </c>
      <c r="E236" t="s">
        <v>21</v>
      </c>
      <c r="F236" s="108" t="s">
        <v>283</v>
      </c>
      <c r="G236" s="17">
        <v>16492.333395313628</v>
      </c>
      <c r="H236" s="17">
        <v>29668.506299729263</v>
      </c>
      <c r="I236" s="17">
        <v>30261.876425723847</v>
      </c>
      <c r="J236" s="17">
        <v>30867.113954238324</v>
      </c>
      <c r="K236" s="17">
        <v>31484.485488962448</v>
      </c>
      <c r="L236" s="17">
        <v>32114.175198741697</v>
      </c>
      <c r="M236" s="17">
        <f t="shared" ref="M236:M242" si="50">SUM(G236:L236)</f>
        <v>170888.4907627092</v>
      </c>
      <c r="N236" s="68"/>
      <c r="T236" s="68"/>
    </row>
    <row r="237" spans="1:20" x14ac:dyDescent="0.3">
      <c r="A237" s="328"/>
      <c r="B237" s="337"/>
      <c r="C237" s="337"/>
      <c r="D237" s="337"/>
      <c r="E237" s="13" t="s">
        <v>23</v>
      </c>
      <c r="F237" s="108" t="s">
        <v>284</v>
      </c>
      <c r="G237" s="11">
        <v>0</v>
      </c>
      <c r="H237" s="11">
        <v>70926.509831460673</v>
      </c>
      <c r="I237" s="11">
        <v>70926.509831460673</v>
      </c>
      <c r="J237" s="11">
        <v>70926.509831460673</v>
      </c>
      <c r="K237" s="11">
        <v>70926.509831460673</v>
      </c>
      <c r="L237" s="11">
        <v>52668.539325842699</v>
      </c>
      <c r="M237" s="11">
        <f t="shared" si="50"/>
        <v>336374.57865168538</v>
      </c>
      <c r="N237" s="68"/>
      <c r="T237" s="191"/>
    </row>
    <row r="238" spans="1:20" x14ac:dyDescent="0.3">
      <c r="A238" s="328"/>
      <c r="B238" s="337"/>
      <c r="C238" s="337"/>
      <c r="D238" s="337"/>
      <c r="E238" s="13" t="s">
        <v>27</v>
      </c>
      <c r="F238" s="108" t="s">
        <v>285</v>
      </c>
      <c r="G238" s="11">
        <v>1760.6340288924559</v>
      </c>
      <c r="H238" s="11">
        <v>1197.2311396468699</v>
      </c>
      <c r="I238" s="11">
        <v>1221.1757624398074</v>
      </c>
      <c r="J238" s="11">
        <v>1245.5992776886035</v>
      </c>
      <c r="K238" s="11">
        <v>1270.5112632423752</v>
      </c>
      <c r="L238" s="11">
        <v>1295.9214885072231</v>
      </c>
      <c r="M238" s="11">
        <f>SUM(G238:L238)</f>
        <v>7991.0729604173357</v>
      </c>
      <c r="N238" s="68"/>
      <c r="T238" s="191"/>
    </row>
    <row r="239" spans="1:20" x14ac:dyDescent="0.3">
      <c r="A239" s="328"/>
      <c r="B239" s="337"/>
      <c r="C239" s="337"/>
      <c r="D239" s="337"/>
      <c r="E239" s="13" t="s">
        <v>31</v>
      </c>
      <c r="F239" s="108" t="s">
        <v>286</v>
      </c>
      <c r="G239" s="11">
        <v>1478.0631353665062</v>
      </c>
      <c r="H239" s="11">
        <v>27601.123595505618</v>
      </c>
      <c r="I239" s="11">
        <v>28153.146067415728</v>
      </c>
      <c r="J239" s="11">
        <v>28716.208988764047</v>
      </c>
      <c r="K239" s="11">
        <v>29290.533168539325</v>
      </c>
      <c r="L239" s="11">
        <v>24980.640430882828</v>
      </c>
      <c r="M239" s="11">
        <f>SUM(G239:L239)</f>
        <v>140219.71538647407</v>
      </c>
      <c r="N239" s="68"/>
    </row>
    <row r="240" spans="1:20" ht="27.95" x14ac:dyDescent="0.3">
      <c r="A240" s="328"/>
      <c r="B240" s="337"/>
      <c r="C240" s="337"/>
      <c r="D240" s="337"/>
      <c r="E240" s="13" t="s">
        <v>29</v>
      </c>
      <c r="F240" s="108" t="s">
        <v>287</v>
      </c>
      <c r="G240" s="11">
        <v>14981.2734082397</v>
      </c>
      <c r="H240" s="11">
        <v>33108.614232209737</v>
      </c>
      <c r="I240" s="11">
        <v>18184.26966292135</v>
      </c>
      <c r="J240" s="11">
        <v>50344.449438202253</v>
      </c>
      <c r="K240" s="11">
        <v>35135.126292134832</v>
      </c>
      <c r="L240" s="11">
        <v>35837.828817977526</v>
      </c>
      <c r="M240" s="11">
        <f t="shared" si="50"/>
        <v>187591.5618516854</v>
      </c>
      <c r="N240" s="68"/>
    </row>
    <row r="241" spans="1:14" ht="26.2" customHeight="1" x14ac:dyDescent="0.3">
      <c r="A241" s="328"/>
      <c r="B241" s="337"/>
      <c r="C241" s="337"/>
      <c r="D241" s="337" t="s">
        <v>33</v>
      </c>
      <c r="E241" s="13" t="s">
        <v>29</v>
      </c>
      <c r="F241" s="108" t="s">
        <v>288</v>
      </c>
      <c r="G241" s="11">
        <v>346.12195692883898</v>
      </c>
      <c r="H241" s="11">
        <v>422.45764044943826</v>
      </c>
      <c r="I241" s="11">
        <v>163.93533117977529</v>
      </c>
      <c r="J241" s="11">
        <v>261.8118379213484</v>
      </c>
      <c r="K241" s="11">
        <v>170.55831855943822</v>
      </c>
      <c r="L241" s="11">
        <v>173.96948493062698</v>
      </c>
      <c r="M241" s="11">
        <f t="shared" si="50"/>
        <v>1538.8545699694662</v>
      </c>
      <c r="N241" s="68"/>
    </row>
    <row r="242" spans="1:14" ht="29.3" customHeight="1" x14ac:dyDescent="0.3">
      <c r="A242" s="328"/>
      <c r="B242" s="337"/>
      <c r="C242" s="337"/>
      <c r="D242" s="337"/>
      <c r="E242" s="13" t="s">
        <v>31</v>
      </c>
      <c r="F242" s="108" t="s">
        <v>289</v>
      </c>
      <c r="G242" s="11">
        <v>2004.3535981808452</v>
      </c>
      <c r="H242" s="11">
        <v>2064.6233948635636</v>
      </c>
      <c r="I242" s="11">
        <v>2062.1372335473516</v>
      </c>
      <c r="J242" s="11">
        <v>2147.1586074317825</v>
      </c>
      <c r="K242" s="11">
        <v>2145.4475777826647</v>
      </c>
      <c r="L242" s="11">
        <v>2233.0107311360712</v>
      </c>
      <c r="M242" s="11">
        <f t="shared" si="50"/>
        <v>12656.731142942279</v>
      </c>
      <c r="N242" s="68"/>
    </row>
    <row r="243" spans="1:14" ht="27.95" x14ac:dyDescent="0.3">
      <c r="A243" s="328"/>
      <c r="B243" s="337"/>
      <c r="C243" s="337"/>
      <c r="D243" s="54" t="s">
        <v>292</v>
      </c>
      <c r="E243" s="10"/>
      <c r="F243" s="106"/>
      <c r="G243" s="8">
        <f t="shared" ref="G243:M243" si="51">SUM(G236:G242)</f>
        <v>37062.77952292197</v>
      </c>
      <c r="H243" s="8">
        <f t="shared" si="51"/>
        <v>164989.06613386516</v>
      </c>
      <c r="I243" s="8">
        <f t="shared" si="51"/>
        <v>150973.05031468853</v>
      </c>
      <c r="J243" s="8">
        <f t="shared" si="51"/>
        <v>184508.85193570703</v>
      </c>
      <c r="K243" s="8">
        <f t="shared" si="51"/>
        <v>170423.17194068176</v>
      </c>
      <c r="L243" s="8">
        <f t="shared" si="51"/>
        <v>149304.08547801868</v>
      </c>
      <c r="M243" s="8">
        <f t="shared" si="51"/>
        <v>857261.00532588316</v>
      </c>
      <c r="N243" s="68"/>
    </row>
    <row r="244" spans="1:14" x14ac:dyDescent="0.3">
      <c r="A244" s="328"/>
      <c r="B244" s="337"/>
      <c r="C244" s="338" t="s">
        <v>293</v>
      </c>
      <c r="D244" s="334" t="s">
        <v>20</v>
      </c>
      <c r="E244" s="104" t="s">
        <v>21</v>
      </c>
      <c r="F244" s="103" t="s">
        <v>290</v>
      </c>
      <c r="G244" s="11">
        <v>8880.4872128611842</v>
      </c>
      <c r="H244" s="11">
        <v>15975.349546008063</v>
      </c>
      <c r="I244" s="11">
        <v>16294.856536928226</v>
      </c>
      <c r="J244" s="11">
        <v>16620.753667666788</v>
      </c>
      <c r="K244" s="11">
        <v>16953.184494056703</v>
      </c>
      <c r="L244" s="11">
        <v>17292.248183937834</v>
      </c>
      <c r="M244" s="11">
        <f t="shared" ref="M244:M254" si="52">SUM(G244:L244)</f>
        <v>92016.8796414588</v>
      </c>
      <c r="N244" s="68"/>
    </row>
    <row r="245" spans="1:14" x14ac:dyDescent="0.3">
      <c r="A245" s="328"/>
      <c r="B245" s="337"/>
      <c r="C245" s="338"/>
      <c r="D245" s="334"/>
      <c r="E245" s="110" t="s">
        <v>23</v>
      </c>
      <c r="F245" s="103" t="s">
        <v>291</v>
      </c>
      <c r="G245" s="11">
        <v>0</v>
      </c>
      <c r="H245" s="11">
        <v>9831.2148876404499</v>
      </c>
      <c r="I245" s="11">
        <v>9831.2148876404499</v>
      </c>
      <c r="J245" s="11">
        <v>62499.754213483146</v>
      </c>
      <c r="K245" s="11">
        <v>62499.754213483146</v>
      </c>
      <c r="L245" s="11">
        <v>52668.539325842699</v>
      </c>
      <c r="M245" s="11">
        <f t="shared" si="52"/>
        <v>197330.47752808989</v>
      </c>
      <c r="N245" s="68"/>
    </row>
    <row r="246" spans="1:14" x14ac:dyDescent="0.3">
      <c r="A246" s="328"/>
      <c r="B246" s="337"/>
      <c r="C246" s="338"/>
      <c r="D246" s="334"/>
      <c r="E246" s="110" t="s">
        <v>25</v>
      </c>
      <c r="F246" s="103" t="s">
        <v>294</v>
      </c>
      <c r="G246" s="111">
        <v>22739.4328517924</v>
      </c>
      <c r="H246" s="111">
        <v>0</v>
      </c>
      <c r="I246" s="111">
        <v>0</v>
      </c>
      <c r="J246" s="111">
        <v>0</v>
      </c>
      <c r="K246" s="111">
        <v>0</v>
      </c>
      <c r="L246" s="111">
        <v>0</v>
      </c>
      <c r="M246" s="111">
        <f t="shared" si="52"/>
        <v>22739.4328517924</v>
      </c>
      <c r="N246" s="68"/>
    </row>
    <row r="247" spans="1:14" x14ac:dyDescent="0.3">
      <c r="A247" s="328"/>
      <c r="B247" s="337"/>
      <c r="C247" s="338"/>
      <c r="D247" s="334"/>
      <c r="E247" s="110" t="s">
        <v>27</v>
      </c>
      <c r="F247" s="103" t="s">
        <v>295</v>
      </c>
      <c r="G247" s="111">
        <v>948.03370786516848</v>
      </c>
      <c r="H247" s="111">
        <v>552106.24398073833</v>
      </c>
      <c r="I247" s="111">
        <v>104732.62584269661</v>
      </c>
      <c r="J247" s="111">
        <v>106827.27835955056</v>
      </c>
      <c r="K247" s="111">
        <v>108963.82392674156</v>
      </c>
      <c r="L247" s="111">
        <v>111143.10040527637</v>
      </c>
      <c r="M247" s="111">
        <f t="shared" si="52"/>
        <v>984721.10622286866</v>
      </c>
      <c r="N247" s="68"/>
    </row>
    <row r="248" spans="1:14" ht="27.95" x14ac:dyDescent="0.3">
      <c r="A248" s="328"/>
      <c r="B248" s="337"/>
      <c r="C248" s="338"/>
      <c r="D248" s="334"/>
      <c r="E248" s="110" t="s">
        <v>29</v>
      </c>
      <c r="F248" s="103" t="s">
        <v>296</v>
      </c>
      <c r="G248" s="111">
        <v>0</v>
      </c>
      <c r="H248" s="111">
        <v>0</v>
      </c>
      <c r="I248" s="111">
        <v>15586.516853932584</v>
      </c>
      <c r="J248" s="111">
        <v>15898.247191011236</v>
      </c>
      <c r="K248" s="111">
        <v>16216.212134831459</v>
      </c>
      <c r="L248" s="111">
        <v>16540.536377528089</v>
      </c>
      <c r="M248" s="111">
        <f t="shared" si="52"/>
        <v>64241.512557303373</v>
      </c>
      <c r="N248" s="68"/>
    </row>
    <row r="249" spans="1:14" x14ac:dyDescent="0.3">
      <c r="A249" s="328"/>
      <c r="B249" s="337"/>
      <c r="C249" s="338"/>
      <c r="D249" s="334"/>
      <c r="E249" s="110" t="s">
        <v>31</v>
      </c>
      <c r="F249" s="103" t="s">
        <v>297</v>
      </c>
      <c r="G249" s="111">
        <v>795.88014981273409</v>
      </c>
      <c r="H249" s="111">
        <v>4870.7865168539329</v>
      </c>
      <c r="I249" s="111">
        <v>4968.2022471910104</v>
      </c>
      <c r="J249" s="111">
        <v>5067.5662921348321</v>
      </c>
      <c r="K249" s="111">
        <v>5168.9176179775277</v>
      </c>
      <c r="L249" s="111">
        <v>2636.147985168539</v>
      </c>
      <c r="M249" s="111">
        <f t="shared" si="52"/>
        <v>23507.500809138579</v>
      </c>
      <c r="N249" s="68"/>
    </row>
    <row r="250" spans="1:14" x14ac:dyDescent="0.3">
      <c r="A250" s="328"/>
      <c r="B250" s="337"/>
      <c r="C250" s="338"/>
      <c r="D250" s="334" t="s">
        <v>33</v>
      </c>
      <c r="E250" s="104" t="s">
        <v>21</v>
      </c>
      <c r="F250" s="103" t="s">
        <v>298</v>
      </c>
      <c r="G250" s="111">
        <v>1576.1987372926699</v>
      </c>
      <c r="H250" s="111">
        <v>3412.2875017656502</v>
      </c>
      <c r="I250" s="111">
        <v>3482.5059704398072</v>
      </c>
      <c r="J250" s="111">
        <v>3327.4634368842376</v>
      </c>
      <c r="K250" s="111">
        <v>3394.012705621923</v>
      </c>
      <c r="L250" s="111">
        <v>3461.8929597343617</v>
      </c>
      <c r="M250" s="111">
        <f t="shared" si="52"/>
        <v>18654.361311738649</v>
      </c>
      <c r="N250" s="68"/>
    </row>
    <row r="251" spans="1:14" x14ac:dyDescent="0.3">
      <c r="A251" s="328"/>
      <c r="B251" s="337"/>
      <c r="C251" s="338"/>
      <c r="D251" s="334"/>
      <c r="E251" s="110" t="s">
        <v>27</v>
      </c>
      <c r="F251" s="103" t="s">
        <v>299</v>
      </c>
      <c r="G251" s="11">
        <v>19169.201712145532</v>
      </c>
      <c r="H251" s="11">
        <v>3899.5313365721431</v>
      </c>
      <c r="I251" s="11">
        <v>4041.6596736171218</v>
      </c>
      <c r="J251" s="11">
        <v>102.43078503047192</v>
      </c>
      <c r="K251" s="11">
        <v>104.47940073108136</v>
      </c>
      <c r="L251" s="11">
        <v>106.568988745703</v>
      </c>
      <c r="M251" s="11">
        <f t="shared" si="52"/>
        <v>27423.871896842054</v>
      </c>
      <c r="N251" s="68"/>
    </row>
    <row r="252" spans="1:14" ht="27.95" x14ac:dyDescent="0.3">
      <c r="A252" s="328"/>
      <c r="B252" s="337"/>
      <c r="C252" s="338"/>
      <c r="D252" s="334"/>
      <c r="E252" s="110" t="s">
        <v>29</v>
      </c>
      <c r="F252" s="103" t="s">
        <v>300</v>
      </c>
      <c r="G252" s="11">
        <v>5219.5002218476902</v>
      </c>
      <c r="H252" s="11">
        <v>6752.0347706538259</v>
      </c>
      <c r="I252" s="11">
        <v>3200.6173206656176</v>
      </c>
      <c r="J252" s="11">
        <v>4871.6961653782892</v>
      </c>
      <c r="K252" s="11">
        <v>3329.9222604205088</v>
      </c>
      <c r="L252" s="11">
        <v>3246.5588436964631</v>
      </c>
      <c r="M252" s="11">
        <f t="shared" si="52"/>
        <v>26620.329582662398</v>
      </c>
      <c r="N252" s="68"/>
    </row>
    <row r="253" spans="1:14" x14ac:dyDescent="0.3">
      <c r="A253" s="328"/>
      <c r="B253" s="337"/>
      <c r="C253" s="338"/>
      <c r="D253" s="334"/>
      <c r="E253" s="110" t="s">
        <v>31</v>
      </c>
      <c r="F253" s="103" t="s">
        <v>301</v>
      </c>
      <c r="G253" s="11">
        <v>2642.3298867487069</v>
      </c>
      <c r="H253" s="11">
        <v>4051.4503728924565</v>
      </c>
      <c r="I253" s="11">
        <v>3309.7375036679296</v>
      </c>
      <c r="J253" s="11">
        <v>3883.1204096037663</v>
      </c>
      <c r="K253" s="11">
        <v>3950.4737827888398</v>
      </c>
      <c r="L253" s="11">
        <v>4502.0533272477769</v>
      </c>
      <c r="M253" s="11">
        <f t="shared" si="52"/>
        <v>22339.165282949474</v>
      </c>
      <c r="N253" s="68"/>
    </row>
    <row r="254" spans="1:14" ht="27.95" x14ac:dyDescent="0.3">
      <c r="A254" s="328"/>
      <c r="B254" s="337"/>
      <c r="C254" s="338"/>
      <c r="D254" s="334"/>
      <c r="E254" s="110" t="s">
        <v>38</v>
      </c>
      <c r="F254" s="103" t="s">
        <v>302</v>
      </c>
      <c r="G254" s="11">
        <v>549.87351524879614</v>
      </c>
      <c r="H254" s="11">
        <v>1121.741971107544</v>
      </c>
      <c r="I254" s="11">
        <v>1144.1768105296949</v>
      </c>
      <c r="J254" s="11">
        <v>1167.0603467402891</v>
      </c>
      <c r="K254" s="11">
        <v>1190.4015536750944</v>
      </c>
      <c r="L254" s="11">
        <v>1214.2095847485962</v>
      </c>
      <c r="M254" s="11">
        <f t="shared" si="52"/>
        <v>6387.4637820500138</v>
      </c>
      <c r="N254" s="68"/>
    </row>
    <row r="255" spans="1:14" ht="27.95" x14ac:dyDescent="0.3">
      <c r="A255" s="328"/>
      <c r="B255" s="337"/>
      <c r="C255" s="338"/>
      <c r="D255" s="114" t="s">
        <v>305</v>
      </c>
      <c r="E255" s="94"/>
      <c r="F255" s="106"/>
      <c r="G255" s="8">
        <f t="shared" ref="G255:M255" si="53">SUM(G244:G254)</f>
        <v>62520.93799561487</v>
      </c>
      <c r="H255" s="8">
        <f t="shared" si="53"/>
        <v>602020.64088423236</v>
      </c>
      <c r="I255" s="8">
        <f t="shared" si="53"/>
        <v>166592.1136473091</v>
      </c>
      <c r="J255" s="8">
        <f t="shared" si="53"/>
        <v>220265.37086748364</v>
      </c>
      <c r="K255" s="8">
        <f t="shared" si="53"/>
        <v>221771.18209032787</v>
      </c>
      <c r="L255" s="8">
        <f t="shared" si="53"/>
        <v>212811.85598192643</v>
      </c>
      <c r="M255" s="8">
        <f t="shared" si="53"/>
        <v>1485982.1014668941</v>
      </c>
      <c r="N255" s="68"/>
    </row>
    <row r="256" spans="1:14" x14ac:dyDescent="0.3">
      <c r="A256" s="328"/>
      <c r="B256" s="337"/>
      <c r="C256" s="339" t="s">
        <v>306</v>
      </c>
      <c r="D256" s="334" t="s">
        <v>307</v>
      </c>
      <c r="E256" s="104" t="s">
        <v>21</v>
      </c>
      <c r="F256" s="103" t="s">
        <v>303</v>
      </c>
      <c r="G256" s="112">
        <v>480390.23245680885</v>
      </c>
      <c r="H256" s="112">
        <v>285214.3227743372</v>
      </c>
      <c r="I256" s="112">
        <v>285214.3227743372</v>
      </c>
      <c r="J256" s="112">
        <v>285214.3227743372</v>
      </c>
      <c r="K256" s="112">
        <v>285214.3227743372</v>
      </c>
      <c r="L256" s="112">
        <v>0</v>
      </c>
      <c r="M256" s="112">
        <f t="shared" ref="M256:M262" si="54">SUM(G256:L256)</f>
        <v>1621247.5235541575</v>
      </c>
      <c r="N256" s="68"/>
    </row>
    <row r="257" spans="1:14" x14ac:dyDescent="0.3">
      <c r="A257" s="328"/>
      <c r="B257" s="337"/>
      <c r="C257" s="339"/>
      <c r="D257" s="334"/>
      <c r="E257" s="110" t="s">
        <v>25</v>
      </c>
      <c r="F257" s="103" t="s">
        <v>304</v>
      </c>
      <c r="G257" s="11">
        <v>47255.821183530759</v>
      </c>
      <c r="H257" s="11">
        <v>28056.43438476383</v>
      </c>
      <c r="I257" s="11">
        <v>28056.43438476383</v>
      </c>
      <c r="J257" s="11">
        <v>28056.43438476383</v>
      </c>
      <c r="K257" s="11">
        <v>28056.43438476383</v>
      </c>
      <c r="L257" s="11">
        <v>0</v>
      </c>
      <c r="M257" s="11">
        <f t="shared" si="54"/>
        <v>159481.55872258605</v>
      </c>
      <c r="N257" s="68"/>
    </row>
    <row r="258" spans="1:14" x14ac:dyDescent="0.3">
      <c r="A258" s="328"/>
      <c r="B258" s="337"/>
      <c r="C258" s="339"/>
      <c r="D258" s="334"/>
      <c r="E258" s="110" t="s">
        <v>27</v>
      </c>
      <c r="F258" s="103" t="s">
        <v>308</v>
      </c>
      <c r="G258" s="11">
        <v>90525.633059914093</v>
      </c>
      <c r="H258" s="11">
        <v>53746.31993422746</v>
      </c>
      <c r="I258" s="11">
        <v>53746.31993422746</v>
      </c>
      <c r="J258" s="11">
        <v>53746.31993422746</v>
      </c>
      <c r="K258" s="11">
        <v>53746.31993422746</v>
      </c>
      <c r="L258" s="11">
        <v>0</v>
      </c>
      <c r="M258" s="11">
        <f t="shared" si="54"/>
        <v>305510.91279682389</v>
      </c>
      <c r="N258" s="68"/>
    </row>
    <row r="259" spans="1:14" ht="27.95" x14ac:dyDescent="0.3">
      <c r="A259" s="328"/>
      <c r="B259" s="337"/>
      <c r="C259" s="339"/>
      <c r="D259" s="334"/>
      <c r="E259" s="110" t="s">
        <v>29</v>
      </c>
      <c r="F259" s="103" t="s">
        <v>309</v>
      </c>
      <c r="G259" s="11">
        <v>132585.23488159728</v>
      </c>
      <c r="H259" s="11">
        <v>78717.68704213007</v>
      </c>
      <c r="I259" s="11">
        <v>78717.68704213007</v>
      </c>
      <c r="J259" s="11">
        <v>78717.68704213007</v>
      </c>
      <c r="K259" s="11">
        <v>78717.68704213007</v>
      </c>
      <c r="L259" s="11">
        <v>0</v>
      </c>
      <c r="M259" s="11">
        <f t="shared" si="54"/>
        <v>447455.9830501175</v>
      </c>
      <c r="N259" s="68"/>
    </row>
    <row r="260" spans="1:14" x14ac:dyDescent="0.3">
      <c r="A260" s="328"/>
      <c r="B260" s="337"/>
      <c r="C260" s="339"/>
      <c r="D260" s="334"/>
      <c r="E260" s="110" t="s">
        <v>31</v>
      </c>
      <c r="F260" s="103" t="s">
        <v>310</v>
      </c>
      <c r="G260" s="11">
        <v>262599.25363904185</v>
      </c>
      <c r="H260" s="11">
        <v>155908.80752230866</v>
      </c>
      <c r="I260" s="11">
        <v>155908.80752230866</v>
      </c>
      <c r="J260" s="11">
        <v>155908.80752230866</v>
      </c>
      <c r="K260" s="11">
        <v>155908.80752230866</v>
      </c>
      <c r="L260" s="11">
        <v>0</v>
      </c>
      <c r="M260" s="11">
        <f t="shared" si="54"/>
        <v>886234.48372827657</v>
      </c>
      <c r="N260" s="68"/>
    </row>
    <row r="261" spans="1:14" x14ac:dyDescent="0.3">
      <c r="A261" s="328"/>
      <c r="B261" s="337"/>
      <c r="C261" s="339"/>
      <c r="D261" s="334"/>
      <c r="E261" s="110" t="s">
        <v>313</v>
      </c>
      <c r="F261" s="103" t="s">
        <v>311</v>
      </c>
      <c r="G261" s="11">
        <v>337875.11873116763</v>
      </c>
      <c r="H261" s="11">
        <v>200601.12937427996</v>
      </c>
      <c r="I261" s="11">
        <v>200601.12937427996</v>
      </c>
      <c r="J261" s="11">
        <v>200601.12937427996</v>
      </c>
      <c r="K261" s="11">
        <v>200601.12937427996</v>
      </c>
      <c r="L261" s="11">
        <v>0</v>
      </c>
      <c r="M261" s="11">
        <f t="shared" si="54"/>
        <v>1140279.6362282876</v>
      </c>
      <c r="N261" s="68"/>
    </row>
    <row r="262" spans="1:14" ht="27.95" x14ac:dyDescent="0.3">
      <c r="A262" s="328"/>
      <c r="B262" s="337"/>
      <c r="C262" s="339"/>
      <c r="D262" s="334"/>
      <c r="E262" s="110" t="s">
        <v>38</v>
      </c>
      <c r="F262" s="103" t="s">
        <v>312</v>
      </c>
      <c r="G262" s="11">
        <v>19209.68340793933</v>
      </c>
      <c r="H262" s="11">
        <v>11405.054627952777</v>
      </c>
      <c r="I262" s="11">
        <v>11405.054627952777</v>
      </c>
      <c r="J262" s="11">
        <v>11405.054627952777</v>
      </c>
      <c r="K262" s="11">
        <v>11405.054627952777</v>
      </c>
      <c r="L262" s="11">
        <v>0</v>
      </c>
      <c r="M262" s="11">
        <f t="shared" si="54"/>
        <v>64829.901919750439</v>
      </c>
      <c r="N262" s="68"/>
    </row>
    <row r="263" spans="1:14" ht="27.95" x14ac:dyDescent="0.3">
      <c r="A263" s="328"/>
      <c r="B263" s="337"/>
      <c r="C263" s="339"/>
      <c r="D263" s="114" t="s">
        <v>316</v>
      </c>
      <c r="E263" s="94"/>
      <c r="F263" s="106"/>
      <c r="G263" s="8">
        <f t="shared" ref="G263:M263" si="55">SUM(G256:G262)</f>
        <v>1370440.9773599999</v>
      </c>
      <c r="H263" s="8">
        <f t="shared" si="55"/>
        <v>813649.75565999991</v>
      </c>
      <c r="I263" s="8">
        <f t="shared" si="55"/>
        <v>813649.75565999991</v>
      </c>
      <c r="J263" s="8">
        <f t="shared" si="55"/>
        <v>813649.75565999991</v>
      </c>
      <c r="K263" s="8">
        <f t="shared" si="55"/>
        <v>813649.75565999991</v>
      </c>
      <c r="L263" s="8">
        <f t="shared" si="55"/>
        <v>0</v>
      </c>
      <c r="M263" s="8">
        <f t="shared" si="55"/>
        <v>4625040</v>
      </c>
      <c r="N263" s="68"/>
    </row>
    <row r="264" spans="1:14" x14ac:dyDescent="0.3">
      <c r="A264" s="328"/>
      <c r="B264" s="337"/>
      <c r="C264" s="16" t="s">
        <v>317</v>
      </c>
      <c r="D264" s="14"/>
      <c r="E264" s="10"/>
      <c r="F264" s="95"/>
      <c r="G264" s="8">
        <f t="shared" ref="G264:M264" si="56">G243+G255+G263</f>
        <v>1470024.6948785367</v>
      </c>
      <c r="H264" s="8">
        <f t="shared" si="56"/>
        <v>1580659.4626780974</v>
      </c>
      <c r="I264" s="8">
        <f t="shared" si="56"/>
        <v>1131214.9196219975</v>
      </c>
      <c r="J264" s="8">
        <f t="shared" si="56"/>
        <v>1218423.9784631906</v>
      </c>
      <c r="K264" s="8">
        <f t="shared" si="56"/>
        <v>1205844.1096910094</v>
      </c>
      <c r="L264" s="8">
        <f t="shared" si="56"/>
        <v>362115.94145994511</v>
      </c>
      <c r="M264" s="8">
        <f t="shared" si="56"/>
        <v>6968283.1067927778</v>
      </c>
      <c r="N264" s="68"/>
    </row>
    <row r="265" spans="1:14" x14ac:dyDescent="0.3">
      <c r="A265" s="328"/>
      <c r="B265" s="328" t="s">
        <v>318</v>
      </c>
      <c r="C265" s="334" t="s">
        <v>855</v>
      </c>
      <c r="D265" s="328" t="s">
        <v>20</v>
      </c>
      <c r="E265" s="25" t="s">
        <v>21</v>
      </c>
      <c r="F265" s="103" t="s">
        <v>314</v>
      </c>
      <c r="G265" s="115">
        <v>32561.78644715768</v>
      </c>
      <c r="H265" s="115">
        <v>58576.28166869624</v>
      </c>
      <c r="I265" s="115">
        <v>59747.807302070163</v>
      </c>
      <c r="J265" s="115">
        <v>60942.763448111575</v>
      </c>
      <c r="K265" s="115">
        <v>62161.676478207912</v>
      </c>
      <c r="L265" s="115">
        <v>63404.910007772072</v>
      </c>
      <c r="M265" s="115">
        <f t="shared" ref="M265:M272" si="57">SUM(G265:L265)</f>
        <v>337395.22535201564</v>
      </c>
      <c r="N265" s="68"/>
    </row>
    <row r="266" spans="1:14" x14ac:dyDescent="0.3">
      <c r="A266" s="328"/>
      <c r="B266" s="328"/>
      <c r="C266" s="334"/>
      <c r="D266" s="328"/>
      <c r="E266" s="25" t="s">
        <v>23</v>
      </c>
      <c r="F266" s="103" t="s">
        <v>315</v>
      </c>
      <c r="G266" s="115">
        <v>0</v>
      </c>
      <c r="H266" s="115">
        <v>36047.787921348317</v>
      </c>
      <c r="I266" s="115">
        <v>36047.787921348317</v>
      </c>
      <c r="J266" s="115">
        <v>36047.787921348317</v>
      </c>
      <c r="K266" s="115">
        <v>36047.787921348317</v>
      </c>
      <c r="L266" s="115">
        <v>0</v>
      </c>
      <c r="M266" s="115">
        <f>SUM(G266:L266)</f>
        <v>144191.15168539327</v>
      </c>
      <c r="N266" s="68"/>
    </row>
    <row r="267" spans="1:14" x14ac:dyDescent="0.3">
      <c r="A267" s="328"/>
      <c r="B267" s="328"/>
      <c r="C267" s="334"/>
      <c r="D267" s="328"/>
      <c r="E267" s="13" t="s">
        <v>27</v>
      </c>
      <c r="F267" s="103" t="s">
        <v>319</v>
      </c>
      <c r="G267" s="115">
        <v>3476.1235955056186</v>
      </c>
      <c r="H267" s="115">
        <v>2363.7640449438204</v>
      </c>
      <c r="I267" s="115">
        <v>2411.0393258426966</v>
      </c>
      <c r="J267" s="115">
        <v>2459.2601123595505</v>
      </c>
      <c r="K267" s="115">
        <v>2508.4453146067412</v>
      </c>
      <c r="L267" s="115">
        <v>2558.6142208988763</v>
      </c>
      <c r="M267" s="115">
        <f t="shared" si="57"/>
        <v>15777.246614157304</v>
      </c>
      <c r="N267" s="68"/>
    </row>
    <row r="268" spans="1:14" ht="27.95" x14ac:dyDescent="0.3">
      <c r="A268" s="328"/>
      <c r="B268" s="328"/>
      <c r="C268" s="334"/>
      <c r="D268" s="328"/>
      <c r="E268" s="13" t="s">
        <v>29</v>
      </c>
      <c r="F268" s="103" t="s">
        <v>320</v>
      </c>
      <c r="G268" s="115">
        <v>7490.63670411985</v>
      </c>
      <c r="H268" s="115">
        <v>28196.896736222578</v>
      </c>
      <c r="I268" s="115">
        <v>28760.834670947028</v>
      </c>
      <c r="J268" s="115">
        <v>29336.051364365972</v>
      </c>
      <c r="K268" s="115">
        <v>29922.772391653289</v>
      </c>
      <c r="L268" s="115">
        <v>30521.227839486357</v>
      </c>
      <c r="M268" s="115">
        <f t="shared" si="57"/>
        <v>154228.41970679507</v>
      </c>
      <c r="N268" s="68"/>
    </row>
    <row r="269" spans="1:14" x14ac:dyDescent="0.3">
      <c r="A269" s="328"/>
      <c r="B269" s="328"/>
      <c r="C269" s="334"/>
      <c r="D269" s="328"/>
      <c r="E269" s="13" t="s">
        <v>31</v>
      </c>
      <c r="F269" s="103" t="s">
        <v>321</v>
      </c>
      <c r="G269" s="115">
        <v>2918.227215980025</v>
      </c>
      <c r="H269" s="115">
        <v>21497.859818084537</v>
      </c>
      <c r="I269" s="115">
        <v>21927.817014446224</v>
      </c>
      <c r="J269" s="115">
        <v>22366.373354735159</v>
      </c>
      <c r="K269" s="115">
        <v>22813.700821829854</v>
      </c>
      <c r="L269" s="115">
        <v>13604.098892648477</v>
      </c>
      <c r="M269" s="112">
        <f t="shared" si="57"/>
        <v>105128.07711772427</v>
      </c>
      <c r="N269" s="68"/>
    </row>
    <row r="270" spans="1:14" ht="27.95" x14ac:dyDescent="0.3">
      <c r="A270" s="328"/>
      <c r="B270" s="328"/>
      <c r="C270" s="334"/>
      <c r="D270" s="328"/>
      <c r="E270" s="13" t="s">
        <v>38</v>
      </c>
      <c r="F270" s="103" t="s">
        <v>322</v>
      </c>
      <c r="G270" s="17">
        <v>0</v>
      </c>
      <c r="H270" s="17">
        <v>0</v>
      </c>
      <c r="I270" s="17">
        <v>0</v>
      </c>
      <c r="J270" s="17">
        <v>0</v>
      </c>
      <c r="K270" s="17">
        <v>5261.2805421794183</v>
      </c>
      <c r="L270" s="17">
        <v>5261.2805421794183</v>
      </c>
      <c r="M270" s="11">
        <f t="shared" si="57"/>
        <v>10522.561084358837</v>
      </c>
      <c r="N270" s="68"/>
    </row>
    <row r="271" spans="1:14" ht="27.95" x14ac:dyDescent="0.3">
      <c r="A271" s="328"/>
      <c r="B271" s="328"/>
      <c r="C271" s="334"/>
      <c r="D271" s="337" t="s">
        <v>33</v>
      </c>
      <c r="E271" s="13" t="s">
        <v>29</v>
      </c>
      <c r="F271" s="103" t="s">
        <v>323</v>
      </c>
      <c r="G271" s="11">
        <v>1466.8978174603174</v>
      </c>
      <c r="H271" s="11">
        <v>1790.4157142857146</v>
      </c>
      <c r="I271" s="11">
        <v>694.77354642857131</v>
      </c>
      <c r="J271" s="11">
        <v>1109.5835035714288</v>
      </c>
      <c r="K271" s="11">
        <v>722.84239770428564</v>
      </c>
      <c r="L271" s="11">
        <v>737.29924565837132</v>
      </c>
      <c r="M271" s="11">
        <f t="shared" si="57"/>
        <v>6521.8122251086897</v>
      </c>
      <c r="N271" s="68"/>
    </row>
    <row r="272" spans="1:14" x14ac:dyDescent="0.3">
      <c r="A272" s="328"/>
      <c r="B272" s="328"/>
      <c r="C272" s="334"/>
      <c r="D272" s="337"/>
      <c r="E272" s="13" t="s">
        <v>31</v>
      </c>
      <c r="F272" s="103" t="s">
        <v>324</v>
      </c>
      <c r="G272" s="11">
        <v>245.20833333333331</v>
      </c>
      <c r="H272" s="11">
        <v>335.64880952380946</v>
      </c>
      <c r="I272" s="11">
        <v>156.82378571428572</v>
      </c>
      <c r="J272" s="11">
        <v>345.49826142857154</v>
      </c>
      <c r="K272" s="11">
        <v>163.1594666571429</v>
      </c>
      <c r="L272" s="11">
        <v>355.67141599028565</v>
      </c>
      <c r="M272" s="11">
        <f t="shared" si="57"/>
        <v>1602.0100726474286</v>
      </c>
      <c r="N272" s="68"/>
    </row>
    <row r="273" spans="1:20" ht="24.05" customHeight="1" x14ac:dyDescent="0.3">
      <c r="A273" s="328"/>
      <c r="B273" s="328"/>
      <c r="C273" s="334"/>
      <c r="D273" s="54" t="s">
        <v>328</v>
      </c>
      <c r="E273" s="10"/>
      <c r="F273" s="106"/>
      <c r="G273" s="8">
        <f t="shared" ref="G273:M273" si="58">SUM(G265:G272)</f>
        <v>48158.880113556828</v>
      </c>
      <c r="H273" s="8">
        <f t="shared" si="58"/>
        <v>148808.65471310503</v>
      </c>
      <c r="I273" s="8">
        <f t="shared" si="58"/>
        <v>149746.88356679727</v>
      </c>
      <c r="J273" s="8">
        <f t="shared" si="58"/>
        <v>152607.31796592061</v>
      </c>
      <c r="K273" s="8">
        <f t="shared" si="58"/>
        <v>159601.66533418695</v>
      </c>
      <c r="L273" s="8">
        <f t="shared" si="58"/>
        <v>116443.10216463386</v>
      </c>
      <c r="M273" s="8">
        <f t="shared" si="58"/>
        <v>775366.50385820051</v>
      </c>
      <c r="N273" s="68"/>
    </row>
    <row r="274" spans="1:20" x14ac:dyDescent="0.3">
      <c r="A274" s="328"/>
      <c r="B274" s="328"/>
      <c r="C274" s="328" t="s">
        <v>329</v>
      </c>
      <c r="D274" s="328" t="s">
        <v>20</v>
      </c>
      <c r="E274" t="s">
        <v>21</v>
      </c>
      <c r="F274" s="103" t="s">
        <v>325</v>
      </c>
      <c r="G274" s="11">
        <v>26641.461638583554</v>
      </c>
      <c r="H274" s="11">
        <v>47926.048638024193</v>
      </c>
      <c r="I274" s="11">
        <v>48884.569610784674</v>
      </c>
      <c r="J274" s="11">
        <v>49862.261003000371</v>
      </c>
      <c r="K274" s="11">
        <v>50859.553482170108</v>
      </c>
      <c r="L274" s="11">
        <v>51876.744551813506</v>
      </c>
      <c r="M274" s="11">
        <f t="shared" ref="M274:M284" si="59">SUM(G274:L274)</f>
        <v>276050.6389243764</v>
      </c>
      <c r="N274" s="68"/>
    </row>
    <row r="275" spans="1:20" x14ac:dyDescent="0.3">
      <c r="A275" s="328"/>
      <c r="B275" s="328"/>
      <c r="C275" s="328"/>
      <c r="D275" s="328"/>
      <c r="E275" s="63" t="s">
        <v>23</v>
      </c>
      <c r="F275" s="103" t="s">
        <v>326</v>
      </c>
      <c r="G275" s="11">
        <v>0</v>
      </c>
      <c r="H275" s="11">
        <v>29493.644662921346</v>
      </c>
      <c r="I275" s="11">
        <v>29493.644662921346</v>
      </c>
      <c r="J275" s="11">
        <v>29493.644662921346</v>
      </c>
      <c r="K275" s="11">
        <v>29493.644662921346</v>
      </c>
      <c r="L275" s="11">
        <v>0</v>
      </c>
      <c r="M275" s="11">
        <f>SUM(G275:L275)</f>
        <v>117974.57865168538</v>
      </c>
      <c r="N275" s="68"/>
    </row>
    <row r="276" spans="1:20" x14ac:dyDescent="0.3">
      <c r="A276" s="328"/>
      <c r="B276" s="328"/>
      <c r="C276" s="328"/>
      <c r="D276" s="328"/>
      <c r="E276" s="13" t="s">
        <v>25</v>
      </c>
      <c r="F276" s="103" t="s">
        <v>327</v>
      </c>
      <c r="G276" s="11">
        <v>0</v>
      </c>
      <c r="H276" s="11">
        <v>0</v>
      </c>
      <c r="I276" s="11">
        <v>0</v>
      </c>
      <c r="J276" s="11">
        <v>0</v>
      </c>
      <c r="K276" s="11">
        <v>22739.4328517924</v>
      </c>
      <c r="L276" s="11">
        <v>0</v>
      </c>
      <c r="M276" s="11">
        <f t="shared" si="59"/>
        <v>22739.4328517924</v>
      </c>
      <c r="N276" s="68"/>
    </row>
    <row r="277" spans="1:20" x14ac:dyDescent="0.3">
      <c r="A277" s="328"/>
      <c r="B277" s="328"/>
      <c r="C277" s="328"/>
      <c r="D277" s="328"/>
      <c r="E277" s="13" t="s">
        <v>27</v>
      </c>
      <c r="F277" s="103" t="s">
        <v>330</v>
      </c>
      <c r="G277" s="11">
        <v>2844.1011235955057</v>
      </c>
      <c r="H277" s="11">
        <v>1933.9887640449435</v>
      </c>
      <c r="I277" s="11">
        <v>1972.6685393258426</v>
      </c>
      <c r="J277" s="11">
        <v>2012.1219101123595</v>
      </c>
      <c r="K277" s="11">
        <v>2052.3643483146061</v>
      </c>
      <c r="L277" s="11">
        <v>2093.4116352808987</v>
      </c>
      <c r="M277" s="11">
        <f t="shared" si="59"/>
        <v>12908.656320674156</v>
      </c>
      <c r="N277" s="68"/>
    </row>
    <row r="278" spans="1:20" x14ac:dyDescent="0.3">
      <c r="A278" s="328"/>
      <c r="B278" s="328"/>
      <c r="C278" s="328"/>
      <c r="D278" s="328"/>
      <c r="E278" s="13" t="s">
        <v>31</v>
      </c>
      <c r="F278" s="103" t="s">
        <v>331</v>
      </c>
      <c r="G278" s="11">
        <v>2387.6404494382023</v>
      </c>
      <c r="H278" s="11">
        <v>14612.359550561798</v>
      </c>
      <c r="I278" s="11">
        <v>14904.606741573032</v>
      </c>
      <c r="J278" s="11">
        <v>15202.698876404495</v>
      </c>
      <c r="K278" s="11">
        <v>15506.752853932581</v>
      </c>
      <c r="L278" s="11">
        <v>7908.4439555056188</v>
      </c>
      <c r="M278" s="11">
        <f t="shared" si="59"/>
        <v>70522.502427415733</v>
      </c>
      <c r="N278" s="68"/>
    </row>
    <row r="279" spans="1:20" ht="27.95" x14ac:dyDescent="0.3">
      <c r="A279" s="328"/>
      <c r="B279" s="328"/>
      <c r="C279" s="328"/>
      <c r="D279" s="328"/>
      <c r="E279" s="13" t="s">
        <v>29</v>
      </c>
      <c r="F279" s="103" t="s">
        <v>332</v>
      </c>
      <c r="G279" s="11">
        <v>27465.667915106118</v>
      </c>
      <c r="H279" s="11">
        <v>28014.981273408237</v>
      </c>
      <c r="I279" s="11">
        <v>28575.280898876408</v>
      </c>
      <c r="J279" s="11">
        <v>29146.786516853928</v>
      </c>
      <c r="K279" s="11">
        <v>29729.72224719101</v>
      </c>
      <c r="L279" s="11">
        <v>30324.316692134835</v>
      </c>
      <c r="M279" s="11">
        <f t="shared" si="59"/>
        <v>173256.75554357053</v>
      </c>
      <c r="N279" s="68"/>
    </row>
    <row r="280" spans="1:20" x14ac:dyDescent="0.3">
      <c r="A280" s="328"/>
      <c r="B280" s="328"/>
      <c r="C280" s="328"/>
      <c r="D280" s="328" t="s">
        <v>33</v>
      </c>
      <c r="E280" t="s">
        <v>21</v>
      </c>
      <c r="F280" s="103" t="s">
        <v>333</v>
      </c>
      <c r="G280" s="11">
        <v>1850.3202568218298</v>
      </c>
      <c r="H280" s="11">
        <v>4005.7288064205454</v>
      </c>
      <c r="I280" s="11">
        <v>4088.1591826902086</v>
      </c>
      <c r="J280" s="11">
        <v>3906.1527302554096</v>
      </c>
      <c r="K280" s="11">
        <v>3984.2757848605179</v>
      </c>
      <c r="L280" s="11">
        <v>4063.9613005577294</v>
      </c>
      <c r="M280" s="11">
        <f t="shared" si="59"/>
        <v>21898.598061606241</v>
      </c>
      <c r="N280" s="68"/>
    </row>
    <row r="281" spans="1:20" x14ac:dyDescent="0.3">
      <c r="A281" s="328"/>
      <c r="B281" s="328"/>
      <c r="C281" s="328"/>
      <c r="D281" s="328"/>
      <c r="E281" s="13" t="s">
        <v>27</v>
      </c>
      <c r="F281" s="103" t="s">
        <v>334</v>
      </c>
      <c r="G281" s="11">
        <v>22502.975922953454</v>
      </c>
      <c r="H281" s="11">
        <v>4577.7106994542546</v>
      </c>
      <c r="I281" s="11">
        <v>4744.5570081592296</v>
      </c>
      <c r="J281" s="11">
        <v>120.24483460098878</v>
      </c>
      <c r="K281" s="11">
        <v>122.64973129300854</v>
      </c>
      <c r="L281" s="11">
        <v>125.10272591886873</v>
      </c>
      <c r="M281" s="11">
        <f t="shared" si="59"/>
        <v>32193.240922379806</v>
      </c>
      <c r="N281" s="68"/>
    </row>
    <row r="282" spans="1:20" ht="27.95" x14ac:dyDescent="0.3">
      <c r="A282" s="328"/>
      <c r="B282" s="328"/>
      <c r="C282" s="328"/>
      <c r="D282" s="328"/>
      <c r="E282" s="13" t="s">
        <v>29</v>
      </c>
      <c r="F282" s="103" t="s">
        <v>335</v>
      </c>
      <c r="G282" s="11">
        <v>910.32873570536822</v>
      </c>
      <c r="H282" s="11">
        <v>1558.8242080513644</v>
      </c>
      <c r="I282" s="11">
        <v>1286.3370803905616</v>
      </c>
      <c r="J282" s="11">
        <v>1772.7982312672336</v>
      </c>
      <c r="K282" s="11">
        <v>1338.3050984383406</v>
      </c>
      <c r="L282" s="11">
        <v>1206.349520155954</v>
      </c>
      <c r="M282" s="11">
        <f t="shared" si="59"/>
        <v>8072.9428740088224</v>
      </c>
      <c r="N282" s="68"/>
    </row>
    <row r="283" spans="1:20" x14ac:dyDescent="0.3">
      <c r="A283" s="328"/>
      <c r="B283" s="328"/>
      <c r="C283" s="328"/>
      <c r="D283" s="328"/>
      <c r="E283" s="13" t="s">
        <v>31</v>
      </c>
      <c r="F283" s="103" t="s">
        <v>336</v>
      </c>
      <c r="G283" s="11">
        <v>2229.80070893526</v>
      </c>
      <c r="H283" s="11">
        <v>3562.3409441754957</v>
      </c>
      <c r="I283" s="11">
        <v>3327.6121452437883</v>
      </c>
      <c r="J283" s="11">
        <v>3329.7073771753053</v>
      </c>
      <c r="K283" s="11">
        <v>4057.2484527491847</v>
      </c>
      <c r="L283" s="11">
        <v>4002.7802453432091</v>
      </c>
      <c r="M283" s="11">
        <f t="shared" si="59"/>
        <v>20509.489873622242</v>
      </c>
      <c r="N283" s="68"/>
    </row>
    <row r="284" spans="1:20" ht="27.95" x14ac:dyDescent="0.3">
      <c r="A284" s="328"/>
      <c r="B284" s="328"/>
      <c r="C284" s="328"/>
      <c r="D284" s="328"/>
      <c r="E284" s="13" t="s">
        <v>38</v>
      </c>
      <c r="F284" s="103" t="s">
        <v>337</v>
      </c>
      <c r="G284" s="11">
        <v>645.50369181380415</v>
      </c>
      <c r="H284" s="11">
        <v>1316.8275313001602</v>
      </c>
      <c r="I284" s="11">
        <v>1343.1640819261634</v>
      </c>
      <c r="J284" s="11">
        <v>1370.0273635646872</v>
      </c>
      <c r="K284" s="11">
        <v>1397.4279108359806</v>
      </c>
      <c r="L284" s="11">
        <v>1425.3764690527</v>
      </c>
      <c r="M284" s="11">
        <f t="shared" si="59"/>
        <v>7498.3270484934965</v>
      </c>
      <c r="N284" s="68"/>
    </row>
    <row r="285" spans="1:20" ht="27.95" x14ac:dyDescent="0.3">
      <c r="A285" s="328"/>
      <c r="B285" s="328"/>
      <c r="C285" s="328"/>
      <c r="D285" s="54" t="s">
        <v>338</v>
      </c>
      <c r="E285" s="10"/>
      <c r="F285" s="106"/>
      <c r="G285" s="8">
        <f t="shared" ref="G285:M285" si="60">SUM(G274:G284)</f>
        <v>87477.800442953099</v>
      </c>
      <c r="H285" s="8">
        <f t="shared" si="60"/>
        <v>137002.45507836234</v>
      </c>
      <c r="I285" s="8">
        <f t="shared" si="60"/>
        <v>138620.59995189126</v>
      </c>
      <c r="J285" s="8">
        <f t="shared" si="60"/>
        <v>136216.44350615612</v>
      </c>
      <c r="K285" s="8">
        <f t="shared" si="60"/>
        <v>161281.37742449908</v>
      </c>
      <c r="L285" s="8">
        <f t="shared" si="60"/>
        <v>103026.48709576332</v>
      </c>
      <c r="M285" s="8">
        <f t="shared" si="60"/>
        <v>763625.16349962517</v>
      </c>
      <c r="N285" s="68"/>
    </row>
    <row r="286" spans="1:20" x14ac:dyDescent="0.3">
      <c r="A286" s="328"/>
      <c r="B286" s="328"/>
      <c r="C286" s="16" t="s">
        <v>339</v>
      </c>
      <c r="D286" s="14"/>
      <c r="E286" s="10"/>
      <c r="F286" s="95"/>
      <c r="G286" s="8">
        <f t="shared" ref="G286:M286" si="61">G273+G285</f>
        <v>135636.68055650993</v>
      </c>
      <c r="H286" s="8">
        <f t="shared" si="61"/>
        <v>285811.10979146737</v>
      </c>
      <c r="I286" s="8">
        <f t="shared" si="61"/>
        <v>288367.48351868853</v>
      </c>
      <c r="J286" s="8">
        <f t="shared" si="61"/>
        <v>288823.76147207676</v>
      </c>
      <c r="K286" s="8">
        <f t="shared" si="61"/>
        <v>320883.042758686</v>
      </c>
      <c r="L286" s="8">
        <f t="shared" si="61"/>
        <v>219469.58926039719</v>
      </c>
      <c r="M286" s="8">
        <f t="shared" si="61"/>
        <v>1538991.6673578257</v>
      </c>
      <c r="N286" s="68"/>
    </row>
    <row r="287" spans="1:20" x14ac:dyDescent="0.3">
      <c r="A287" s="328"/>
      <c r="B287" s="85" t="s">
        <v>340</v>
      </c>
      <c r="C287" s="97"/>
      <c r="D287" s="82"/>
      <c r="E287" s="83"/>
      <c r="F287" s="89"/>
      <c r="G287" s="84">
        <f t="shared" ref="G287:M287" si="62">SUM(G264,G286)</f>
        <v>1605661.3754350466</v>
      </c>
      <c r="H287" s="84">
        <f t="shared" si="62"/>
        <v>1866470.5724695649</v>
      </c>
      <c r="I287" s="84">
        <f t="shared" si="62"/>
        <v>1419582.403140686</v>
      </c>
      <c r="J287" s="84">
        <f t="shared" si="62"/>
        <v>1507247.7399352673</v>
      </c>
      <c r="K287" s="84">
        <f t="shared" si="62"/>
        <v>1526727.1524496954</v>
      </c>
      <c r="L287" s="84">
        <f t="shared" si="62"/>
        <v>581585.5307203423</v>
      </c>
      <c r="M287" s="84">
        <f t="shared" si="62"/>
        <v>8507274.7741506025</v>
      </c>
      <c r="N287" s="68"/>
      <c r="S287" s="68"/>
      <c r="T287" s="230"/>
    </row>
    <row r="288" spans="1:20" x14ac:dyDescent="0.3">
      <c r="A288" s="328"/>
      <c r="B288" s="91" t="s">
        <v>340</v>
      </c>
      <c r="C288" s="92" t="s">
        <v>125</v>
      </c>
      <c r="D288" s="93"/>
      <c r="E288" s="94"/>
      <c r="F288" s="95"/>
      <c r="G288" s="96">
        <f t="shared" ref="G288:L288" si="63">SUM(G236:G240,G244:G249,G265:G270,G274:G279)</f>
        <v>173861.78297963031</v>
      </c>
      <c r="H288" s="96">
        <f t="shared" si="63"/>
        <v>1013949.1931080489</v>
      </c>
      <c r="I288" s="96">
        <f t="shared" si="63"/>
        <v>572886.45080648595</v>
      </c>
      <c r="J288" s="96">
        <f t="shared" si="63"/>
        <v>665883.2303844135</v>
      </c>
      <c r="K288" s="96">
        <f t="shared" si="63"/>
        <v>687006.19234757766</v>
      </c>
      <c r="L288" s="96">
        <f t="shared" si="63"/>
        <v>554730.72587742563</v>
      </c>
      <c r="M288" s="96">
        <f>SUM(G288:L288)</f>
        <v>3668317.5755035821</v>
      </c>
      <c r="N288" s="68"/>
      <c r="S288" s="68"/>
      <c r="T288" s="230"/>
    </row>
    <row r="289" spans="1:20" x14ac:dyDescent="0.3">
      <c r="A289" s="328"/>
      <c r="B289" s="91" t="s">
        <v>340</v>
      </c>
      <c r="C289" s="92" t="s">
        <v>33</v>
      </c>
      <c r="D289" s="93"/>
      <c r="E289" s="94"/>
      <c r="F289" s="95"/>
      <c r="G289" s="96">
        <f t="shared" ref="G289:L289" si="64">SUM(G241:G242,G250:G254,G271:G272,G280:G284)</f>
        <v>61358.615095416455</v>
      </c>
      <c r="H289" s="96">
        <f t="shared" si="64"/>
        <v>38871.623701515964</v>
      </c>
      <c r="I289" s="96">
        <f t="shared" si="64"/>
        <v>33046.196674200102</v>
      </c>
      <c r="J289" s="96">
        <f t="shared" si="64"/>
        <v>27714.753890853808</v>
      </c>
      <c r="K289" s="96">
        <f t="shared" si="64"/>
        <v>26071.204442118011</v>
      </c>
      <c r="L289" s="96">
        <f t="shared" si="64"/>
        <v>26854.804842916714</v>
      </c>
      <c r="M289" s="96">
        <f t="shared" ref="M289:M290" si="65">SUM(G289:L289)</f>
        <v>213917.19864702105</v>
      </c>
      <c r="N289" s="68"/>
      <c r="R289" s="68"/>
      <c r="S289" s="68"/>
      <c r="T289" s="230"/>
    </row>
    <row r="290" spans="1:20" ht="27.95" x14ac:dyDescent="0.3">
      <c r="A290" s="328"/>
      <c r="B290" s="91" t="s">
        <v>340</v>
      </c>
      <c r="C290" s="92" t="s">
        <v>307</v>
      </c>
      <c r="D290" s="93"/>
      <c r="E290" s="94"/>
      <c r="F290" s="95"/>
      <c r="G290" s="96">
        <f t="shared" ref="G290:L290" si="66">SUM(G256:G262)</f>
        <v>1370440.9773599999</v>
      </c>
      <c r="H290" s="96">
        <f t="shared" si="66"/>
        <v>813649.75565999991</v>
      </c>
      <c r="I290" s="96">
        <f t="shared" si="66"/>
        <v>813649.75565999991</v>
      </c>
      <c r="J290" s="96">
        <f t="shared" si="66"/>
        <v>813649.75565999991</v>
      </c>
      <c r="K290" s="96">
        <f t="shared" si="66"/>
        <v>813649.75565999991</v>
      </c>
      <c r="L290" s="96">
        <f t="shared" si="66"/>
        <v>0</v>
      </c>
      <c r="M290" s="96">
        <f t="shared" si="65"/>
        <v>4625039.9999999991</v>
      </c>
      <c r="N290" s="68"/>
      <c r="R290" s="68"/>
      <c r="S290" s="68"/>
      <c r="T290" s="231"/>
    </row>
    <row r="291" spans="1:20" ht="27.95" x14ac:dyDescent="0.3">
      <c r="A291" s="336" t="s">
        <v>341</v>
      </c>
      <c r="B291" s="336" t="s">
        <v>342</v>
      </c>
      <c r="C291" s="336" t="s">
        <v>343</v>
      </c>
      <c r="D291" s="335" t="s">
        <v>20</v>
      </c>
      <c r="E291" s="28" t="s">
        <v>38</v>
      </c>
      <c r="F291" s="108" t="s">
        <v>344</v>
      </c>
      <c r="G291" s="17">
        <v>159880.83333333334</v>
      </c>
      <c r="H291" s="17">
        <v>99880.833333333343</v>
      </c>
      <c r="I291" s="17">
        <v>204880.83333333334</v>
      </c>
      <c r="J291" s="17">
        <v>64880.833333333336</v>
      </c>
      <c r="K291" s="17">
        <v>64880.833333333336</v>
      </c>
      <c r="L291" s="17">
        <v>164880.83333333334</v>
      </c>
      <c r="M291" s="17">
        <f>SUM(G291:L291)</f>
        <v>759285.00000000012</v>
      </c>
      <c r="N291" s="68"/>
      <c r="T291" s="68"/>
    </row>
    <row r="292" spans="1:20" x14ac:dyDescent="0.3">
      <c r="A292" s="336"/>
      <c r="B292" s="336"/>
      <c r="C292" s="336"/>
      <c r="D292" s="335"/>
      <c r="E292" s="28" t="s">
        <v>21</v>
      </c>
      <c r="F292" s="108" t="s">
        <v>345</v>
      </c>
      <c r="G292" s="17">
        <v>58360.080767863816</v>
      </c>
      <c r="H292" s="17">
        <v>117571.95703530603</v>
      </c>
      <c r="I292" s="17">
        <v>119923.39617601216</v>
      </c>
      <c r="J292" s="17">
        <v>122321.86409953238</v>
      </c>
      <c r="K292" s="17">
        <v>124768.30138152304</v>
      </c>
      <c r="L292" s="17">
        <v>127263.6674091535</v>
      </c>
      <c r="M292" s="17">
        <f>SUM(G292:L292)</f>
        <v>670209.26686939097</v>
      </c>
      <c r="N292" s="68"/>
      <c r="T292" s="68"/>
    </row>
    <row r="293" spans="1:20" ht="27.95" x14ac:dyDescent="0.3">
      <c r="A293" s="336"/>
      <c r="B293" s="336"/>
      <c r="C293" s="336"/>
      <c r="D293" s="54" t="s">
        <v>346</v>
      </c>
      <c r="E293" s="10"/>
      <c r="F293" s="106"/>
      <c r="G293" s="8">
        <f t="shared" ref="G293:M293" si="67">SUM(G291:G292)</f>
        <v>218240.91410119715</v>
      </c>
      <c r="H293" s="8">
        <f t="shared" si="67"/>
        <v>217452.79036863937</v>
      </c>
      <c r="I293" s="8">
        <f t="shared" si="67"/>
        <v>324804.22950934549</v>
      </c>
      <c r="J293" s="8">
        <f t="shared" si="67"/>
        <v>187202.69743286571</v>
      </c>
      <c r="K293" s="8">
        <f t="shared" si="67"/>
        <v>189649.13471485637</v>
      </c>
      <c r="L293" s="8">
        <f t="shared" si="67"/>
        <v>292144.50074248685</v>
      </c>
      <c r="M293" s="8">
        <f t="shared" si="67"/>
        <v>1429494.2668693911</v>
      </c>
      <c r="N293" s="68"/>
    </row>
    <row r="294" spans="1:20" x14ac:dyDescent="0.3">
      <c r="A294" s="336"/>
      <c r="B294" s="336"/>
      <c r="C294" s="16" t="s">
        <v>347</v>
      </c>
      <c r="D294" s="10"/>
      <c r="E294" s="9"/>
      <c r="F294" s="96"/>
      <c r="G294" s="8">
        <f t="shared" ref="G294:M295" si="68">G293</f>
        <v>218240.91410119715</v>
      </c>
      <c r="H294" s="8">
        <f t="shared" si="68"/>
        <v>217452.79036863937</v>
      </c>
      <c r="I294" s="8">
        <f t="shared" si="68"/>
        <v>324804.22950934549</v>
      </c>
      <c r="J294" s="8">
        <f t="shared" si="68"/>
        <v>187202.69743286571</v>
      </c>
      <c r="K294" s="8">
        <f t="shared" si="68"/>
        <v>189649.13471485637</v>
      </c>
      <c r="L294" s="8">
        <f t="shared" si="68"/>
        <v>292144.50074248685</v>
      </c>
      <c r="M294" s="8">
        <f t="shared" si="68"/>
        <v>1429494.2668693911</v>
      </c>
      <c r="N294" s="68"/>
      <c r="S294" s="68"/>
    </row>
    <row r="295" spans="1:20" x14ac:dyDescent="0.3">
      <c r="A295" s="336"/>
      <c r="B295" s="16" t="s">
        <v>348</v>
      </c>
      <c r="C295" s="55" t="s">
        <v>125</v>
      </c>
      <c r="D295" s="14"/>
      <c r="E295" s="10"/>
      <c r="F295" s="95"/>
      <c r="G295" s="8">
        <f t="shared" si="68"/>
        <v>218240.91410119715</v>
      </c>
      <c r="H295" s="8">
        <f t="shared" si="68"/>
        <v>217452.79036863937</v>
      </c>
      <c r="I295" s="8">
        <f t="shared" si="68"/>
        <v>324804.22950934549</v>
      </c>
      <c r="J295" s="8">
        <f t="shared" si="68"/>
        <v>187202.69743286571</v>
      </c>
      <c r="K295" s="8">
        <f t="shared" si="68"/>
        <v>189649.13471485637</v>
      </c>
      <c r="L295" s="8">
        <f t="shared" si="68"/>
        <v>292144.50074248685</v>
      </c>
      <c r="M295" s="8">
        <f t="shared" si="68"/>
        <v>1429494.2668693911</v>
      </c>
      <c r="N295" s="68"/>
      <c r="S295" s="68"/>
    </row>
    <row r="296" spans="1:20" ht="15.05" customHeight="1" x14ac:dyDescent="0.3">
      <c r="A296" s="333" t="s">
        <v>349</v>
      </c>
      <c r="B296" s="333"/>
      <c r="C296" s="333"/>
      <c r="D296" s="328" t="s">
        <v>20</v>
      </c>
      <c r="E296" t="s">
        <v>21</v>
      </c>
      <c r="F296" s="103" t="s">
        <v>350</v>
      </c>
      <c r="G296" s="11">
        <v>153168.64645431063</v>
      </c>
      <c r="H296" s="11">
        <v>196181.66165690654</v>
      </c>
      <c r="I296" s="11">
        <v>162994.54047591946</v>
      </c>
      <c r="J296" s="11">
        <v>166254.43128543784</v>
      </c>
      <c r="K296" s="11">
        <v>169579.51991114661</v>
      </c>
      <c r="L296" s="11">
        <v>172971.11030936954</v>
      </c>
      <c r="M296" s="11">
        <f t="shared" ref="M296:M303" si="69">SUM(G296:L296)</f>
        <v>1021149.9100930905</v>
      </c>
      <c r="N296" s="68"/>
      <c r="S296" s="68"/>
    </row>
    <row r="297" spans="1:20" x14ac:dyDescent="0.3">
      <c r="A297" s="333"/>
      <c r="B297" s="333"/>
      <c r="C297" s="333"/>
      <c r="D297" s="328"/>
      <c r="E297" s="13" t="s">
        <v>27</v>
      </c>
      <c r="F297" s="103" t="s">
        <v>351</v>
      </c>
      <c r="G297" s="11">
        <v>12000</v>
      </c>
      <c r="H297" s="11">
        <v>0</v>
      </c>
      <c r="I297" s="11">
        <v>0</v>
      </c>
      <c r="J297" s="112">
        <v>12734.496000000001</v>
      </c>
      <c r="K297" s="11">
        <v>0</v>
      </c>
      <c r="L297" s="11">
        <v>0</v>
      </c>
      <c r="M297" s="11">
        <f t="shared" si="69"/>
        <v>24734.495999999999</v>
      </c>
      <c r="N297" s="68"/>
    </row>
    <row r="298" spans="1:20" x14ac:dyDescent="0.3">
      <c r="A298" s="333"/>
      <c r="B298" s="333"/>
      <c r="C298" s="333"/>
      <c r="D298" s="328"/>
      <c r="E298" s="13" t="s">
        <v>352</v>
      </c>
      <c r="F298" s="103" t="s">
        <v>353</v>
      </c>
      <c r="G298" s="11">
        <v>6019.2616372391649</v>
      </c>
      <c r="H298" s="11">
        <v>8186.1958266452648</v>
      </c>
      <c r="I298" s="11">
        <v>8349.9197431781704</v>
      </c>
      <c r="J298" s="112">
        <v>8516.918138041734</v>
      </c>
      <c r="K298" s="11">
        <v>8687.2565008025667</v>
      </c>
      <c r="L298" s="11">
        <v>8861.0016308186205</v>
      </c>
      <c r="M298" s="11">
        <f t="shared" si="69"/>
        <v>48620.553476725516</v>
      </c>
      <c r="N298" s="68"/>
    </row>
    <row r="299" spans="1:20" x14ac:dyDescent="0.3">
      <c r="A299" s="333"/>
      <c r="B299" s="333"/>
      <c r="C299" s="333"/>
      <c r="D299" s="328"/>
      <c r="E299" s="13" t="s">
        <v>31</v>
      </c>
      <c r="F299" s="103" t="s">
        <v>354</v>
      </c>
      <c r="G299" s="11">
        <v>12127.697520955948</v>
      </c>
      <c r="H299" s="11">
        <v>12370.251471375066</v>
      </c>
      <c r="I299" s="11">
        <v>12617.656500802568</v>
      </c>
      <c r="J299" s="11">
        <v>12870.00963081862</v>
      </c>
      <c r="K299" s="11">
        <v>13127.409823434993</v>
      </c>
      <c r="L299" s="11">
        <v>13389.958019903694</v>
      </c>
      <c r="M299" s="11">
        <f t="shared" si="69"/>
        <v>76502.982967290882</v>
      </c>
      <c r="N299" s="68"/>
    </row>
    <row r="300" spans="1:20" x14ac:dyDescent="0.3">
      <c r="A300" s="333"/>
      <c r="B300" s="333"/>
      <c r="C300" s="333"/>
      <c r="D300" s="178" t="s">
        <v>355</v>
      </c>
      <c r="E300" s="179" t="s">
        <v>21</v>
      </c>
      <c r="F300" s="103" t="s">
        <v>356</v>
      </c>
      <c r="G300" s="11">
        <v>62540.128410914927</v>
      </c>
      <c r="H300" s="11">
        <v>67054.374638844296</v>
      </c>
      <c r="I300" s="11">
        <v>67395.366131621195</v>
      </c>
      <c r="J300" s="11">
        <v>67743.579454253617</v>
      </c>
      <c r="K300" s="11">
        <v>18098.451043338682</v>
      </c>
      <c r="L300" s="11">
        <v>18460.420064205457</v>
      </c>
      <c r="M300" s="11">
        <f t="shared" si="69"/>
        <v>301292.3197431782</v>
      </c>
      <c r="N300" s="68"/>
      <c r="T300" s="230"/>
    </row>
    <row r="301" spans="1:20" x14ac:dyDescent="0.3">
      <c r="A301" s="333"/>
      <c r="B301" s="333"/>
      <c r="C301" s="333"/>
      <c r="D301" s="54" t="s">
        <v>357</v>
      </c>
      <c r="E301" s="10"/>
      <c r="F301" s="106"/>
      <c r="G301" s="8">
        <f t="shared" ref="G301:M301" si="70">SUM(G296:G300)</f>
        <v>245855.73402342066</v>
      </c>
      <c r="H301" s="8">
        <f t="shared" si="70"/>
        <v>283792.48359377118</v>
      </c>
      <c r="I301" s="8">
        <f t="shared" si="70"/>
        <v>251357.4828515214</v>
      </c>
      <c r="J301" s="8">
        <f t="shared" si="70"/>
        <v>268119.43450855184</v>
      </c>
      <c r="K301" s="8">
        <f t="shared" si="70"/>
        <v>209492.63727872283</v>
      </c>
      <c r="L301" s="8">
        <f t="shared" si="70"/>
        <v>213682.49002429729</v>
      </c>
      <c r="M301" s="8">
        <f t="shared" si="70"/>
        <v>1472300.2622802849</v>
      </c>
      <c r="N301" s="68"/>
      <c r="T301" s="230"/>
    </row>
    <row r="302" spans="1:20" x14ac:dyDescent="0.3">
      <c r="A302" s="53"/>
      <c r="B302" s="331" t="s">
        <v>358</v>
      </c>
      <c r="C302" s="332"/>
      <c r="D302" s="332"/>
      <c r="E302" s="94"/>
      <c r="F302" s="106"/>
      <c r="G302" s="96">
        <f t="shared" ref="G302:L302" si="71">SUM(G296:G299)</f>
        <v>183315.60561250575</v>
      </c>
      <c r="H302" s="96">
        <f t="shared" si="71"/>
        <v>216738.10895492687</v>
      </c>
      <c r="I302" s="96">
        <f t="shared" si="71"/>
        <v>183962.11671990022</v>
      </c>
      <c r="J302" s="96">
        <f t="shared" si="71"/>
        <v>200375.85505429821</v>
      </c>
      <c r="K302" s="96">
        <f t="shared" si="71"/>
        <v>191394.18623538414</v>
      </c>
      <c r="L302" s="96">
        <f t="shared" si="71"/>
        <v>195222.06996009185</v>
      </c>
      <c r="M302" s="96">
        <f t="shared" si="69"/>
        <v>1171007.942537107</v>
      </c>
      <c r="N302" s="68"/>
      <c r="T302" s="230"/>
    </row>
    <row r="303" spans="1:20" x14ac:dyDescent="0.3">
      <c r="A303" s="53"/>
      <c r="B303" s="329" t="s">
        <v>359</v>
      </c>
      <c r="C303" s="330"/>
      <c r="D303" s="330"/>
      <c r="E303" s="10"/>
      <c r="F303" s="106"/>
      <c r="G303" s="8">
        <f>G300</f>
        <v>62540.128410914927</v>
      </c>
      <c r="H303" s="8">
        <f t="shared" ref="H303:L303" si="72">H300</f>
        <v>67054.374638844296</v>
      </c>
      <c r="I303" s="8">
        <f t="shared" si="72"/>
        <v>67395.366131621195</v>
      </c>
      <c r="J303" s="8">
        <f t="shared" si="72"/>
        <v>67743.579454253617</v>
      </c>
      <c r="K303" s="8">
        <f t="shared" si="72"/>
        <v>18098.451043338682</v>
      </c>
      <c r="L303" s="8">
        <f t="shared" si="72"/>
        <v>18460.420064205457</v>
      </c>
      <c r="M303" s="96">
        <f t="shared" si="69"/>
        <v>301292.3197431782</v>
      </c>
    </row>
    <row r="304" spans="1:20" x14ac:dyDescent="0.3">
      <c r="A304" s="5" t="s">
        <v>360</v>
      </c>
      <c r="B304" s="5"/>
      <c r="C304" s="7"/>
      <c r="D304" s="6"/>
      <c r="E304" s="5"/>
      <c r="F304" s="109"/>
      <c r="G304" s="4">
        <f t="shared" ref="G304:M304" si="73">G94+G234+G288+G301+G295+G95+G235+G289+G290</f>
        <v>3535502.3753000749</v>
      </c>
      <c r="H304" s="4">
        <f t="shared" si="73"/>
        <v>7618833.9176607132</v>
      </c>
      <c r="I304" s="4">
        <f t="shared" si="73"/>
        <v>7716534.0723447148</v>
      </c>
      <c r="J304" s="4">
        <f t="shared" si="73"/>
        <v>5468443.4098452926</v>
      </c>
      <c r="K304" s="4">
        <f t="shared" si="73"/>
        <v>5764836.1889105281</v>
      </c>
      <c r="L304" s="4">
        <f t="shared" si="73"/>
        <v>2546290.0182012962</v>
      </c>
      <c r="M304" s="4">
        <f t="shared" si="73"/>
        <v>32650439.982262623</v>
      </c>
    </row>
    <row r="305" spans="1:14" x14ac:dyDescent="0.3">
      <c r="A305" s="102" t="s">
        <v>361</v>
      </c>
      <c r="B305" s="5"/>
      <c r="C305" s="7"/>
      <c r="D305" s="6"/>
      <c r="E305" s="5"/>
      <c r="F305" s="109"/>
      <c r="G305" s="4">
        <f t="shared" ref="G305:M305" si="74">G94+G234+G288+G295+G302</f>
        <v>1683237.9051631889</v>
      </c>
      <c r="H305" s="4">
        <f t="shared" si="74"/>
        <v>6384896.748309792</v>
      </c>
      <c r="I305" s="4">
        <f t="shared" si="74"/>
        <v>6548254.406826904</v>
      </c>
      <c r="J305" s="4">
        <f t="shared" si="74"/>
        <v>4438952.3702748399</v>
      </c>
      <c r="K305" s="4">
        <f t="shared" si="74"/>
        <v>4749454.6490813987</v>
      </c>
      <c r="L305" s="4">
        <f t="shared" si="74"/>
        <v>2378081.8090434424</v>
      </c>
      <c r="M305" s="226">
        <f t="shared" si="74"/>
        <v>26182877.888699565</v>
      </c>
    </row>
    <row r="306" spans="1:14" x14ac:dyDescent="0.3">
      <c r="A306" s="5" t="s">
        <v>633</v>
      </c>
      <c r="B306" s="5"/>
      <c r="C306" s="7"/>
      <c r="D306" s="6"/>
      <c r="E306" s="5"/>
      <c r="F306" s="109"/>
      <c r="G306" s="4">
        <f t="shared" ref="G306:L306" si="75">SUM(G256:G262)</f>
        <v>1370440.9773599999</v>
      </c>
      <c r="H306" s="4">
        <f t="shared" si="75"/>
        <v>813649.75565999991</v>
      </c>
      <c r="I306" s="4">
        <f t="shared" si="75"/>
        <v>813649.75565999991</v>
      </c>
      <c r="J306" s="4">
        <f t="shared" si="75"/>
        <v>813649.75565999991</v>
      </c>
      <c r="K306" s="4">
        <f t="shared" si="75"/>
        <v>813649.75565999991</v>
      </c>
      <c r="L306" s="4">
        <f t="shared" si="75"/>
        <v>0</v>
      </c>
      <c r="M306" s="4">
        <f t="shared" ref="M306:M307" si="76">SUM(G306:L306)</f>
        <v>4625039.9999999991</v>
      </c>
    </row>
    <row r="307" spans="1:14" x14ac:dyDescent="0.3">
      <c r="A307" s="5" t="s">
        <v>362</v>
      </c>
      <c r="B307" s="5"/>
      <c r="C307" s="7"/>
      <c r="D307" s="6"/>
      <c r="E307" s="5"/>
      <c r="F307" s="109"/>
      <c r="G307" s="4">
        <f t="shared" ref="G307:L307" si="77">SUM(G11:G15,G23:G27,G36:G40,G48:G52,G59:G63,G73:G78,G86:G90,G103:G108,G116:G121,G130:G134,G143:G148,G154:G159,G167:G172,G187:G192,G201:G206,G213:G218,G226:G230,G241:G242,G250:G254,G271:G272,G280:G284)</f>
        <v>419283.36436597107</v>
      </c>
      <c r="H307" s="4">
        <f t="shared" si="77"/>
        <v>353233.03905207763</v>
      </c>
      <c r="I307" s="4">
        <f t="shared" si="77"/>
        <v>287234.54372619046</v>
      </c>
      <c r="J307" s="4">
        <f t="shared" si="77"/>
        <v>148097.70445619899</v>
      </c>
      <c r="K307" s="4">
        <f t="shared" si="77"/>
        <v>183633.33312579</v>
      </c>
      <c r="L307" s="4">
        <f t="shared" si="77"/>
        <v>149747.78909364811</v>
      </c>
      <c r="M307" s="4">
        <f t="shared" si="76"/>
        <v>1541229.7738198764</v>
      </c>
    </row>
    <row r="308" spans="1:14" x14ac:dyDescent="0.3">
      <c r="A308" s="5" t="s">
        <v>363</v>
      </c>
      <c r="B308" s="5"/>
      <c r="C308" s="7"/>
      <c r="D308" s="6"/>
      <c r="E308" s="5"/>
      <c r="F308" s="109"/>
      <c r="G308" s="4">
        <f>G303</f>
        <v>62540.128410914927</v>
      </c>
      <c r="H308" s="4">
        <f t="shared" ref="H308:M308" si="78">H303</f>
        <v>67054.374638844296</v>
      </c>
      <c r="I308" s="4">
        <f t="shared" si="78"/>
        <v>67395.366131621195</v>
      </c>
      <c r="J308" s="4">
        <f t="shared" si="78"/>
        <v>67743.579454253617</v>
      </c>
      <c r="K308" s="4">
        <f t="shared" si="78"/>
        <v>18098.451043338682</v>
      </c>
      <c r="L308" s="4">
        <f t="shared" si="78"/>
        <v>18460.420064205457</v>
      </c>
      <c r="M308" s="4">
        <f t="shared" si="78"/>
        <v>301292.3197431782</v>
      </c>
    </row>
    <row r="310" spans="1:14" x14ac:dyDescent="0.3">
      <c r="E310" s="2"/>
      <c r="F310"/>
      <c r="G310" s="104"/>
      <c r="I310" s="223" t="s">
        <v>364</v>
      </c>
      <c r="N310" s="1"/>
    </row>
    <row r="311" spans="1:14" ht="14.55" thickBot="1" x14ac:dyDescent="0.35">
      <c r="A311" s="100" t="s">
        <v>8</v>
      </c>
      <c r="B311" s="99" t="s">
        <v>365</v>
      </c>
      <c r="C311" s="99" t="s">
        <v>366</v>
      </c>
      <c r="D311" s="99" t="s">
        <v>367</v>
      </c>
      <c r="E311" s="99" t="s">
        <v>355</v>
      </c>
      <c r="F311" s="99" t="s">
        <v>368</v>
      </c>
      <c r="G311" s="104"/>
      <c r="N311" s="1"/>
    </row>
    <row r="312" spans="1:14" x14ac:dyDescent="0.3">
      <c r="A312" s="101" t="s">
        <v>21</v>
      </c>
      <c r="B312" s="176">
        <f>SUM(M6,M17,M30,M42,M54,M66,M80,M96,M110,M123,M137,M150,M161,M175,M182,M195,M208,M220,M236,M244,M265,M274,M292,M296)</f>
        <v>4990383.1887997976</v>
      </c>
      <c r="C312" s="177">
        <f>SUM(M11,M23,M36,M48,M59,M73,M86,M103,M116,M130,M143,M154,M167,M187,M201,M213,M226,M250,M280)</f>
        <v>268380.57195547613</v>
      </c>
      <c r="D312" s="216">
        <f>M256</f>
        <v>1621247.5235541575</v>
      </c>
      <c r="E312" s="216">
        <f>M300</f>
        <v>301292.3197431782</v>
      </c>
      <c r="F312" s="216">
        <f t="shared" ref="F312:F313" si="79">SUM(B312:E312)</f>
        <v>7181303.6040526088</v>
      </c>
      <c r="G312" s="104"/>
      <c r="H312" s="308"/>
      <c r="I312" s="308">
        <f t="shared" ref="I312:I320" si="80">F312/$F$321</f>
        <v>0.21994507908481042</v>
      </c>
      <c r="K312" s="307"/>
      <c r="M312" s="308"/>
      <c r="N312" s="1"/>
    </row>
    <row r="313" spans="1:14" x14ac:dyDescent="0.3">
      <c r="A313" s="101" t="s">
        <v>23</v>
      </c>
      <c r="B313" s="176">
        <f>SUM(M7,M18,M31,M43,M55,M67,M81,M97,M111,M124,M138,M151,M162,M176,M183,M196,M209,M221,M237,M245,M266,M275)</f>
        <v>2049479.2224005708</v>
      </c>
      <c r="C313" s="177">
        <f>SUM(M74,M104,M117,M144,M155,M168,M188,M202,M214)</f>
        <v>16300.768947497467</v>
      </c>
      <c r="D313" s="216">
        <v>0</v>
      </c>
      <c r="E313" s="216">
        <v>0</v>
      </c>
      <c r="F313" s="216">
        <f t="shared" si="79"/>
        <v>2065779.9913480682</v>
      </c>
      <c r="G313" s="104"/>
      <c r="H313" s="308"/>
      <c r="I313" s="308">
        <f t="shared" si="80"/>
        <v>6.3269591235839542E-2</v>
      </c>
      <c r="K313" s="307"/>
      <c r="M313" s="308"/>
      <c r="N313" s="1"/>
    </row>
    <row r="314" spans="1:14" x14ac:dyDescent="0.3">
      <c r="A314" s="101" t="s">
        <v>25</v>
      </c>
      <c r="B314" s="176">
        <f>SUM(M19,M32,M44,M68,M98,M112,M125,M139,M163,M246,M276)</f>
        <v>573936.59711075446</v>
      </c>
      <c r="C314" s="177">
        <v>0</v>
      </c>
      <c r="D314" s="216">
        <f>M257</f>
        <v>159481.55872258605</v>
      </c>
      <c r="E314" s="216">
        <v>0</v>
      </c>
      <c r="F314" s="216">
        <f t="shared" ref="F314:F320" si="81">SUM(B314:E314)</f>
        <v>733418.15583334048</v>
      </c>
      <c r="G314" s="104"/>
      <c r="H314" s="308"/>
      <c r="I314" s="308">
        <f t="shared" si="80"/>
        <v>2.2462734230588331E-2</v>
      </c>
      <c r="K314" s="307"/>
      <c r="M314" s="308"/>
      <c r="N314" s="1"/>
    </row>
    <row r="315" spans="1:14" x14ac:dyDescent="0.3">
      <c r="A315" s="101" t="s">
        <v>38</v>
      </c>
      <c r="B315" s="176">
        <f>SUM(M72,M85,M102,M129,M180,M200,M225,M270,M291)</f>
        <v>1544666.7517719995</v>
      </c>
      <c r="C315" s="177">
        <f>SUM(M15,M27,M40,M52,M63,M78,M90,M108,M121,M134,M148,M159,M172,M192,M206,M218,M230,M254,M284)</f>
        <v>86786.192690896947</v>
      </c>
      <c r="D315" s="216">
        <f>M262</f>
        <v>64829.901919750439</v>
      </c>
      <c r="E315" s="216">
        <v>0</v>
      </c>
      <c r="F315" s="216">
        <f t="shared" si="81"/>
        <v>1696282.8463826471</v>
      </c>
      <c r="G315" s="104"/>
      <c r="H315" s="230"/>
      <c r="I315" s="230">
        <f t="shared" si="80"/>
        <v>5.1952832712335702E-2</v>
      </c>
      <c r="K315" s="307"/>
      <c r="M315" s="308"/>
      <c r="N315" s="1"/>
    </row>
    <row r="316" spans="1:14" x14ac:dyDescent="0.3">
      <c r="A316" s="101" t="s">
        <v>369</v>
      </c>
      <c r="B316" s="176">
        <f>SUM(M8,M21,M33,M45,M56,M69,M82,M99,M113,M126,M140,M152,M164,M177,M184,M197,M210,M222,M238,M247,M267,M277,M297)</f>
        <v>11705836.272833686</v>
      </c>
      <c r="C316" s="177">
        <f>SUM(M12,M24,M37,M49,M60,M75,M87,M105,M118,M131,M145,M156,M169,M189,M203,M215,M227,M251,M281)</f>
        <v>628394.25643370789</v>
      </c>
      <c r="D316" s="216">
        <f>M258</f>
        <v>305510.91279682389</v>
      </c>
      <c r="E316" s="216">
        <v>0</v>
      </c>
      <c r="F316" s="216">
        <f t="shared" si="81"/>
        <v>12639741.442064218</v>
      </c>
      <c r="G316" s="104"/>
      <c r="H316" s="230"/>
      <c r="I316" s="230">
        <f t="shared" si="80"/>
        <v>0.38712315818502807</v>
      </c>
      <c r="K316" s="307"/>
      <c r="M316" s="308"/>
      <c r="N316" s="1"/>
    </row>
    <row r="317" spans="1:14" x14ac:dyDescent="0.3">
      <c r="A317" s="101" t="s">
        <v>370</v>
      </c>
      <c r="B317" s="176">
        <f>SUM(M9,M20,M35,M46,M57,M70,M84,M100,M114,M127,M141,M165,M178,M185,M198,M212,M224,M240,M248,M268,M279)</f>
        <v>1934502.9896537883</v>
      </c>
      <c r="C317" s="177">
        <f>SUM(M13,M25,M38,M50,M61,M76,M88,M106,M119,M132,M146,M157,M170,M190,M204,M216,M228,M241,M252,M271,M282)</f>
        <v>179171.03011908222</v>
      </c>
      <c r="D317" s="216">
        <f>M259</f>
        <v>447455.9830501175</v>
      </c>
      <c r="E317" s="216">
        <v>0</v>
      </c>
      <c r="F317" s="216">
        <f t="shared" si="81"/>
        <v>2561130.0028229877</v>
      </c>
      <c r="G317" s="104"/>
      <c r="H317" s="230"/>
      <c r="I317" s="230">
        <f t="shared" si="80"/>
        <v>7.8440903222569858E-2</v>
      </c>
      <c r="K317" s="307"/>
      <c r="M317" s="308"/>
      <c r="N317" s="1"/>
    </row>
    <row r="318" spans="1:14" x14ac:dyDescent="0.3">
      <c r="A318" s="101" t="s">
        <v>31</v>
      </c>
      <c r="B318" s="176">
        <f>SUM(M10,M22,M34,M47,M58,M71,M83,M101,M115,M128,M142,M153,M166,M179,M186,M199,M211,M223,M239,M249,M269,M278,M299)</f>
        <v>3335452.3126522447</v>
      </c>
      <c r="C318" s="177">
        <f>SUM(M14,M26,M39,M51,M62,M77,M89,M107,M120,M133,M147,M158,M171,M191,M205,M217,M229,M242,M253,M272,M283)</f>
        <v>362196.95367321587</v>
      </c>
      <c r="D318" s="216">
        <f>M260</f>
        <v>886234.48372827657</v>
      </c>
      <c r="E318" s="216">
        <v>0</v>
      </c>
      <c r="F318" s="216">
        <f t="shared" si="81"/>
        <v>4583883.7500537373</v>
      </c>
      <c r="G318" s="104"/>
      <c r="H318" s="230"/>
      <c r="I318" s="230">
        <f t="shared" si="80"/>
        <v>0.14039270994644898</v>
      </c>
      <c r="K318" s="307"/>
      <c r="M318" s="308"/>
      <c r="N318" s="1"/>
    </row>
    <row r="319" spans="1:14" x14ac:dyDescent="0.3">
      <c r="A319" s="101" t="s">
        <v>371</v>
      </c>
      <c r="B319" s="176">
        <f>M298</f>
        <v>48620.553476725516</v>
      </c>
      <c r="C319" s="177">
        <v>0</v>
      </c>
      <c r="D319" s="216">
        <v>0</v>
      </c>
      <c r="E319" s="216">
        <v>0</v>
      </c>
      <c r="F319" s="216">
        <f t="shared" si="81"/>
        <v>48620.553476725516</v>
      </c>
      <c r="G319" s="104"/>
      <c r="H319" s="230"/>
      <c r="I319" s="230">
        <f t="shared" si="80"/>
        <v>1.4891239904619561E-3</v>
      </c>
      <c r="K319" s="307"/>
      <c r="M319" s="308"/>
      <c r="N319" s="1"/>
    </row>
    <row r="320" spans="1:14" x14ac:dyDescent="0.3">
      <c r="A320" s="101" t="s">
        <v>372</v>
      </c>
      <c r="B320" s="176">
        <v>0</v>
      </c>
      <c r="C320" s="177"/>
      <c r="D320" s="216">
        <f>M261</f>
        <v>1140279.6362282876</v>
      </c>
      <c r="E320" s="216">
        <v>0</v>
      </c>
      <c r="F320" s="216">
        <f t="shared" si="81"/>
        <v>1140279.6362282876</v>
      </c>
      <c r="G320" s="104"/>
      <c r="H320" s="230"/>
      <c r="I320" s="230">
        <f t="shared" si="80"/>
        <v>3.4923867391917086E-2</v>
      </c>
      <c r="K320" s="307"/>
      <c r="M320" s="308"/>
      <c r="N320" s="1"/>
    </row>
    <row r="321" spans="1:14" ht="14.55" thickBot="1" x14ac:dyDescent="0.35">
      <c r="A321" s="100" t="s">
        <v>373</v>
      </c>
      <c r="B321" s="217">
        <f>M305</f>
        <v>26182877.888699565</v>
      </c>
      <c r="C321" s="217">
        <f>M307</f>
        <v>1541229.7738198764</v>
      </c>
      <c r="D321" s="217">
        <f>M306</f>
        <v>4625039.9999999991</v>
      </c>
      <c r="E321" s="217">
        <f>M308</f>
        <v>301292.3197431782</v>
      </c>
      <c r="F321" s="217">
        <f>M304</f>
        <v>32650439.982262623</v>
      </c>
      <c r="G321" s="104"/>
      <c r="M321" s="1">
        <f t="shared" ref="M321" si="82">I321-K321</f>
        <v>0</v>
      </c>
      <c r="N321" s="1"/>
    </row>
    <row r="322" spans="1:14" x14ac:dyDescent="0.3">
      <c r="B322" s="68"/>
      <c r="C322" s="68"/>
      <c r="D322" s="68"/>
      <c r="E322" s="68"/>
      <c r="F322" s="68"/>
      <c r="G322" s="104"/>
      <c r="N322" s="1"/>
    </row>
    <row r="323" spans="1:14" x14ac:dyDescent="0.3">
      <c r="B323" s="68"/>
      <c r="C323" s="68"/>
      <c r="D323" s="68"/>
      <c r="E323" s="68"/>
      <c r="F323" s="68"/>
      <c r="G323" s="104"/>
      <c r="N323" s="1"/>
    </row>
    <row r="324" spans="1:14" x14ac:dyDescent="0.3">
      <c r="B324" s="68"/>
      <c r="C324" s="68"/>
      <c r="D324" s="68"/>
      <c r="E324" s="68"/>
      <c r="F324" s="68"/>
      <c r="G324" s="104"/>
      <c r="N324" s="1"/>
    </row>
    <row r="325" spans="1:14" x14ac:dyDescent="0.3">
      <c r="A325" t="s">
        <v>374</v>
      </c>
    </row>
    <row r="326" spans="1:14" x14ac:dyDescent="0.3">
      <c r="A326" t="s">
        <v>851</v>
      </c>
    </row>
    <row r="328" spans="1:14" x14ac:dyDescent="0.3">
      <c r="A328" t="s">
        <v>375</v>
      </c>
    </row>
    <row r="330" spans="1:14" x14ac:dyDescent="0.3">
      <c r="A330" s="31" t="s">
        <v>376</v>
      </c>
      <c r="B330" s="325" t="s">
        <v>377</v>
      </c>
      <c r="C330" s="326"/>
      <c r="D330" s="326"/>
      <c r="E330" s="326"/>
      <c r="F330" s="326"/>
      <c r="G330" s="327"/>
    </row>
    <row r="331" spans="1:14" x14ac:dyDescent="0.3">
      <c r="A331" s="218" t="s">
        <v>378</v>
      </c>
      <c r="B331" s="220" t="s">
        <v>379</v>
      </c>
      <c r="C331" s="220" t="s">
        <v>380</v>
      </c>
      <c r="D331" s="220" t="s">
        <v>381</v>
      </c>
      <c r="E331" s="220" t="s">
        <v>382</v>
      </c>
      <c r="F331" s="220" t="s">
        <v>383</v>
      </c>
      <c r="G331" s="220" t="s">
        <v>368</v>
      </c>
      <c r="H331" s="223" t="s">
        <v>384</v>
      </c>
    </row>
    <row r="332" spans="1:14" x14ac:dyDescent="0.3">
      <c r="A332" s="219" t="s">
        <v>385</v>
      </c>
      <c r="B332" s="221">
        <v>349950.35331846977</v>
      </c>
      <c r="C332" s="221">
        <v>207770.31931802887</v>
      </c>
      <c r="D332" s="221">
        <v>207770.31931802887</v>
      </c>
      <c r="E332" s="221">
        <v>207770.31931802887</v>
      </c>
      <c r="F332" s="221">
        <v>207770.31931802887</v>
      </c>
      <c r="G332" s="221">
        <f>SUM(B332:F332)</f>
        <v>1181031.6305905853</v>
      </c>
      <c r="H332" s="1" t="s">
        <v>386</v>
      </c>
    </row>
    <row r="333" spans="1:14" x14ac:dyDescent="0.3">
      <c r="A333" s="219" t="s">
        <v>387</v>
      </c>
      <c r="B333" s="221">
        <v>507613.39299649996</v>
      </c>
      <c r="C333" s="221">
        <v>301377.02606349823</v>
      </c>
      <c r="D333" s="221">
        <v>301377.02606349823</v>
      </c>
      <c r="E333" s="221">
        <v>301377.02606349823</v>
      </c>
      <c r="F333" s="221">
        <v>301377.02606349823</v>
      </c>
      <c r="G333" s="221">
        <f>SUM(B333:F333)</f>
        <v>1713121.4972504927</v>
      </c>
      <c r="H333" s="1" t="s">
        <v>388</v>
      </c>
    </row>
    <row r="334" spans="1:14" x14ac:dyDescent="0.3">
      <c r="A334" s="219" t="s">
        <v>389</v>
      </c>
      <c r="B334" s="221">
        <v>250854.32897919833</v>
      </c>
      <c r="C334" s="221">
        <v>148935.65198628732</v>
      </c>
      <c r="D334" s="221">
        <v>148935.65198628732</v>
      </c>
      <c r="E334" s="221">
        <v>148935.65198628732</v>
      </c>
      <c r="F334" s="221">
        <v>148935.65198628732</v>
      </c>
      <c r="G334" s="221">
        <f>SUM(B334:F334)</f>
        <v>846596.93692434765</v>
      </c>
      <c r="H334" s="1" t="s">
        <v>390</v>
      </c>
    </row>
    <row r="335" spans="1:14" x14ac:dyDescent="0.3">
      <c r="A335" s="219" t="s">
        <v>391</v>
      </c>
      <c r="B335" s="221">
        <v>124979.064224</v>
      </c>
      <c r="C335" s="221">
        <v>74201.78272618544</v>
      </c>
      <c r="D335" s="221">
        <v>74201.78272618544</v>
      </c>
      <c r="E335" s="221">
        <v>74201.78272618544</v>
      </c>
      <c r="F335" s="221">
        <v>74201.78272618544</v>
      </c>
      <c r="G335" s="221">
        <f>SUM(B335:F335)</f>
        <v>421786.19512874179</v>
      </c>
      <c r="H335" s="1" t="s">
        <v>392</v>
      </c>
    </row>
    <row r="336" spans="1:14" x14ac:dyDescent="0.3">
      <c r="A336" s="218" t="s">
        <v>393</v>
      </c>
      <c r="B336" s="222">
        <f t="shared" ref="B336:G336" si="83">SUM(B332:B335)</f>
        <v>1233397.1395181681</v>
      </c>
      <c r="C336" s="222">
        <f t="shared" si="83"/>
        <v>732284.78009399981</v>
      </c>
      <c r="D336" s="222">
        <f t="shared" si="83"/>
        <v>732284.78009399981</v>
      </c>
      <c r="E336" s="222">
        <f t="shared" si="83"/>
        <v>732284.78009399981</v>
      </c>
      <c r="F336" s="222">
        <f t="shared" si="83"/>
        <v>732284.78009399981</v>
      </c>
      <c r="G336" s="222">
        <f t="shared" si="83"/>
        <v>4162536.2598941671</v>
      </c>
    </row>
    <row r="337" spans="1:8" x14ac:dyDescent="0.3">
      <c r="A337" s="219" t="s">
        <v>394</v>
      </c>
      <c r="B337" s="221">
        <v>137044.1266131298</v>
      </c>
      <c r="C337" s="221">
        <v>81364.975565999994</v>
      </c>
      <c r="D337" s="221">
        <v>81364.975565999994</v>
      </c>
      <c r="E337" s="221">
        <v>81364.975565999994</v>
      </c>
      <c r="F337" s="221">
        <v>81364.975565999994</v>
      </c>
      <c r="G337" s="221">
        <f>SUM(B337:F337)</f>
        <v>462504.02887712972</v>
      </c>
      <c r="H337" s="1" t="s">
        <v>395</v>
      </c>
    </row>
    <row r="338" spans="1:8" x14ac:dyDescent="0.3">
      <c r="A338" s="218" t="s">
        <v>396</v>
      </c>
      <c r="B338" s="222">
        <f t="shared" ref="B338:G338" si="84">B336+B337</f>
        <v>1370441.2661312979</v>
      </c>
      <c r="C338" s="222">
        <f t="shared" si="84"/>
        <v>813649.75565999979</v>
      </c>
      <c r="D338" s="222">
        <f t="shared" si="84"/>
        <v>813649.75565999979</v>
      </c>
      <c r="E338" s="222">
        <f t="shared" si="84"/>
        <v>813649.75565999979</v>
      </c>
      <c r="F338" s="222">
        <f t="shared" si="84"/>
        <v>813649.75565999979</v>
      </c>
      <c r="G338" s="222">
        <f t="shared" si="84"/>
        <v>4625040.2887712969</v>
      </c>
    </row>
    <row r="340" spans="1:8" x14ac:dyDescent="0.3">
      <c r="A340" t="s">
        <v>397</v>
      </c>
    </row>
  </sheetData>
  <mergeCells count="88">
    <mergeCell ref="C17:C28"/>
    <mergeCell ref="C6:C16"/>
    <mergeCell ref="B6:B29"/>
    <mergeCell ref="D66:D72"/>
    <mergeCell ref="C54:C64"/>
    <mergeCell ref="C66:C79"/>
    <mergeCell ref="D23:D27"/>
    <mergeCell ref="D30:D35"/>
    <mergeCell ref="C30:C41"/>
    <mergeCell ref="C42:C53"/>
    <mergeCell ref="B30:B65"/>
    <mergeCell ref="B66:B92"/>
    <mergeCell ref="C80:C91"/>
    <mergeCell ref="D6:D10"/>
    <mergeCell ref="D11:D15"/>
    <mergeCell ref="D36:D40"/>
    <mergeCell ref="D42:D47"/>
    <mergeCell ref="D130:D134"/>
    <mergeCell ref="D17:D22"/>
    <mergeCell ref="D110:D115"/>
    <mergeCell ref="D116:D121"/>
    <mergeCell ref="D48:D52"/>
    <mergeCell ref="D54:D58"/>
    <mergeCell ref="D59:D63"/>
    <mergeCell ref="D103:D108"/>
    <mergeCell ref="C220:C231"/>
    <mergeCell ref="D73:D78"/>
    <mergeCell ref="D96:D102"/>
    <mergeCell ref="C161:C173"/>
    <mergeCell ref="D80:D85"/>
    <mergeCell ref="D86:D90"/>
    <mergeCell ref="C182:C193"/>
    <mergeCell ref="D175:D180"/>
    <mergeCell ref="D226:D230"/>
    <mergeCell ref="C137:C149"/>
    <mergeCell ref="D220:D225"/>
    <mergeCell ref="C195:C207"/>
    <mergeCell ref="D195:D200"/>
    <mergeCell ref="D150:D153"/>
    <mergeCell ref="D154:D159"/>
    <mergeCell ref="C175:C181"/>
    <mergeCell ref="D256:D262"/>
    <mergeCell ref="D236:D240"/>
    <mergeCell ref="D241:D242"/>
    <mergeCell ref="D123:D129"/>
    <mergeCell ref="D161:D166"/>
    <mergeCell ref="D167:D172"/>
    <mergeCell ref="D137:D142"/>
    <mergeCell ref="D143:D148"/>
    <mergeCell ref="D244:D249"/>
    <mergeCell ref="D250:D254"/>
    <mergeCell ref="D182:D186"/>
    <mergeCell ref="D208:D212"/>
    <mergeCell ref="D201:D206"/>
    <mergeCell ref="D213:D218"/>
    <mergeCell ref="D187:D192"/>
    <mergeCell ref="D271:D272"/>
    <mergeCell ref="B291:B294"/>
    <mergeCell ref="C291:C293"/>
    <mergeCell ref="C96:C109"/>
    <mergeCell ref="C110:C122"/>
    <mergeCell ref="C123:C135"/>
    <mergeCell ref="C236:C243"/>
    <mergeCell ref="C244:C255"/>
    <mergeCell ref="C256:C263"/>
    <mergeCell ref="B236:B264"/>
    <mergeCell ref="C208:C219"/>
    <mergeCell ref="B96:B136"/>
    <mergeCell ref="B175:B194"/>
    <mergeCell ref="B137:B174"/>
    <mergeCell ref="C150:C160"/>
    <mergeCell ref="B195:B232"/>
    <mergeCell ref="B330:G330"/>
    <mergeCell ref="A6:A95"/>
    <mergeCell ref="A96:A235"/>
    <mergeCell ref="A236:A290"/>
    <mergeCell ref="B303:D303"/>
    <mergeCell ref="B302:D302"/>
    <mergeCell ref="D280:D284"/>
    <mergeCell ref="A296:C301"/>
    <mergeCell ref="D296:D299"/>
    <mergeCell ref="B265:B286"/>
    <mergeCell ref="D274:D279"/>
    <mergeCell ref="C265:C273"/>
    <mergeCell ref="C274:C285"/>
    <mergeCell ref="D291:D292"/>
    <mergeCell ref="A291:A295"/>
    <mergeCell ref="D265:D270"/>
  </mergeCells>
  <phoneticPr fontId="3" type="noConversion"/>
  <pageMargins left="0.7" right="0.7" top="0.75" bottom="0.75" header="0.3" footer="0.3"/>
  <pageSetup paperSize="9" orientation="portrait" horizontalDpi="4294967293"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2C2DF-25FC-4BD6-9A45-35EDEEC9EE56}">
  <dimension ref="A1:L290"/>
  <sheetViews>
    <sheetView zoomScale="80" zoomScaleNormal="80" workbookViewId="0">
      <pane xSplit="1" ySplit="1" topLeftCell="B164" activePane="bottomRight" state="frozen"/>
      <selection pane="topRight" activeCell="B1" sqref="B1"/>
      <selection pane="bottomLeft" activeCell="A2" sqref="A2"/>
      <selection pane="bottomRight" activeCell="B181" sqref="B181"/>
    </sheetView>
  </sheetViews>
  <sheetFormatPr defaultColWidth="9.19921875" defaultRowHeight="14" x14ac:dyDescent="0.3"/>
  <cols>
    <col min="1" max="1" width="11.796875" customWidth="1"/>
    <col min="2" max="2" width="172" style="24" customWidth="1"/>
    <col min="3" max="3" width="13.796875" style="24" customWidth="1"/>
    <col min="4" max="4" width="38.5" style="80" customWidth="1"/>
    <col min="5" max="5" width="36" style="24" customWidth="1"/>
    <col min="6" max="6" width="10.5" style="24" customWidth="1"/>
    <col min="7" max="7" width="29.796875" style="24" customWidth="1"/>
    <col min="8" max="8" width="22.796875" style="24" customWidth="1"/>
    <col min="9" max="9" width="11.796875" style="24" bestFit="1" customWidth="1"/>
    <col min="10" max="10" width="11.296875" customWidth="1"/>
  </cols>
  <sheetData>
    <row r="1" spans="1:5" x14ac:dyDescent="0.3">
      <c r="A1" s="25" t="s">
        <v>398</v>
      </c>
      <c r="B1" s="13" t="s">
        <v>399</v>
      </c>
      <c r="D1" s="304" t="s">
        <v>849</v>
      </c>
      <c r="E1"/>
    </row>
    <row r="2" spans="1:5" ht="84.8" customHeight="1" x14ac:dyDescent="0.3">
      <c r="A2" s="18" t="s">
        <v>22</v>
      </c>
      <c r="B2" s="24" t="s">
        <v>400</v>
      </c>
      <c r="D2" s="268" t="s">
        <v>403</v>
      </c>
      <c r="E2"/>
    </row>
    <row r="3" spans="1:5" ht="49.6" customHeight="1" x14ac:dyDescent="0.3">
      <c r="A3" s="18" t="s">
        <v>24</v>
      </c>
      <c r="B3" s="24" t="s">
        <v>657</v>
      </c>
      <c r="D3" s="268">
        <f>312.11*107+'Staff Activity Breakdown'!F86</f>
        <v>40418.241910112367</v>
      </c>
      <c r="E3"/>
    </row>
    <row r="4" spans="1:5" ht="51.05" customHeight="1" x14ac:dyDescent="0.3">
      <c r="A4" s="18" t="s">
        <v>26</v>
      </c>
      <c r="B4" s="24" t="s">
        <v>762</v>
      </c>
      <c r="D4" s="268" t="s">
        <v>763</v>
      </c>
      <c r="E4"/>
    </row>
    <row r="5" spans="1:5" ht="29.95" customHeight="1" x14ac:dyDescent="0.3">
      <c r="A5" s="18" t="s">
        <v>28</v>
      </c>
      <c r="B5" s="24" t="s">
        <v>401</v>
      </c>
      <c r="D5" s="268" t="s">
        <v>763</v>
      </c>
      <c r="E5"/>
    </row>
    <row r="6" spans="1:5" ht="34.549999999999997" customHeight="1" x14ac:dyDescent="0.3">
      <c r="A6" s="18" t="s">
        <v>30</v>
      </c>
      <c r="B6" s="24" t="s">
        <v>764</v>
      </c>
      <c r="D6" s="268" t="s">
        <v>763</v>
      </c>
      <c r="E6"/>
    </row>
    <row r="7" spans="1:5" ht="189.8" customHeight="1" x14ac:dyDescent="0.3">
      <c r="A7" s="18" t="s">
        <v>32</v>
      </c>
      <c r="B7" s="24" t="s">
        <v>798</v>
      </c>
      <c r="D7" s="268"/>
      <c r="E7"/>
    </row>
    <row r="8" spans="1:5" x14ac:dyDescent="0.3">
      <c r="A8" s="18" t="s">
        <v>34</v>
      </c>
      <c r="B8" s="24" t="s">
        <v>402</v>
      </c>
      <c r="D8" s="268"/>
      <c r="E8"/>
    </row>
    <row r="9" spans="1:5" x14ac:dyDescent="0.3">
      <c r="A9" s="18" t="s">
        <v>35</v>
      </c>
      <c r="B9" s="24" t="s">
        <v>402</v>
      </c>
      <c r="D9" s="268"/>
    </row>
    <row r="10" spans="1:5" x14ac:dyDescent="0.3">
      <c r="A10" s="18" t="s">
        <v>36</v>
      </c>
      <c r="B10" s="24" t="s">
        <v>402</v>
      </c>
      <c r="D10" s="268"/>
    </row>
    <row r="11" spans="1:5" x14ac:dyDescent="0.3">
      <c r="A11" s="18" t="s">
        <v>37</v>
      </c>
      <c r="B11" s="24" t="s">
        <v>402</v>
      </c>
      <c r="D11" s="268"/>
    </row>
    <row r="12" spans="1:5" x14ac:dyDescent="0.3">
      <c r="A12" s="18" t="s">
        <v>39</v>
      </c>
      <c r="B12" s="24" t="s">
        <v>403</v>
      </c>
      <c r="D12" s="268" t="s">
        <v>800</v>
      </c>
    </row>
    <row r="13" spans="1:5" x14ac:dyDescent="0.3">
      <c r="A13" s="18" t="s">
        <v>42</v>
      </c>
      <c r="B13" s="24" t="s">
        <v>658</v>
      </c>
      <c r="D13" s="268">
        <f>SUM('Staff Activity Breakdown'!L86:Q86)</f>
        <v>44471.910112359561</v>
      </c>
    </row>
    <row r="14" spans="1:5" x14ac:dyDescent="0.3">
      <c r="A14" s="18" t="s">
        <v>43</v>
      </c>
      <c r="B14" s="24" t="s">
        <v>659</v>
      </c>
      <c r="D14" s="268">
        <f>(657.65*60)+(758*15)</f>
        <v>50829</v>
      </c>
    </row>
    <row r="15" spans="1:5" ht="50.25" customHeight="1" x14ac:dyDescent="0.3">
      <c r="A15" s="18" t="s">
        <v>44</v>
      </c>
      <c r="B15" s="24" t="s">
        <v>765</v>
      </c>
      <c r="D15" s="268" t="s">
        <v>763</v>
      </c>
    </row>
    <row r="16" spans="1:5" x14ac:dyDescent="0.3">
      <c r="A16" s="18" t="s">
        <v>45</v>
      </c>
      <c r="B16" s="24" t="s">
        <v>660</v>
      </c>
      <c r="D16" s="268">
        <f>'Staff Activity Breakdown'!I206</f>
        <v>50533.681946709476</v>
      </c>
    </row>
    <row r="17" spans="1:4" ht="55.9" x14ac:dyDescent="0.3">
      <c r="A17" s="18" t="s">
        <v>46</v>
      </c>
      <c r="B17" s="24" t="s">
        <v>404</v>
      </c>
      <c r="D17" s="268" t="s">
        <v>763</v>
      </c>
    </row>
    <row r="18" spans="1:4" x14ac:dyDescent="0.3">
      <c r="A18" s="18" t="s">
        <v>47</v>
      </c>
      <c r="B18" s="24" t="s">
        <v>402</v>
      </c>
      <c r="D18" s="268"/>
    </row>
    <row r="19" spans="1:4" x14ac:dyDescent="0.3">
      <c r="A19" s="18" t="s">
        <v>48</v>
      </c>
      <c r="B19" s="24" t="s">
        <v>402</v>
      </c>
      <c r="D19" s="268"/>
    </row>
    <row r="20" spans="1:4" x14ac:dyDescent="0.3">
      <c r="A20" s="18" t="s">
        <v>49</v>
      </c>
      <c r="B20" s="24" t="s">
        <v>402</v>
      </c>
      <c r="D20" s="268"/>
    </row>
    <row r="21" spans="1:4" x14ac:dyDescent="0.3">
      <c r="A21" s="18" t="s">
        <v>50</v>
      </c>
      <c r="B21" s="24" t="s">
        <v>402</v>
      </c>
      <c r="D21" s="268"/>
    </row>
    <row r="22" spans="1:4" x14ac:dyDescent="0.3">
      <c r="A22" s="18" t="s">
        <v>51</v>
      </c>
      <c r="B22" s="24" t="s">
        <v>402</v>
      </c>
      <c r="D22" s="268"/>
    </row>
    <row r="23" spans="1:4" x14ac:dyDescent="0.3">
      <c r="A23" s="18" t="s">
        <v>52</v>
      </c>
      <c r="B23" s="24" t="s">
        <v>403</v>
      </c>
      <c r="D23" s="268" t="s">
        <v>800</v>
      </c>
    </row>
    <row r="24" spans="1:4" x14ac:dyDescent="0.3">
      <c r="A24" s="18" t="s">
        <v>57</v>
      </c>
      <c r="B24" s="24" t="s">
        <v>658</v>
      </c>
      <c r="D24" s="268">
        <f>SUM('Staff Activity Breakdown'!S86:X86)</f>
        <v>20685.393258426964</v>
      </c>
    </row>
    <row r="25" spans="1:4" ht="27.95" x14ac:dyDescent="0.3">
      <c r="A25" s="18" t="s">
        <v>58</v>
      </c>
      <c r="B25" s="24" t="s">
        <v>661</v>
      </c>
      <c r="D25" s="268">
        <f>(758*25)+(657.65*20)</f>
        <v>32103</v>
      </c>
    </row>
    <row r="26" spans="1:4" x14ac:dyDescent="0.3">
      <c r="A26" s="18" t="s">
        <v>59</v>
      </c>
      <c r="B26" s="24" t="s">
        <v>660</v>
      </c>
      <c r="D26" s="268">
        <f>'Staff Activity Breakdown'!I212</f>
        <v>23987.147961348313</v>
      </c>
    </row>
    <row r="27" spans="1:4" x14ac:dyDescent="0.3">
      <c r="A27" s="18" t="s">
        <v>60</v>
      </c>
      <c r="B27" s="24" t="s">
        <v>405</v>
      </c>
      <c r="D27" s="268">
        <f>'Staff Activity Breakdown'!I211</f>
        <v>37728.669795430716</v>
      </c>
    </row>
    <row r="28" spans="1:4" ht="41.95" x14ac:dyDescent="0.3">
      <c r="A28" s="18" t="s">
        <v>61</v>
      </c>
      <c r="B28" s="24" t="s">
        <v>801</v>
      </c>
      <c r="D28" s="268" t="s">
        <v>763</v>
      </c>
    </row>
    <row r="29" spans="1:4" x14ac:dyDescent="0.3">
      <c r="A29" s="18" t="s">
        <v>62</v>
      </c>
      <c r="B29" s="24" t="s">
        <v>402</v>
      </c>
      <c r="D29" s="268"/>
    </row>
    <row r="30" spans="1:4" x14ac:dyDescent="0.3">
      <c r="A30" s="18" t="s">
        <v>63</v>
      </c>
      <c r="B30" s="24" t="s">
        <v>402</v>
      </c>
      <c r="D30" s="268"/>
    </row>
    <row r="31" spans="1:4" x14ac:dyDescent="0.3">
      <c r="A31" s="18" t="s">
        <v>64</v>
      </c>
      <c r="B31" s="24" t="s">
        <v>402</v>
      </c>
      <c r="D31" s="268"/>
    </row>
    <row r="32" spans="1:4" x14ac:dyDescent="0.3">
      <c r="A32" s="18" t="s">
        <v>65</v>
      </c>
      <c r="B32" s="24" t="s">
        <v>402</v>
      </c>
      <c r="D32" s="268"/>
    </row>
    <row r="33" spans="1:4" x14ac:dyDescent="0.3">
      <c r="A33" s="18" t="s">
        <v>66</v>
      </c>
      <c r="B33" s="24" t="s">
        <v>402</v>
      </c>
      <c r="D33" s="268"/>
    </row>
    <row r="34" spans="1:4" x14ac:dyDescent="0.3">
      <c r="A34" s="18" t="s">
        <v>67</v>
      </c>
      <c r="B34" s="24" t="s">
        <v>403</v>
      </c>
      <c r="D34" s="268" t="s">
        <v>800</v>
      </c>
    </row>
    <row r="35" spans="1:4" x14ac:dyDescent="0.3">
      <c r="A35" s="18" t="s">
        <v>70</v>
      </c>
      <c r="B35" s="24" t="s">
        <v>658</v>
      </c>
      <c r="D35" s="268">
        <f>SUM('Staff Activity Breakdown'!Y86:AD86)</f>
        <v>8602.036516853932</v>
      </c>
    </row>
    <row r="36" spans="1:4" ht="65.3" customHeight="1" x14ac:dyDescent="0.3">
      <c r="A36" s="18" t="s">
        <v>71</v>
      </c>
      <c r="B36" s="24" t="s">
        <v>781</v>
      </c>
      <c r="D36" s="268">
        <f>(52668.5393258427*2)+(757.981095059747*90)</f>
        <v>173555.37720706261</v>
      </c>
    </row>
    <row r="37" spans="1:4" x14ac:dyDescent="0.3">
      <c r="A37" s="18" t="s">
        <v>72</v>
      </c>
      <c r="B37" s="24" t="s">
        <v>660</v>
      </c>
      <c r="D37" s="268">
        <f>'Staff Activity Breakdown'!I216</f>
        <v>14111.327466067416</v>
      </c>
    </row>
    <row r="38" spans="1:4" ht="27.95" x14ac:dyDescent="0.3">
      <c r="A38" s="18" t="s">
        <v>73</v>
      </c>
      <c r="B38" s="24" t="s">
        <v>766</v>
      </c>
      <c r="D38" s="268" t="s">
        <v>763</v>
      </c>
    </row>
    <row r="39" spans="1:4" ht="49.6" customHeight="1" x14ac:dyDescent="0.3">
      <c r="A39" s="18" t="s">
        <v>74</v>
      </c>
      <c r="B39" s="24" t="s">
        <v>406</v>
      </c>
      <c r="D39" s="268" t="s">
        <v>763</v>
      </c>
    </row>
    <row r="40" spans="1:4" x14ac:dyDescent="0.3">
      <c r="A40" s="18" t="s">
        <v>75</v>
      </c>
      <c r="B40" s="24" t="s">
        <v>402</v>
      </c>
      <c r="D40" s="268"/>
    </row>
    <row r="41" spans="1:4" x14ac:dyDescent="0.3">
      <c r="A41" s="18" t="s">
        <v>76</v>
      </c>
      <c r="B41" s="24" t="s">
        <v>402</v>
      </c>
      <c r="D41" s="268"/>
    </row>
    <row r="42" spans="1:4" x14ac:dyDescent="0.3">
      <c r="A42" s="18" t="s">
        <v>77</v>
      </c>
      <c r="B42" s="24" t="s">
        <v>402</v>
      </c>
      <c r="D42" s="268"/>
    </row>
    <row r="43" spans="1:4" x14ac:dyDescent="0.3">
      <c r="A43" s="18" t="s">
        <v>78</v>
      </c>
      <c r="B43" s="24" t="s">
        <v>402</v>
      </c>
      <c r="D43" s="268"/>
    </row>
    <row r="44" spans="1:4" x14ac:dyDescent="0.3">
      <c r="A44" s="18" t="s">
        <v>79</v>
      </c>
      <c r="B44" s="24" t="s">
        <v>402</v>
      </c>
      <c r="D44" s="268"/>
    </row>
    <row r="45" spans="1:4" x14ac:dyDescent="0.3">
      <c r="A45" s="18" t="s">
        <v>80</v>
      </c>
      <c r="B45" s="24" t="s">
        <v>403</v>
      </c>
      <c r="D45" s="268" t="s">
        <v>800</v>
      </c>
    </row>
    <row r="46" spans="1:4" x14ac:dyDescent="0.3">
      <c r="A46" s="18" t="s">
        <v>83</v>
      </c>
      <c r="B46" s="24" t="s">
        <v>658</v>
      </c>
      <c r="D46" s="268">
        <f>SUM('Staff Activity Breakdown'!AE86:AJ86)</f>
        <v>15770.154494382019</v>
      </c>
    </row>
    <row r="47" spans="1:4" x14ac:dyDescent="0.3">
      <c r="A47" s="18" t="s">
        <v>84</v>
      </c>
      <c r="B47" s="24" t="s">
        <v>660</v>
      </c>
      <c r="D47" s="268">
        <f>'Staff Activity Breakdown'!I220</f>
        <v>20514.563691685395</v>
      </c>
    </row>
    <row r="48" spans="1:4" ht="27.95" x14ac:dyDescent="0.3">
      <c r="A48" s="18" t="s">
        <v>85</v>
      </c>
      <c r="B48" s="24" t="s">
        <v>767</v>
      </c>
      <c r="D48" s="268" t="s">
        <v>763</v>
      </c>
    </row>
    <row r="49" spans="1:4" ht="36" customHeight="1" x14ac:dyDescent="0.3">
      <c r="A49" s="18" t="s">
        <v>86</v>
      </c>
      <c r="B49" s="24" t="s">
        <v>407</v>
      </c>
      <c r="D49" s="268" t="s">
        <v>763</v>
      </c>
    </row>
    <row r="50" spans="1:4" x14ac:dyDescent="0.3">
      <c r="A50" s="18" t="s">
        <v>87</v>
      </c>
      <c r="B50" s="24" t="s">
        <v>402</v>
      </c>
      <c r="D50" s="268"/>
    </row>
    <row r="51" spans="1:4" x14ac:dyDescent="0.3">
      <c r="A51" s="18" t="s">
        <v>88</v>
      </c>
      <c r="B51" s="24" t="s">
        <v>402</v>
      </c>
      <c r="D51" s="268"/>
    </row>
    <row r="52" spans="1:4" x14ac:dyDescent="0.3">
      <c r="A52" s="18" t="s">
        <v>89</v>
      </c>
      <c r="B52" s="24" t="s">
        <v>402</v>
      </c>
      <c r="D52" s="268"/>
    </row>
    <row r="53" spans="1:4" x14ac:dyDescent="0.3">
      <c r="A53" s="18" t="s">
        <v>90</v>
      </c>
      <c r="B53" s="24" t="s">
        <v>402</v>
      </c>
      <c r="D53" s="268"/>
    </row>
    <row r="54" spans="1:4" x14ac:dyDescent="0.3">
      <c r="A54" s="18" t="s">
        <v>91</v>
      </c>
      <c r="B54" s="24" t="s">
        <v>402</v>
      </c>
      <c r="D54" s="268"/>
    </row>
    <row r="55" spans="1:4" x14ac:dyDescent="0.3">
      <c r="A55" s="18" t="s">
        <v>92</v>
      </c>
      <c r="B55" s="24" t="s">
        <v>403</v>
      </c>
      <c r="D55" s="268" t="s">
        <v>800</v>
      </c>
    </row>
    <row r="56" spans="1:4" ht="41.95" x14ac:dyDescent="0.3">
      <c r="A56" s="18" t="s">
        <v>93</v>
      </c>
      <c r="B56" s="24" t="s">
        <v>780</v>
      </c>
      <c r="D56" s="268">
        <f>526.128054217942*30+312.10986267166*30+SUM('Staff Activity Breakdown'!AL86:AQ86)</f>
        <v>38898.190877474575</v>
      </c>
    </row>
    <row r="57" spans="1:4" ht="27.95" x14ac:dyDescent="0.3">
      <c r="A57" s="18" t="s">
        <v>98</v>
      </c>
      <c r="B57" s="24" t="s">
        <v>779</v>
      </c>
      <c r="D57" s="268">
        <f>(52668.5393258427*3)</f>
        <v>158005.61797752811</v>
      </c>
    </row>
    <row r="58" spans="1:4" ht="41.95" x14ac:dyDescent="0.3">
      <c r="A58" s="18" t="s">
        <v>99</v>
      </c>
      <c r="B58" s="24" t="s">
        <v>768</v>
      </c>
      <c r="D58" s="268" t="s">
        <v>763</v>
      </c>
    </row>
    <row r="59" spans="1:4" ht="44.5" customHeight="1" x14ac:dyDescent="0.3">
      <c r="A59" s="18" t="s">
        <v>100</v>
      </c>
      <c r="B59" s="24" t="s">
        <v>769</v>
      </c>
      <c r="D59" s="268" t="s">
        <v>763</v>
      </c>
    </row>
    <row r="60" spans="1:4" x14ac:dyDescent="0.3">
      <c r="A60" s="18" t="s">
        <v>101</v>
      </c>
      <c r="B60" s="24" t="s">
        <v>405</v>
      </c>
      <c r="D60" s="268" t="s">
        <v>800</v>
      </c>
    </row>
    <row r="61" spans="1:4" ht="65.55" customHeight="1" x14ac:dyDescent="0.3">
      <c r="A61" s="18" t="s">
        <v>102</v>
      </c>
      <c r="B61" s="24" t="s">
        <v>802</v>
      </c>
      <c r="D61" s="268">
        <f>(65.25*90.9577314071696*12+130.5*92.776886035313*12+195.75*94.6324237560193*12+261*96.5250722311396*12+261*98.4555736757624*12)/2+30*757.981095059747</f>
        <v>547479.15965500264</v>
      </c>
    </row>
    <row r="62" spans="1:4" x14ac:dyDescent="0.3">
      <c r="A62" s="18" t="s">
        <v>103</v>
      </c>
      <c r="B62" s="24" t="s">
        <v>402</v>
      </c>
      <c r="D62" s="268"/>
    </row>
    <row r="63" spans="1:4" x14ac:dyDescent="0.3">
      <c r="A63" s="18" t="s">
        <v>104</v>
      </c>
      <c r="B63" s="24" t="s">
        <v>402</v>
      </c>
      <c r="D63" s="268"/>
    </row>
    <row r="64" spans="1:4" x14ac:dyDescent="0.3">
      <c r="A64" s="18" t="s">
        <v>105</v>
      </c>
      <c r="B64" s="24" t="s">
        <v>402</v>
      </c>
      <c r="D64" s="268"/>
    </row>
    <row r="65" spans="1:4" x14ac:dyDescent="0.3">
      <c r="A65" s="18" t="s">
        <v>106</v>
      </c>
      <c r="B65" s="24" t="s">
        <v>402</v>
      </c>
      <c r="D65" s="268"/>
    </row>
    <row r="66" spans="1:4" x14ac:dyDescent="0.3">
      <c r="A66" s="18" t="s">
        <v>107</v>
      </c>
      <c r="B66" s="24" t="s">
        <v>402</v>
      </c>
      <c r="D66" s="268"/>
    </row>
    <row r="67" spans="1:4" x14ac:dyDescent="0.3">
      <c r="A67" s="18" t="s">
        <v>108</v>
      </c>
      <c r="B67" s="24" t="s">
        <v>402</v>
      </c>
      <c r="D67" s="268"/>
    </row>
    <row r="68" spans="1:4" x14ac:dyDescent="0.3">
      <c r="A68" s="18" t="s">
        <v>109</v>
      </c>
      <c r="B68" s="24" t="s">
        <v>403</v>
      </c>
      <c r="D68" s="268" t="s">
        <v>800</v>
      </c>
    </row>
    <row r="69" spans="1:4" x14ac:dyDescent="0.3">
      <c r="A69" s="18" t="s">
        <v>110</v>
      </c>
      <c r="B69" s="24" t="s">
        <v>658</v>
      </c>
      <c r="D69" s="268">
        <f>SUM('Staff Activity Breakdown'!AR86:AW86)</f>
        <v>18432.935393258427</v>
      </c>
    </row>
    <row r="70" spans="1:4" x14ac:dyDescent="0.3">
      <c r="A70" s="18" t="s">
        <v>113</v>
      </c>
      <c r="B70" s="24" t="s">
        <v>660</v>
      </c>
      <c r="D70" s="268">
        <f>'Staff Activity Breakdown'!I231</f>
        <v>26025.630818619582</v>
      </c>
    </row>
    <row r="71" spans="1:4" x14ac:dyDescent="0.3">
      <c r="A71" s="18" t="s">
        <v>114</v>
      </c>
      <c r="B71" s="24" t="s">
        <v>405</v>
      </c>
      <c r="D71" s="268">
        <f>'Staff Activity Breakdown'!I230</f>
        <v>23854.656500802572</v>
      </c>
    </row>
    <row r="72" spans="1:4" ht="27.95" x14ac:dyDescent="0.3">
      <c r="A72" s="18" t="s">
        <v>115</v>
      </c>
      <c r="B72" s="24" t="s">
        <v>408</v>
      </c>
      <c r="D72" s="268" t="s">
        <v>763</v>
      </c>
    </row>
    <row r="73" spans="1:4" x14ac:dyDescent="0.3">
      <c r="A73" s="18" t="s">
        <v>116</v>
      </c>
      <c r="B73" s="24" t="s">
        <v>409</v>
      </c>
      <c r="D73" s="268">
        <f>657.65*30</f>
        <v>19729.5</v>
      </c>
    </row>
    <row r="74" spans="1:4" x14ac:dyDescent="0.3">
      <c r="A74" s="18" t="s">
        <v>117</v>
      </c>
      <c r="B74" s="24" t="s">
        <v>402</v>
      </c>
      <c r="C74" s="225"/>
      <c r="D74" s="268"/>
    </row>
    <row r="75" spans="1:4" x14ac:dyDescent="0.3">
      <c r="A75" s="18" t="s">
        <v>118</v>
      </c>
      <c r="B75" s="24" t="s">
        <v>402</v>
      </c>
      <c r="C75" s="225"/>
      <c r="D75" s="268"/>
    </row>
    <row r="76" spans="1:4" x14ac:dyDescent="0.3">
      <c r="A76" s="18" t="s">
        <v>119</v>
      </c>
      <c r="B76" s="24" t="s">
        <v>402</v>
      </c>
      <c r="C76" s="225"/>
      <c r="D76" s="268"/>
    </row>
    <row r="77" spans="1:4" x14ac:dyDescent="0.3">
      <c r="A77" s="18" t="s">
        <v>120</v>
      </c>
      <c r="B77" s="24" t="s">
        <v>402</v>
      </c>
      <c r="C77" s="225"/>
      <c r="D77" s="268"/>
    </row>
    <row r="78" spans="1:4" x14ac:dyDescent="0.3">
      <c r="A78" s="18" t="s">
        <v>121</v>
      </c>
      <c r="B78" s="24" t="s">
        <v>402</v>
      </c>
      <c r="C78" s="225"/>
      <c r="D78" s="268"/>
    </row>
    <row r="79" spans="1:4" x14ac:dyDescent="0.3">
      <c r="A79" s="12" t="s">
        <v>129</v>
      </c>
      <c r="B79" s="24" t="s">
        <v>403</v>
      </c>
      <c r="C79" s="225"/>
      <c r="D79" s="268" t="s">
        <v>800</v>
      </c>
    </row>
    <row r="80" spans="1:4" ht="48.8" customHeight="1" x14ac:dyDescent="0.3">
      <c r="A80" s="12" t="s">
        <v>130</v>
      </c>
      <c r="B80" s="24" t="s">
        <v>782</v>
      </c>
      <c r="C80" s="225"/>
      <c r="D80" s="268">
        <f>(312.10986267166*15)+(261*390.137328339576)+SUM('Staff Activity Breakdown'!F108:K108)</f>
        <v>262170.64606741583</v>
      </c>
    </row>
    <row r="81" spans="1:4" x14ac:dyDescent="0.3">
      <c r="A81" s="12" t="s">
        <v>131</v>
      </c>
      <c r="B81" s="24" t="s">
        <v>783</v>
      </c>
      <c r="C81" s="225"/>
      <c r="D81" s="268">
        <f>(657.65*30)+(3*657.65)</f>
        <v>21702.45</v>
      </c>
    </row>
    <row r="82" spans="1:4" ht="141.75" customHeight="1" x14ac:dyDescent="0.3">
      <c r="A82" s="12" t="s">
        <v>132</v>
      </c>
      <c r="B82" s="24" t="s">
        <v>854</v>
      </c>
      <c r="C82" s="225"/>
      <c r="D82" s="268" t="s">
        <v>763</v>
      </c>
    </row>
    <row r="83" spans="1:4" ht="82.5" customHeight="1" x14ac:dyDescent="0.3">
      <c r="A83" s="12" t="s">
        <v>133</v>
      </c>
      <c r="B83" s="24" t="s">
        <v>803</v>
      </c>
      <c r="C83" s="225"/>
      <c r="D83" s="268" t="s">
        <v>763</v>
      </c>
    </row>
    <row r="84" spans="1:4" ht="60.75" customHeight="1" x14ac:dyDescent="0.3">
      <c r="A84" s="12" t="s">
        <v>134</v>
      </c>
      <c r="B84" s="24" t="s">
        <v>410</v>
      </c>
      <c r="C84" s="225"/>
      <c r="D84" s="268" t="s">
        <v>763</v>
      </c>
    </row>
    <row r="85" spans="1:4" ht="36" customHeight="1" x14ac:dyDescent="0.3">
      <c r="A85" s="12" t="s">
        <v>135</v>
      </c>
      <c r="B85" s="24" t="s">
        <v>804</v>
      </c>
      <c r="C85" s="225"/>
      <c r="D85" s="268">
        <f>40*26.7522739432852+391.5*27.8330658105939</f>
        <v>11966.73622257892</v>
      </c>
    </row>
    <row r="86" spans="1:4" x14ac:dyDescent="0.3">
      <c r="A86" s="12" t="s">
        <v>136</v>
      </c>
      <c r="B86" s="24" t="s">
        <v>402</v>
      </c>
      <c r="C86" s="225"/>
      <c r="D86" s="268"/>
    </row>
    <row r="87" spans="1:4" x14ac:dyDescent="0.3">
      <c r="A87" s="12" t="s">
        <v>137</v>
      </c>
      <c r="B87" s="24" t="s">
        <v>402</v>
      </c>
      <c r="C87" s="225"/>
      <c r="D87" s="268"/>
    </row>
    <row r="88" spans="1:4" x14ac:dyDescent="0.3">
      <c r="A88" s="12" t="s">
        <v>138</v>
      </c>
      <c r="B88" s="24" t="s">
        <v>402</v>
      </c>
      <c r="D88" s="268"/>
    </row>
    <row r="89" spans="1:4" x14ac:dyDescent="0.3">
      <c r="A89" s="12" t="s">
        <v>139</v>
      </c>
      <c r="B89" s="24" t="s">
        <v>402</v>
      </c>
      <c r="D89" s="268"/>
    </row>
    <row r="90" spans="1:4" x14ac:dyDescent="0.3">
      <c r="A90" s="12" t="s">
        <v>140</v>
      </c>
      <c r="B90" s="24" t="s">
        <v>402</v>
      </c>
      <c r="D90" s="268"/>
    </row>
    <row r="91" spans="1:4" x14ac:dyDescent="0.3">
      <c r="A91" s="12" t="s">
        <v>141</v>
      </c>
      <c r="B91" s="24" t="s">
        <v>402</v>
      </c>
      <c r="D91" s="268"/>
    </row>
    <row r="92" spans="1:4" x14ac:dyDescent="0.3">
      <c r="A92" s="12" t="s">
        <v>144</v>
      </c>
      <c r="B92" s="24" t="s">
        <v>403</v>
      </c>
      <c r="D92" s="268" t="s">
        <v>800</v>
      </c>
    </row>
    <row r="93" spans="1:4" x14ac:dyDescent="0.3">
      <c r="A93" s="12" t="s">
        <v>145</v>
      </c>
      <c r="B93" s="24" t="s">
        <v>665</v>
      </c>
      <c r="D93" s="268">
        <f>SUM('Staff Activity Breakdown'!L108:Q108)</f>
        <v>44475.187265917608</v>
      </c>
    </row>
    <row r="94" spans="1:4" ht="47.95" customHeight="1" x14ac:dyDescent="0.3">
      <c r="A94" s="12" t="s">
        <v>146</v>
      </c>
      <c r="B94" s="24" t="s">
        <v>666</v>
      </c>
      <c r="D94" s="268">
        <f>(657.65*30)+(758*15)+(657.65*3)</f>
        <v>33072.449999999997</v>
      </c>
    </row>
    <row r="95" spans="1:4" ht="55.9" x14ac:dyDescent="0.3">
      <c r="A95" s="12" t="s">
        <v>147</v>
      </c>
      <c r="B95" s="24" t="s">
        <v>852</v>
      </c>
      <c r="D95" s="268" t="s">
        <v>763</v>
      </c>
    </row>
    <row r="96" spans="1:4" ht="53.2" customHeight="1" x14ac:dyDescent="0.3">
      <c r="A96" s="12" t="s">
        <v>148</v>
      </c>
      <c r="B96" s="24" t="s">
        <v>805</v>
      </c>
      <c r="D96" s="268" t="s">
        <v>763</v>
      </c>
    </row>
    <row r="97" spans="1:4" ht="48.8" customHeight="1" x14ac:dyDescent="0.3">
      <c r="A97" s="12" t="s">
        <v>149</v>
      </c>
      <c r="B97" s="24" t="s">
        <v>411</v>
      </c>
      <c r="D97" s="268" t="s">
        <v>763</v>
      </c>
    </row>
    <row r="98" spans="1:4" x14ac:dyDescent="0.3">
      <c r="A98" s="12" t="s">
        <v>150</v>
      </c>
      <c r="B98" s="24" t="s">
        <v>402</v>
      </c>
      <c r="D98" s="268"/>
    </row>
    <row r="99" spans="1:4" x14ac:dyDescent="0.3">
      <c r="A99" s="12" t="s">
        <v>151</v>
      </c>
      <c r="B99" s="24" t="s">
        <v>402</v>
      </c>
      <c r="D99" s="268"/>
    </row>
    <row r="100" spans="1:4" x14ac:dyDescent="0.3">
      <c r="A100" s="12" t="s">
        <v>152</v>
      </c>
      <c r="B100" s="24" t="s">
        <v>402</v>
      </c>
      <c r="D100" s="268"/>
    </row>
    <row r="101" spans="1:4" x14ac:dyDescent="0.3">
      <c r="A101" s="12" t="s">
        <v>153</v>
      </c>
      <c r="B101" s="24" t="s">
        <v>402</v>
      </c>
      <c r="D101" s="268"/>
    </row>
    <row r="102" spans="1:4" x14ac:dyDescent="0.3">
      <c r="A102" s="12" t="s">
        <v>154</v>
      </c>
      <c r="B102" s="24" t="s">
        <v>402</v>
      </c>
      <c r="D102" s="268"/>
    </row>
    <row r="103" spans="1:4" x14ac:dyDescent="0.3">
      <c r="A103" s="12" t="s">
        <v>155</v>
      </c>
      <c r="B103" s="24" t="s">
        <v>402</v>
      </c>
      <c r="D103" s="268"/>
    </row>
    <row r="104" spans="1:4" x14ac:dyDescent="0.3">
      <c r="A104" s="12" t="s">
        <v>158</v>
      </c>
      <c r="B104" s="24" t="s">
        <v>403</v>
      </c>
      <c r="D104" s="268" t="s">
        <v>800</v>
      </c>
    </row>
    <row r="105" spans="1:4" ht="41.95" x14ac:dyDescent="0.3">
      <c r="A105" s="12" t="s">
        <v>159</v>
      </c>
      <c r="B105" s="24" t="s">
        <v>806</v>
      </c>
      <c r="D105" s="268">
        <f>318.352059925094*15+SUM('Staff Activity Breakdown'!R108:W108)</f>
        <v>27012.874531835216</v>
      </c>
    </row>
    <row r="106" spans="1:4" x14ac:dyDescent="0.3">
      <c r="A106" s="12" t="s">
        <v>160</v>
      </c>
      <c r="B106" s="24" t="s">
        <v>784</v>
      </c>
      <c r="D106" s="323">
        <f>657.65*30</f>
        <v>19729.5</v>
      </c>
    </row>
    <row r="107" spans="1:4" x14ac:dyDescent="0.3">
      <c r="A107" s="12" t="s">
        <v>161</v>
      </c>
      <c r="B107" s="24" t="s">
        <v>662</v>
      </c>
      <c r="D107" s="268">
        <f>'Staff Activity Breakdown'!I257</f>
        <v>1365.9953778491172</v>
      </c>
    </row>
    <row r="108" spans="1:4" ht="41.95" x14ac:dyDescent="0.3">
      <c r="A108" s="12" t="s">
        <v>162</v>
      </c>
      <c r="B108" s="24" t="s">
        <v>807</v>
      </c>
      <c r="D108" s="268" t="s">
        <v>763</v>
      </c>
    </row>
    <row r="109" spans="1:4" ht="41.95" x14ac:dyDescent="0.3">
      <c r="A109" s="12" t="s">
        <v>163</v>
      </c>
      <c r="B109" s="24" t="s">
        <v>412</v>
      </c>
      <c r="D109" s="268" t="s">
        <v>763</v>
      </c>
    </row>
    <row r="110" spans="1:4" ht="27.95" x14ac:dyDescent="0.3">
      <c r="A110" s="12" t="s">
        <v>164</v>
      </c>
      <c r="B110" s="24" t="s">
        <v>808</v>
      </c>
      <c r="D110" s="268">
        <f>870*27.8330658105939+28.3897271268058*870</f>
        <v>48913.829855537741</v>
      </c>
    </row>
    <row r="111" spans="1:4" x14ac:dyDescent="0.3">
      <c r="A111" s="12" t="s">
        <v>165</v>
      </c>
      <c r="B111" s="24" t="s">
        <v>402</v>
      </c>
      <c r="D111" s="268"/>
    </row>
    <row r="112" spans="1:4" x14ac:dyDescent="0.3">
      <c r="A112" s="12" t="s">
        <v>166</v>
      </c>
      <c r="B112" s="24" t="s">
        <v>402</v>
      </c>
      <c r="D112" s="268"/>
    </row>
    <row r="113" spans="1:4" x14ac:dyDescent="0.3">
      <c r="A113" s="12" t="s">
        <v>167</v>
      </c>
      <c r="B113" s="24" t="s">
        <v>402</v>
      </c>
      <c r="D113" s="268"/>
    </row>
    <row r="114" spans="1:4" x14ac:dyDescent="0.3">
      <c r="A114" s="12" t="s">
        <v>168</v>
      </c>
      <c r="B114" s="24" t="s">
        <v>402</v>
      </c>
      <c r="D114" s="268"/>
    </row>
    <row r="115" spans="1:4" x14ac:dyDescent="0.3">
      <c r="A115" s="12" t="s">
        <v>169</v>
      </c>
      <c r="B115" s="24" t="s">
        <v>402</v>
      </c>
      <c r="D115" s="268"/>
    </row>
    <row r="116" spans="1:4" x14ac:dyDescent="0.3">
      <c r="A116" s="12" t="s">
        <v>174</v>
      </c>
      <c r="B116" s="116" t="s">
        <v>403</v>
      </c>
      <c r="D116" s="268" t="s">
        <v>800</v>
      </c>
    </row>
    <row r="117" spans="1:4" ht="46.5" customHeight="1" x14ac:dyDescent="0.3">
      <c r="A117" s="12" t="s">
        <v>175</v>
      </c>
      <c r="B117" s="24" t="s">
        <v>785</v>
      </c>
      <c r="D117" s="268">
        <f>312.10986267166*15+SUM('Staff Activity Breakdown'!Y108:AD108)</f>
        <v>66946.910112359532</v>
      </c>
    </row>
    <row r="118" spans="1:4" ht="29.3" customHeight="1" x14ac:dyDescent="0.3">
      <c r="A118" s="12" t="s">
        <v>176</v>
      </c>
      <c r="B118" s="24" t="s">
        <v>799</v>
      </c>
      <c r="D118" s="268">
        <f>657.65*30</f>
        <v>19729.5</v>
      </c>
    </row>
    <row r="119" spans="1:4" ht="66.8" customHeight="1" x14ac:dyDescent="0.3">
      <c r="A119" s="12" t="s">
        <v>177</v>
      </c>
      <c r="B119" s="24" t="s">
        <v>853</v>
      </c>
      <c r="D119" s="268" t="s">
        <v>763</v>
      </c>
    </row>
    <row r="120" spans="1:4" ht="69.75" customHeight="1" x14ac:dyDescent="0.3">
      <c r="A120" s="12" t="s">
        <v>178</v>
      </c>
      <c r="B120" s="24" t="s">
        <v>809</v>
      </c>
      <c r="D120" s="268" t="s">
        <v>763</v>
      </c>
    </row>
    <row r="121" spans="1:4" ht="67.599999999999994" customHeight="1" x14ac:dyDescent="0.3">
      <c r="A121" s="12" t="s">
        <v>179</v>
      </c>
      <c r="B121" s="24" t="s">
        <v>810</v>
      </c>
      <c r="D121" s="268" t="s">
        <v>763</v>
      </c>
    </row>
    <row r="122" spans="1:4" x14ac:dyDescent="0.3">
      <c r="A122" s="12" t="s">
        <v>180</v>
      </c>
      <c r="B122" s="24" t="s">
        <v>402</v>
      </c>
      <c r="D122" s="268"/>
    </row>
    <row r="123" spans="1:4" x14ac:dyDescent="0.3">
      <c r="A123" s="12" t="s">
        <v>181</v>
      </c>
      <c r="B123" s="24" t="s">
        <v>402</v>
      </c>
      <c r="D123" s="268"/>
    </row>
    <row r="124" spans="1:4" x14ac:dyDescent="0.3">
      <c r="A124" s="12" t="s">
        <v>182</v>
      </c>
      <c r="B124" s="24" t="s">
        <v>402</v>
      </c>
      <c r="D124" s="268"/>
    </row>
    <row r="125" spans="1:4" x14ac:dyDescent="0.3">
      <c r="A125" s="12" t="s">
        <v>183</v>
      </c>
      <c r="B125" s="24" t="s">
        <v>402</v>
      </c>
      <c r="D125" s="268"/>
    </row>
    <row r="126" spans="1:4" x14ac:dyDescent="0.3">
      <c r="A126" s="12" t="s">
        <v>184</v>
      </c>
      <c r="B126" s="24" t="s">
        <v>402</v>
      </c>
      <c r="D126" s="268"/>
    </row>
    <row r="127" spans="1:4" x14ac:dyDescent="0.3">
      <c r="A127" s="12" t="s">
        <v>185</v>
      </c>
      <c r="B127" s="24" t="s">
        <v>402</v>
      </c>
      <c r="D127" s="268"/>
    </row>
    <row r="128" spans="1:4" x14ac:dyDescent="0.3">
      <c r="A128" s="12" t="s">
        <v>188</v>
      </c>
      <c r="B128" s="24" t="s">
        <v>403</v>
      </c>
      <c r="D128" s="268" t="s">
        <v>800</v>
      </c>
    </row>
    <row r="129" spans="1:4" ht="31.6" customHeight="1" x14ac:dyDescent="0.3">
      <c r="A129" s="12" t="s">
        <v>189</v>
      </c>
      <c r="B129" s="24" t="s">
        <v>665</v>
      </c>
      <c r="D129" s="268">
        <f>SUM('Staff Activity Breakdown'!AE108:AJ108)</f>
        <v>124530.52434456928</v>
      </c>
    </row>
    <row r="130" spans="1:4" ht="59.25" customHeight="1" x14ac:dyDescent="0.3">
      <c r="A130" s="12" t="s">
        <v>190</v>
      </c>
      <c r="B130" s="24" t="s">
        <v>811</v>
      </c>
      <c r="C130" s="78"/>
      <c r="D130" s="268" t="s">
        <v>763</v>
      </c>
    </row>
    <row r="131" spans="1:4" ht="41.95" x14ac:dyDescent="0.3">
      <c r="A131" s="12" t="s">
        <v>191</v>
      </c>
      <c r="B131" s="24" t="s">
        <v>812</v>
      </c>
      <c r="D131" s="268" t="s">
        <v>763</v>
      </c>
    </row>
    <row r="132" spans="1:4" x14ac:dyDescent="0.3">
      <c r="A132" s="12" t="s">
        <v>192</v>
      </c>
      <c r="B132" s="24" t="s">
        <v>402</v>
      </c>
      <c r="D132" s="268"/>
    </row>
    <row r="133" spans="1:4" x14ac:dyDescent="0.3">
      <c r="A133" s="12" t="s">
        <v>193</v>
      </c>
      <c r="B133" s="24" t="s">
        <v>402</v>
      </c>
      <c r="D133" s="268"/>
    </row>
    <row r="134" spans="1:4" x14ac:dyDescent="0.3">
      <c r="A134" s="12" t="s">
        <v>194</v>
      </c>
      <c r="B134" s="24" t="s">
        <v>402</v>
      </c>
      <c r="D134" s="268"/>
    </row>
    <row r="135" spans="1:4" x14ac:dyDescent="0.3">
      <c r="A135" s="12" t="s">
        <v>195</v>
      </c>
      <c r="B135" s="24" t="s">
        <v>402</v>
      </c>
      <c r="D135" s="268"/>
    </row>
    <row r="136" spans="1:4" x14ac:dyDescent="0.3">
      <c r="A136" s="12" t="s">
        <v>196</v>
      </c>
      <c r="B136" s="24" t="s">
        <v>402</v>
      </c>
      <c r="D136" s="268"/>
    </row>
    <row r="137" spans="1:4" x14ac:dyDescent="0.3">
      <c r="A137" s="12" t="s">
        <v>197</v>
      </c>
      <c r="B137" s="24" t="s">
        <v>402</v>
      </c>
      <c r="D137" s="268"/>
    </row>
    <row r="138" spans="1:4" x14ac:dyDescent="0.3">
      <c r="A138" s="12" t="s">
        <v>198</v>
      </c>
      <c r="B138" s="24" t="s">
        <v>403</v>
      </c>
      <c r="D138" s="268" t="s">
        <v>800</v>
      </c>
    </row>
    <row r="139" spans="1:4" ht="47.3" customHeight="1" x14ac:dyDescent="0.3">
      <c r="A139" s="12" t="s">
        <v>201</v>
      </c>
      <c r="B139" s="24" t="s">
        <v>786</v>
      </c>
      <c r="D139" s="268">
        <f>15*312.10986267166+SUM('Staff Activity Breakdown'!AK108:AP108)</f>
        <v>129212.17228464417</v>
      </c>
    </row>
    <row r="140" spans="1:4" ht="37.5" customHeight="1" x14ac:dyDescent="0.3">
      <c r="A140" s="12" t="s">
        <v>202</v>
      </c>
      <c r="B140" s="116" t="s">
        <v>787</v>
      </c>
      <c r="D140" s="268">
        <f>657.65*30</f>
        <v>19729.5</v>
      </c>
    </row>
    <row r="141" spans="1:4" ht="33.049999999999997" customHeight="1" x14ac:dyDescent="0.3">
      <c r="A141" s="12" t="s">
        <v>203</v>
      </c>
      <c r="B141" s="116" t="s">
        <v>663</v>
      </c>
      <c r="C141" s="79"/>
      <c r="D141" s="268" t="s">
        <v>763</v>
      </c>
    </row>
    <row r="142" spans="1:4" ht="49.6" customHeight="1" x14ac:dyDescent="0.3">
      <c r="A142" s="12" t="s">
        <v>204</v>
      </c>
      <c r="B142" s="24" t="s">
        <v>813</v>
      </c>
      <c r="D142" s="268" t="s">
        <v>763</v>
      </c>
    </row>
    <row r="143" spans="1:4" ht="50.25" customHeight="1" x14ac:dyDescent="0.3">
      <c r="A143" s="12" t="s">
        <v>205</v>
      </c>
      <c r="B143" s="24" t="s">
        <v>814</v>
      </c>
      <c r="D143" s="268" t="s">
        <v>763</v>
      </c>
    </row>
    <row r="144" spans="1:4" x14ac:dyDescent="0.3">
      <c r="A144" s="12" t="s">
        <v>206</v>
      </c>
      <c r="B144" s="24" t="s">
        <v>402</v>
      </c>
      <c r="D144" s="268"/>
    </row>
    <row r="145" spans="1:4" x14ac:dyDescent="0.3">
      <c r="A145" s="12" t="s">
        <v>207</v>
      </c>
      <c r="B145" s="24" t="s">
        <v>402</v>
      </c>
      <c r="D145" s="268"/>
    </row>
    <row r="146" spans="1:4" x14ac:dyDescent="0.3">
      <c r="A146" s="12" t="s">
        <v>208</v>
      </c>
      <c r="B146" s="24" t="s">
        <v>402</v>
      </c>
      <c r="D146" s="268"/>
    </row>
    <row r="147" spans="1:4" x14ac:dyDescent="0.3">
      <c r="A147" s="12" t="s">
        <v>209</v>
      </c>
      <c r="B147" s="24" t="s">
        <v>402</v>
      </c>
      <c r="D147" s="268"/>
    </row>
    <row r="148" spans="1:4" x14ac:dyDescent="0.3">
      <c r="A148" s="12" t="s">
        <v>210</v>
      </c>
      <c r="B148" s="24" t="s">
        <v>402</v>
      </c>
      <c r="D148" s="268"/>
    </row>
    <row r="149" spans="1:4" x14ac:dyDescent="0.3">
      <c r="A149" s="12" t="s">
        <v>211</v>
      </c>
      <c r="B149" s="24" t="s">
        <v>402</v>
      </c>
      <c r="D149" s="268"/>
    </row>
    <row r="150" spans="1:4" x14ac:dyDescent="0.3">
      <c r="A150" s="12" t="s">
        <v>212</v>
      </c>
      <c r="B150" s="24" t="s">
        <v>403</v>
      </c>
      <c r="D150" s="268" t="s">
        <v>800</v>
      </c>
    </row>
    <row r="151" spans="1:4" ht="44.2" customHeight="1" x14ac:dyDescent="0.3">
      <c r="A151" s="12" t="s">
        <v>217</v>
      </c>
      <c r="B151" s="24" t="s">
        <v>788</v>
      </c>
      <c r="D151" s="268">
        <f>312.10986267166*15+SUM('Staff Activity Breakdown'!AR108:AW108)</f>
        <v>71394.428838951295</v>
      </c>
    </row>
    <row r="152" spans="1:4" x14ac:dyDescent="0.3">
      <c r="A152" s="12" t="s">
        <v>218</v>
      </c>
      <c r="B152" s="24" t="s">
        <v>664</v>
      </c>
      <c r="D152" s="268">
        <f>'Staff Activity Breakdown'!I279</f>
        <v>4097.9861335473515</v>
      </c>
    </row>
    <row r="153" spans="1:4" ht="66.8" customHeight="1" x14ac:dyDescent="0.3">
      <c r="A153" s="12" t="s">
        <v>219</v>
      </c>
      <c r="B153" s="24" t="s">
        <v>815</v>
      </c>
      <c r="D153" s="268" t="s">
        <v>763</v>
      </c>
    </row>
    <row r="154" spans="1:4" ht="53.2" customHeight="1" x14ac:dyDescent="0.3">
      <c r="A154" s="12" t="s">
        <v>220</v>
      </c>
      <c r="B154" s="24" t="s">
        <v>816</v>
      </c>
      <c r="D154" s="268" t="s">
        <v>763</v>
      </c>
    </row>
    <row r="155" spans="1:4" x14ac:dyDescent="0.3">
      <c r="A155" s="12" t="s">
        <v>221</v>
      </c>
      <c r="B155" s="24" t="s">
        <v>789</v>
      </c>
      <c r="D155" s="268">
        <f>657.65*30+(657.65*3)</f>
        <v>21702.45</v>
      </c>
    </row>
    <row r="156" spans="1:4" x14ac:dyDescent="0.3">
      <c r="A156" s="12" t="s">
        <v>222</v>
      </c>
      <c r="B156" s="24" t="s">
        <v>403</v>
      </c>
      <c r="D156" s="268" t="s">
        <v>800</v>
      </c>
    </row>
    <row r="157" spans="1:4" ht="34.549999999999997" customHeight="1" x14ac:dyDescent="0.3">
      <c r="A157" s="12" t="s">
        <v>223</v>
      </c>
      <c r="B157" s="24" t="s">
        <v>790</v>
      </c>
      <c r="D157" s="268">
        <f>312.10986267166*15+SUM('Staff Activity Breakdown'!AX108:BC108)</f>
        <v>204819.99063670414</v>
      </c>
    </row>
    <row r="158" spans="1:4" ht="49.6" customHeight="1" x14ac:dyDescent="0.3">
      <c r="A158" s="12" t="s">
        <v>226</v>
      </c>
      <c r="B158" s="24" t="s">
        <v>413</v>
      </c>
      <c r="D158" s="268" t="s">
        <v>763</v>
      </c>
    </row>
    <row r="159" spans="1:4" ht="52.55" customHeight="1" x14ac:dyDescent="0.3">
      <c r="A159" s="12" t="s">
        <v>227</v>
      </c>
      <c r="B159" s="24" t="s">
        <v>817</v>
      </c>
      <c r="D159" s="268" t="s">
        <v>763</v>
      </c>
    </row>
    <row r="160" spans="1:4" ht="46.5" customHeight="1" x14ac:dyDescent="0.3">
      <c r="A160" s="12" t="s">
        <v>228</v>
      </c>
      <c r="B160" s="24" t="s">
        <v>818</v>
      </c>
      <c r="D160" s="268" t="s">
        <v>763</v>
      </c>
    </row>
    <row r="161" spans="1:4" x14ac:dyDescent="0.3">
      <c r="A161" s="12" t="s">
        <v>229</v>
      </c>
      <c r="B161" s="24" t="s">
        <v>402</v>
      </c>
      <c r="D161" s="268"/>
    </row>
    <row r="162" spans="1:4" x14ac:dyDescent="0.3">
      <c r="A162" s="12" t="s">
        <v>230</v>
      </c>
      <c r="B162" s="24" t="s">
        <v>402</v>
      </c>
      <c r="D162" s="268"/>
    </row>
    <row r="163" spans="1:4" x14ac:dyDescent="0.3">
      <c r="A163" s="12" t="s">
        <v>231</v>
      </c>
      <c r="B163" s="24" t="s">
        <v>402</v>
      </c>
      <c r="D163" s="268"/>
    </row>
    <row r="164" spans="1:4" x14ac:dyDescent="0.3">
      <c r="A164" s="12" t="s">
        <v>232</v>
      </c>
      <c r="B164" s="24" t="s">
        <v>402</v>
      </c>
      <c r="D164" s="268"/>
    </row>
    <row r="165" spans="1:4" x14ac:dyDescent="0.3">
      <c r="A165" s="12" t="s">
        <v>233</v>
      </c>
      <c r="B165" s="24" t="s">
        <v>402</v>
      </c>
      <c r="D165" s="268"/>
    </row>
    <row r="166" spans="1:4" x14ac:dyDescent="0.3">
      <c r="A166" s="12" t="s">
        <v>234</v>
      </c>
      <c r="B166" s="24" t="s">
        <v>402</v>
      </c>
      <c r="D166" s="268"/>
    </row>
    <row r="167" spans="1:4" x14ac:dyDescent="0.3">
      <c r="A167" s="12" t="s">
        <v>235</v>
      </c>
      <c r="B167" s="24" t="s">
        <v>403</v>
      </c>
      <c r="D167" s="268" t="s">
        <v>800</v>
      </c>
    </row>
    <row r="168" spans="1:4" ht="27.95" x14ac:dyDescent="0.3">
      <c r="A168" s="12" t="s">
        <v>236</v>
      </c>
      <c r="B168" s="24" t="s">
        <v>791</v>
      </c>
      <c r="D168" s="268">
        <f>60*312.10986267166+SUM('Staff Activity Breakdown'!BE108:BJ108)</f>
        <v>36516.666666666642</v>
      </c>
    </row>
    <row r="169" spans="1:4" ht="45.95" customHeight="1" x14ac:dyDescent="0.3">
      <c r="A169" s="12" t="s">
        <v>237</v>
      </c>
      <c r="B169" s="24" t="s">
        <v>819</v>
      </c>
      <c r="D169" s="268" t="s">
        <v>763</v>
      </c>
    </row>
    <row r="170" spans="1:4" ht="52.55" customHeight="1" x14ac:dyDescent="0.3">
      <c r="A170" s="12" t="s">
        <v>242</v>
      </c>
      <c r="B170" s="24" t="s">
        <v>414</v>
      </c>
      <c r="D170" s="268" t="s">
        <v>763</v>
      </c>
    </row>
    <row r="171" spans="1:4" ht="51.05" customHeight="1" x14ac:dyDescent="0.3">
      <c r="A171" s="12" t="s">
        <v>243</v>
      </c>
      <c r="B171" s="24" t="s">
        <v>820</v>
      </c>
      <c r="D171" s="268" t="s">
        <v>763</v>
      </c>
    </row>
    <row r="172" spans="1:4" ht="47.95" customHeight="1" x14ac:dyDescent="0.3">
      <c r="A172" s="12" t="s">
        <v>244</v>
      </c>
      <c r="B172" s="24" t="s">
        <v>792</v>
      </c>
      <c r="D172" s="323">
        <f>52669+30*657.65</f>
        <v>72398.5</v>
      </c>
    </row>
    <row r="173" spans="1:4" x14ac:dyDescent="0.3">
      <c r="A173" s="12" t="s">
        <v>245</v>
      </c>
      <c r="B173" s="24" t="s">
        <v>402</v>
      </c>
      <c r="D173" s="268"/>
    </row>
    <row r="174" spans="1:4" x14ac:dyDescent="0.3">
      <c r="A174" s="12" t="s">
        <v>246</v>
      </c>
      <c r="B174" s="24" t="s">
        <v>402</v>
      </c>
      <c r="D174" s="268"/>
    </row>
    <row r="175" spans="1:4" x14ac:dyDescent="0.3">
      <c r="A175" s="12" t="s">
        <v>247</v>
      </c>
      <c r="B175" s="24" t="s">
        <v>402</v>
      </c>
      <c r="D175" s="268"/>
    </row>
    <row r="176" spans="1:4" x14ac:dyDescent="0.3">
      <c r="A176" s="12" t="s">
        <v>248</v>
      </c>
      <c r="B176" s="24" t="s">
        <v>402</v>
      </c>
      <c r="D176" s="268"/>
    </row>
    <row r="177" spans="1:4" x14ac:dyDescent="0.3">
      <c r="A177" s="12" t="s">
        <v>249</v>
      </c>
      <c r="B177" s="24" t="s">
        <v>402</v>
      </c>
      <c r="D177" s="268"/>
    </row>
    <row r="178" spans="1:4" x14ac:dyDescent="0.3">
      <c r="A178" s="12" t="s">
        <v>250</v>
      </c>
      <c r="B178" s="24" t="s">
        <v>402</v>
      </c>
      <c r="D178" s="268"/>
    </row>
    <row r="179" spans="1:4" x14ac:dyDescent="0.3">
      <c r="A179" s="12" t="s">
        <v>251</v>
      </c>
      <c r="B179" s="24" t="s">
        <v>403</v>
      </c>
      <c r="D179" s="268" t="s">
        <v>800</v>
      </c>
    </row>
    <row r="180" spans="1:4" ht="27.95" x14ac:dyDescent="0.3">
      <c r="A180" s="12" t="s">
        <v>252</v>
      </c>
      <c r="B180" s="24" t="s">
        <v>793</v>
      </c>
      <c r="D180" s="268">
        <f>90*312.10986267166+SUM('Staff Activity Breakdown'!BK108:BP108)</f>
        <v>32537.406367041156</v>
      </c>
    </row>
    <row r="181" spans="1:4" ht="47.3" customHeight="1" x14ac:dyDescent="0.3">
      <c r="A181" s="12" t="s">
        <v>253</v>
      </c>
      <c r="B181" s="24" t="s">
        <v>821</v>
      </c>
      <c r="D181" s="268" t="s">
        <v>763</v>
      </c>
    </row>
    <row r="182" spans="1:4" x14ac:dyDescent="0.3">
      <c r="A182" s="12" t="s">
        <v>254</v>
      </c>
      <c r="B182" s="24" t="s">
        <v>415</v>
      </c>
      <c r="D182" s="268">
        <f>'Staff Activity Breakdown'!I292</f>
        <v>1119.4048004351703</v>
      </c>
    </row>
    <row r="183" spans="1:4" ht="27.95" x14ac:dyDescent="0.3">
      <c r="A183" s="12" t="s">
        <v>257</v>
      </c>
      <c r="B183" s="24" t="s">
        <v>822</v>
      </c>
      <c r="D183" s="268" t="s">
        <v>763</v>
      </c>
    </row>
    <row r="184" spans="1:4" x14ac:dyDescent="0.3">
      <c r="A184" s="12" t="s">
        <v>258</v>
      </c>
      <c r="B184" s="24" t="s">
        <v>402</v>
      </c>
      <c r="D184" s="268"/>
    </row>
    <row r="185" spans="1:4" x14ac:dyDescent="0.3">
      <c r="A185" s="12" t="s">
        <v>259</v>
      </c>
      <c r="B185" s="24" t="s">
        <v>402</v>
      </c>
      <c r="D185" s="268"/>
    </row>
    <row r="186" spans="1:4" x14ac:dyDescent="0.3">
      <c r="A186" s="12" t="s">
        <v>260</v>
      </c>
      <c r="B186" s="24" t="s">
        <v>402</v>
      </c>
      <c r="D186" s="268"/>
    </row>
    <row r="187" spans="1:4" x14ac:dyDescent="0.3">
      <c r="A187" s="12" t="s">
        <v>261</v>
      </c>
      <c r="B187" s="24" t="s">
        <v>402</v>
      </c>
      <c r="D187" s="268"/>
    </row>
    <row r="188" spans="1:4" x14ac:dyDescent="0.3">
      <c r="A188" s="12" t="s">
        <v>262</v>
      </c>
      <c r="B188" s="24" t="s">
        <v>402</v>
      </c>
      <c r="D188" s="268"/>
    </row>
    <row r="189" spans="1:4" x14ac:dyDescent="0.3">
      <c r="A189" s="12" t="s">
        <v>263</v>
      </c>
      <c r="B189" s="24" t="s">
        <v>402</v>
      </c>
      <c r="D189" s="268"/>
    </row>
    <row r="190" spans="1:4" x14ac:dyDescent="0.3">
      <c r="A190" s="12" t="s">
        <v>264</v>
      </c>
      <c r="B190" s="24" t="s">
        <v>403</v>
      </c>
      <c r="D190" s="268" t="s">
        <v>800</v>
      </c>
    </row>
    <row r="191" spans="1:4" ht="37.5" customHeight="1" x14ac:dyDescent="0.3">
      <c r="A191" s="12" t="s">
        <v>265</v>
      </c>
      <c r="B191" s="24" t="s">
        <v>665</v>
      </c>
      <c r="D191" s="268">
        <f>SUM('Staff Activity Breakdown'!BQ108:BV108)</f>
        <v>66712.780898876415</v>
      </c>
    </row>
    <row r="192" spans="1:4" x14ac:dyDescent="0.3">
      <c r="A192" s="12" t="s">
        <v>266</v>
      </c>
      <c r="B192" s="24" t="s">
        <v>667</v>
      </c>
      <c r="D192" s="268">
        <f>'Staff Activity Breakdown'!I297</f>
        <v>4097.9861335473524</v>
      </c>
    </row>
    <row r="193" spans="1:4" x14ac:dyDescent="0.3">
      <c r="A193" s="12" t="s">
        <v>267</v>
      </c>
      <c r="B193" s="24" t="s">
        <v>415</v>
      </c>
      <c r="D193" s="268">
        <f>'Staff Activity Breakdown'!I296</f>
        <v>16791.072006527556</v>
      </c>
    </row>
    <row r="194" spans="1:4" ht="55.9" x14ac:dyDescent="0.3">
      <c r="A194" s="12" t="s">
        <v>268</v>
      </c>
      <c r="B194" s="24" t="s">
        <v>823</v>
      </c>
      <c r="D194" s="268" t="s">
        <v>763</v>
      </c>
    </row>
    <row r="195" spans="1:4" x14ac:dyDescent="0.3">
      <c r="A195" s="12" t="s">
        <v>271</v>
      </c>
      <c r="B195" s="24" t="s">
        <v>794</v>
      </c>
      <c r="D195" s="268">
        <f>1*52669</f>
        <v>52669</v>
      </c>
    </row>
    <row r="196" spans="1:4" x14ac:dyDescent="0.3">
      <c r="A196" s="12" t="s">
        <v>272</v>
      </c>
      <c r="B196" s="24" t="s">
        <v>402</v>
      </c>
      <c r="D196" s="268"/>
    </row>
    <row r="197" spans="1:4" x14ac:dyDescent="0.3">
      <c r="A197" s="12" t="s">
        <v>273</v>
      </c>
      <c r="B197" s="24" t="s">
        <v>402</v>
      </c>
      <c r="D197" s="268"/>
    </row>
    <row r="198" spans="1:4" x14ac:dyDescent="0.3">
      <c r="A198" s="12" t="s">
        <v>274</v>
      </c>
      <c r="B198" s="24" t="s">
        <v>402</v>
      </c>
      <c r="D198" s="268"/>
    </row>
    <row r="199" spans="1:4" x14ac:dyDescent="0.3">
      <c r="A199" s="12" t="s">
        <v>275</v>
      </c>
      <c r="B199" s="24" t="s">
        <v>402</v>
      </c>
      <c r="D199" s="268"/>
    </row>
    <row r="200" spans="1:4" x14ac:dyDescent="0.3">
      <c r="A200" s="12" t="s">
        <v>276</v>
      </c>
      <c r="B200" s="24" t="s">
        <v>402</v>
      </c>
      <c r="D200" s="268"/>
    </row>
    <row r="201" spans="1:4" x14ac:dyDescent="0.3">
      <c r="A201" s="12" t="s">
        <v>283</v>
      </c>
      <c r="B201" s="24" t="s">
        <v>403</v>
      </c>
      <c r="D201" s="268" t="s">
        <v>800</v>
      </c>
    </row>
    <row r="202" spans="1:4" ht="27.95" x14ac:dyDescent="0.3">
      <c r="A202" s="12" t="s">
        <v>284</v>
      </c>
      <c r="B202" s="24" t="s">
        <v>795</v>
      </c>
      <c r="D202" s="268">
        <f>52669*5+SUM('Staff Activity Breakdown'!F130:K130)</f>
        <v>336376.88202247187</v>
      </c>
    </row>
    <row r="203" spans="1:4" x14ac:dyDescent="0.3">
      <c r="A203" s="12" t="s">
        <v>285</v>
      </c>
      <c r="B203" s="24" t="s">
        <v>416</v>
      </c>
      <c r="D203" s="268">
        <f>'Staff Activity Breakdown'!I317</f>
        <v>7991.0729604173357</v>
      </c>
    </row>
    <row r="204" spans="1:4" ht="27.95" x14ac:dyDescent="0.3">
      <c r="A204" s="12" t="s">
        <v>286</v>
      </c>
      <c r="B204" s="24" t="s">
        <v>417</v>
      </c>
      <c r="D204" s="268" t="s">
        <v>763</v>
      </c>
    </row>
    <row r="205" spans="1:4" ht="27.95" x14ac:dyDescent="0.3">
      <c r="A205" s="12" t="s">
        <v>287</v>
      </c>
      <c r="B205" s="24" t="s">
        <v>418</v>
      </c>
      <c r="D205" s="268" t="s">
        <v>763</v>
      </c>
    </row>
    <row r="206" spans="1:4" x14ac:dyDescent="0.3">
      <c r="A206" s="12" t="s">
        <v>288</v>
      </c>
      <c r="B206" s="24" t="s">
        <v>402</v>
      </c>
      <c r="D206" s="268"/>
    </row>
    <row r="207" spans="1:4" x14ac:dyDescent="0.3">
      <c r="A207" s="12" t="s">
        <v>289</v>
      </c>
      <c r="B207" s="24" t="s">
        <v>402</v>
      </c>
      <c r="D207" s="268"/>
    </row>
    <row r="208" spans="1:4" x14ac:dyDescent="0.3">
      <c r="A208" s="12" t="s">
        <v>290</v>
      </c>
      <c r="B208" s="24" t="s">
        <v>403</v>
      </c>
      <c r="D208" s="268" t="s">
        <v>800</v>
      </c>
    </row>
    <row r="209" spans="1:4" ht="27.95" x14ac:dyDescent="0.3">
      <c r="A209" s="12" t="s">
        <v>291</v>
      </c>
      <c r="B209" s="24" t="s">
        <v>796</v>
      </c>
      <c r="D209" s="268">
        <f>52669*3+SUM('Staff Activity Breakdown'!L130:Q130)</f>
        <v>197331.85955056178</v>
      </c>
    </row>
    <row r="210" spans="1:4" x14ac:dyDescent="0.3">
      <c r="A210" s="12" t="s">
        <v>294</v>
      </c>
      <c r="B210" s="24" t="s">
        <v>850</v>
      </c>
      <c r="D210" s="268">
        <f>757.981095059747*30</f>
        <v>22739.432851792408</v>
      </c>
    </row>
    <row r="211" spans="1:4" ht="93.8" customHeight="1" x14ac:dyDescent="0.3">
      <c r="A211" s="12" t="s">
        <v>295</v>
      </c>
      <c r="B211" s="116" t="s">
        <v>419</v>
      </c>
      <c r="C211" s="79"/>
      <c r="D211" s="268" t="s">
        <v>763</v>
      </c>
    </row>
    <row r="212" spans="1:4" ht="33.75" customHeight="1" x14ac:dyDescent="0.3">
      <c r="A212" s="12" t="s">
        <v>296</v>
      </c>
      <c r="B212" s="24" t="s">
        <v>824</v>
      </c>
      <c r="D212" s="268" t="s">
        <v>763</v>
      </c>
    </row>
    <row r="213" spans="1:4" x14ac:dyDescent="0.3">
      <c r="A213" s="12" t="s">
        <v>297</v>
      </c>
      <c r="B213" s="24" t="s">
        <v>420</v>
      </c>
      <c r="D213" s="268" t="s">
        <v>800</v>
      </c>
    </row>
    <row r="214" spans="1:4" x14ac:dyDescent="0.3">
      <c r="A214" s="12" t="s">
        <v>298</v>
      </c>
      <c r="B214" s="24" t="s">
        <v>402</v>
      </c>
      <c r="D214" s="268"/>
    </row>
    <row r="215" spans="1:4" x14ac:dyDescent="0.3">
      <c r="A215" s="12" t="s">
        <v>299</v>
      </c>
      <c r="B215" s="24" t="s">
        <v>402</v>
      </c>
      <c r="D215" s="268"/>
    </row>
    <row r="216" spans="1:4" x14ac:dyDescent="0.3">
      <c r="A216" s="12" t="s">
        <v>300</v>
      </c>
      <c r="B216" s="24" t="s">
        <v>402</v>
      </c>
      <c r="D216" s="268"/>
    </row>
    <row r="217" spans="1:4" x14ac:dyDescent="0.3">
      <c r="A217" s="12" t="s">
        <v>301</v>
      </c>
      <c r="B217" s="24" t="s">
        <v>402</v>
      </c>
      <c r="D217" s="268"/>
    </row>
    <row r="218" spans="1:4" x14ac:dyDescent="0.3">
      <c r="A218" s="12" t="s">
        <v>302</v>
      </c>
      <c r="B218" s="24" t="s">
        <v>402</v>
      </c>
      <c r="D218" s="268"/>
    </row>
    <row r="219" spans="1:4" ht="109.5" customHeight="1" x14ac:dyDescent="0.3">
      <c r="A219" s="12" t="s">
        <v>303</v>
      </c>
      <c r="B219" s="24" t="s">
        <v>421</v>
      </c>
      <c r="C219" s="116"/>
      <c r="D219" s="268"/>
    </row>
    <row r="220" spans="1:4" x14ac:dyDescent="0.3">
      <c r="A220" s="12" t="s">
        <v>304</v>
      </c>
      <c r="B220" s="116" t="s">
        <v>422</v>
      </c>
      <c r="C220" s="117"/>
      <c r="D220" s="268"/>
    </row>
    <row r="221" spans="1:4" x14ac:dyDescent="0.3">
      <c r="A221" s="12" t="s">
        <v>308</v>
      </c>
      <c r="B221" s="116" t="s">
        <v>422</v>
      </c>
      <c r="C221" s="117"/>
      <c r="D221" s="268"/>
    </row>
    <row r="222" spans="1:4" x14ac:dyDescent="0.3">
      <c r="A222" s="12" t="s">
        <v>309</v>
      </c>
      <c r="B222" s="116" t="s">
        <v>422</v>
      </c>
      <c r="C222" s="117"/>
      <c r="D222" s="268"/>
    </row>
    <row r="223" spans="1:4" x14ac:dyDescent="0.3">
      <c r="A223" s="12" t="s">
        <v>310</v>
      </c>
      <c r="B223" s="116" t="s">
        <v>422</v>
      </c>
      <c r="C223" s="117"/>
      <c r="D223" s="268"/>
    </row>
    <row r="224" spans="1:4" x14ac:dyDescent="0.3">
      <c r="A224" s="12" t="s">
        <v>311</v>
      </c>
      <c r="B224" s="116" t="s">
        <v>422</v>
      </c>
      <c r="C224" s="117"/>
      <c r="D224" s="268"/>
    </row>
    <row r="225" spans="1:4" x14ac:dyDescent="0.3">
      <c r="A225" s="12" t="s">
        <v>312</v>
      </c>
      <c r="B225" s="116" t="s">
        <v>422</v>
      </c>
      <c r="C225" s="117"/>
      <c r="D225" s="268"/>
    </row>
    <row r="226" spans="1:4" x14ac:dyDescent="0.3">
      <c r="A226" s="12" t="s">
        <v>314</v>
      </c>
      <c r="B226" s="116" t="s">
        <v>403</v>
      </c>
      <c r="C226" s="116"/>
      <c r="D226" s="268" t="s">
        <v>800</v>
      </c>
    </row>
    <row r="227" spans="1:4" x14ac:dyDescent="0.3">
      <c r="A227" s="12" t="s">
        <v>315</v>
      </c>
      <c r="B227" s="116" t="s">
        <v>668</v>
      </c>
      <c r="C227" s="116"/>
      <c r="D227" s="268">
        <f>SUM('Staff Activity Breakdown'!Y130:AD130)</f>
        <v>144191.15168539324</v>
      </c>
    </row>
    <row r="228" spans="1:4" x14ac:dyDescent="0.3">
      <c r="A228" s="12" t="s">
        <v>319</v>
      </c>
      <c r="B228" s="116" t="s">
        <v>423</v>
      </c>
      <c r="C228" s="116"/>
      <c r="D228" s="268">
        <f>'Staff Activity Breakdown'!I331</f>
        <v>15777.246614157304</v>
      </c>
    </row>
    <row r="229" spans="1:4" ht="27.95" x14ac:dyDescent="0.3">
      <c r="A229" s="12" t="s">
        <v>320</v>
      </c>
      <c r="B229" s="116" t="s">
        <v>825</v>
      </c>
      <c r="D229" s="268" t="s">
        <v>763</v>
      </c>
    </row>
    <row r="230" spans="1:4" ht="47.3" customHeight="1" x14ac:dyDescent="0.3">
      <c r="A230" s="12" t="s">
        <v>321</v>
      </c>
      <c r="B230" s="24" t="s">
        <v>826</v>
      </c>
      <c r="D230" s="268" t="s">
        <v>763</v>
      </c>
    </row>
    <row r="231" spans="1:4" x14ac:dyDescent="0.3">
      <c r="A231" s="12" t="s">
        <v>322</v>
      </c>
      <c r="B231" s="24" t="s">
        <v>797</v>
      </c>
      <c r="D231" s="268">
        <f>526.128054217942*20</f>
        <v>10522.56108435884</v>
      </c>
    </row>
    <row r="232" spans="1:4" x14ac:dyDescent="0.3">
      <c r="A232" s="12" t="s">
        <v>323</v>
      </c>
      <c r="B232" s="24" t="s">
        <v>402</v>
      </c>
      <c r="D232" s="268"/>
    </row>
    <row r="233" spans="1:4" x14ac:dyDescent="0.3">
      <c r="A233" s="12" t="s">
        <v>324</v>
      </c>
      <c r="B233" s="24" t="s">
        <v>402</v>
      </c>
      <c r="D233" s="268"/>
    </row>
    <row r="234" spans="1:4" x14ac:dyDescent="0.3">
      <c r="A234" s="12" t="s">
        <v>325</v>
      </c>
      <c r="B234" s="24" t="s">
        <v>403</v>
      </c>
      <c r="D234" s="268" t="s">
        <v>800</v>
      </c>
    </row>
    <row r="235" spans="1:4" x14ac:dyDescent="0.3">
      <c r="A235" s="12" t="s">
        <v>326</v>
      </c>
      <c r="B235" s="116" t="s">
        <v>668</v>
      </c>
      <c r="D235" s="268">
        <f>SUM('Staff Activity Breakdown'!AE130:AJ130)</f>
        <v>117974.57865168538</v>
      </c>
    </row>
    <row r="236" spans="1:4" ht="27.95" x14ac:dyDescent="0.3">
      <c r="A236" s="12" t="s">
        <v>327</v>
      </c>
      <c r="B236" s="24" t="s">
        <v>669</v>
      </c>
      <c r="D236" s="268">
        <f>758*30</f>
        <v>22740</v>
      </c>
    </row>
    <row r="237" spans="1:4" x14ac:dyDescent="0.3">
      <c r="A237" s="12" t="s">
        <v>330</v>
      </c>
      <c r="B237" s="24" t="s">
        <v>670</v>
      </c>
      <c r="D237" s="268">
        <f>'Staff Activity Breakdown'!I335</f>
        <v>12908.656320674156</v>
      </c>
    </row>
    <row r="238" spans="1:4" x14ac:dyDescent="0.3">
      <c r="A238" s="12" t="s">
        <v>331</v>
      </c>
      <c r="B238" s="24" t="s">
        <v>424</v>
      </c>
      <c r="D238" s="268">
        <f>'Staff Activity Breakdown'!I334</f>
        <v>70522.502427415733</v>
      </c>
    </row>
    <row r="239" spans="1:4" ht="53.2" customHeight="1" x14ac:dyDescent="0.3">
      <c r="A239" s="12" t="s">
        <v>332</v>
      </c>
      <c r="B239" s="24" t="s">
        <v>827</v>
      </c>
      <c r="D239" s="268" t="s">
        <v>763</v>
      </c>
    </row>
    <row r="240" spans="1:4" x14ac:dyDescent="0.3">
      <c r="A240" s="12" t="s">
        <v>333</v>
      </c>
      <c r="B240" s="24" t="s">
        <v>402</v>
      </c>
      <c r="D240" s="268"/>
    </row>
    <row r="241" spans="1:12" x14ac:dyDescent="0.3">
      <c r="A241" s="12" t="s">
        <v>334</v>
      </c>
      <c r="B241" s="24" t="s">
        <v>402</v>
      </c>
      <c r="D241" s="268"/>
    </row>
    <row r="242" spans="1:12" x14ac:dyDescent="0.3">
      <c r="A242" s="12" t="s">
        <v>335</v>
      </c>
      <c r="B242" s="24" t="s">
        <v>402</v>
      </c>
      <c r="D242" s="268"/>
    </row>
    <row r="243" spans="1:12" x14ac:dyDescent="0.3">
      <c r="A243" s="12" t="s">
        <v>336</v>
      </c>
      <c r="B243" s="24" t="s">
        <v>402</v>
      </c>
      <c r="D243" s="268"/>
    </row>
    <row r="244" spans="1:12" x14ac:dyDescent="0.3">
      <c r="A244" s="12" t="s">
        <v>337</v>
      </c>
      <c r="B244" s="24" t="s">
        <v>402</v>
      </c>
      <c r="D244" s="268"/>
    </row>
    <row r="245" spans="1:12" x14ac:dyDescent="0.3">
      <c r="A245" s="103" t="s">
        <v>344</v>
      </c>
      <c r="B245" s="116" t="s">
        <v>425</v>
      </c>
      <c r="D245" s="268">
        <f>J288</f>
        <v>759285.00000000012</v>
      </c>
    </row>
    <row r="246" spans="1:12" x14ac:dyDescent="0.3">
      <c r="A246" s="103" t="s">
        <v>345</v>
      </c>
      <c r="B246" s="116" t="s">
        <v>828</v>
      </c>
      <c r="D246" s="268" t="s">
        <v>829</v>
      </c>
    </row>
    <row r="247" spans="1:12" x14ac:dyDescent="0.3">
      <c r="A247" s="12" t="s">
        <v>350</v>
      </c>
      <c r="B247" s="24" t="s">
        <v>426</v>
      </c>
      <c r="D247" s="268" t="s">
        <v>829</v>
      </c>
      <c r="J247" s="24"/>
      <c r="K247" s="24"/>
      <c r="L247" s="24"/>
    </row>
    <row r="248" spans="1:12" ht="27.95" x14ac:dyDescent="0.3">
      <c r="A248" s="12" t="s">
        <v>351</v>
      </c>
      <c r="B248" s="24" t="s">
        <v>427</v>
      </c>
      <c r="D248" s="268" t="s">
        <v>763</v>
      </c>
      <c r="J248" s="24"/>
    </row>
    <row r="249" spans="1:12" x14ac:dyDescent="0.3">
      <c r="A249" s="12" t="s">
        <v>353</v>
      </c>
      <c r="B249" s="24" t="s">
        <v>428</v>
      </c>
      <c r="D249" s="268">
        <f>111.467808097022*9*6+113.697164258962*12*6+115.971107544141*12*6+118.290529695024*12*6+120.656340288925*12*6+123.069467094703*12*6</f>
        <v>48620.553476725552</v>
      </c>
      <c r="F249" s="80"/>
      <c r="J249" s="24"/>
    </row>
    <row r="250" spans="1:12" ht="27.95" x14ac:dyDescent="0.3">
      <c r="A250" s="12" t="s">
        <v>354</v>
      </c>
      <c r="B250" s="24" t="s">
        <v>429</v>
      </c>
      <c r="D250" s="268" t="s">
        <v>763</v>
      </c>
      <c r="J250" s="24"/>
    </row>
    <row r="251" spans="1:12" ht="45" customHeight="1" x14ac:dyDescent="0.3">
      <c r="A251" s="12" t="s">
        <v>356</v>
      </c>
      <c r="B251" s="24" t="s">
        <v>430</v>
      </c>
      <c r="D251" s="268"/>
      <c r="J251" s="24"/>
    </row>
    <row r="252" spans="1:12" x14ac:dyDescent="0.3">
      <c r="J252" s="24"/>
    </row>
    <row r="253" spans="1:12" x14ac:dyDescent="0.3">
      <c r="A253" s="29" t="s">
        <v>431</v>
      </c>
      <c r="B253" s="30" t="s">
        <v>432</v>
      </c>
      <c r="J253" s="24"/>
    </row>
    <row r="254" spans="1:12" ht="97.8" x14ac:dyDescent="0.3">
      <c r="B254" s="24" t="s">
        <v>433</v>
      </c>
      <c r="J254" s="24"/>
    </row>
    <row r="256" spans="1:12" ht="27.95" x14ac:dyDescent="0.3">
      <c r="B256" s="42" t="s">
        <v>434</v>
      </c>
      <c r="C256" s="49" t="s">
        <v>435</v>
      </c>
      <c r="D256" s="264" t="s">
        <v>436</v>
      </c>
      <c r="E256" s="49" t="s">
        <v>437</v>
      </c>
    </row>
    <row r="257" spans="2:9" x14ac:dyDescent="0.3">
      <c r="B257" s="43" t="s">
        <v>438</v>
      </c>
      <c r="C257" s="50">
        <v>713.39397182093808</v>
      </c>
      <c r="D257" s="265" t="s">
        <v>439</v>
      </c>
      <c r="E257" s="44" t="s">
        <v>440</v>
      </c>
    </row>
    <row r="258" spans="2:9" x14ac:dyDescent="0.3">
      <c r="B258" s="43" t="s">
        <v>441</v>
      </c>
      <c r="C258" s="50">
        <v>267.52273943285178</v>
      </c>
      <c r="D258" s="265" t="s">
        <v>439</v>
      </c>
      <c r="E258" s="44" t="s">
        <v>440</v>
      </c>
    </row>
    <row r="259" spans="2:9" x14ac:dyDescent="0.3">
      <c r="B259" s="43" t="s">
        <v>442</v>
      </c>
      <c r="C259" s="50">
        <v>267.52273943285178</v>
      </c>
      <c r="D259" s="265" t="s">
        <v>439</v>
      </c>
      <c r="E259" s="44" t="s">
        <v>440</v>
      </c>
    </row>
    <row r="260" spans="2:9" x14ac:dyDescent="0.3">
      <c r="B260" s="43" t="s">
        <v>443</v>
      </c>
      <c r="C260" s="50">
        <v>267.52273943285178</v>
      </c>
      <c r="D260" s="265" t="s">
        <v>439</v>
      </c>
      <c r="E260" s="44" t="s">
        <v>440</v>
      </c>
      <c r="I260"/>
    </row>
    <row r="261" spans="2:9" x14ac:dyDescent="0.3">
      <c r="B261" s="56"/>
      <c r="C261" s="51">
        <v>1515.9621901194932</v>
      </c>
      <c r="D261" s="265" t="s">
        <v>439</v>
      </c>
      <c r="E261" s="44" t="s">
        <v>440</v>
      </c>
      <c r="I261"/>
    </row>
    <row r="262" spans="2:9" x14ac:dyDescent="0.3">
      <c r="B262" s="42" t="s">
        <v>444</v>
      </c>
      <c r="C262" s="50">
        <v>0</v>
      </c>
      <c r="D262" s="274"/>
      <c r="E262" s="57"/>
      <c r="I262"/>
    </row>
    <row r="263" spans="2:9" x14ac:dyDescent="0.3">
      <c r="B263" s="43" t="s">
        <v>442</v>
      </c>
      <c r="C263" s="50">
        <v>356.69698591046904</v>
      </c>
      <c r="D263" s="265" t="s">
        <v>439</v>
      </c>
      <c r="E263" s="44" t="s">
        <v>445</v>
      </c>
      <c r="I263"/>
    </row>
    <row r="264" spans="2:9" x14ac:dyDescent="0.3">
      <c r="B264" s="43" t="s">
        <v>441</v>
      </c>
      <c r="C264" s="50">
        <v>356.69698591046904</v>
      </c>
      <c r="D264" s="265" t="s">
        <v>439</v>
      </c>
      <c r="E264" s="44" t="s">
        <v>445</v>
      </c>
      <c r="I264"/>
    </row>
    <row r="265" spans="2:9" x14ac:dyDescent="0.3">
      <c r="B265" s="43" t="s">
        <v>443</v>
      </c>
      <c r="C265" s="50">
        <v>356.69698591046904</v>
      </c>
      <c r="D265" s="265" t="s">
        <v>439</v>
      </c>
      <c r="E265" s="44" t="s">
        <v>445</v>
      </c>
      <c r="I265"/>
    </row>
    <row r="266" spans="2:9" x14ac:dyDescent="0.3">
      <c r="B266" s="56"/>
      <c r="C266" s="52">
        <v>1070.0909577314071</v>
      </c>
      <c r="D266" s="265" t="s">
        <v>439</v>
      </c>
      <c r="E266" s="44" t="s">
        <v>445</v>
      </c>
      <c r="I266"/>
    </row>
    <row r="267" spans="2:9" x14ac:dyDescent="0.3">
      <c r="B267" s="42" t="s">
        <v>446</v>
      </c>
      <c r="C267" s="50"/>
      <c r="D267" s="274"/>
      <c r="E267" s="57"/>
      <c r="I267"/>
    </row>
    <row r="268" spans="2:9" ht="27.95" x14ac:dyDescent="0.3">
      <c r="B268" s="43" t="s">
        <v>442</v>
      </c>
      <c r="C268" s="50">
        <v>891.7424647761726</v>
      </c>
      <c r="D268" s="265" t="s">
        <v>439</v>
      </c>
      <c r="E268" s="44" t="s">
        <v>447</v>
      </c>
      <c r="I268"/>
    </row>
    <row r="269" spans="2:9" ht="27.95" x14ac:dyDescent="0.3">
      <c r="B269" s="43" t="s">
        <v>448</v>
      </c>
      <c r="C269" s="50">
        <v>891.7424647761726</v>
      </c>
      <c r="D269" s="265" t="s">
        <v>439</v>
      </c>
      <c r="E269" s="44" t="s">
        <v>447</v>
      </c>
      <c r="I269"/>
    </row>
    <row r="270" spans="2:9" ht="27.95" x14ac:dyDescent="0.3">
      <c r="B270" s="43" t="s">
        <v>443</v>
      </c>
      <c r="C270" s="50">
        <v>267.52273943285178</v>
      </c>
      <c r="D270" s="265" t="s">
        <v>439</v>
      </c>
      <c r="E270" s="44" t="s">
        <v>447</v>
      </c>
      <c r="I270"/>
    </row>
    <row r="271" spans="2:9" x14ac:dyDescent="0.3">
      <c r="B271" s="43"/>
      <c r="C271" s="52">
        <v>2051.0076689851971</v>
      </c>
      <c r="D271" s="343"/>
      <c r="E271" s="344"/>
      <c r="I271"/>
    </row>
    <row r="272" spans="2:9" x14ac:dyDescent="0.3">
      <c r="B272" s="42" t="s">
        <v>449</v>
      </c>
      <c r="C272" s="50"/>
      <c r="D272" s="343"/>
      <c r="E272" s="344"/>
      <c r="I272"/>
    </row>
    <row r="273" spans="1:11" x14ac:dyDescent="0.3">
      <c r="B273" s="43" t="s">
        <v>450</v>
      </c>
      <c r="C273" s="50">
        <v>936.32958801498125</v>
      </c>
      <c r="D273" s="266"/>
      <c r="E273" s="44" t="s">
        <v>451</v>
      </c>
      <c r="I273"/>
    </row>
    <row r="274" spans="1:11" ht="27.95" x14ac:dyDescent="0.3">
      <c r="B274" s="43" t="s">
        <v>452</v>
      </c>
      <c r="C274" s="50">
        <v>321.16104868913857</v>
      </c>
      <c r="D274" s="266"/>
      <c r="E274" s="44" t="s">
        <v>453</v>
      </c>
      <c r="I274"/>
    </row>
    <row r="275" spans="1:11" x14ac:dyDescent="0.3">
      <c r="B275" s="2"/>
      <c r="C275" s="2"/>
      <c r="D275" s="267"/>
      <c r="E275"/>
      <c r="F275"/>
      <c r="G275"/>
      <c r="H275"/>
      <c r="J275" s="24"/>
      <c r="K275" s="24"/>
    </row>
    <row r="276" spans="1:11" x14ac:dyDescent="0.3">
      <c r="A276" s="31" t="s">
        <v>454</v>
      </c>
      <c r="B276" s="32" t="s">
        <v>455</v>
      </c>
      <c r="C276" s="2"/>
      <c r="D276" s="267"/>
      <c r="E276"/>
      <c r="F276"/>
      <c r="G276"/>
      <c r="J276" s="24"/>
    </row>
    <row r="277" spans="1:11" x14ac:dyDescent="0.3">
      <c r="B277" s="45"/>
      <c r="I277"/>
    </row>
    <row r="278" spans="1:11" x14ac:dyDescent="0.3">
      <c r="B278" s="33"/>
      <c r="C278" s="325" t="s">
        <v>377</v>
      </c>
      <c r="D278" s="326"/>
      <c r="E278" s="326"/>
      <c r="F278" s="326"/>
      <c r="G278" s="326"/>
      <c r="H278" s="327"/>
      <c r="I278"/>
    </row>
    <row r="279" spans="1:11" x14ac:dyDescent="0.3">
      <c r="B279" s="34" t="s">
        <v>456</v>
      </c>
      <c r="C279" s="65" t="s">
        <v>379</v>
      </c>
      <c r="D279" s="297" t="s">
        <v>380</v>
      </c>
      <c r="E279" s="46" t="s">
        <v>381</v>
      </c>
      <c r="F279" s="47" t="s">
        <v>382</v>
      </c>
      <c r="G279" s="46" t="s">
        <v>383</v>
      </c>
      <c r="H279" s="48" t="s">
        <v>457</v>
      </c>
      <c r="I279"/>
    </row>
    <row r="280" spans="1:11" x14ac:dyDescent="0.3">
      <c r="B280" t="s">
        <v>458</v>
      </c>
      <c r="C280" s="66">
        <v>100000</v>
      </c>
      <c r="D280" s="298"/>
      <c r="E280" s="58"/>
      <c r="F280" s="59"/>
      <c r="G280" s="58"/>
      <c r="H280" s="60"/>
      <c r="I280"/>
    </row>
    <row r="281" spans="1:11" x14ac:dyDescent="0.3">
      <c r="B281" t="s">
        <v>459</v>
      </c>
      <c r="C281" s="37">
        <v>0</v>
      </c>
      <c r="D281" s="299">
        <v>30000</v>
      </c>
      <c r="E281" s="35">
        <v>0</v>
      </c>
      <c r="F281" s="38">
        <v>0</v>
      </c>
      <c r="G281" s="35">
        <v>0</v>
      </c>
      <c r="H281" s="36">
        <v>0</v>
      </c>
      <c r="I281"/>
    </row>
    <row r="282" spans="1:11" x14ac:dyDescent="0.3">
      <c r="B282" t="s">
        <v>460</v>
      </c>
      <c r="C282" s="37">
        <f>359285/6</f>
        <v>59880.833333333336</v>
      </c>
      <c r="D282" s="299">
        <f t="shared" ref="D282:H282" si="0">359285/6</f>
        <v>59880.833333333336</v>
      </c>
      <c r="E282" s="35">
        <f t="shared" si="0"/>
        <v>59880.833333333336</v>
      </c>
      <c r="F282" s="38">
        <f t="shared" si="0"/>
        <v>59880.833333333336</v>
      </c>
      <c r="G282" s="35">
        <f t="shared" si="0"/>
        <v>59880.833333333336</v>
      </c>
      <c r="H282" s="36">
        <f t="shared" si="0"/>
        <v>59880.833333333336</v>
      </c>
      <c r="I282"/>
      <c r="J282" s="68">
        <f>SUM(C282:I282)</f>
        <v>359285</v>
      </c>
    </row>
    <row r="283" spans="1:11" x14ac:dyDescent="0.3">
      <c r="B283" t="s">
        <v>461</v>
      </c>
      <c r="C283" s="37"/>
      <c r="D283" s="299">
        <v>10000</v>
      </c>
      <c r="E283" s="35">
        <f>20000/4</f>
        <v>5000</v>
      </c>
      <c r="F283" s="38">
        <f t="shared" ref="F283:H283" si="1">20000/4</f>
        <v>5000</v>
      </c>
      <c r="G283" s="35">
        <f t="shared" si="1"/>
        <v>5000</v>
      </c>
      <c r="H283" s="36">
        <f t="shared" si="1"/>
        <v>5000</v>
      </c>
      <c r="I283"/>
    </row>
    <row r="284" spans="1:11" x14ac:dyDescent="0.3">
      <c r="B284" t="s">
        <v>462</v>
      </c>
      <c r="C284" s="37"/>
      <c r="D284" s="299"/>
      <c r="E284" s="35">
        <v>60000</v>
      </c>
      <c r="F284" s="38">
        <v>0</v>
      </c>
      <c r="G284" s="35"/>
      <c r="H284" s="36"/>
      <c r="I284"/>
    </row>
    <row r="285" spans="1:11" x14ac:dyDescent="0.3">
      <c r="B285" t="s">
        <v>463</v>
      </c>
      <c r="C285" s="37"/>
      <c r="D285" s="299"/>
      <c r="E285" s="35">
        <v>80000</v>
      </c>
      <c r="F285" s="38"/>
      <c r="G285" s="35"/>
      <c r="H285" s="36"/>
      <c r="I285"/>
    </row>
    <row r="286" spans="1:11" x14ac:dyDescent="0.3">
      <c r="B286" t="s">
        <v>464</v>
      </c>
      <c r="C286" s="39"/>
      <c r="D286" s="300"/>
      <c r="E286" s="61"/>
      <c r="F286" s="40"/>
      <c r="G286" s="61"/>
      <c r="H286" s="41">
        <v>100000</v>
      </c>
      <c r="I286"/>
    </row>
    <row r="287" spans="1:11" x14ac:dyDescent="0.3">
      <c r="B287"/>
      <c r="C287" s="62"/>
      <c r="D287" s="268"/>
      <c r="E287" s="64"/>
      <c r="G287" s="64"/>
      <c r="H287" s="63"/>
      <c r="I287"/>
    </row>
    <row r="288" spans="1:11" x14ac:dyDescent="0.3">
      <c r="B288" t="s">
        <v>465</v>
      </c>
      <c r="C288" s="67">
        <f>SUM(C280:C287)</f>
        <v>159880.83333333334</v>
      </c>
      <c r="D288" s="301">
        <f t="shared" ref="D288:H288" si="2">SUM(D280:D287)</f>
        <v>99880.833333333343</v>
      </c>
      <c r="E288" s="67">
        <f t="shared" si="2"/>
        <v>204880.83333333334</v>
      </c>
      <c r="F288" s="67">
        <f t="shared" si="2"/>
        <v>64880.833333333336</v>
      </c>
      <c r="G288" s="67">
        <f t="shared" si="2"/>
        <v>64880.833333333336</v>
      </c>
      <c r="H288" s="70">
        <f t="shared" si="2"/>
        <v>164880.83333333334</v>
      </c>
      <c r="I288"/>
      <c r="J288" s="68">
        <f>SUM(C288:I288)</f>
        <v>759285.00000000012</v>
      </c>
    </row>
    <row r="289" spans="2:9" x14ac:dyDescent="0.3">
      <c r="I289"/>
    </row>
    <row r="290" spans="2:9" x14ac:dyDescent="0.3">
      <c r="B290" s="24" t="s">
        <v>466</v>
      </c>
      <c r="I290"/>
    </row>
  </sheetData>
  <mergeCells count="3">
    <mergeCell ref="D271:D272"/>
    <mergeCell ref="E271:E272"/>
    <mergeCell ref="C278:H278"/>
  </mergeCells>
  <phoneticPr fontId="3" type="noConversion"/>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DBCD8-29BC-430A-A8AA-F569EA4BE2FB}">
  <dimension ref="A2:CD373"/>
  <sheetViews>
    <sheetView zoomScale="85" zoomScaleNormal="85" workbookViewId="0">
      <pane xSplit="4" ySplit="3" topLeftCell="E28" activePane="bottomRight" state="frozen"/>
      <selection pane="topRight" activeCell="C1" sqref="C1"/>
      <selection pane="bottomLeft" activeCell="A4" sqref="A4"/>
      <selection pane="bottomRight" activeCell="A7" sqref="A7"/>
    </sheetView>
  </sheetViews>
  <sheetFormatPr defaultColWidth="9" defaultRowHeight="14" x14ac:dyDescent="0.3"/>
  <cols>
    <col min="1" max="1" width="50" customWidth="1"/>
    <col min="2" max="3" width="12.5" customWidth="1"/>
    <col min="4" max="4" width="14.19921875" style="3" customWidth="1"/>
    <col min="5" max="5" width="12.19921875" customWidth="1"/>
    <col min="6" max="6" width="14.296875" bestFit="1" customWidth="1"/>
    <col min="7" max="7" width="13.296875" customWidth="1"/>
    <col min="8" max="11" width="12.296875" customWidth="1"/>
    <col min="12" max="12" width="15.796875" customWidth="1" collapsed="1"/>
    <col min="13" max="13" width="12.296875" customWidth="1"/>
    <col min="14" max="14" width="14.296875" bestFit="1" customWidth="1"/>
    <col min="15" max="17" width="12.296875" customWidth="1"/>
    <col min="18" max="18" width="13.296875" bestFit="1" customWidth="1"/>
    <col min="19" max="23" width="12.296875" customWidth="1"/>
    <col min="24" max="24" width="14.69921875" customWidth="1"/>
    <col min="25" max="25" width="12.296875" bestFit="1" customWidth="1"/>
    <col min="26" max="26" width="12.69921875" customWidth="1"/>
    <col min="27" max="36" width="12.296875" customWidth="1"/>
    <col min="37" max="38" width="13.296875" bestFit="1" customWidth="1"/>
    <col min="39" max="39" width="11.5" bestFit="1" customWidth="1" collapsed="1"/>
    <col min="40" max="40" width="13.69921875" customWidth="1"/>
    <col min="41" max="42" width="12.296875" customWidth="1"/>
    <col min="43" max="43" width="12.69921875" bestFit="1" customWidth="1"/>
    <col min="44" max="46" width="12.296875" customWidth="1"/>
    <col min="47" max="47" width="11.5" bestFit="1" customWidth="1"/>
    <col min="48" max="49" width="12.296875" customWidth="1"/>
    <col min="50" max="50" width="15.19921875" customWidth="1"/>
    <col min="51" max="51" width="14.5" customWidth="1"/>
    <col min="52" max="53" width="12.296875" customWidth="1"/>
    <col min="54" max="54" width="11.19921875" bestFit="1" customWidth="1"/>
    <col min="55" max="55" width="11.5" bestFit="1" customWidth="1"/>
    <col min="56" max="61" width="12.796875" customWidth="1"/>
    <col min="62" max="62" width="11.5" bestFit="1" customWidth="1"/>
    <col min="63" max="67" width="12.296875" customWidth="1"/>
    <col min="68" max="68" width="12.5" bestFit="1" customWidth="1"/>
    <col min="69" max="73" width="12.296875" customWidth="1"/>
    <col min="74" max="74" width="12.796875" customWidth="1"/>
    <col min="75" max="75" width="12.296875" customWidth="1" collapsed="1"/>
    <col min="76" max="76" width="15" customWidth="1"/>
    <col min="77" max="80" width="12.296875" customWidth="1"/>
    <col min="81" max="81" width="12.296875" customWidth="1" collapsed="1"/>
    <col min="82" max="82" width="11.5" bestFit="1" customWidth="1"/>
    <col min="83" max="86" width="12.296875" customWidth="1"/>
    <col min="87" max="87" width="12.296875" bestFit="1" customWidth="1"/>
    <col min="88" max="92" width="12.296875" customWidth="1"/>
    <col min="93" max="93" width="10.296875" bestFit="1" customWidth="1"/>
    <col min="94" max="94" width="12.796875" bestFit="1" customWidth="1"/>
  </cols>
  <sheetData>
    <row r="2" spans="1:64" x14ac:dyDescent="0.3">
      <c r="A2" s="31" t="s">
        <v>467</v>
      </c>
      <c r="B2" s="31"/>
      <c r="C2" s="31"/>
      <c r="D2" s="69"/>
      <c r="E2" s="31"/>
    </row>
    <row r="3" spans="1:64" ht="27.95" x14ac:dyDescent="0.3">
      <c r="A3" s="183"/>
      <c r="B3" s="180" t="s">
        <v>468</v>
      </c>
      <c r="C3" s="120" t="s">
        <v>469</v>
      </c>
      <c r="D3" s="118" t="s">
        <v>470</v>
      </c>
      <c r="F3" s="325" t="s">
        <v>471</v>
      </c>
      <c r="G3" s="325"/>
      <c r="H3" s="325"/>
      <c r="I3" s="325"/>
      <c r="J3" s="325"/>
      <c r="K3" s="325"/>
      <c r="L3" s="325" t="s">
        <v>472</v>
      </c>
      <c r="M3" s="325"/>
      <c r="N3" s="325"/>
      <c r="O3" s="325"/>
      <c r="P3" s="325"/>
      <c r="Q3" s="325"/>
      <c r="R3" s="118" t="s">
        <v>473</v>
      </c>
      <c r="S3" s="325" t="s">
        <v>474</v>
      </c>
      <c r="T3" s="325"/>
      <c r="U3" s="325"/>
      <c r="V3" s="325"/>
      <c r="W3" s="325"/>
      <c r="X3" s="325"/>
      <c r="Y3" s="326" t="s">
        <v>475</v>
      </c>
      <c r="Z3" s="326"/>
      <c r="AA3" s="326"/>
      <c r="AB3" s="326"/>
      <c r="AC3" s="326"/>
      <c r="AD3" s="326"/>
      <c r="AE3" s="325" t="s">
        <v>476</v>
      </c>
      <c r="AF3" s="325"/>
      <c r="AG3" s="325"/>
      <c r="AH3" s="325"/>
      <c r="AI3" s="325"/>
      <c r="AJ3" s="325"/>
      <c r="AK3" s="118" t="s">
        <v>477</v>
      </c>
      <c r="AL3" s="325" t="s">
        <v>478</v>
      </c>
      <c r="AM3" s="325"/>
      <c r="AN3" s="325"/>
      <c r="AO3" s="325"/>
      <c r="AP3" s="325"/>
      <c r="AQ3" s="325"/>
      <c r="AR3" s="325" t="s">
        <v>479</v>
      </c>
      <c r="AS3" s="325"/>
      <c r="AT3" s="325"/>
      <c r="AU3" s="325"/>
      <c r="AV3" s="325"/>
      <c r="AW3" s="325"/>
      <c r="AX3" s="119" t="s">
        <v>480</v>
      </c>
      <c r="AY3" s="120" t="s">
        <v>124</v>
      </c>
      <c r="BA3" s="69"/>
      <c r="BB3" s="69"/>
      <c r="BC3" s="69"/>
      <c r="BD3" s="69"/>
      <c r="BE3" s="69"/>
      <c r="BG3" s="69"/>
      <c r="BH3" s="69"/>
      <c r="BI3" s="69"/>
      <c r="BJ3" s="69"/>
      <c r="BK3" s="69"/>
      <c r="BL3" s="29"/>
    </row>
    <row r="4" spans="1:64" x14ac:dyDescent="0.3">
      <c r="B4" s="132"/>
      <c r="C4" s="121"/>
      <c r="D4" s="121" t="s">
        <v>377</v>
      </c>
      <c r="F4" s="122" t="s">
        <v>379</v>
      </c>
      <c r="G4" s="69" t="s">
        <v>380</v>
      </c>
      <c r="H4" s="69" t="s">
        <v>381</v>
      </c>
      <c r="I4" s="69" t="s">
        <v>382</v>
      </c>
      <c r="J4" s="69" t="s">
        <v>383</v>
      </c>
      <c r="K4" s="123" t="s">
        <v>457</v>
      </c>
      <c r="L4" s="122" t="s">
        <v>379</v>
      </c>
      <c r="M4" s="69" t="s">
        <v>380</v>
      </c>
      <c r="N4" s="69" t="s">
        <v>381</v>
      </c>
      <c r="O4" s="69" t="s">
        <v>382</v>
      </c>
      <c r="P4" s="69" t="s">
        <v>383</v>
      </c>
      <c r="Q4" s="123" t="s">
        <v>457</v>
      </c>
      <c r="R4" s="124" t="s">
        <v>368</v>
      </c>
      <c r="S4" s="122" t="s">
        <v>379</v>
      </c>
      <c r="T4" s="69" t="s">
        <v>380</v>
      </c>
      <c r="U4" s="69" t="s">
        <v>381</v>
      </c>
      <c r="V4" s="69" t="s">
        <v>382</v>
      </c>
      <c r="W4" s="69" t="s">
        <v>383</v>
      </c>
      <c r="X4" s="123" t="s">
        <v>457</v>
      </c>
      <c r="Y4" s="125" t="s">
        <v>379</v>
      </c>
      <c r="Z4" s="126" t="s">
        <v>380</v>
      </c>
      <c r="AA4" s="126" t="s">
        <v>381</v>
      </c>
      <c r="AB4" s="126" t="s">
        <v>382</v>
      </c>
      <c r="AC4" s="126" t="s">
        <v>383</v>
      </c>
      <c r="AD4" s="127" t="s">
        <v>457</v>
      </c>
      <c r="AE4" s="122" t="s">
        <v>379</v>
      </c>
      <c r="AF4" s="69" t="s">
        <v>380</v>
      </c>
      <c r="AG4" s="69" t="s">
        <v>381</v>
      </c>
      <c r="AH4" s="69" t="s">
        <v>382</v>
      </c>
      <c r="AI4" s="69" t="s">
        <v>383</v>
      </c>
      <c r="AJ4" s="123" t="s">
        <v>457</v>
      </c>
      <c r="AK4" s="124" t="s">
        <v>368</v>
      </c>
      <c r="AL4" s="122" t="s">
        <v>379</v>
      </c>
      <c r="AM4" s="69" t="s">
        <v>380</v>
      </c>
      <c r="AN4" s="69" t="s">
        <v>381</v>
      </c>
      <c r="AO4" s="69" t="s">
        <v>382</v>
      </c>
      <c r="AP4" s="69" t="s">
        <v>383</v>
      </c>
      <c r="AQ4" s="123" t="s">
        <v>457</v>
      </c>
      <c r="AR4" s="122" t="s">
        <v>379</v>
      </c>
      <c r="AS4" s="69" t="s">
        <v>380</v>
      </c>
      <c r="AT4" s="69" t="s">
        <v>381</v>
      </c>
      <c r="AU4" s="69" t="s">
        <v>382</v>
      </c>
      <c r="AV4" s="69" t="s">
        <v>383</v>
      </c>
      <c r="AW4" s="123" t="s">
        <v>457</v>
      </c>
      <c r="AX4" s="122" t="s">
        <v>368</v>
      </c>
      <c r="AY4" s="124"/>
      <c r="BA4" s="69"/>
      <c r="BB4" s="69"/>
      <c r="BC4" s="69"/>
      <c r="BD4" s="69"/>
      <c r="BE4" s="69"/>
      <c r="BG4" s="69"/>
      <c r="BH4" s="69"/>
      <c r="BI4" s="69"/>
      <c r="BJ4" s="69"/>
      <c r="BK4" s="69"/>
      <c r="BL4" s="29"/>
    </row>
    <row r="5" spans="1:64" x14ac:dyDescent="0.3">
      <c r="A5" s="128" t="s">
        <v>481</v>
      </c>
      <c r="B5" s="164"/>
      <c r="C5" s="129"/>
      <c r="D5" s="129"/>
      <c r="E5" s="128"/>
      <c r="F5" s="130"/>
      <c r="K5" s="131"/>
      <c r="L5" s="130"/>
      <c r="Q5" s="131"/>
      <c r="R5" s="132"/>
      <c r="S5" s="130"/>
      <c r="X5" s="131"/>
      <c r="Y5" s="130"/>
      <c r="AD5" s="131"/>
      <c r="AE5" s="130"/>
      <c r="AJ5" s="131"/>
      <c r="AK5" s="132"/>
      <c r="AL5" s="130"/>
      <c r="AQ5" s="131"/>
      <c r="AR5" s="130"/>
      <c r="AW5" s="131"/>
      <c r="AX5" s="130"/>
      <c r="AY5" s="132"/>
    </row>
    <row r="6" spans="1:64" x14ac:dyDescent="0.3">
      <c r="A6" s="24" t="s">
        <v>482</v>
      </c>
      <c r="B6" s="64" t="s">
        <v>483</v>
      </c>
      <c r="C6" s="155" t="s">
        <v>366</v>
      </c>
      <c r="D6" s="133">
        <v>468.16479400749063</v>
      </c>
      <c r="E6" s="24"/>
      <c r="F6" s="134">
        <v>24</v>
      </c>
      <c r="G6" s="135"/>
      <c r="H6" s="135"/>
      <c r="I6" s="135"/>
      <c r="J6" s="135"/>
      <c r="K6" s="136"/>
      <c r="L6" s="134">
        <v>24</v>
      </c>
      <c r="M6" s="135">
        <v>96</v>
      </c>
      <c r="N6" s="135">
        <v>96.036923076923074</v>
      </c>
      <c r="O6" s="135">
        <v>96.109403773584901</v>
      </c>
      <c r="P6" s="135">
        <v>96.216191999999992</v>
      </c>
      <c r="Q6" s="136">
        <v>48.178071412363636</v>
      </c>
      <c r="R6" s="137">
        <f t="shared" ref="R6:R13" si="0">SUM(F6:Q6)</f>
        <v>480.5405902628716</v>
      </c>
      <c r="S6" s="134">
        <v>14.7</v>
      </c>
      <c r="T6" s="135">
        <v>54.599999999999994</v>
      </c>
      <c r="U6" s="135">
        <v>54.620999999999995</v>
      </c>
      <c r="V6" s="135">
        <v>29.433504905660371</v>
      </c>
      <c r="W6" s="135">
        <v>29.46620879999999</v>
      </c>
      <c r="X6" s="136">
        <v>14.75453437003636</v>
      </c>
      <c r="Y6" s="134">
        <v>12.6</v>
      </c>
      <c r="Z6" s="135"/>
      <c r="AA6" s="135"/>
      <c r="AB6" s="135">
        <v>25.228718490566035</v>
      </c>
      <c r="AC6" s="135">
        <v>25.256750399999994</v>
      </c>
      <c r="AD6" s="136">
        <v>12.646743745745452</v>
      </c>
      <c r="AE6" s="134">
        <v>14.7</v>
      </c>
      <c r="AF6" s="135">
        <v>29.4</v>
      </c>
      <c r="AG6" s="135">
        <v>29.411307692307687</v>
      </c>
      <c r="AH6" s="135">
        <v>29.433504905660371</v>
      </c>
      <c r="AI6" s="135">
        <v>29.46620879999999</v>
      </c>
      <c r="AJ6" s="136">
        <v>14.75453437003636</v>
      </c>
      <c r="AK6" s="137">
        <f t="shared" ref="AK6" si="1">SUM(S6:AJ6)</f>
        <v>420.47301648001252</v>
      </c>
      <c r="AL6" s="134">
        <v>3</v>
      </c>
      <c r="AM6" s="135">
        <v>6</v>
      </c>
      <c r="AN6" s="135">
        <v>60.023076923076928</v>
      </c>
      <c r="AO6" s="135">
        <v>6.0068377358490563</v>
      </c>
      <c r="AP6" s="135">
        <v>60.135119999999993</v>
      </c>
      <c r="AQ6" s="136">
        <v>30.111294632727269</v>
      </c>
      <c r="AR6" s="134">
        <v>27</v>
      </c>
      <c r="AS6" s="135">
        <v>54</v>
      </c>
      <c r="AT6" s="135"/>
      <c r="AU6" s="135">
        <v>54.061539622641504</v>
      </c>
      <c r="AV6" s="135"/>
      <c r="AW6" s="136"/>
      <c r="AX6" s="138">
        <f t="shared" ref="AX6" si="2">SUM(AL6:AW6)</f>
        <v>300.33786891429475</v>
      </c>
      <c r="AY6" s="137">
        <f t="shared" ref="AY6" si="3">R6+AK6+AX6</f>
        <v>1201.351475657179</v>
      </c>
    </row>
    <row r="7" spans="1:64" x14ac:dyDescent="0.3">
      <c r="A7" s="24" t="s">
        <v>484</v>
      </c>
      <c r="B7" s="64" t="s">
        <v>483</v>
      </c>
      <c r="C7" s="155" t="s">
        <v>366</v>
      </c>
      <c r="D7" s="133">
        <v>62.421972534332092</v>
      </c>
      <c r="E7" s="24"/>
      <c r="F7" s="134">
        <v>24</v>
      </c>
      <c r="G7" s="135"/>
      <c r="H7" s="135"/>
      <c r="I7" s="135"/>
      <c r="J7" s="135"/>
      <c r="K7" s="136"/>
      <c r="L7" s="134">
        <v>24</v>
      </c>
      <c r="M7" s="135">
        <v>96</v>
      </c>
      <c r="N7" s="135">
        <v>96.036923076923074</v>
      </c>
      <c r="O7" s="135">
        <v>96.109403773584887</v>
      </c>
      <c r="P7" s="135">
        <v>96.216191999999992</v>
      </c>
      <c r="Q7" s="136">
        <v>96.356142824727272</v>
      </c>
      <c r="R7" s="137">
        <f t="shared" si="0"/>
        <v>528.71866167523524</v>
      </c>
      <c r="S7" s="134">
        <v>14.699999999999996</v>
      </c>
      <c r="T7" s="135">
        <v>54.599999999999987</v>
      </c>
      <c r="U7" s="135">
        <v>54.620999999999981</v>
      </c>
      <c r="V7" s="135">
        <v>29.433504905660367</v>
      </c>
      <c r="W7" s="135">
        <v>29.46620879999999</v>
      </c>
      <c r="X7" s="136">
        <v>29.509068740072721</v>
      </c>
      <c r="Y7" s="134">
        <v>12.599999999999998</v>
      </c>
      <c r="Z7" s="135"/>
      <c r="AA7" s="135"/>
      <c r="AB7" s="135">
        <v>25.228718490566028</v>
      </c>
      <c r="AC7" s="135">
        <v>25.256750399999994</v>
      </c>
      <c r="AD7" s="136">
        <v>25.293487491490904</v>
      </c>
      <c r="AE7" s="134">
        <v>14.699999999999996</v>
      </c>
      <c r="AF7" s="135">
        <v>29.399999999999991</v>
      </c>
      <c r="AG7" s="135">
        <v>29.41130769230768</v>
      </c>
      <c r="AH7" s="135">
        <v>29.433504905660367</v>
      </c>
      <c r="AI7" s="135">
        <v>29.46620879999999</v>
      </c>
      <c r="AJ7" s="136">
        <v>29.509068740072721</v>
      </c>
      <c r="AK7" s="137">
        <f t="shared" ref="AK7:AK13" si="4">SUM(S7:AJ7)</f>
        <v>462.62882896583068</v>
      </c>
      <c r="AL7" s="134">
        <v>3</v>
      </c>
      <c r="AM7" s="135">
        <v>6</v>
      </c>
      <c r="AN7" s="135">
        <v>60.023076923076914</v>
      </c>
      <c r="AO7" s="135">
        <v>6.0068377358490554</v>
      </c>
      <c r="AP7" s="135">
        <v>60.135119999999993</v>
      </c>
      <c r="AQ7" s="136">
        <v>60.222589265454538</v>
      </c>
      <c r="AR7" s="134">
        <v>26.999999999999996</v>
      </c>
      <c r="AS7" s="135">
        <v>53.999999999999993</v>
      </c>
      <c r="AT7" s="135"/>
      <c r="AU7" s="135">
        <v>54.061539622641497</v>
      </c>
      <c r="AV7" s="135"/>
      <c r="AW7" s="136"/>
      <c r="AX7" s="138">
        <f t="shared" ref="AX7:AX13" si="5">SUM(AL7:AW7)</f>
        <v>330.44916354702195</v>
      </c>
      <c r="AY7" s="137">
        <f t="shared" ref="AY7:AY13" si="6">R7+AK7+AX7</f>
        <v>1321.7966541880878</v>
      </c>
    </row>
    <row r="8" spans="1:64" x14ac:dyDescent="0.3">
      <c r="A8" s="24" t="s">
        <v>485</v>
      </c>
      <c r="B8" s="64" t="s">
        <v>483</v>
      </c>
      <c r="C8" s="155" t="s">
        <v>366</v>
      </c>
      <c r="D8" s="133">
        <v>49.937578027465662</v>
      </c>
      <c r="E8" s="24"/>
      <c r="F8" s="134">
        <v>7.9200000000000017</v>
      </c>
      <c r="G8" s="135"/>
      <c r="H8" s="135"/>
      <c r="I8" s="135"/>
      <c r="J8" s="135"/>
      <c r="K8" s="136"/>
      <c r="L8" s="134">
        <v>7.9200000000000017</v>
      </c>
      <c r="M8" s="135">
        <v>31.680000000000007</v>
      </c>
      <c r="N8" s="135">
        <v>31.692184615384619</v>
      </c>
      <c r="O8" s="135">
        <v>31.716103245283023</v>
      </c>
      <c r="P8" s="135">
        <v>31.751343360000011</v>
      </c>
      <c r="Q8" s="136">
        <v>15.898763566080001</v>
      </c>
      <c r="R8" s="137">
        <f t="shared" si="0"/>
        <v>158.57839478674765</v>
      </c>
      <c r="S8" s="134">
        <v>4.851</v>
      </c>
      <c r="T8" s="135">
        <v>18.018000000000001</v>
      </c>
      <c r="U8" s="135">
        <v>18.024929999999998</v>
      </c>
      <c r="V8" s="135">
        <v>9.7130566188679239</v>
      </c>
      <c r="W8" s="135">
        <v>9.7238489040000022</v>
      </c>
      <c r="X8" s="136">
        <v>4.8689963421119993</v>
      </c>
      <c r="Y8" s="134">
        <v>4.1579999999999995</v>
      </c>
      <c r="Z8" s="135"/>
      <c r="AA8" s="135"/>
      <c r="AB8" s="135">
        <v>8.3254771018867917</v>
      </c>
      <c r="AC8" s="135">
        <v>8.3347276320000017</v>
      </c>
      <c r="AD8" s="136">
        <v>4.1734254360959993</v>
      </c>
      <c r="AE8" s="134">
        <v>4.851</v>
      </c>
      <c r="AF8" s="135">
        <v>9.702</v>
      </c>
      <c r="AG8" s="135">
        <v>9.7057315384615368</v>
      </c>
      <c r="AH8" s="135">
        <v>9.7130566188679239</v>
      </c>
      <c r="AI8" s="135">
        <v>9.7238489040000022</v>
      </c>
      <c r="AJ8" s="136">
        <v>4.8689963421119993</v>
      </c>
      <c r="AK8" s="137">
        <f t="shared" si="4"/>
        <v>138.75609543840417</v>
      </c>
      <c r="AL8" s="134">
        <v>0.99000000000000021</v>
      </c>
      <c r="AM8" s="135">
        <v>1.9800000000000004</v>
      </c>
      <c r="AN8" s="135">
        <v>19.807615384615389</v>
      </c>
      <c r="AO8" s="135">
        <v>1.9822564528301889</v>
      </c>
      <c r="AP8" s="135">
        <v>19.844589600000006</v>
      </c>
      <c r="AQ8" s="136">
        <v>9.9367272288000006</v>
      </c>
      <c r="AR8" s="134">
        <v>8.9100000000000019</v>
      </c>
      <c r="AS8" s="135">
        <v>17.820000000000004</v>
      </c>
      <c r="AT8" s="135"/>
      <c r="AU8" s="135">
        <v>17.8403080754717</v>
      </c>
      <c r="AV8" s="135"/>
      <c r="AW8" s="136"/>
      <c r="AX8" s="138">
        <f t="shared" si="5"/>
        <v>99.111496741717289</v>
      </c>
      <c r="AY8" s="137">
        <f t="shared" si="6"/>
        <v>396.44598696686916</v>
      </c>
    </row>
    <row r="9" spans="1:64" x14ac:dyDescent="0.3">
      <c r="A9" s="24" t="s">
        <v>486</v>
      </c>
      <c r="B9" s="64" t="s">
        <v>483</v>
      </c>
      <c r="C9" s="155" t="s">
        <v>366</v>
      </c>
      <c r="D9" s="133">
        <v>37.20394150169431</v>
      </c>
      <c r="E9" s="24"/>
      <c r="F9" s="134">
        <v>7.9200000000000008</v>
      </c>
      <c r="G9" s="135"/>
      <c r="H9" s="135"/>
      <c r="I9" s="135"/>
      <c r="J9" s="135"/>
      <c r="K9" s="136"/>
      <c r="L9" s="134">
        <v>7.9200000000000008</v>
      </c>
      <c r="M9" s="135">
        <v>31.680000000000003</v>
      </c>
      <c r="N9" s="135">
        <v>31.692184615384623</v>
      </c>
      <c r="O9" s="135">
        <v>31.716103245283019</v>
      </c>
      <c r="P9" s="135">
        <v>31.751343360000003</v>
      </c>
      <c r="Q9" s="136">
        <v>15.89876356608</v>
      </c>
      <c r="R9" s="137">
        <f t="shared" si="0"/>
        <v>158.57839478674765</v>
      </c>
      <c r="S9" s="134">
        <v>4.851</v>
      </c>
      <c r="T9" s="135">
        <v>18.018000000000001</v>
      </c>
      <c r="U9" s="135">
        <v>18.024929999999998</v>
      </c>
      <c r="V9" s="135">
        <v>9.7130566188679222</v>
      </c>
      <c r="W9" s="135">
        <v>9.7238489039999987</v>
      </c>
      <c r="X9" s="136">
        <v>4.8689963421119993</v>
      </c>
      <c r="Y9" s="134">
        <v>4.1579999999999995</v>
      </c>
      <c r="Z9" s="135"/>
      <c r="AA9" s="135"/>
      <c r="AB9" s="135">
        <v>8.3254771018867899</v>
      </c>
      <c r="AC9" s="135">
        <v>8.3347276319999981</v>
      </c>
      <c r="AD9" s="136">
        <v>4.1734254360959993</v>
      </c>
      <c r="AE9" s="134">
        <v>4.851</v>
      </c>
      <c r="AF9" s="135">
        <v>9.702</v>
      </c>
      <c r="AG9" s="135">
        <v>9.7057315384615386</v>
      </c>
      <c r="AH9" s="135">
        <v>9.7130566188679222</v>
      </c>
      <c r="AI9" s="135">
        <v>9.7238489039999987</v>
      </c>
      <c r="AJ9" s="136">
        <v>4.8689963421119993</v>
      </c>
      <c r="AK9" s="137">
        <f t="shared" si="4"/>
        <v>138.75609543840417</v>
      </c>
      <c r="AL9" s="134">
        <v>0.9900000000000001</v>
      </c>
      <c r="AM9" s="135">
        <v>1.9800000000000002</v>
      </c>
      <c r="AN9" s="135">
        <v>19.807615384615389</v>
      </c>
      <c r="AO9" s="135">
        <v>1.9822564528301887</v>
      </c>
      <c r="AP9" s="135">
        <v>19.844589600000003</v>
      </c>
      <c r="AQ9" s="136">
        <v>9.9367272287999988</v>
      </c>
      <c r="AR9" s="134">
        <v>8.9100000000000019</v>
      </c>
      <c r="AS9" s="135">
        <v>17.820000000000004</v>
      </c>
      <c r="AT9" s="135"/>
      <c r="AU9" s="135">
        <v>17.840308075471697</v>
      </c>
      <c r="AV9" s="135"/>
      <c r="AW9" s="136"/>
      <c r="AX9" s="138">
        <f t="shared" si="5"/>
        <v>99.111496741717275</v>
      </c>
      <c r="AY9" s="137">
        <f t="shared" si="6"/>
        <v>396.4459869668691</v>
      </c>
    </row>
    <row r="10" spans="1:64" x14ac:dyDescent="0.3">
      <c r="A10" s="24" t="s">
        <v>487</v>
      </c>
      <c r="B10" s="64" t="s">
        <v>483</v>
      </c>
      <c r="C10" s="155" t="s">
        <v>366</v>
      </c>
      <c r="D10" s="113">
        <v>390.13732833957602</v>
      </c>
      <c r="E10" s="24"/>
      <c r="F10" s="134">
        <v>0</v>
      </c>
      <c r="G10" s="135"/>
      <c r="H10" s="135"/>
      <c r="I10" s="135"/>
      <c r="J10" s="135"/>
      <c r="K10" s="136"/>
      <c r="L10" s="134">
        <v>0</v>
      </c>
      <c r="M10" s="135">
        <v>23.997599999999974</v>
      </c>
      <c r="N10" s="135">
        <v>23.997599999999974</v>
      </c>
      <c r="O10" s="135">
        <v>23.997599999999974</v>
      </c>
      <c r="P10" s="135">
        <v>23.997599999999974</v>
      </c>
      <c r="Q10" s="136">
        <v>0</v>
      </c>
      <c r="R10" s="137">
        <f t="shared" si="0"/>
        <v>95.990399999999894</v>
      </c>
      <c r="S10" s="134">
        <v>0</v>
      </c>
      <c r="T10" s="135">
        <v>13.648634999999981</v>
      </c>
      <c r="U10" s="135">
        <v>13.648634999999981</v>
      </c>
      <c r="V10" s="135">
        <v>7.3492649999999902</v>
      </c>
      <c r="W10" s="135">
        <v>7.3492649999999902</v>
      </c>
      <c r="X10" s="136">
        <v>0</v>
      </c>
      <c r="Y10" s="134">
        <v>0</v>
      </c>
      <c r="Z10" s="135"/>
      <c r="AA10" s="135"/>
      <c r="AB10" s="135">
        <v>6.2993699999999917</v>
      </c>
      <c r="AC10" s="135">
        <v>6.2993699999999917</v>
      </c>
      <c r="AD10" s="136">
        <v>0</v>
      </c>
      <c r="AE10" s="134">
        <v>0</v>
      </c>
      <c r="AF10" s="135">
        <v>7.3492649999999902</v>
      </c>
      <c r="AG10" s="135">
        <v>7.3492649999999902</v>
      </c>
      <c r="AH10" s="135">
        <v>7.3492649999999902</v>
      </c>
      <c r="AI10" s="135">
        <v>7.3492649999999902</v>
      </c>
      <c r="AJ10" s="136">
        <v>0</v>
      </c>
      <c r="AK10" s="137">
        <f t="shared" si="4"/>
        <v>83.991599999999877</v>
      </c>
      <c r="AL10" s="134">
        <v>0</v>
      </c>
      <c r="AM10" s="135">
        <v>1.4998499999999984</v>
      </c>
      <c r="AN10" s="135">
        <v>14.998499999999982</v>
      </c>
      <c r="AO10" s="135">
        <v>1.4998499999999984</v>
      </c>
      <c r="AP10" s="135">
        <v>14.998499999999982</v>
      </c>
      <c r="AQ10" s="136">
        <v>0</v>
      </c>
      <c r="AR10" s="134">
        <v>0</v>
      </c>
      <c r="AS10" s="135">
        <v>13.498649999999984</v>
      </c>
      <c r="AT10" s="135"/>
      <c r="AU10" s="135">
        <v>13.498649999999984</v>
      </c>
      <c r="AV10" s="135"/>
      <c r="AW10" s="136"/>
      <c r="AX10" s="138">
        <f t="shared" si="5"/>
        <v>59.993999999999929</v>
      </c>
      <c r="AY10" s="137">
        <f t="shared" si="6"/>
        <v>239.97599999999971</v>
      </c>
    </row>
    <row r="11" spans="1:64" x14ac:dyDescent="0.3">
      <c r="A11" s="24" t="s">
        <v>488</v>
      </c>
      <c r="B11" s="64" t="s">
        <v>483</v>
      </c>
      <c r="C11" s="155" t="s">
        <v>366</v>
      </c>
      <c r="D11" s="133">
        <v>192.50490458355625</v>
      </c>
      <c r="E11" s="24"/>
      <c r="F11" s="134">
        <v>3.9996000000000005</v>
      </c>
      <c r="G11" s="135"/>
      <c r="H11" s="135"/>
      <c r="I11" s="135"/>
      <c r="J11" s="135"/>
      <c r="K11" s="136"/>
      <c r="L11" s="134">
        <v>3.9996000000000005</v>
      </c>
      <c r="M11" s="135">
        <v>31.996800000000004</v>
      </c>
      <c r="N11" s="135">
        <v>32.009106461538465</v>
      </c>
      <c r="O11" s="135">
        <v>32.033264277735853</v>
      </c>
      <c r="P11" s="135">
        <v>32.068856793599998</v>
      </c>
      <c r="Q11" s="136">
        <v>16.057751201740803</v>
      </c>
      <c r="R11" s="137">
        <f t="shared" si="0"/>
        <v>152.16497873461515</v>
      </c>
      <c r="S11" s="134">
        <v>2.4497549999999997</v>
      </c>
      <c r="T11" s="135">
        <v>18.198180000000001</v>
      </c>
      <c r="U11" s="135">
        <v>18.205179300000001</v>
      </c>
      <c r="V11" s="135">
        <v>9.810187185056602</v>
      </c>
      <c r="W11" s="135">
        <v>9.8210873930399973</v>
      </c>
      <c r="X11" s="136">
        <v>4.9176863055331204</v>
      </c>
      <c r="Y11" s="134">
        <v>2.09979</v>
      </c>
      <c r="Z11" s="135"/>
      <c r="AA11" s="135"/>
      <c r="AB11" s="135">
        <v>8.4087318729056602</v>
      </c>
      <c r="AC11" s="135">
        <v>8.4180749083199977</v>
      </c>
      <c r="AD11" s="136">
        <v>4.2151596904569599</v>
      </c>
      <c r="AE11" s="134">
        <v>2.4497549999999997</v>
      </c>
      <c r="AF11" s="135">
        <v>9.7990199999999987</v>
      </c>
      <c r="AG11" s="135">
        <v>9.8027888538461543</v>
      </c>
      <c r="AH11" s="135">
        <v>9.810187185056602</v>
      </c>
      <c r="AI11" s="135">
        <v>9.8210873930399973</v>
      </c>
      <c r="AJ11" s="136">
        <v>4.9176863055331204</v>
      </c>
      <c r="AK11" s="137">
        <f t="shared" si="4"/>
        <v>133.14435639278821</v>
      </c>
      <c r="AL11" s="134">
        <v>0.49995000000000006</v>
      </c>
      <c r="AM11" s="135">
        <v>1.9998000000000002</v>
      </c>
      <c r="AN11" s="135">
        <v>20.005691538461541</v>
      </c>
      <c r="AO11" s="135">
        <v>2.0020790173584908</v>
      </c>
      <c r="AP11" s="135">
        <v>20.043035495999998</v>
      </c>
      <c r="AQ11" s="136">
        <v>10.036094501088003</v>
      </c>
      <c r="AR11" s="134">
        <v>4.4995500000000002</v>
      </c>
      <c r="AS11" s="135">
        <v>17.998200000000001</v>
      </c>
      <c r="AT11" s="135"/>
      <c r="AU11" s="135">
        <v>18.018711156226416</v>
      </c>
      <c r="AV11" s="135"/>
      <c r="AW11" s="136"/>
      <c r="AX11" s="138">
        <f t="shared" si="5"/>
        <v>95.103111709134438</v>
      </c>
      <c r="AY11" s="137">
        <f t="shared" si="6"/>
        <v>380.41244683653781</v>
      </c>
    </row>
    <row r="12" spans="1:64" x14ac:dyDescent="0.3">
      <c r="A12" s="24" t="s">
        <v>489</v>
      </c>
      <c r="B12" s="64" t="s">
        <v>483</v>
      </c>
      <c r="C12" s="155" t="s">
        <v>366</v>
      </c>
      <c r="D12" s="133">
        <v>278.99835027644019</v>
      </c>
      <c r="E12" s="24"/>
      <c r="F12" s="134">
        <v>9.3777134587554265</v>
      </c>
      <c r="G12" s="135"/>
      <c r="H12" s="135"/>
      <c r="I12" s="135"/>
      <c r="J12" s="135"/>
      <c r="K12" s="136"/>
      <c r="L12" s="134">
        <v>9.3777134587554265</v>
      </c>
      <c r="M12" s="135">
        <v>25.007235890014467</v>
      </c>
      <c r="N12" s="135">
        <v>25.016854057664478</v>
      </c>
      <c r="O12" s="135">
        <v>25.035734702236297</v>
      </c>
      <c r="P12" s="135">
        <v>25.063552185238784</v>
      </c>
      <c r="Q12" s="136">
        <v>25.100008261144588</v>
      </c>
      <c r="R12" s="137">
        <f t="shared" si="0"/>
        <v>143.97881201380946</v>
      </c>
      <c r="S12" s="134">
        <v>5.7438494934876978</v>
      </c>
      <c r="T12" s="135">
        <v>14.222865412445724</v>
      </c>
      <c r="U12" s="135">
        <v>14.22833574529667</v>
      </c>
      <c r="V12" s="135">
        <v>7.6671937525598652</v>
      </c>
      <c r="W12" s="135">
        <v>7.6757128567293771</v>
      </c>
      <c r="X12" s="136">
        <v>7.6868775299755283</v>
      </c>
      <c r="Y12" s="134">
        <v>4.9232995658465981</v>
      </c>
      <c r="Z12" s="135"/>
      <c r="AA12" s="135"/>
      <c r="AB12" s="135">
        <v>6.571880359337027</v>
      </c>
      <c r="AC12" s="135">
        <v>6.57918244862518</v>
      </c>
      <c r="AD12" s="136">
        <v>6.5887521685504531</v>
      </c>
      <c r="AE12" s="134">
        <v>5.7438494934876978</v>
      </c>
      <c r="AF12" s="135">
        <v>7.6584659913169286</v>
      </c>
      <c r="AG12" s="135">
        <v>7.661411555159745</v>
      </c>
      <c r="AH12" s="135">
        <v>7.6671937525598652</v>
      </c>
      <c r="AI12" s="135">
        <v>7.6757128567293771</v>
      </c>
      <c r="AJ12" s="136">
        <v>7.6868775299755283</v>
      </c>
      <c r="AK12" s="137">
        <f t="shared" si="4"/>
        <v>125.98146051208327</v>
      </c>
      <c r="AL12" s="134">
        <v>1.1722141823444283</v>
      </c>
      <c r="AM12" s="135">
        <v>1.5629522431259042</v>
      </c>
      <c r="AN12" s="135">
        <v>15.6355337860403</v>
      </c>
      <c r="AO12" s="135">
        <v>1.5647334188897686</v>
      </c>
      <c r="AP12" s="135">
        <v>15.664720115774239</v>
      </c>
      <c r="AQ12" s="136">
        <v>15.687505163215366</v>
      </c>
      <c r="AR12" s="134">
        <v>10.549927641099854</v>
      </c>
      <c r="AS12" s="135">
        <v>14.066570188133136</v>
      </c>
      <c r="AT12" s="135"/>
      <c r="AU12" s="135">
        <v>14.082600770007918</v>
      </c>
      <c r="AV12" s="135"/>
      <c r="AW12" s="136"/>
      <c r="AX12" s="138">
        <f t="shared" si="5"/>
        <v>89.986757508630916</v>
      </c>
      <c r="AY12" s="137">
        <f t="shared" si="6"/>
        <v>359.94703003452366</v>
      </c>
    </row>
    <row r="13" spans="1:64" x14ac:dyDescent="0.3">
      <c r="A13" s="24" t="s">
        <v>490</v>
      </c>
      <c r="B13" s="64" t="s">
        <v>483</v>
      </c>
      <c r="C13" s="155" t="s">
        <v>366</v>
      </c>
      <c r="D13" s="133">
        <v>390.13732833957602</v>
      </c>
      <c r="E13" s="24"/>
      <c r="F13" s="134">
        <v>17.999999999999979</v>
      </c>
      <c r="G13" s="135"/>
      <c r="H13" s="135"/>
      <c r="I13" s="135"/>
      <c r="J13" s="135"/>
      <c r="K13" s="136"/>
      <c r="L13" s="134">
        <v>17.999999999999979</v>
      </c>
      <c r="M13" s="135">
        <v>0</v>
      </c>
      <c r="N13" s="135">
        <v>0</v>
      </c>
      <c r="O13" s="135">
        <v>0</v>
      </c>
      <c r="P13" s="135">
        <v>0</v>
      </c>
      <c r="Q13" s="136">
        <v>0</v>
      </c>
      <c r="R13" s="137">
        <f t="shared" si="0"/>
        <v>35.999999999999957</v>
      </c>
      <c r="S13" s="140">
        <v>11.024999999999984</v>
      </c>
      <c r="T13" s="141">
        <v>0</v>
      </c>
      <c r="U13" s="141">
        <v>0</v>
      </c>
      <c r="V13" s="141"/>
      <c r="W13" s="141">
        <v>0</v>
      </c>
      <c r="X13" s="142">
        <v>0</v>
      </c>
      <c r="Y13" s="140">
        <v>9.4499999999999869</v>
      </c>
      <c r="Z13" s="141"/>
      <c r="AA13" s="141"/>
      <c r="AB13" s="141">
        <v>0</v>
      </c>
      <c r="AC13" s="141">
        <v>0</v>
      </c>
      <c r="AD13" s="142">
        <v>0</v>
      </c>
      <c r="AE13" s="140">
        <v>11.024999999999984</v>
      </c>
      <c r="AF13" s="141">
        <v>0</v>
      </c>
      <c r="AG13" s="141">
        <v>0</v>
      </c>
      <c r="AH13" s="141">
        <v>0</v>
      </c>
      <c r="AI13" s="141">
        <v>0</v>
      </c>
      <c r="AJ13" s="142">
        <v>0</v>
      </c>
      <c r="AK13" s="137">
        <f t="shared" si="4"/>
        <v>31.499999999999957</v>
      </c>
      <c r="AL13" s="140">
        <v>2.2499999999999973</v>
      </c>
      <c r="AM13" s="141">
        <v>0</v>
      </c>
      <c r="AN13" s="141">
        <v>0</v>
      </c>
      <c r="AO13" s="141">
        <v>0</v>
      </c>
      <c r="AP13" s="141">
        <v>0</v>
      </c>
      <c r="AQ13" s="142">
        <v>0</v>
      </c>
      <c r="AR13" s="140">
        <v>20.249999999999975</v>
      </c>
      <c r="AS13" s="141">
        <v>0</v>
      </c>
      <c r="AT13" s="141"/>
      <c r="AU13" s="141">
        <v>0</v>
      </c>
      <c r="AV13" s="141"/>
      <c r="AW13" s="142"/>
      <c r="AX13" s="138">
        <f t="shared" si="5"/>
        <v>22.499999999999972</v>
      </c>
      <c r="AY13" s="137">
        <f t="shared" si="6"/>
        <v>89.999999999999886</v>
      </c>
    </row>
    <row r="14" spans="1:64" s="150" customFormat="1" x14ac:dyDescent="0.3">
      <c r="A14" s="143" t="s">
        <v>491</v>
      </c>
      <c r="B14" s="181"/>
      <c r="C14" s="181"/>
      <c r="D14" s="144"/>
      <c r="E14" s="145"/>
      <c r="F14" s="146">
        <f t="shared" ref="F14:AY14" si="7">SUM(F6:F13)</f>
        <v>95.217313458755399</v>
      </c>
      <c r="G14" s="147">
        <f t="shared" si="7"/>
        <v>0</v>
      </c>
      <c r="H14" s="147">
        <f t="shared" si="7"/>
        <v>0</v>
      </c>
      <c r="I14" s="147">
        <f t="shared" si="7"/>
        <v>0</v>
      </c>
      <c r="J14" s="147">
        <f t="shared" si="7"/>
        <v>0</v>
      </c>
      <c r="K14" s="148">
        <f t="shared" si="7"/>
        <v>0</v>
      </c>
      <c r="L14" s="146">
        <f t="shared" si="7"/>
        <v>95.217313458755399</v>
      </c>
      <c r="M14" s="147">
        <f t="shared" si="7"/>
        <v>336.36163589001444</v>
      </c>
      <c r="N14" s="147">
        <f t="shared" si="7"/>
        <v>336.48177590381835</v>
      </c>
      <c r="O14" s="147">
        <f t="shared" si="7"/>
        <v>336.71761301770795</v>
      </c>
      <c r="P14" s="147">
        <f t="shared" si="7"/>
        <v>337.06507969883876</v>
      </c>
      <c r="Q14" s="148">
        <f t="shared" si="7"/>
        <v>217.48950083213629</v>
      </c>
      <c r="R14" s="149">
        <f t="shared" si="7"/>
        <v>1754.5502322600266</v>
      </c>
      <c r="S14" s="147">
        <f t="shared" si="7"/>
        <v>58.320604493487686</v>
      </c>
      <c r="T14" s="147">
        <f t="shared" si="7"/>
        <v>191.3056804124457</v>
      </c>
      <c r="U14" s="147">
        <f t="shared" si="7"/>
        <v>191.37401004529664</v>
      </c>
      <c r="V14" s="147">
        <f t="shared" si="7"/>
        <v>103.11976898667305</v>
      </c>
      <c r="W14" s="147">
        <f t="shared" si="7"/>
        <v>103.22618065776935</v>
      </c>
      <c r="X14" s="147">
        <f t="shared" si="7"/>
        <v>66.606159629841727</v>
      </c>
      <c r="Y14" s="147">
        <f t="shared" si="7"/>
        <v>49.989089565846584</v>
      </c>
      <c r="Z14" s="147">
        <f t="shared" si="7"/>
        <v>0</v>
      </c>
      <c r="AA14" s="147">
        <f t="shared" si="7"/>
        <v>0</v>
      </c>
      <c r="AB14" s="147">
        <f t="shared" si="7"/>
        <v>88.38837341714833</v>
      </c>
      <c r="AC14" s="147">
        <f t="shared" si="7"/>
        <v>88.479583420945161</v>
      </c>
      <c r="AD14" s="147">
        <f t="shared" si="7"/>
        <v>57.090993968435754</v>
      </c>
      <c r="AE14" s="147">
        <f t="shared" si="7"/>
        <v>58.320604493487686</v>
      </c>
      <c r="AF14" s="147">
        <f t="shared" si="7"/>
        <v>103.01075099131691</v>
      </c>
      <c r="AG14" s="147">
        <f t="shared" si="7"/>
        <v>103.04754387054433</v>
      </c>
      <c r="AH14" s="147">
        <f t="shared" si="7"/>
        <v>103.11976898667305</v>
      </c>
      <c r="AI14" s="147">
        <f t="shared" si="7"/>
        <v>103.22618065776935</v>
      </c>
      <c r="AJ14" s="147">
        <f t="shared" si="7"/>
        <v>66.606159629841727</v>
      </c>
      <c r="AK14" s="147">
        <f t="shared" si="7"/>
        <v>1535.2314532275229</v>
      </c>
      <c r="AL14" s="147">
        <f t="shared" si="7"/>
        <v>11.902164182344425</v>
      </c>
      <c r="AM14" s="147">
        <f t="shared" si="7"/>
        <v>21.022602243125903</v>
      </c>
      <c r="AN14" s="147">
        <f t="shared" si="7"/>
        <v>210.30110993988643</v>
      </c>
      <c r="AO14" s="147">
        <f t="shared" si="7"/>
        <v>21.044850813606747</v>
      </c>
      <c r="AP14" s="147">
        <f t="shared" si="7"/>
        <v>210.66567481177421</v>
      </c>
      <c r="AQ14" s="147">
        <f t="shared" si="7"/>
        <v>135.93093802008516</v>
      </c>
      <c r="AR14" s="147">
        <f t="shared" si="7"/>
        <v>107.11947764109983</v>
      </c>
      <c r="AS14" s="147">
        <f t="shared" si="7"/>
        <v>189.20342018813312</v>
      </c>
      <c r="AT14" s="147">
        <f t="shared" si="7"/>
        <v>0</v>
      </c>
      <c r="AU14" s="147">
        <f t="shared" si="7"/>
        <v>189.4036573224607</v>
      </c>
      <c r="AV14" s="147">
        <f t="shared" si="7"/>
        <v>0</v>
      </c>
      <c r="AW14" s="147">
        <f t="shared" si="7"/>
        <v>0</v>
      </c>
      <c r="AX14" s="147">
        <f t="shared" si="7"/>
        <v>1096.5938951625164</v>
      </c>
      <c r="AY14" s="149">
        <f t="shared" si="7"/>
        <v>4386.3755806500658</v>
      </c>
    </row>
    <row r="15" spans="1:64" x14ac:dyDescent="0.3">
      <c r="A15" s="24"/>
      <c r="B15" s="24"/>
      <c r="C15" s="24"/>
      <c r="D15" s="78"/>
      <c r="E15" s="24"/>
    </row>
    <row r="16" spans="1:64" x14ac:dyDescent="0.3">
      <c r="A16" s="24"/>
      <c r="B16" s="24"/>
      <c r="C16" s="24"/>
      <c r="D16" s="78"/>
      <c r="E16" s="24"/>
    </row>
    <row r="17" spans="1:82" ht="27.95" x14ac:dyDescent="0.3">
      <c r="A17" s="152"/>
      <c r="B17" s="182" t="s">
        <v>468</v>
      </c>
      <c r="C17" s="120" t="s">
        <v>469</v>
      </c>
      <c r="D17" s="118" t="s">
        <v>470</v>
      </c>
      <c r="E17" s="24"/>
      <c r="F17" s="325" t="s">
        <v>492</v>
      </c>
      <c r="G17" s="326"/>
      <c r="H17" s="326"/>
      <c r="I17" s="326"/>
      <c r="J17" s="326"/>
      <c r="K17" s="327"/>
      <c r="L17" s="325" t="s">
        <v>493</v>
      </c>
      <c r="M17" s="326"/>
      <c r="N17" s="326"/>
      <c r="O17" s="326"/>
      <c r="P17" s="326"/>
      <c r="Q17" s="327"/>
      <c r="R17" s="325" t="s">
        <v>494</v>
      </c>
      <c r="S17" s="326"/>
      <c r="T17" s="326"/>
      <c r="U17" s="326"/>
      <c r="V17" s="326"/>
      <c r="W17" s="327"/>
      <c r="X17" s="118" t="s">
        <v>495</v>
      </c>
      <c r="Y17" s="325" t="s">
        <v>496</v>
      </c>
      <c r="Z17" s="326"/>
      <c r="AA17" s="326"/>
      <c r="AB17" s="326"/>
      <c r="AC17" s="326"/>
      <c r="AD17" s="327"/>
      <c r="AE17" s="325" t="s">
        <v>497</v>
      </c>
      <c r="AF17" s="326"/>
      <c r="AG17" s="326"/>
      <c r="AH17" s="326"/>
      <c r="AI17" s="326"/>
      <c r="AJ17" s="327"/>
      <c r="AK17" s="325" t="s">
        <v>498</v>
      </c>
      <c r="AL17" s="326"/>
      <c r="AM17" s="326"/>
      <c r="AN17" s="326"/>
      <c r="AO17" s="326"/>
      <c r="AP17" s="327"/>
      <c r="AQ17" s="118" t="s">
        <v>499</v>
      </c>
      <c r="AR17" s="325" t="s">
        <v>500</v>
      </c>
      <c r="AS17" s="326"/>
      <c r="AT17" s="326"/>
      <c r="AU17" s="326"/>
      <c r="AV17" s="326"/>
      <c r="AW17" s="327"/>
      <c r="AX17" s="325" t="s">
        <v>501</v>
      </c>
      <c r="AY17" s="326"/>
      <c r="AZ17" s="326"/>
      <c r="BA17" s="326"/>
      <c r="BB17" s="326"/>
      <c r="BC17" s="327"/>
      <c r="BD17" s="118" t="s">
        <v>502</v>
      </c>
      <c r="BE17" s="325" t="s">
        <v>503</v>
      </c>
      <c r="BF17" s="326"/>
      <c r="BG17" s="326"/>
      <c r="BH17" s="326"/>
      <c r="BI17" s="326"/>
      <c r="BJ17" s="326"/>
      <c r="BK17" s="325" t="s">
        <v>504</v>
      </c>
      <c r="BL17" s="326"/>
      <c r="BM17" s="326"/>
      <c r="BN17" s="326"/>
      <c r="BO17" s="326"/>
      <c r="BP17" s="327"/>
      <c r="BQ17" s="325" t="s">
        <v>505</v>
      </c>
      <c r="BR17" s="326"/>
      <c r="BS17" s="326"/>
      <c r="BT17" s="326"/>
      <c r="BU17" s="326"/>
      <c r="BV17" s="327"/>
      <c r="BW17" s="119" t="s">
        <v>506</v>
      </c>
      <c r="BX17" s="120" t="s">
        <v>279</v>
      </c>
    </row>
    <row r="18" spans="1:82" x14ac:dyDescent="0.3">
      <c r="A18" s="24"/>
      <c r="B18" s="62"/>
      <c r="C18" s="155"/>
      <c r="D18" s="121" t="s">
        <v>377</v>
      </c>
      <c r="E18" s="24"/>
      <c r="F18" s="122" t="s">
        <v>379</v>
      </c>
      <c r="G18" s="69" t="s">
        <v>380</v>
      </c>
      <c r="H18" s="69" t="s">
        <v>381</v>
      </c>
      <c r="I18" s="69" t="s">
        <v>382</v>
      </c>
      <c r="J18" s="69" t="s">
        <v>383</v>
      </c>
      <c r="K18" s="123" t="s">
        <v>457</v>
      </c>
      <c r="L18" s="122" t="s">
        <v>379</v>
      </c>
      <c r="M18" s="69" t="s">
        <v>380</v>
      </c>
      <c r="N18" s="69" t="s">
        <v>381</v>
      </c>
      <c r="O18" s="69" t="s">
        <v>382</v>
      </c>
      <c r="P18" s="69" t="s">
        <v>383</v>
      </c>
      <c r="Q18" s="123" t="s">
        <v>457</v>
      </c>
      <c r="R18" s="122" t="s">
        <v>379</v>
      </c>
      <c r="S18" s="69" t="s">
        <v>380</v>
      </c>
      <c r="T18" s="69" t="s">
        <v>381</v>
      </c>
      <c r="U18" s="69" t="s">
        <v>382</v>
      </c>
      <c r="V18" s="69" t="s">
        <v>383</v>
      </c>
      <c r="W18" s="123" t="s">
        <v>457</v>
      </c>
      <c r="X18" s="124"/>
      <c r="Y18" s="122" t="s">
        <v>379</v>
      </c>
      <c r="Z18" s="69" t="s">
        <v>380</v>
      </c>
      <c r="AA18" s="69" t="s">
        <v>381</v>
      </c>
      <c r="AB18" s="69" t="s">
        <v>382</v>
      </c>
      <c r="AC18" s="69" t="s">
        <v>383</v>
      </c>
      <c r="AD18" s="123" t="s">
        <v>457</v>
      </c>
      <c r="AE18" s="122" t="s">
        <v>379</v>
      </c>
      <c r="AF18" s="69" t="s">
        <v>380</v>
      </c>
      <c r="AG18" s="69" t="s">
        <v>381</v>
      </c>
      <c r="AH18" s="69" t="s">
        <v>382</v>
      </c>
      <c r="AI18" s="69" t="s">
        <v>383</v>
      </c>
      <c r="AJ18" s="123" t="s">
        <v>457</v>
      </c>
      <c r="AK18" s="122" t="s">
        <v>379</v>
      </c>
      <c r="AL18" s="69" t="s">
        <v>380</v>
      </c>
      <c r="AM18" s="69" t="s">
        <v>381</v>
      </c>
      <c r="AN18" s="69" t="s">
        <v>382</v>
      </c>
      <c r="AO18" s="69" t="s">
        <v>383</v>
      </c>
      <c r="AP18" s="123" t="s">
        <v>457</v>
      </c>
      <c r="AQ18" s="124" t="s">
        <v>368</v>
      </c>
      <c r="AR18" s="125" t="s">
        <v>379</v>
      </c>
      <c r="AS18" s="126" t="s">
        <v>380</v>
      </c>
      <c r="AT18" s="126" t="s">
        <v>381</v>
      </c>
      <c r="AU18" s="126" t="s">
        <v>382</v>
      </c>
      <c r="AV18" s="126" t="s">
        <v>383</v>
      </c>
      <c r="AW18" s="127" t="s">
        <v>457</v>
      </c>
      <c r="AX18" s="125" t="s">
        <v>379</v>
      </c>
      <c r="AY18" s="126" t="s">
        <v>380</v>
      </c>
      <c r="AZ18" s="126" t="s">
        <v>381</v>
      </c>
      <c r="BA18" s="126" t="s">
        <v>382</v>
      </c>
      <c r="BB18" s="126" t="s">
        <v>383</v>
      </c>
      <c r="BC18" s="127" t="s">
        <v>457</v>
      </c>
      <c r="BD18" s="124" t="s">
        <v>368</v>
      </c>
      <c r="BE18" s="122" t="s">
        <v>379</v>
      </c>
      <c r="BF18" s="69" t="s">
        <v>380</v>
      </c>
      <c r="BG18" s="69" t="s">
        <v>381</v>
      </c>
      <c r="BH18" s="69" t="s">
        <v>382</v>
      </c>
      <c r="BI18" s="69" t="s">
        <v>383</v>
      </c>
      <c r="BJ18" s="69" t="s">
        <v>457</v>
      </c>
      <c r="BK18" s="122" t="s">
        <v>379</v>
      </c>
      <c r="BL18" s="69" t="s">
        <v>380</v>
      </c>
      <c r="BM18" s="69" t="s">
        <v>381</v>
      </c>
      <c r="BN18" s="69" t="s">
        <v>382</v>
      </c>
      <c r="BO18" s="69" t="s">
        <v>383</v>
      </c>
      <c r="BP18" s="123" t="s">
        <v>457</v>
      </c>
      <c r="BQ18" s="122" t="s">
        <v>379</v>
      </c>
      <c r="BR18" s="69" t="s">
        <v>380</v>
      </c>
      <c r="BS18" s="69" t="s">
        <v>381</v>
      </c>
      <c r="BT18" s="69" t="s">
        <v>382</v>
      </c>
      <c r="BU18" s="69" t="s">
        <v>383</v>
      </c>
      <c r="BV18" s="123" t="s">
        <v>457</v>
      </c>
      <c r="BW18" s="69" t="s">
        <v>368</v>
      </c>
      <c r="BX18" s="124" t="s">
        <v>368</v>
      </c>
      <c r="BY18" s="69"/>
      <c r="BZ18" s="69"/>
      <c r="CA18" s="69"/>
      <c r="CB18" s="69"/>
      <c r="CC18" s="69"/>
      <c r="CD18" s="29"/>
    </row>
    <row r="19" spans="1:82" x14ac:dyDescent="0.3">
      <c r="A19" s="128" t="s">
        <v>507</v>
      </c>
      <c r="B19" s="184"/>
      <c r="C19" s="129"/>
      <c r="D19" s="129"/>
      <c r="E19" s="128"/>
      <c r="F19" s="130"/>
      <c r="K19" s="131"/>
      <c r="L19" s="130"/>
      <c r="Q19" s="131"/>
      <c r="R19" s="130"/>
      <c r="W19" s="131"/>
      <c r="X19" s="132"/>
      <c r="Y19" s="130"/>
      <c r="AD19" s="131"/>
      <c r="AE19" s="130"/>
      <c r="AJ19" s="131"/>
      <c r="AK19" s="130"/>
      <c r="AP19" s="131"/>
      <c r="AQ19" s="132"/>
      <c r="AR19" s="130"/>
      <c r="AW19" s="131"/>
      <c r="AX19" s="130"/>
      <c r="BC19" s="131"/>
      <c r="BD19" s="132"/>
      <c r="BE19" s="130"/>
      <c r="BK19" s="130"/>
      <c r="BP19" s="131"/>
      <c r="BQ19" s="130"/>
      <c r="BV19" s="131"/>
      <c r="BX19" s="132"/>
    </row>
    <row r="20" spans="1:82" x14ac:dyDescent="0.3">
      <c r="A20" s="24" t="s">
        <v>508</v>
      </c>
      <c r="B20" s="62" t="s">
        <v>483</v>
      </c>
      <c r="C20" s="155" t="s">
        <v>366</v>
      </c>
      <c r="D20" s="151">
        <v>390.13732833957602</v>
      </c>
      <c r="E20" s="24"/>
      <c r="F20" s="134">
        <v>0</v>
      </c>
      <c r="G20" s="135">
        <v>31.499999999999957</v>
      </c>
      <c r="H20" s="135">
        <v>31.499999999999957</v>
      </c>
      <c r="I20" s="135">
        <v>31.499999999999957</v>
      </c>
      <c r="J20" s="135">
        <v>31.499999999999957</v>
      </c>
      <c r="K20" s="136">
        <v>0</v>
      </c>
      <c r="L20" s="134">
        <v>0</v>
      </c>
      <c r="M20" s="135">
        <v>8.9999999999999893</v>
      </c>
      <c r="N20" s="135">
        <v>8.9999999999999893</v>
      </c>
      <c r="O20" s="135">
        <v>8.9999999999999893</v>
      </c>
      <c r="P20" s="135">
        <v>8.9999999999999893</v>
      </c>
      <c r="Q20" s="136">
        <v>0</v>
      </c>
      <c r="R20" s="134">
        <v>0</v>
      </c>
      <c r="S20" s="135">
        <v>4.4999999999999947</v>
      </c>
      <c r="T20" s="135">
        <v>4.4999999999999947</v>
      </c>
      <c r="U20" s="135">
        <v>4.4999999999999947</v>
      </c>
      <c r="V20" s="135">
        <v>4.4999999999999947</v>
      </c>
      <c r="W20" s="136">
        <v>0</v>
      </c>
      <c r="X20" s="137">
        <f t="shared" ref="X20" si="8">SUM(F20:W20)</f>
        <v>179.99999999999983</v>
      </c>
      <c r="Y20" s="134">
        <v>0</v>
      </c>
      <c r="Z20" s="135">
        <v>12.599999999999984</v>
      </c>
      <c r="AA20" s="135">
        <v>12.599999999999984</v>
      </c>
      <c r="AB20" s="135">
        <v>12.599999999999984</v>
      </c>
      <c r="AC20" s="135">
        <v>12.599999999999984</v>
      </c>
      <c r="AD20" s="136">
        <v>0</v>
      </c>
      <c r="AE20" s="134"/>
      <c r="AF20" s="135">
        <v>25.199999999999967</v>
      </c>
      <c r="AG20" s="135">
        <v>25.199999999999967</v>
      </c>
      <c r="AH20" s="135">
        <v>25.199999999999967</v>
      </c>
      <c r="AI20" s="135">
        <v>25.199999999999967</v>
      </c>
      <c r="AJ20" s="136">
        <v>0</v>
      </c>
      <c r="AK20" s="134">
        <v>0</v>
      </c>
      <c r="AL20" s="135">
        <v>25.199999999999967</v>
      </c>
      <c r="AM20" s="135">
        <v>25.199999999999967</v>
      </c>
      <c r="AN20" s="135">
        <v>25.199999999999967</v>
      </c>
      <c r="AO20" s="135">
        <v>25.199999999999967</v>
      </c>
      <c r="AP20" s="136">
        <v>0</v>
      </c>
      <c r="AQ20" s="137">
        <f t="shared" ref="AQ20" si="9">SUM(Y20:AP20)</f>
        <v>251.99999999999963</v>
      </c>
      <c r="AR20" s="134">
        <v>0</v>
      </c>
      <c r="AS20" s="135">
        <v>13.499999999999982</v>
      </c>
      <c r="AT20" s="135">
        <v>13.499999999999982</v>
      </c>
      <c r="AU20" s="135">
        <v>13.499999999999982</v>
      </c>
      <c r="AV20" s="135">
        <v>13.499999999999982</v>
      </c>
      <c r="AW20" s="136">
        <v>0</v>
      </c>
      <c r="AX20" s="134">
        <v>0</v>
      </c>
      <c r="AY20" s="135">
        <v>40.499999999999943</v>
      </c>
      <c r="AZ20" s="135">
        <v>40.499999999999943</v>
      </c>
      <c r="BA20" s="135">
        <v>40.499999999999943</v>
      </c>
      <c r="BB20" s="135">
        <v>40.499999999999943</v>
      </c>
      <c r="BC20" s="136">
        <v>0</v>
      </c>
      <c r="BD20" s="137">
        <f t="shared" ref="BD20:BD22" si="10">SUM(AR20:BC20)</f>
        <v>215.99999999999972</v>
      </c>
      <c r="BE20" s="134">
        <v>0</v>
      </c>
      <c r="BF20" s="135">
        <v>3.5999999999999961</v>
      </c>
      <c r="BG20" s="135">
        <v>3.5999999999999961</v>
      </c>
      <c r="BH20" s="135">
        <v>3.5999999999999961</v>
      </c>
      <c r="BI20" s="135">
        <v>3.5999999999999961</v>
      </c>
      <c r="BJ20" s="135">
        <v>0</v>
      </c>
      <c r="BK20" s="134">
        <v>0</v>
      </c>
      <c r="BL20" s="135">
        <v>0.89999999999999902</v>
      </c>
      <c r="BM20" s="135">
        <v>0.89999999999999902</v>
      </c>
      <c r="BN20" s="135">
        <v>0.89999999999999902</v>
      </c>
      <c r="BO20" s="135">
        <v>0.89999999999999902</v>
      </c>
      <c r="BP20" s="136">
        <v>0</v>
      </c>
      <c r="BQ20" s="134">
        <v>0</v>
      </c>
      <c r="BR20" s="135">
        <v>13.499999999999984</v>
      </c>
      <c r="BS20" s="135">
        <v>13.499999999999984</v>
      </c>
      <c r="BT20" s="135">
        <v>13.499999999999984</v>
      </c>
      <c r="BU20" s="135">
        <v>13.499999999999984</v>
      </c>
      <c r="BV20" s="136">
        <v>0</v>
      </c>
      <c r="BW20" s="150">
        <f t="shared" ref="BW20:BW29" si="11">SUM(BE20:BV20)</f>
        <v>71.999999999999915</v>
      </c>
      <c r="BX20" s="137">
        <f t="shared" ref="BX20" si="12">X20+AQ20+BD20+BW20</f>
        <v>719.99999999999898</v>
      </c>
    </row>
    <row r="21" spans="1:82" x14ac:dyDescent="0.3">
      <c r="A21" s="24" t="s">
        <v>509</v>
      </c>
      <c r="B21" s="62" t="s">
        <v>483</v>
      </c>
      <c r="C21" s="155" t="s">
        <v>366</v>
      </c>
      <c r="D21" s="151">
        <v>390.13732833957602</v>
      </c>
      <c r="E21" s="24"/>
      <c r="F21" s="134">
        <v>0</v>
      </c>
      <c r="G21" s="135">
        <v>41.99999999999995</v>
      </c>
      <c r="H21" s="135">
        <v>41.99999999999995</v>
      </c>
      <c r="I21" s="135">
        <v>41.99999999999995</v>
      </c>
      <c r="J21" s="135">
        <v>41.99999999999995</v>
      </c>
      <c r="K21" s="136">
        <v>0</v>
      </c>
      <c r="L21" s="134">
        <v>0</v>
      </c>
      <c r="M21" s="135">
        <v>11.999999999999986</v>
      </c>
      <c r="N21" s="135">
        <v>11.999999999999986</v>
      </c>
      <c r="O21" s="135">
        <v>11.999999999999986</v>
      </c>
      <c r="P21" s="135">
        <v>11.999999999999986</v>
      </c>
      <c r="Q21" s="136">
        <v>0</v>
      </c>
      <c r="R21" s="134">
        <v>0</v>
      </c>
      <c r="S21" s="135">
        <v>5.9999999999999929</v>
      </c>
      <c r="T21" s="135">
        <v>5.9999999999999929</v>
      </c>
      <c r="U21" s="135">
        <v>5.9999999999999929</v>
      </c>
      <c r="V21" s="135">
        <v>5.9999999999999929</v>
      </c>
      <c r="W21" s="136">
        <v>0</v>
      </c>
      <c r="X21" s="137">
        <f t="shared" ref="X21:X29" si="13">SUM(F21:W21)</f>
        <v>239.99999999999977</v>
      </c>
      <c r="Y21" s="134">
        <v>0</v>
      </c>
      <c r="Z21" s="135">
        <v>16.799999999999979</v>
      </c>
      <c r="AA21" s="135">
        <v>16.799999999999979</v>
      </c>
      <c r="AB21" s="135">
        <v>16.799999999999979</v>
      </c>
      <c r="AC21" s="135">
        <v>16.799999999999979</v>
      </c>
      <c r="AD21" s="136">
        <v>0</v>
      </c>
      <c r="AE21" s="134"/>
      <c r="AF21" s="135">
        <v>33.599999999999959</v>
      </c>
      <c r="AG21" s="135">
        <v>33.599999999999959</v>
      </c>
      <c r="AH21" s="135">
        <v>33.599999999999959</v>
      </c>
      <c r="AI21" s="135">
        <v>33.599999999999959</v>
      </c>
      <c r="AJ21" s="136">
        <v>0</v>
      </c>
      <c r="AK21" s="134">
        <v>0</v>
      </c>
      <c r="AL21" s="135">
        <v>33.599999999999959</v>
      </c>
      <c r="AM21" s="135">
        <v>33.599999999999959</v>
      </c>
      <c r="AN21" s="135">
        <v>33.599999999999959</v>
      </c>
      <c r="AO21" s="135">
        <v>33.599999999999959</v>
      </c>
      <c r="AP21" s="136">
        <v>0</v>
      </c>
      <c r="AQ21" s="137">
        <f t="shared" ref="AQ21:AQ29" si="14">SUM(Y21:AP21)</f>
        <v>335.9999999999996</v>
      </c>
      <c r="AR21" s="134">
        <v>0</v>
      </c>
      <c r="AS21" s="135">
        <v>17.999999999999979</v>
      </c>
      <c r="AT21" s="135">
        <v>17.999999999999979</v>
      </c>
      <c r="AU21" s="135">
        <v>17.999999999999979</v>
      </c>
      <c r="AV21" s="135">
        <v>17.999999999999979</v>
      </c>
      <c r="AW21" s="136">
        <v>0</v>
      </c>
      <c r="AX21" s="134">
        <v>0</v>
      </c>
      <c r="AY21" s="135">
        <v>53.999999999999936</v>
      </c>
      <c r="AZ21" s="135">
        <v>53.999999999999936</v>
      </c>
      <c r="BA21" s="135">
        <v>53.999999999999936</v>
      </c>
      <c r="BB21" s="135">
        <v>53.999999999999936</v>
      </c>
      <c r="BC21" s="136">
        <v>0</v>
      </c>
      <c r="BD21" s="137">
        <f t="shared" si="10"/>
        <v>287.99999999999966</v>
      </c>
      <c r="BE21" s="134">
        <v>0</v>
      </c>
      <c r="BF21" s="135">
        <v>4.7999999999999945</v>
      </c>
      <c r="BG21" s="135">
        <v>4.7999999999999945</v>
      </c>
      <c r="BH21" s="135">
        <v>4.7999999999999945</v>
      </c>
      <c r="BI21" s="135">
        <v>4.7999999999999945</v>
      </c>
      <c r="BJ21" s="135">
        <v>0</v>
      </c>
      <c r="BK21" s="134">
        <v>0</v>
      </c>
      <c r="BL21" s="135">
        <v>1.1999999999999986</v>
      </c>
      <c r="BM21" s="135">
        <v>1.1999999999999986</v>
      </c>
      <c r="BN21" s="135">
        <v>1.1999999999999986</v>
      </c>
      <c r="BO21" s="135">
        <v>1.1999999999999986</v>
      </c>
      <c r="BP21" s="136">
        <v>0</v>
      </c>
      <c r="BQ21" s="134">
        <v>0</v>
      </c>
      <c r="BR21" s="135">
        <v>17.999999999999979</v>
      </c>
      <c r="BS21" s="135">
        <v>17.999999999999979</v>
      </c>
      <c r="BT21" s="135">
        <v>17.999999999999979</v>
      </c>
      <c r="BU21" s="135">
        <v>17.999999999999979</v>
      </c>
      <c r="BV21" s="136">
        <v>0</v>
      </c>
      <c r="BW21" s="150">
        <f t="shared" si="11"/>
        <v>95.999999999999886</v>
      </c>
      <c r="BX21" s="137">
        <f t="shared" ref="BX21:BX29" si="15">X21+AQ21+BD21+BW21</f>
        <v>959.99999999999886</v>
      </c>
    </row>
    <row r="22" spans="1:82" x14ac:dyDescent="0.3">
      <c r="A22" s="24" t="s">
        <v>510</v>
      </c>
      <c r="B22" s="62" t="s">
        <v>483</v>
      </c>
      <c r="C22" s="155" t="s">
        <v>366</v>
      </c>
      <c r="D22" s="151">
        <v>390.13732833957602</v>
      </c>
      <c r="E22" s="24"/>
      <c r="F22" s="134">
        <v>0</v>
      </c>
      <c r="G22" s="135">
        <v>20.999999999999975</v>
      </c>
      <c r="H22" s="135">
        <v>20.999999999999975</v>
      </c>
      <c r="I22" s="135">
        <v>20.999999999999975</v>
      </c>
      <c r="J22" s="135">
        <v>0</v>
      </c>
      <c r="K22" s="136">
        <v>0</v>
      </c>
      <c r="L22" s="134">
        <v>0</v>
      </c>
      <c r="M22" s="135">
        <v>5.9999999999999929</v>
      </c>
      <c r="N22" s="135">
        <v>5.9999999999999929</v>
      </c>
      <c r="O22" s="135">
        <v>5.9999999999999929</v>
      </c>
      <c r="P22" s="135">
        <v>0</v>
      </c>
      <c r="Q22" s="136">
        <v>0</v>
      </c>
      <c r="R22" s="134">
        <v>0</v>
      </c>
      <c r="S22" s="135">
        <v>2.9999999999999964</v>
      </c>
      <c r="T22" s="135">
        <v>2.9999999999999964</v>
      </c>
      <c r="U22" s="135">
        <v>2.9999999999999964</v>
      </c>
      <c r="V22" s="135">
        <v>0</v>
      </c>
      <c r="W22" s="136">
        <v>0</v>
      </c>
      <c r="X22" s="137">
        <f t="shared" si="13"/>
        <v>89.999999999999915</v>
      </c>
      <c r="Y22" s="134">
        <v>0</v>
      </c>
      <c r="Z22" s="135">
        <v>8.3999999999999897</v>
      </c>
      <c r="AA22" s="135">
        <v>8.3999999999999897</v>
      </c>
      <c r="AB22" s="135">
        <v>8.3999999999999897</v>
      </c>
      <c r="AC22" s="135">
        <v>0</v>
      </c>
      <c r="AD22" s="136">
        <v>0</v>
      </c>
      <c r="AE22" s="134"/>
      <c r="AF22" s="135">
        <v>16.799999999999979</v>
      </c>
      <c r="AG22" s="135">
        <v>16.799999999999979</v>
      </c>
      <c r="AH22" s="135">
        <v>16.799999999999979</v>
      </c>
      <c r="AI22" s="135">
        <v>0</v>
      </c>
      <c r="AJ22" s="136">
        <v>0</v>
      </c>
      <c r="AK22" s="134">
        <v>0</v>
      </c>
      <c r="AL22" s="135">
        <v>16.799999999999979</v>
      </c>
      <c r="AM22" s="135">
        <v>16.799999999999979</v>
      </c>
      <c r="AN22" s="135">
        <v>16.799999999999979</v>
      </c>
      <c r="AO22" s="135">
        <v>0</v>
      </c>
      <c r="AP22" s="136">
        <v>0</v>
      </c>
      <c r="AQ22" s="137">
        <f t="shared" si="14"/>
        <v>125.99999999999986</v>
      </c>
      <c r="AR22" s="134">
        <v>0</v>
      </c>
      <c r="AS22" s="135">
        <v>8.9999999999999893</v>
      </c>
      <c r="AT22" s="135">
        <v>8.9999999999999893</v>
      </c>
      <c r="AU22" s="135">
        <v>8.9999999999999893</v>
      </c>
      <c r="AV22" s="135">
        <v>0</v>
      </c>
      <c r="AW22" s="136">
        <v>0</v>
      </c>
      <c r="AX22" s="134">
        <v>0</v>
      </c>
      <c r="AY22" s="135">
        <v>26.999999999999968</v>
      </c>
      <c r="AZ22" s="135">
        <v>26.999999999999968</v>
      </c>
      <c r="BA22" s="135">
        <v>26.999999999999968</v>
      </c>
      <c r="BB22" s="135">
        <v>0</v>
      </c>
      <c r="BC22" s="136">
        <v>0</v>
      </c>
      <c r="BD22" s="137">
        <f t="shared" si="10"/>
        <v>107.99999999999987</v>
      </c>
      <c r="BE22" s="134">
        <v>0</v>
      </c>
      <c r="BF22" s="135">
        <v>2.3999999999999972</v>
      </c>
      <c r="BG22" s="135">
        <v>2.3999999999999972</v>
      </c>
      <c r="BH22" s="135">
        <v>2.3999999999999972</v>
      </c>
      <c r="BI22" s="135">
        <v>0</v>
      </c>
      <c r="BJ22" s="135">
        <v>0</v>
      </c>
      <c r="BK22" s="134">
        <v>0</v>
      </c>
      <c r="BL22" s="135">
        <v>0.59999999999999931</v>
      </c>
      <c r="BM22" s="135">
        <v>0.59999999999999931</v>
      </c>
      <c r="BN22" s="135">
        <v>0.59999999999999931</v>
      </c>
      <c r="BO22" s="135">
        <v>0</v>
      </c>
      <c r="BP22" s="136">
        <v>0</v>
      </c>
      <c r="BQ22" s="134">
        <v>0</v>
      </c>
      <c r="BR22" s="135">
        <v>8.9999999999999893</v>
      </c>
      <c r="BS22" s="135">
        <v>8.9999999999999893</v>
      </c>
      <c r="BT22" s="135">
        <v>8.9999999999999893</v>
      </c>
      <c r="BU22" s="135">
        <v>0</v>
      </c>
      <c r="BV22" s="136">
        <v>0</v>
      </c>
      <c r="BW22" s="150">
        <f t="shared" si="11"/>
        <v>35.999999999999957</v>
      </c>
      <c r="BX22" s="137">
        <f t="shared" si="15"/>
        <v>359.9999999999996</v>
      </c>
    </row>
    <row r="23" spans="1:82" x14ac:dyDescent="0.3">
      <c r="A23" s="24" t="s">
        <v>487</v>
      </c>
      <c r="B23" s="62" t="s">
        <v>483</v>
      </c>
      <c r="C23" s="155" t="s">
        <v>366</v>
      </c>
      <c r="D23" s="151">
        <v>390.13732833957602</v>
      </c>
      <c r="E23" s="24"/>
      <c r="F23" s="134">
        <v>0</v>
      </c>
      <c r="G23" s="135">
        <v>10.498949999999986</v>
      </c>
      <c r="H23" s="135">
        <v>10.498949999999986</v>
      </c>
      <c r="I23" s="135">
        <v>10.498949999999986</v>
      </c>
      <c r="J23" s="135">
        <v>10.498949999999986</v>
      </c>
      <c r="K23" s="136">
        <v>0</v>
      </c>
      <c r="L23" s="134">
        <v>0</v>
      </c>
      <c r="M23" s="135">
        <v>2.9996999999999967</v>
      </c>
      <c r="N23" s="135">
        <v>2.9996999999999967</v>
      </c>
      <c r="O23" s="135">
        <v>2.9996999999999967</v>
      </c>
      <c r="P23" s="135">
        <v>2.9996999999999967</v>
      </c>
      <c r="Q23" s="136">
        <v>0</v>
      </c>
      <c r="R23" s="134">
        <v>0</v>
      </c>
      <c r="S23" s="135">
        <v>1.4998499999999984</v>
      </c>
      <c r="T23" s="135">
        <v>1.4998499999999984</v>
      </c>
      <c r="U23" s="135">
        <v>1.4998499999999984</v>
      </c>
      <c r="V23" s="135">
        <v>1.4998499999999984</v>
      </c>
      <c r="W23" s="136">
        <v>0</v>
      </c>
      <c r="X23" s="137">
        <f t="shared" si="13"/>
        <v>59.993999999999915</v>
      </c>
      <c r="Y23" s="134">
        <v>0</v>
      </c>
      <c r="Z23" s="135">
        <v>4.1995799999999948</v>
      </c>
      <c r="AA23" s="135">
        <v>4.1995799999999948</v>
      </c>
      <c r="AB23" s="135">
        <v>4.1995799999999948</v>
      </c>
      <c r="AC23" s="135">
        <v>4.1995799999999948</v>
      </c>
      <c r="AD23" s="136">
        <v>0</v>
      </c>
      <c r="AE23" s="134"/>
      <c r="AF23" s="135">
        <v>8.3991599999999895</v>
      </c>
      <c r="AG23" s="135">
        <v>8.3991599999999895</v>
      </c>
      <c r="AH23" s="135">
        <v>8.3991599999999895</v>
      </c>
      <c r="AI23" s="135">
        <v>8.3991599999999895</v>
      </c>
      <c r="AJ23" s="136">
        <v>0</v>
      </c>
      <c r="AK23" s="134">
        <v>0</v>
      </c>
      <c r="AL23" s="135">
        <v>8.3991599999999895</v>
      </c>
      <c r="AM23" s="135">
        <v>8.3991599999999895</v>
      </c>
      <c r="AN23" s="135">
        <v>8.3991599999999895</v>
      </c>
      <c r="AO23" s="135">
        <v>8.3991599999999895</v>
      </c>
      <c r="AP23" s="136">
        <v>0</v>
      </c>
      <c r="AQ23" s="137">
        <f t="shared" si="14"/>
        <v>83.991599999999906</v>
      </c>
      <c r="AR23" s="134">
        <v>0</v>
      </c>
      <c r="AS23" s="135">
        <v>4.4995499999999948</v>
      </c>
      <c r="AT23" s="135">
        <v>4.4995499999999948</v>
      </c>
      <c r="AU23" s="135">
        <v>4.4995499999999948</v>
      </c>
      <c r="AV23" s="135">
        <v>4.4995499999999948</v>
      </c>
      <c r="AW23" s="136">
        <v>0</v>
      </c>
      <c r="AX23" s="134">
        <v>0</v>
      </c>
      <c r="AY23" s="135">
        <v>13.498649999999984</v>
      </c>
      <c r="AZ23" s="135">
        <v>13.498649999999984</v>
      </c>
      <c r="BA23" s="135">
        <v>13.498649999999984</v>
      </c>
      <c r="BB23" s="135">
        <v>13.498649999999984</v>
      </c>
      <c r="BC23" s="136">
        <v>0</v>
      </c>
      <c r="BD23" s="137">
        <f t="shared" ref="BD23:BD29" si="16">SUM(AR23:BC23)</f>
        <v>71.992799999999917</v>
      </c>
      <c r="BE23" s="134">
        <v>0</v>
      </c>
      <c r="BF23" s="135">
        <v>1.1998799999999987</v>
      </c>
      <c r="BG23" s="135">
        <v>1.1998799999999987</v>
      </c>
      <c r="BH23" s="135">
        <v>1.1998799999999987</v>
      </c>
      <c r="BI23" s="135">
        <v>1.1998799999999987</v>
      </c>
      <c r="BJ23" s="135">
        <v>0</v>
      </c>
      <c r="BK23" s="134">
        <v>0</v>
      </c>
      <c r="BL23" s="135">
        <v>0.29996999999999968</v>
      </c>
      <c r="BM23" s="135">
        <v>0.29996999999999968</v>
      </c>
      <c r="BN23" s="135">
        <v>0.29996999999999968</v>
      </c>
      <c r="BO23" s="135">
        <v>0.29996999999999968</v>
      </c>
      <c r="BP23" s="136">
        <v>0</v>
      </c>
      <c r="BQ23" s="134">
        <v>0</v>
      </c>
      <c r="BR23" s="135">
        <v>4.4995499999999948</v>
      </c>
      <c r="BS23" s="135">
        <v>4.4995499999999948</v>
      </c>
      <c r="BT23" s="135">
        <v>4.4995499999999948</v>
      </c>
      <c r="BU23" s="135">
        <v>4.4995499999999948</v>
      </c>
      <c r="BV23" s="136">
        <v>0</v>
      </c>
      <c r="BW23" s="150">
        <f t="shared" si="11"/>
        <v>23.997599999999977</v>
      </c>
      <c r="BX23" s="137">
        <f t="shared" si="15"/>
        <v>239.97599999999971</v>
      </c>
    </row>
    <row r="24" spans="1:82" x14ac:dyDescent="0.3">
      <c r="A24" s="24" t="s">
        <v>511</v>
      </c>
      <c r="B24" s="62" t="s">
        <v>483</v>
      </c>
      <c r="C24" s="155" t="s">
        <v>366</v>
      </c>
      <c r="D24" s="151">
        <v>62.421972534332092</v>
      </c>
      <c r="E24" s="24"/>
      <c r="F24" s="134">
        <v>20.999999999999996</v>
      </c>
      <c r="G24" s="135">
        <v>41.999999999999993</v>
      </c>
      <c r="H24" s="135">
        <v>42.016153846153834</v>
      </c>
      <c r="I24" s="135">
        <v>42.047864150943383</v>
      </c>
      <c r="J24" s="135">
        <v>42.09458399999999</v>
      </c>
      <c r="K24" s="136">
        <v>42.155812485818174</v>
      </c>
      <c r="L24" s="134">
        <v>6</v>
      </c>
      <c r="M24" s="135">
        <v>12</v>
      </c>
      <c r="N24" s="135">
        <v>12.004615384615384</v>
      </c>
      <c r="O24" s="135">
        <v>12.013675471698111</v>
      </c>
      <c r="P24" s="135">
        <v>12.027023999999999</v>
      </c>
      <c r="Q24" s="136">
        <v>12.044517853090909</v>
      </c>
      <c r="R24" s="134">
        <v>3</v>
      </c>
      <c r="S24" s="135">
        <v>6</v>
      </c>
      <c r="T24" s="135">
        <v>6.0023076923076921</v>
      </c>
      <c r="U24" s="135">
        <v>6.0068377358490554</v>
      </c>
      <c r="V24" s="135">
        <v>6.0135119999999995</v>
      </c>
      <c r="W24" s="136">
        <v>6.0222589265454545</v>
      </c>
      <c r="X24" s="137">
        <f t="shared" si="13"/>
        <v>330.4491635470219</v>
      </c>
      <c r="Y24" s="134">
        <v>16.799999999999997</v>
      </c>
      <c r="Z24" s="135">
        <v>16.799999999999997</v>
      </c>
      <c r="AA24" s="135">
        <v>16.806461538461534</v>
      </c>
      <c r="AB24" s="135">
        <v>16.819145660377355</v>
      </c>
      <c r="AC24" s="135">
        <v>16.837833599999996</v>
      </c>
      <c r="AD24" s="136">
        <v>16.86232499432727</v>
      </c>
      <c r="AE24" s="134"/>
      <c r="AF24" s="135">
        <v>33.599999999999994</v>
      </c>
      <c r="AG24" s="135">
        <v>33.612923076923067</v>
      </c>
      <c r="AH24" s="135">
        <v>33.638291320754711</v>
      </c>
      <c r="AI24" s="135">
        <v>33.675667199999992</v>
      </c>
      <c r="AJ24" s="136">
        <v>33.724649988654541</v>
      </c>
      <c r="AK24" s="134">
        <v>25.199999999999996</v>
      </c>
      <c r="AL24" s="135">
        <v>33.599999999999994</v>
      </c>
      <c r="AM24" s="135">
        <v>33.612923076923067</v>
      </c>
      <c r="AN24" s="135">
        <v>33.638291320754711</v>
      </c>
      <c r="AO24" s="135">
        <v>33.675667199999992</v>
      </c>
      <c r="AP24" s="136">
        <v>33.724649988654541</v>
      </c>
      <c r="AQ24" s="137">
        <f t="shared" si="14"/>
        <v>462.62882896583079</v>
      </c>
      <c r="AR24" s="134">
        <v>8.9999999999999982</v>
      </c>
      <c r="AS24" s="135">
        <v>17.999999999999996</v>
      </c>
      <c r="AT24" s="135">
        <v>18.006923076923073</v>
      </c>
      <c r="AU24" s="135">
        <v>18.020513207547165</v>
      </c>
      <c r="AV24" s="135">
        <v>18.040535999999996</v>
      </c>
      <c r="AW24" s="136">
        <v>18.06677677963636</v>
      </c>
      <c r="AX24" s="134">
        <v>26.999999999999993</v>
      </c>
      <c r="AY24" s="135">
        <v>53.999999999999986</v>
      </c>
      <c r="AZ24" s="135">
        <v>54.020769230769218</v>
      </c>
      <c r="BA24" s="135">
        <v>54.06153962264149</v>
      </c>
      <c r="BB24" s="135">
        <v>54.121607999999988</v>
      </c>
      <c r="BC24" s="136">
        <v>54.200330338909083</v>
      </c>
      <c r="BD24" s="137">
        <f t="shared" si="16"/>
        <v>396.53899625642634</v>
      </c>
      <c r="BE24" s="134">
        <v>2.4000000000000004</v>
      </c>
      <c r="BF24" s="135">
        <v>4.8000000000000007</v>
      </c>
      <c r="BG24" s="135">
        <v>4.8018461538461539</v>
      </c>
      <c r="BH24" s="135">
        <v>4.8054701886792444</v>
      </c>
      <c r="BI24" s="135">
        <v>4.8108095999999998</v>
      </c>
      <c r="BJ24" s="135">
        <v>4.8178071412363641</v>
      </c>
      <c r="BK24" s="134">
        <v>0.60000000000000009</v>
      </c>
      <c r="BL24" s="135">
        <v>1.2000000000000002</v>
      </c>
      <c r="BM24" s="135">
        <v>1.2004615384615385</v>
      </c>
      <c r="BN24" s="135">
        <v>1.2013675471698111</v>
      </c>
      <c r="BO24" s="135">
        <v>1.2027023999999999</v>
      </c>
      <c r="BP24" s="136">
        <v>1.204451785309091</v>
      </c>
      <c r="BQ24" s="134">
        <v>9</v>
      </c>
      <c r="BR24" s="135">
        <v>18</v>
      </c>
      <c r="BS24" s="135">
        <v>18.006923076923076</v>
      </c>
      <c r="BT24" s="135">
        <v>18.020513207547168</v>
      </c>
      <c r="BU24" s="135">
        <v>18.040535999999999</v>
      </c>
      <c r="BV24" s="136">
        <v>18.066776779636363</v>
      </c>
      <c r="BW24" s="150">
        <f t="shared" si="11"/>
        <v>132.17966541880881</v>
      </c>
      <c r="BX24" s="137">
        <f t="shared" si="15"/>
        <v>1321.7966541880878</v>
      </c>
    </row>
    <row r="25" spans="1:82" x14ac:dyDescent="0.3">
      <c r="A25" s="24" t="s">
        <v>512</v>
      </c>
      <c r="B25" s="62" t="s">
        <v>483</v>
      </c>
      <c r="C25" s="155" t="s">
        <v>366</v>
      </c>
      <c r="D25" s="133">
        <v>49.937578027465662</v>
      </c>
      <c r="E25" s="24"/>
      <c r="F25" s="134">
        <v>6.93</v>
      </c>
      <c r="G25" s="135">
        <v>13.860000000000001</v>
      </c>
      <c r="H25" s="135">
        <v>13.865330769230768</v>
      </c>
      <c r="I25" s="135">
        <v>13.875795169811321</v>
      </c>
      <c r="J25" s="135">
        <v>13.891212720000004</v>
      </c>
      <c r="K25" s="136">
        <v>6.9557090601599993</v>
      </c>
      <c r="L25" s="134">
        <v>1.9800000000000004</v>
      </c>
      <c r="M25" s="135">
        <v>3.9600000000000009</v>
      </c>
      <c r="N25" s="135">
        <v>3.9615230769230774</v>
      </c>
      <c r="O25" s="135">
        <v>3.9645129056603778</v>
      </c>
      <c r="P25" s="135">
        <v>3.9689179200000013</v>
      </c>
      <c r="Q25" s="136">
        <v>1.9873454457600002</v>
      </c>
      <c r="R25" s="134">
        <v>0.99000000000000021</v>
      </c>
      <c r="S25" s="135">
        <v>1.9800000000000004</v>
      </c>
      <c r="T25" s="135">
        <v>1.9807615384615387</v>
      </c>
      <c r="U25" s="135">
        <v>1.9822564528301889</v>
      </c>
      <c r="V25" s="135">
        <v>1.9844589600000007</v>
      </c>
      <c r="W25" s="136">
        <v>0.99367272288000008</v>
      </c>
      <c r="X25" s="137">
        <f t="shared" si="13"/>
        <v>99.111496741717261</v>
      </c>
      <c r="Y25" s="134">
        <v>5.5440000000000005</v>
      </c>
      <c r="Z25" s="135">
        <v>5.5440000000000005</v>
      </c>
      <c r="AA25" s="135">
        <v>5.5461323076923073</v>
      </c>
      <c r="AB25" s="135">
        <v>5.550318067924529</v>
      </c>
      <c r="AC25" s="135">
        <v>5.5564850880000014</v>
      </c>
      <c r="AD25" s="136">
        <v>2.7822836240639996</v>
      </c>
      <c r="AE25" s="134"/>
      <c r="AF25" s="135">
        <v>11.088000000000001</v>
      </c>
      <c r="AG25" s="135">
        <v>11.092264615384615</v>
      </c>
      <c r="AH25" s="135">
        <v>11.100636135849058</v>
      </c>
      <c r="AI25" s="135">
        <v>11.112970176000003</v>
      </c>
      <c r="AJ25" s="136">
        <v>5.5645672481279993</v>
      </c>
      <c r="AK25" s="134">
        <v>8.3160000000000007</v>
      </c>
      <c r="AL25" s="135">
        <v>11.088000000000001</v>
      </c>
      <c r="AM25" s="135">
        <v>11.092264615384615</v>
      </c>
      <c r="AN25" s="135">
        <v>11.100636135849058</v>
      </c>
      <c r="AO25" s="135">
        <v>11.112970176000003</v>
      </c>
      <c r="AP25" s="136">
        <v>5.5645672481279993</v>
      </c>
      <c r="AQ25" s="137">
        <f t="shared" si="14"/>
        <v>138.75609543840415</v>
      </c>
      <c r="AR25" s="134">
        <v>2.97</v>
      </c>
      <c r="AS25" s="135">
        <v>5.9400000000000013</v>
      </c>
      <c r="AT25" s="135">
        <v>5.9422846153846152</v>
      </c>
      <c r="AU25" s="135">
        <v>5.9467693584905668</v>
      </c>
      <c r="AV25" s="135">
        <v>5.9533768800000013</v>
      </c>
      <c r="AW25" s="136">
        <v>2.9810181686399999</v>
      </c>
      <c r="AX25" s="134">
        <v>8.91</v>
      </c>
      <c r="AY25" s="135">
        <v>17.820000000000004</v>
      </c>
      <c r="AZ25" s="135">
        <v>17.826853846153845</v>
      </c>
      <c r="BA25" s="135">
        <v>17.8403080754717</v>
      </c>
      <c r="BB25" s="135">
        <v>17.860130640000005</v>
      </c>
      <c r="BC25" s="136">
        <v>8.9430545059199993</v>
      </c>
      <c r="BD25" s="137">
        <f t="shared" si="16"/>
        <v>118.93379609006075</v>
      </c>
      <c r="BE25" s="134">
        <v>0.79200000000000026</v>
      </c>
      <c r="BF25" s="135">
        <v>1.5840000000000005</v>
      </c>
      <c r="BG25" s="135">
        <v>1.584609230769231</v>
      </c>
      <c r="BH25" s="135">
        <v>1.5858051622641511</v>
      </c>
      <c r="BI25" s="135">
        <v>1.5875671680000005</v>
      </c>
      <c r="BJ25" s="135">
        <v>0.79493817830400015</v>
      </c>
      <c r="BK25" s="134">
        <v>0.19800000000000006</v>
      </c>
      <c r="BL25" s="135">
        <v>0.39600000000000013</v>
      </c>
      <c r="BM25" s="135">
        <v>0.39615230769230775</v>
      </c>
      <c r="BN25" s="135">
        <v>0.39645129056603778</v>
      </c>
      <c r="BO25" s="135">
        <v>0.39689179200000013</v>
      </c>
      <c r="BP25" s="136">
        <v>0.19873454457600004</v>
      </c>
      <c r="BQ25" s="134">
        <v>2.9700000000000006</v>
      </c>
      <c r="BR25" s="135">
        <v>5.9400000000000013</v>
      </c>
      <c r="BS25" s="135">
        <v>5.9422846153846161</v>
      </c>
      <c r="BT25" s="135">
        <v>5.9467693584905668</v>
      </c>
      <c r="BU25" s="135">
        <v>5.9533768800000031</v>
      </c>
      <c r="BV25" s="136">
        <v>2.9810181686400004</v>
      </c>
      <c r="BW25" s="150">
        <f t="shared" si="11"/>
        <v>39.644598696686913</v>
      </c>
      <c r="BX25" s="137">
        <f t="shared" si="15"/>
        <v>396.44598696686904</v>
      </c>
    </row>
    <row r="26" spans="1:82" x14ac:dyDescent="0.3">
      <c r="A26" s="24" t="s">
        <v>513</v>
      </c>
      <c r="B26" s="62" t="s">
        <v>483</v>
      </c>
      <c r="C26" s="155" t="s">
        <v>366</v>
      </c>
      <c r="D26" s="133">
        <v>37.20394150169431</v>
      </c>
      <c r="E26" s="24"/>
      <c r="F26" s="134">
        <v>6.93</v>
      </c>
      <c r="G26" s="135">
        <v>13.86</v>
      </c>
      <c r="H26" s="135">
        <v>13.86533076923077</v>
      </c>
      <c r="I26" s="135">
        <v>13.875795169811319</v>
      </c>
      <c r="J26" s="135">
        <v>13.891212719999999</v>
      </c>
      <c r="K26" s="136">
        <v>6.9557090601599993</v>
      </c>
      <c r="L26" s="134">
        <v>1.9800000000000002</v>
      </c>
      <c r="M26" s="135">
        <v>3.9600000000000004</v>
      </c>
      <c r="N26" s="135">
        <v>3.9615230769230778</v>
      </c>
      <c r="O26" s="135">
        <v>3.9645129056603774</v>
      </c>
      <c r="P26" s="135">
        <v>3.9689179200000004</v>
      </c>
      <c r="Q26" s="136">
        <v>1.9873454457599999</v>
      </c>
      <c r="R26" s="134">
        <v>0.9900000000000001</v>
      </c>
      <c r="S26" s="135">
        <v>1.9800000000000002</v>
      </c>
      <c r="T26" s="135">
        <v>1.9807615384615389</v>
      </c>
      <c r="U26" s="135">
        <v>1.9822564528301887</v>
      </c>
      <c r="V26" s="135">
        <v>1.9844589600000002</v>
      </c>
      <c r="W26" s="136">
        <v>0.99367272287999997</v>
      </c>
      <c r="X26" s="137">
        <f t="shared" si="13"/>
        <v>99.111496741717247</v>
      </c>
      <c r="Y26" s="134">
        <v>5.5440000000000005</v>
      </c>
      <c r="Z26" s="135">
        <v>5.5440000000000005</v>
      </c>
      <c r="AA26" s="135">
        <v>5.5461323076923081</v>
      </c>
      <c r="AB26" s="135">
        <v>5.5503180679245281</v>
      </c>
      <c r="AC26" s="135">
        <v>5.5564850879999996</v>
      </c>
      <c r="AD26" s="136">
        <v>2.7822836240639996</v>
      </c>
      <c r="AE26" s="134"/>
      <c r="AF26" s="135">
        <v>11.088000000000001</v>
      </c>
      <c r="AG26" s="135">
        <v>11.092264615384616</v>
      </c>
      <c r="AH26" s="135">
        <v>11.100636135849056</v>
      </c>
      <c r="AI26" s="135">
        <v>11.112970175999999</v>
      </c>
      <c r="AJ26" s="136">
        <v>5.5645672481279993</v>
      </c>
      <c r="AK26" s="134">
        <v>8.3160000000000007</v>
      </c>
      <c r="AL26" s="135">
        <v>11.088000000000001</v>
      </c>
      <c r="AM26" s="135">
        <v>11.092264615384616</v>
      </c>
      <c r="AN26" s="135">
        <v>11.100636135849056</v>
      </c>
      <c r="AO26" s="135">
        <v>11.112970175999999</v>
      </c>
      <c r="AP26" s="136">
        <v>5.5645672481279993</v>
      </c>
      <c r="AQ26" s="137">
        <f t="shared" si="14"/>
        <v>138.75609543840417</v>
      </c>
      <c r="AR26" s="134">
        <v>2.97</v>
      </c>
      <c r="AS26" s="135">
        <v>5.94</v>
      </c>
      <c r="AT26" s="135">
        <v>5.9422846153846161</v>
      </c>
      <c r="AU26" s="135">
        <v>5.946769358490565</v>
      </c>
      <c r="AV26" s="135">
        <v>5.9533768799999995</v>
      </c>
      <c r="AW26" s="136">
        <v>2.9810181686399999</v>
      </c>
      <c r="AX26" s="134">
        <v>8.9100000000000019</v>
      </c>
      <c r="AY26" s="135">
        <v>17.820000000000004</v>
      </c>
      <c r="AZ26" s="135">
        <v>17.826853846153849</v>
      </c>
      <c r="BA26" s="135">
        <v>17.840308075471697</v>
      </c>
      <c r="BB26" s="135">
        <v>17.860130640000001</v>
      </c>
      <c r="BC26" s="136">
        <v>8.9430545059199993</v>
      </c>
      <c r="BD26" s="137">
        <f t="shared" si="16"/>
        <v>118.93379609006075</v>
      </c>
      <c r="BE26" s="134">
        <v>0.79200000000000015</v>
      </c>
      <c r="BF26" s="135">
        <v>1.5840000000000003</v>
      </c>
      <c r="BG26" s="135">
        <v>1.5846092307692312</v>
      </c>
      <c r="BH26" s="135">
        <v>1.5858051622641511</v>
      </c>
      <c r="BI26" s="135">
        <v>1.5875671680000003</v>
      </c>
      <c r="BJ26" s="135">
        <v>0.79493817830400004</v>
      </c>
      <c r="BK26" s="134">
        <v>0.19800000000000004</v>
      </c>
      <c r="BL26" s="135">
        <v>0.39600000000000007</v>
      </c>
      <c r="BM26" s="135">
        <v>0.3961523076923078</v>
      </c>
      <c r="BN26" s="135">
        <v>0.39645129056603778</v>
      </c>
      <c r="BO26" s="135">
        <v>0.39689179200000008</v>
      </c>
      <c r="BP26" s="136">
        <v>0.19873454457600001</v>
      </c>
      <c r="BQ26" s="134">
        <v>2.97</v>
      </c>
      <c r="BR26" s="135">
        <v>5.94</v>
      </c>
      <c r="BS26" s="135">
        <v>5.9422846153846169</v>
      </c>
      <c r="BT26" s="135">
        <v>5.9467693584905668</v>
      </c>
      <c r="BU26" s="135">
        <v>5.9533768800000004</v>
      </c>
      <c r="BV26" s="136">
        <v>2.9810181686400004</v>
      </c>
      <c r="BW26" s="150">
        <f t="shared" si="11"/>
        <v>39.64459869668692</v>
      </c>
      <c r="BX26" s="137">
        <f t="shared" si="15"/>
        <v>396.4459869668691</v>
      </c>
    </row>
    <row r="27" spans="1:82" x14ac:dyDescent="0.3">
      <c r="A27" s="24" t="s">
        <v>488</v>
      </c>
      <c r="B27" s="62" t="s">
        <v>483</v>
      </c>
      <c r="C27" s="155" t="s">
        <v>366</v>
      </c>
      <c r="D27" s="151">
        <v>192.50490458355625</v>
      </c>
      <c r="E27" s="24"/>
      <c r="F27" s="134">
        <v>3.4996499999999999</v>
      </c>
      <c r="G27" s="135">
        <v>13.99986</v>
      </c>
      <c r="H27" s="135">
        <v>14.005244561538465</v>
      </c>
      <c r="I27" s="135">
        <v>14.015814557433963</v>
      </c>
      <c r="J27" s="135">
        <v>14.031513968471996</v>
      </c>
      <c r="K27" s="136">
        <v>7.0259680450394884</v>
      </c>
      <c r="L27" s="134">
        <v>0.99990000000000012</v>
      </c>
      <c r="M27" s="135">
        <v>3.9999600000000002</v>
      </c>
      <c r="N27" s="135">
        <v>4.0014984461538479</v>
      </c>
      <c r="O27" s="135">
        <v>4.0045184449811329</v>
      </c>
      <c r="P27" s="135">
        <v>4.0090039909919994</v>
      </c>
      <c r="Q27" s="136">
        <v>2.0074194414398541</v>
      </c>
      <c r="R27" s="134">
        <v>0.49995000000000006</v>
      </c>
      <c r="S27" s="135">
        <v>1.9999800000000001</v>
      </c>
      <c r="T27" s="135">
        <v>2.0007492230769239</v>
      </c>
      <c r="U27" s="135">
        <v>2.0022592224905664</v>
      </c>
      <c r="V27" s="135">
        <v>2.0045019954959997</v>
      </c>
      <c r="W27" s="136">
        <v>1.003709720719927</v>
      </c>
      <c r="X27" s="137">
        <f t="shared" si="13"/>
        <v>95.111501617834151</v>
      </c>
      <c r="Y27" s="134">
        <v>2.7997200000000002</v>
      </c>
      <c r="Z27" s="135">
        <v>5.5999440000000007</v>
      </c>
      <c r="AA27" s="135">
        <v>5.6020978246153863</v>
      </c>
      <c r="AB27" s="135">
        <v>5.6063258229735853</v>
      </c>
      <c r="AC27" s="135">
        <v>5.6126055873887992</v>
      </c>
      <c r="AD27" s="136">
        <v>2.8103872180157956</v>
      </c>
      <c r="AE27" s="134"/>
      <c r="AF27" s="135">
        <v>11.199888000000001</v>
      </c>
      <c r="AG27" s="135">
        <v>11.204195649230773</v>
      </c>
      <c r="AH27" s="135">
        <v>11.212651645947171</v>
      </c>
      <c r="AI27" s="135">
        <v>11.225211174777598</v>
      </c>
      <c r="AJ27" s="136">
        <v>5.6207744360315912</v>
      </c>
      <c r="AK27" s="134">
        <v>4.1995800000000001</v>
      </c>
      <c r="AL27" s="135">
        <v>11.199888000000001</v>
      </c>
      <c r="AM27" s="135">
        <v>11.204195649230773</v>
      </c>
      <c r="AN27" s="135">
        <v>11.212651645947171</v>
      </c>
      <c r="AO27" s="135">
        <v>11.225211174777598</v>
      </c>
      <c r="AP27" s="136">
        <v>5.6207744360315912</v>
      </c>
      <c r="AQ27" s="137">
        <f t="shared" si="14"/>
        <v>133.15610226496781</v>
      </c>
      <c r="AR27" s="134">
        <v>1.4998500000000001</v>
      </c>
      <c r="AS27" s="135">
        <v>5.9999399999999996</v>
      </c>
      <c r="AT27" s="135">
        <v>6.0022476692307709</v>
      </c>
      <c r="AU27" s="135">
        <v>6.0067776674716979</v>
      </c>
      <c r="AV27" s="135">
        <v>6.0135059864879992</v>
      </c>
      <c r="AW27" s="136">
        <v>3.0111291621597811</v>
      </c>
      <c r="AX27" s="134">
        <v>4.4995500000000002</v>
      </c>
      <c r="AY27" s="135">
        <v>17.99982</v>
      </c>
      <c r="AZ27" s="135">
        <v>18.006743007692315</v>
      </c>
      <c r="BA27" s="135">
        <v>18.020333002415093</v>
      </c>
      <c r="BB27" s="135">
        <v>18.040517959463997</v>
      </c>
      <c r="BC27" s="136">
        <v>9.0333874864793433</v>
      </c>
      <c r="BD27" s="137">
        <f t="shared" si="16"/>
        <v>114.13380194140099</v>
      </c>
      <c r="BE27" s="134">
        <v>0.39996000000000009</v>
      </c>
      <c r="BF27" s="135">
        <v>1.5999840000000001</v>
      </c>
      <c r="BG27" s="135">
        <v>1.6005993784615393</v>
      </c>
      <c r="BH27" s="135">
        <v>1.6018073779924533</v>
      </c>
      <c r="BI27" s="135">
        <v>1.6036015963967998</v>
      </c>
      <c r="BJ27" s="135">
        <v>0.80296777657594165</v>
      </c>
      <c r="BK27" s="134">
        <v>9.9990000000000023E-2</v>
      </c>
      <c r="BL27" s="135">
        <v>0.39999600000000002</v>
      </c>
      <c r="BM27" s="135">
        <v>0.40014984461538483</v>
      </c>
      <c r="BN27" s="135">
        <v>0.40045184449811333</v>
      </c>
      <c r="BO27" s="135">
        <v>0.40090039909919994</v>
      </c>
      <c r="BP27" s="136">
        <v>0.20074194414398541</v>
      </c>
      <c r="BQ27" s="134">
        <v>1.4998500000000001</v>
      </c>
      <c r="BR27" s="135">
        <v>5.9999400000000005</v>
      </c>
      <c r="BS27" s="135">
        <v>6.0022476692307718</v>
      </c>
      <c r="BT27" s="135">
        <v>6.0067776674716988</v>
      </c>
      <c r="BU27" s="135">
        <v>6.0135059864879992</v>
      </c>
      <c r="BV27" s="136">
        <v>3.0111291621597811</v>
      </c>
      <c r="BW27" s="150">
        <f t="shared" si="11"/>
        <v>38.04460064713367</v>
      </c>
      <c r="BX27" s="137">
        <f t="shared" si="15"/>
        <v>380.4460064713366</v>
      </c>
    </row>
    <row r="28" spans="1:82" x14ac:dyDescent="0.3">
      <c r="A28" s="24" t="s">
        <v>489</v>
      </c>
      <c r="B28" s="62" t="s">
        <v>483</v>
      </c>
      <c r="C28" s="155" t="s">
        <v>366</v>
      </c>
      <c r="D28" s="151">
        <v>278.99835027644019</v>
      </c>
      <c r="E28" s="24"/>
      <c r="F28" s="134">
        <v>11.624457308248912</v>
      </c>
      <c r="G28" s="135">
        <v>15.499276410998547</v>
      </c>
      <c r="H28" s="135">
        <v>15.505237671156626</v>
      </c>
      <c r="I28" s="135">
        <v>15.516939737323534</v>
      </c>
      <c r="J28" s="135">
        <v>15.534180781476117</v>
      </c>
      <c r="K28" s="136">
        <v>15.556775953521903</v>
      </c>
      <c r="L28" s="134">
        <v>3.3212735166425471</v>
      </c>
      <c r="M28" s="135">
        <v>4.4283646888567283</v>
      </c>
      <c r="N28" s="135">
        <v>4.4300679060447505</v>
      </c>
      <c r="O28" s="135">
        <v>4.4334113535210102</v>
      </c>
      <c r="P28" s="135">
        <v>4.4383373661360341</v>
      </c>
      <c r="Q28" s="136">
        <v>4.444793129577687</v>
      </c>
      <c r="R28" s="134">
        <v>1.6606367583212736</v>
      </c>
      <c r="S28" s="135">
        <v>2.2141823444283641</v>
      </c>
      <c r="T28" s="135">
        <v>2.2150339530223753</v>
      </c>
      <c r="U28" s="135">
        <v>2.2167056767605051</v>
      </c>
      <c r="V28" s="135">
        <v>2.2191686830680171</v>
      </c>
      <c r="W28" s="136">
        <v>2.2223965647888435</v>
      </c>
      <c r="X28" s="137">
        <f t="shared" si="13"/>
        <v>127.4812398038938</v>
      </c>
      <c r="Y28" s="134">
        <v>9.2995658465991298</v>
      </c>
      <c r="Z28" s="135">
        <v>6.1997105643994193</v>
      </c>
      <c r="AA28" s="135">
        <v>6.2020950684626506</v>
      </c>
      <c r="AB28" s="135">
        <v>6.2067758949294145</v>
      </c>
      <c r="AC28" s="135">
        <v>6.2136723125904467</v>
      </c>
      <c r="AD28" s="136">
        <v>6.2227103814087616</v>
      </c>
      <c r="AE28" s="134"/>
      <c r="AF28" s="135">
        <v>12.399421128798839</v>
      </c>
      <c r="AG28" s="135">
        <v>12.404190136925301</v>
      </c>
      <c r="AH28" s="135">
        <v>12.413551789858829</v>
      </c>
      <c r="AI28" s="135">
        <v>12.427344625180893</v>
      </c>
      <c r="AJ28" s="136">
        <v>12.445420762817523</v>
      </c>
      <c r="AK28" s="134">
        <v>13.949348769898695</v>
      </c>
      <c r="AL28" s="135">
        <v>12.399421128798839</v>
      </c>
      <c r="AM28" s="135">
        <v>12.404190136925301</v>
      </c>
      <c r="AN28" s="135">
        <v>12.413551789858829</v>
      </c>
      <c r="AO28" s="135">
        <v>12.427344625180893</v>
      </c>
      <c r="AP28" s="136">
        <v>12.445420762817523</v>
      </c>
      <c r="AQ28" s="137">
        <f t="shared" si="14"/>
        <v>178.47373572545132</v>
      </c>
      <c r="AR28" s="134">
        <v>4.9819102749638198</v>
      </c>
      <c r="AS28" s="135">
        <v>6.6425470332850924</v>
      </c>
      <c r="AT28" s="135">
        <v>6.6451018590671262</v>
      </c>
      <c r="AU28" s="135">
        <v>6.6501170302815149</v>
      </c>
      <c r="AV28" s="135">
        <v>6.6575060492040503</v>
      </c>
      <c r="AW28" s="136">
        <v>6.6671896943665301</v>
      </c>
      <c r="AX28" s="134">
        <v>14.945730824891459</v>
      </c>
      <c r="AY28" s="135">
        <v>19.927641099855279</v>
      </c>
      <c r="AZ28" s="135">
        <v>19.93530557720138</v>
      </c>
      <c r="BA28" s="135">
        <v>19.950351090844546</v>
      </c>
      <c r="BB28" s="135">
        <v>19.972518147612149</v>
      </c>
      <c r="BC28" s="136">
        <v>20.001569083099589</v>
      </c>
      <c r="BD28" s="137">
        <f t="shared" si="16"/>
        <v>152.97748776467253</v>
      </c>
      <c r="BE28" s="134">
        <v>1.3285094066570189</v>
      </c>
      <c r="BF28" s="135">
        <v>1.7713458755426914</v>
      </c>
      <c r="BG28" s="135">
        <v>1.7720271624179003</v>
      </c>
      <c r="BH28" s="135">
        <v>1.7733645414084043</v>
      </c>
      <c r="BI28" s="135">
        <v>1.7753349464544137</v>
      </c>
      <c r="BJ28" s="135">
        <v>1.7779172518310749</v>
      </c>
      <c r="BK28" s="134">
        <v>0.33212735166425472</v>
      </c>
      <c r="BL28" s="135">
        <v>0.44283646888567285</v>
      </c>
      <c r="BM28" s="135">
        <v>0.44300679060447506</v>
      </c>
      <c r="BN28" s="135">
        <v>0.44334113535210107</v>
      </c>
      <c r="BO28" s="135">
        <v>0.44383373661360342</v>
      </c>
      <c r="BP28" s="136">
        <v>0.44447931295776871</v>
      </c>
      <c r="BQ28" s="134">
        <v>4.9819102749638207</v>
      </c>
      <c r="BR28" s="135">
        <v>6.6425470332850924</v>
      </c>
      <c r="BS28" s="135">
        <v>6.6451018590671254</v>
      </c>
      <c r="BT28" s="135">
        <v>6.6501170302815158</v>
      </c>
      <c r="BU28" s="135">
        <v>6.6575060492040512</v>
      </c>
      <c r="BV28" s="136">
        <v>6.667189694366531</v>
      </c>
      <c r="BW28" s="150">
        <f t="shared" si="11"/>
        <v>50.99249592155752</v>
      </c>
      <c r="BX28" s="137">
        <f t="shared" si="15"/>
        <v>509.9249592155752</v>
      </c>
    </row>
    <row r="29" spans="1:82" x14ac:dyDescent="0.3">
      <c r="A29" s="24" t="s">
        <v>514</v>
      </c>
      <c r="B29" s="62" t="s">
        <v>483</v>
      </c>
      <c r="C29" s="155" t="s">
        <v>366</v>
      </c>
      <c r="D29" s="151">
        <v>468.16479400749063</v>
      </c>
      <c r="E29" s="24"/>
      <c r="F29" s="134">
        <v>10.000000000000005</v>
      </c>
      <c r="G29" s="135">
        <v>5.0000000000000036</v>
      </c>
      <c r="H29" s="135">
        <v>5.00192307692308</v>
      </c>
      <c r="I29" s="135">
        <v>5.0056981132075498</v>
      </c>
      <c r="J29" s="135">
        <v>5.0112600000000036</v>
      </c>
      <c r="K29" s="136">
        <v>5.0185491054545501</v>
      </c>
      <c r="L29" s="134">
        <v>2.8571428571428594</v>
      </c>
      <c r="M29" s="135">
        <v>1.4285714285714297</v>
      </c>
      <c r="N29" s="135">
        <v>1.4291208791208803</v>
      </c>
      <c r="O29" s="135">
        <v>1.430199460916443</v>
      </c>
      <c r="P29" s="135">
        <v>1.4317885714285725</v>
      </c>
      <c r="Q29" s="136">
        <v>1.4338711729870144</v>
      </c>
      <c r="R29" s="134">
        <v>1.4285714285714297</v>
      </c>
      <c r="S29" s="135">
        <v>0.71428571428571486</v>
      </c>
      <c r="T29" s="135">
        <v>0.71456043956044013</v>
      </c>
      <c r="U29" s="135">
        <v>0.71509973045822151</v>
      </c>
      <c r="V29" s="135">
        <v>0.71589428571428626</v>
      </c>
      <c r="W29" s="136">
        <v>0.71693558649350719</v>
      </c>
      <c r="X29" s="137">
        <f t="shared" si="13"/>
        <v>50.05347185083599</v>
      </c>
      <c r="Y29" s="134">
        <v>8.0000000000000071</v>
      </c>
      <c r="Z29" s="135">
        <v>2.0000000000000013</v>
      </c>
      <c r="AA29" s="135">
        <v>2.0007692307692322</v>
      </c>
      <c r="AB29" s="135">
        <v>2.0022792452830198</v>
      </c>
      <c r="AC29" s="135">
        <v>2.0045040000000016</v>
      </c>
      <c r="AD29" s="136">
        <v>2.0074196421818202</v>
      </c>
      <c r="AE29" s="134"/>
      <c r="AF29" s="135">
        <v>4.0000000000000027</v>
      </c>
      <c r="AG29" s="135">
        <v>4.0015384615384644</v>
      </c>
      <c r="AH29" s="135">
        <v>4.0045584905660396</v>
      </c>
      <c r="AI29" s="135">
        <v>4.0090080000000032</v>
      </c>
      <c r="AJ29" s="136">
        <v>4.0148392843636405</v>
      </c>
      <c r="AK29" s="134">
        <v>12.000000000000011</v>
      </c>
      <c r="AL29" s="135">
        <v>4.0000000000000027</v>
      </c>
      <c r="AM29" s="135">
        <v>4.0015384615384644</v>
      </c>
      <c r="AN29" s="135">
        <v>4.0045584905660396</v>
      </c>
      <c r="AO29" s="135">
        <v>4.0090080000000032</v>
      </c>
      <c r="AP29" s="136">
        <v>4.0148392843636405</v>
      </c>
      <c r="AQ29" s="137">
        <f t="shared" si="14"/>
        <v>70.074860591170392</v>
      </c>
      <c r="AR29" s="134">
        <v>4.2857142857142883</v>
      </c>
      <c r="AS29" s="135">
        <v>2.1428571428571446</v>
      </c>
      <c r="AT29" s="135">
        <v>2.1436813186813199</v>
      </c>
      <c r="AU29" s="135">
        <v>2.1452991913746642</v>
      </c>
      <c r="AV29" s="135">
        <v>2.1476828571428586</v>
      </c>
      <c r="AW29" s="136">
        <v>2.1508067594805214</v>
      </c>
      <c r="AX29" s="134">
        <v>12.857142857142865</v>
      </c>
      <c r="AY29" s="135">
        <v>6.4285714285714342</v>
      </c>
      <c r="AZ29" s="135">
        <v>6.4310439560439594</v>
      </c>
      <c r="BA29" s="135">
        <v>6.4358975741239925</v>
      </c>
      <c r="BB29" s="135">
        <v>6.4430485714285757</v>
      </c>
      <c r="BC29" s="136">
        <v>6.4524202784415641</v>
      </c>
      <c r="BD29" s="137">
        <f t="shared" si="16"/>
        <v>60.064166221003184</v>
      </c>
      <c r="BE29" s="134">
        <v>1.1428571428571439</v>
      </c>
      <c r="BF29" s="135">
        <v>0.57142857142857195</v>
      </c>
      <c r="BG29" s="135">
        <v>0.57164835164835215</v>
      </c>
      <c r="BH29" s="135">
        <v>0.57207978436657725</v>
      </c>
      <c r="BI29" s="135">
        <v>0.57271542857142899</v>
      </c>
      <c r="BJ29" s="135">
        <v>0.57354846919480573</v>
      </c>
      <c r="BK29" s="134">
        <v>0.28571428571428598</v>
      </c>
      <c r="BL29" s="135">
        <v>0.14285714285714299</v>
      </c>
      <c r="BM29" s="135">
        <v>0.14291208791208804</v>
      </c>
      <c r="BN29" s="135">
        <v>0.14301994609164431</v>
      </c>
      <c r="BO29" s="135">
        <v>0.14317885714285725</v>
      </c>
      <c r="BP29" s="136">
        <v>0.14338711729870143</v>
      </c>
      <c r="BQ29" s="134">
        <v>4.2857142857142891</v>
      </c>
      <c r="BR29" s="135">
        <v>2.1428571428571446</v>
      </c>
      <c r="BS29" s="135">
        <v>2.1436813186813204</v>
      </c>
      <c r="BT29" s="135">
        <v>2.1452991913746646</v>
      </c>
      <c r="BU29" s="135">
        <v>2.1476828571428586</v>
      </c>
      <c r="BV29" s="136">
        <v>2.1508067594805214</v>
      </c>
      <c r="BW29" s="150">
        <f t="shared" si="11"/>
        <v>20.021388740334398</v>
      </c>
      <c r="BX29" s="137">
        <f t="shared" si="15"/>
        <v>200.21388740334396</v>
      </c>
    </row>
    <row r="30" spans="1:82" x14ac:dyDescent="0.3">
      <c r="A30" s="143" t="s">
        <v>491</v>
      </c>
      <c r="B30" s="143"/>
      <c r="C30" s="253"/>
      <c r="D30" s="12"/>
      <c r="E30" s="152"/>
      <c r="F30" s="146">
        <f t="shared" ref="F30:AK30" si="17">SUM(F20:F29)</f>
        <v>59.984107308248923</v>
      </c>
      <c r="G30" s="147">
        <f t="shared" si="17"/>
        <v>209.21808641099847</v>
      </c>
      <c r="H30" s="147">
        <f t="shared" si="17"/>
        <v>209.25817069423343</v>
      </c>
      <c r="I30" s="147">
        <f t="shared" si="17"/>
        <v>209.33685689853093</v>
      </c>
      <c r="J30" s="147">
        <f t="shared" si="17"/>
        <v>188.45291418994799</v>
      </c>
      <c r="K30" s="148">
        <f t="shared" si="17"/>
        <v>83.668523710154119</v>
      </c>
      <c r="L30" s="147">
        <f t="shared" si="17"/>
        <v>17.138316373785408</v>
      </c>
      <c r="M30" s="147">
        <f t="shared" si="17"/>
        <v>59.776596117428127</v>
      </c>
      <c r="N30" s="147">
        <f t="shared" si="17"/>
        <v>59.788048769780985</v>
      </c>
      <c r="O30" s="147">
        <f t="shared" si="17"/>
        <v>59.810530542437412</v>
      </c>
      <c r="P30" s="147">
        <f t="shared" si="17"/>
        <v>53.84368976855658</v>
      </c>
      <c r="Q30" s="148">
        <f t="shared" si="17"/>
        <v>23.905292488615466</v>
      </c>
      <c r="R30" s="146">
        <f t="shared" si="17"/>
        <v>8.5691581868927038</v>
      </c>
      <c r="S30" s="147">
        <f t="shared" si="17"/>
        <v>29.888298058714064</v>
      </c>
      <c r="T30" s="147">
        <f t="shared" si="17"/>
        <v>29.894024384890493</v>
      </c>
      <c r="U30" s="147">
        <f t="shared" si="17"/>
        <v>29.905265271218706</v>
      </c>
      <c r="V30" s="147">
        <f t="shared" si="17"/>
        <v>26.92184488427829</v>
      </c>
      <c r="W30" s="148">
        <f t="shared" si="17"/>
        <v>11.952646244307733</v>
      </c>
      <c r="X30" s="149">
        <f t="shared" si="17"/>
        <v>1371.3123703030201</v>
      </c>
      <c r="Y30" s="146">
        <f t="shared" si="17"/>
        <v>47.987285846599136</v>
      </c>
      <c r="Z30" s="147">
        <f t="shared" si="17"/>
        <v>83.687234564399375</v>
      </c>
      <c r="AA30" s="147">
        <f t="shared" si="17"/>
        <v>83.703268277693368</v>
      </c>
      <c r="AB30" s="147">
        <f t="shared" si="17"/>
        <v>83.734742759412384</v>
      </c>
      <c r="AC30" s="147">
        <f t="shared" si="17"/>
        <v>75.381165675979204</v>
      </c>
      <c r="AD30" s="148">
        <f t="shared" si="17"/>
        <v>33.467409484061648</v>
      </c>
      <c r="AE30" s="146">
        <f t="shared" si="17"/>
        <v>0</v>
      </c>
      <c r="AF30" s="147">
        <f t="shared" si="17"/>
        <v>167.37446912879875</v>
      </c>
      <c r="AG30" s="147">
        <f t="shared" si="17"/>
        <v>167.40653655538674</v>
      </c>
      <c r="AH30" s="147">
        <f t="shared" si="17"/>
        <v>167.46948551882477</v>
      </c>
      <c r="AI30" s="147">
        <f t="shared" si="17"/>
        <v>150.76233135195841</v>
      </c>
      <c r="AJ30" s="148">
        <f t="shared" si="17"/>
        <v>66.934818968123295</v>
      </c>
      <c r="AK30" s="146">
        <f t="shared" si="17"/>
        <v>71.980928769898711</v>
      </c>
      <c r="AL30" s="147">
        <f t="shared" ref="AL30:BQ30" si="18">SUM(AL20:AL29)</f>
        <v>167.37446912879875</v>
      </c>
      <c r="AM30" s="147">
        <f t="shared" si="18"/>
        <v>167.40653655538674</v>
      </c>
      <c r="AN30" s="147">
        <f t="shared" si="18"/>
        <v>167.46948551882477</v>
      </c>
      <c r="AO30" s="147">
        <f t="shared" si="18"/>
        <v>150.76233135195841</v>
      </c>
      <c r="AP30" s="148">
        <f t="shared" si="18"/>
        <v>66.934818968123295</v>
      </c>
      <c r="AQ30" s="147">
        <f t="shared" si="18"/>
        <v>1919.8373184242278</v>
      </c>
      <c r="AR30" s="146">
        <f t="shared" si="18"/>
        <v>25.707474560678108</v>
      </c>
      <c r="AS30" s="147">
        <f t="shared" si="18"/>
        <v>89.66489417614217</v>
      </c>
      <c r="AT30" s="147">
        <f t="shared" si="18"/>
        <v>89.682073154671457</v>
      </c>
      <c r="AU30" s="147">
        <f t="shared" si="18"/>
        <v>89.715795813656129</v>
      </c>
      <c r="AV30" s="147">
        <f t="shared" si="18"/>
        <v>80.765534652834845</v>
      </c>
      <c r="AW30" s="148">
        <f t="shared" si="18"/>
        <v>35.857938732923188</v>
      </c>
      <c r="AX30" s="147">
        <f t="shared" si="18"/>
        <v>77.122423682034324</v>
      </c>
      <c r="AY30" s="147">
        <f t="shared" si="18"/>
        <v>268.99468252842655</v>
      </c>
      <c r="AZ30" s="147">
        <f t="shared" si="18"/>
        <v>269.04621946401437</v>
      </c>
      <c r="BA30" s="147">
        <f t="shared" si="18"/>
        <v>269.14738744096837</v>
      </c>
      <c r="BB30" s="147">
        <f t="shared" si="18"/>
        <v>242.29660395850459</v>
      </c>
      <c r="BC30" s="147">
        <f t="shared" si="18"/>
        <v>107.57381619876958</v>
      </c>
      <c r="BD30" s="147">
        <f t="shared" si="18"/>
        <v>1645.5748443636237</v>
      </c>
      <c r="BE30" s="146">
        <f t="shared" si="18"/>
        <v>6.8553265495141638</v>
      </c>
      <c r="BF30" s="147">
        <f t="shared" si="18"/>
        <v>23.910638446971252</v>
      </c>
      <c r="BG30" s="147">
        <f t="shared" si="18"/>
        <v>23.915219507912393</v>
      </c>
      <c r="BH30" s="147">
        <f t="shared" si="18"/>
        <v>23.924212216974968</v>
      </c>
      <c r="BI30" s="147">
        <f t="shared" si="18"/>
        <v>21.537475907422632</v>
      </c>
      <c r="BJ30" s="148">
        <f t="shared" si="18"/>
        <v>9.5621169954461873</v>
      </c>
      <c r="BK30" s="146">
        <f t="shared" si="18"/>
        <v>1.7138316373785409</v>
      </c>
      <c r="BL30" s="147">
        <f t="shared" si="18"/>
        <v>5.9776596117428129</v>
      </c>
      <c r="BM30" s="147">
        <f t="shared" si="18"/>
        <v>5.9788048769780984</v>
      </c>
      <c r="BN30" s="147">
        <f t="shared" si="18"/>
        <v>5.9810530542437421</v>
      </c>
      <c r="BO30" s="147">
        <f t="shared" si="18"/>
        <v>5.384368976855658</v>
      </c>
      <c r="BP30" s="148">
        <f t="shared" si="18"/>
        <v>2.3905292488615468</v>
      </c>
      <c r="BQ30" s="146">
        <f t="shared" si="18"/>
        <v>25.707474560678108</v>
      </c>
      <c r="BR30" s="147">
        <f t="shared" ref="BR30:BX30" si="19">SUM(BR20:BR29)</f>
        <v>89.664894176142184</v>
      </c>
      <c r="BS30" s="147">
        <f t="shared" si="19"/>
        <v>89.682073154671485</v>
      </c>
      <c r="BT30" s="147">
        <f t="shared" si="19"/>
        <v>89.715795813656129</v>
      </c>
      <c r="BU30" s="147">
        <f t="shared" si="19"/>
        <v>80.765534652834859</v>
      </c>
      <c r="BV30" s="148">
        <f t="shared" si="19"/>
        <v>35.857938732923195</v>
      </c>
      <c r="BW30" s="147">
        <f t="shared" si="19"/>
        <v>548.52494812120801</v>
      </c>
      <c r="BX30" s="149">
        <f t="shared" si="19"/>
        <v>5485.2494812120785</v>
      </c>
    </row>
    <row r="31" spans="1:82" x14ac:dyDescent="0.3">
      <c r="A31" s="24"/>
      <c r="B31" s="24"/>
      <c r="C31" s="24"/>
      <c r="D31" s="78"/>
      <c r="E31" s="24"/>
    </row>
    <row r="32" spans="1:82" x14ac:dyDescent="0.3">
      <c r="A32" s="24"/>
      <c r="B32" s="24"/>
      <c r="C32" s="24"/>
      <c r="D32" s="78"/>
      <c r="E32" s="24"/>
    </row>
    <row r="33" spans="1:53" ht="27.95" x14ac:dyDescent="0.3">
      <c r="A33" s="152"/>
      <c r="B33" s="180" t="s">
        <v>468</v>
      </c>
      <c r="C33" s="186" t="s">
        <v>469</v>
      </c>
      <c r="D33" s="118" t="s">
        <v>470</v>
      </c>
      <c r="E33" s="24"/>
      <c r="F33" s="325" t="s">
        <v>515</v>
      </c>
      <c r="G33" s="326"/>
      <c r="H33" s="326"/>
      <c r="I33" s="326"/>
      <c r="J33" s="326"/>
      <c r="K33" s="327"/>
      <c r="L33" s="325" t="s">
        <v>516</v>
      </c>
      <c r="M33" s="326"/>
      <c r="N33" s="326"/>
      <c r="O33" s="326"/>
      <c r="P33" s="326"/>
      <c r="Q33" s="327"/>
      <c r="R33" s="325" t="s">
        <v>517</v>
      </c>
      <c r="S33" s="326"/>
      <c r="T33" s="326"/>
      <c r="U33" s="326"/>
      <c r="V33" s="326"/>
      <c r="W33" s="327"/>
      <c r="X33" s="153" t="s">
        <v>518</v>
      </c>
      <c r="Y33" s="325" t="s">
        <v>519</v>
      </c>
      <c r="Z33" s="326"/>
      <c r="AA33" s="326"/>
      <c r="AB33" s="326"/>
      <c r="AC33" s="326"/>
      <c r="AD33" s="327"/>
      <c r="AE33" s="325" t="s">
        <v>520</v>
      </c>
      <c r="AF33" s="326"/>
      <c r="AG33" s="326"/>
      <c r="AH33" s="326"/>
      <c r="AI33" s="326"/>
      <c r="AJ33" s="327"/>
      <c r="AK33" s="154" t="s">
        <v>521</v>
      </c>
      <c r="AL33" s="120" t="s">
        <v>340</v>
      </c>
      <c r="AM33" s="31"/>
      <c r="AN33" s="31"/>
      <c r="AQ33" s="31"/>
      <c r="AR33" s="31"/>
      <c r="AS33" s="31"/>
      <c r="AT33" s="31"/>
      <c r="AU33" s="31"/>
      <c r="AW33" s="29"/>
      <c r="AX33" s="29"/>
      <c r="AY33" s="29"/>
      <c r="AZ33" s="29"/>
      <c r="BA33" s="29"/>
    </row>
    <row r="34" spans="1:53" x14ac:dyDescent="0.3">
      <c r="A34" s="24"/>
      <c r="B34" s="64"/>
      <c r="C34" s="187"/>
      <c r="D34" s="155" t="s">
        <v>377</v>
      </c>
      <c r="E34" s="24"/>
      <c r="F34" s="156" t="s">
        <v>379</v>
      </c>
      <c r="G34" s="31" t="s">
        <v>380</v>
      </c>
      <c r="H34" s="31" t="s">
        <v>381</v>
      </c>
      <c r="I34" s="31" t="s">
        <v>382</v>
      </c>
      <c r="J34" s="31" t="s">
        <v>383</v>
      </c>
      <c r="K34" s="157" t="s">
        <v>457</v>
      </c>
      <c r="L34" s="156" t="s">
        <v>379</v>
      </c>
      <c r="M34" s="31" t="s">
        <v>380</v>
      </c>
      <c r="N34" s="31" t="s">
        <v>381</v>
      </c>
      <c r="O34" s="31" t="s">
        <v>382</v>
      </c>
      <c r="P34" s="31" t="s">
        <v>383</v>
      </c>
      <c r="Q34" s="157" t="s">
        <v>457</v>
      </c>
      <c r="R34" s="156" t="s">
        <v>379</v>
      </c>
      <c r="S34" s="31" t="s">
        <v>380</v>
      </c>
      <c r="T34" s="31" t="s">
        <v>381</v>
      </c>
      <c r="U34" s="31" t="s">
        <v>382</v>
      </c>
      <c r="V34" s="31" t="s">
        <v>383</v>
      </c>
      <c r="W34" s="157" t="s">
        <v>457</v>
      </c>
      <c r="X34" s="158" t="s">
        <v>368</v>
      </c>
      <c r="Y34" s="156" t="s">
        <v>379</v>
      </c>
      <c r="Z34" s="31" t="s">
        <v>380</v>
      </c>
      <c r="AA34" s="31" t="s">
        <v>381</v>
      </c>
      <c r="AB34" s="31" t="s">
        <v>382</v>
      </c>
      <c r="AC34" s="31" t="s">
        <v>383</v>
      </c>
      <c r="AD34" s="157" t="s">
        <v>457</v>
      </c>
      <c r="AE34" s="156" t="s">
        <v>379</v>
      </c>
      <c r="AF34" s="31" t="s">
        <v>380</v>
      </c>
      <c r="AG34" s="31" t="s">
        <v>381</v>
      </c>
      <c r="AH34" s="31" t="s">
        <v>382</v>
      </c>
      <c r="AI34" s="31" t="s">
        <v>383</v>
      </c>
      <c r="AJ34" s="157" t="s">
        <v>457</v>
      </c>
      <c r="AK34" s="31" t="s">
        <v>368</v>
      </c>
      <c r="AL34" s="158"/>
      <c r="AM34" s="31"/>
      <c r="AN34" s="31"/>
      <c r="AO34" s="31"/>
      <c r="AP34" s="29"/>
      <c r="AQ34" s="31"/>
      <c r="AR34" s="31"/>
      <c r="AS34" s="31"/>
      <c r="AT34" s="31"/>
      <c r="AU34" s="31"/>
      <c r="AW34" s="29"/>
      <c r="AX34" s="29"/>
      <c r="AY34" s="29"/>
      <c r="AZ34" s="29"/>
      <c r="BA34" s="29"/>
    </row>
    <row r="35" spans="1:53" x14ac:dyDescent="0.3">
      <c r="A35" s="128" t="s">
        <v>522</v>
      </c>
      <c r="B35" s="164"/>
      <c r="C35" s="188"/>
      <c r="D35" s="129"/>
      <c r="E35" s="128"/>
      <c r="F35" s="130"/>
      <c r="K35" s="131"/>
      <c r="L35" s="130"/>
      <c r="Q35" s="131"/>
      <c r="R35" s="130"/>
      <c r="W35" s="131"/>
      <c r="X35" s="132"/>
      <c r="Y35" s="130"/>
      <c r="AD35" s="131"/>
      <c r="AE35" s="130"/>
      <c r="AJ35" s="131"/>
      <c r="AL35" s="132"/>
    </row>
    <row r="36" spans="1:53" x14ac:dyDescent="0.3">
      <c r="A36" s="24" t="s">
        <v>523</v>
      </c>
      <c r="B36" s="64" t="s">
        <v>483</v>
      </c>
      <c r="C36" s="187" t="s">
        <v>366</v>
      </c>
      <c r="D36" s="113">
        <v>390.13732833957602</v>
      </c>
      <c r="E36" s="24"/>
      <c r="F36" s="134">
        <v>0</v>
      </c>
      <c r="G36" s="135">
        <v>35.099999999999952</v>
      </c>
      <c r="H36" s="135">
        <v>35.099999999999952</v>
      </c>
      <c r="I36" s="135">
        <v>35.099999999999952</v>
      </c>
      <c r="J36" s="135">
        <v>35.099999999999952</v>
      </c>
      <c r="K36" s="136">
        <v>0</v>
      </c>
      <c r="L36" s="134">
        <v>0</v>
      </c>
      <c r="M36" s="135">
        <v>18.899999999999974</v>
      </c>
      <c r="N36" s="135">
        <v>18.899999999999974</v>
      </c>
      <c r="O36" s="135">
        <v>18.899999999999974</v>
      </c>
      <c r="P36" s="135">
        <v>18.899999999999974</v>
      </c>
      <c r="Q36" s="136">
        <v>0</v>
      </c>
      <c r="R36" s="134">
        <v>0</v>
      </c>
      <c r="S36" s="135">
        <v>0</v>
      </c>
      <c r="T36" s="135">
        <v>0</v>
      </c>
      <c r="U36" s="135">
        <v>0</v>
      </c>
      <c r="V36" s="135">
        <v>0</v>
      </c>
      <c r="W36" s="136">
        <v>0</v>
      </c>
      <c r="X36" s="159">
        <f t="shared" ref="X36:X43" si="20">SUM(F36:W36)</f>
        <v>215.99999999999972</v>
      </c>
      <c r="Y36" s="134">
        <v>0</v>
      </c>
      <c r="Z36" s="135">
        <v>69.299999999999912</v>
      </c>
      <c r="AA36" s="135">
        <v>69.299999999999912</v>
      </c>
      <c r="AB36" s="135">
        <v>69.299999999999912</v>
      </c>
      <c r="AC36" s="135">
        <v>69.299999999999912</v>
      </c>
      <c r="AD36" s="136">
        <v>0</v>
      </c>
      <c r="AE36" s="134">
        <v>0</v>
      </c>
      <c r="AF36" s="135">
        <v>56.699999999999925</v>
      </c>
      <c r="AG36" s="135">
        <v>56.699999999999925</v>
      </c>
      <c r="AH36" s="135">
        <v>56.699999999999925</v>
      </c>
      <c r="AI36" s="135">
        <v>56.699999999999925</v>
      </c>
      <c r="AJ36" s="136">
        <v>0</v>
      </c>
      <c r="AK36" s="150">
        <f t="shared" ref="AK36:AK43" si="21">SUM(Y36:AJ36)</f>
        <v>503.99999999999937</v>
      </c>
      <c r="AL36" s="159">
        <f t="shared" ref="AL36:AL43" si="22">X36+AK36</f>
        <v>719.99999999999909</v>
      </c>
      <c r="AN36" s="160">
        <f>SUM(Y36:AD36)*D36</f>
        <v>108146.06741573033</v>
      </c>
    </row>
    <row r="37" spans="1:53" x14ac:dyDescent="0.3">
      <c r="A37" s="24" t="s">
        <v>487</v>
      </c>
      <c r="B37" s="64" t="s">
        <v>483</v>
      </c>
      <c r="C37" s="187" t="s">
        <v>366</v>
      </c>
      <c r="D37" s="151">
        <v>390.13732833957602</v>
      </c>
      <c r="E37" s="24"/>
      <c r="F37" s="134">
        <v>0</v>
      </c>
      <c r="G37" s="135">
        <v>11.698829999999987</v>
      </c>
      <c r="H37" s="135">
        <v>11.698829999999987</v>
      </c>
      <c r="I37" s="135">
        <v>11.698829999999987</v>
      </c>
      <c r="J37" s="135">
        <v>11.698829999999987</v>
      </c>
      <c r="K37" s="136">
        <v>0</v>
      </c>
      <c r="L37" s="134">
        <v>0</v>
      </c>
      <c r="M37" s="135">
        <v>6.2993699999999926</v>
      </c>
      <c r="N37" s="135">
        <v>6.2993699999999926</v>
      </c>
      <c r="O37" s="135">
        <v>6.2993699999999926</v>
      </c>
      <c r="P37" s="135">
        <v>6.2993699999999926</v>
      </c>
      <c r="Q37" s="136">
        <v>0</v>
      </c>
      <c r="R37" s="134">
        <v>0</v>
      </c>
      <c r="S37" s="135">
        <v>0</v>
      </c>
      <c r="T37" s="135">
        <v>0</v>
      </c>
      <c r="U37" s="135">
        <v>0</v>
      </c>
      <c r="V37" s="135">
        <v>0</v>
      </c>
      <c r="W37" s="136">
        <v>0</v>
      </c>
      <c r="X37" s="159">
        <f t="shared" si="20"/>
        <v>71.992799999999932</v>
      </c>
      <c r="Y37" s="134">
        <v>0</v>
      </c>
      <c r="Z37" s="135">
        <v>23.097689999999972</v>
      </c>
      <c r="AA37" s="135">
        <v>23.097689999999972</v>
      </c>
      <c r="AB37" s="135">
        <v>23.097689999999972</v>
      </c>
      <c r="AC37" s="135">
        <v>23.097689999999972</v>
      </c>
      <c r="AD37" s="136">
        <v>0</v>
      </c>
      <c r="AE37" s="134">
        <v>0</v>
      </c>
      <c r="AF37" s="135">
        <v>18.898109999999978</v>
      </c>
      <c r="AG37" s="135">
        <v>18.898109999999978</v>
      </c>
      <c r="AH37" s="135">
        <v>18.898109999999978</v>
      </c>
      <c r="AI37" s="135">
        <v>18.898109999999978</v>
      </c>
      <c r="AJ37" s="136">
        <v>0</v>
      </c>
      <c r="AK37" s="150">
        <f t="shared" si="21"/>
        <v>167.98319999999978</v>
      </c>
      <c r="AL37" s="159">
        <f t="shared" si="22"/>
        <v>239.97599999999971</v>
      </c>
      <c r="AN37" s="160">
        <f t="shared" ref="AN37:AN43" si="23">SUM(Y37:AD37)*D37</f>
        <v>36045.084269662919</v>
      </c>
    </row>
    <row r="38" spans="1:53" x14ac:dyDescent="0.3">
      <c r="A38" s="24" t="s">
        <v>511</v>
      </c>
      <c r="B38" s="64" t="s">
        <v>483</v>
      </c>
      <c r="C38" s="187" t="s">
        <v>366</v>
      </c>
      <c r="D38" s="151">
        <v>62.421972534332092</v>
      </c>
      <c r="E38" s="24"/>
      <c r="F38" s="134">
        <v>0</v>
      </c>
      <c r="G38" s="135">
        <v>0</v>
      </c>
      <c r="H38" s="135">
        <v>0</v>
      </c>
      <c r="I38" s="135">
        <v>0</v>
      </c>
      <c r="J38" s="135">
        <v>0</v>
      </c>
      <c r="K38" s="136">
        <v>0</v>
      </c>
      <c r="L38" s="134">
        <v>0</v>
      </c>
      <c r="M38" s="135">
        <v>0</v>
      </c>
      <c r="N38" s="135">
        <v>0</v>
      </c>
      <c r="O38" s="135">
        <v>0</v>
      </c>
      <c r="P38" s="135">
        <v>0</v>
      </c>
      <c r="Q38" s="136">
        <v>0</v>
      </c>
      <c r="R38" s="134">
        <v>0</v>
      </c>
      <c r="S38" s="135">
        <v>0</v>
      </c>
      <c r="T38" s="135">
        <v>0</v>
      </c>
      <c r="U38" s="135">
        <v>0</v>
      </c>
      <c r="V38" s="135">
        <v>0</v>
      </c>
      <c r="W38" s="136">
        <v>0</v>
      </c>
      <c r="X38" s="159">
        <f t="shared" si="20"/>
        <v>0</v>
      </c>
      <c r="Y38" s="134">
        <v>0</v>
      </c>
      <c r="Z38" s="135">
        <v>0</v>
      </c>
      <c r="AA38" s="135">
        <v>0</v>
      </c>
      <c r="AB38" s="135">
        <v>0</v>
      </c>
      <c r="AC38" s="135">
        <v>0</v>
      </c>
      <c r="AD38" s="136">
        <v>0</v>
      </c>
      <c r="AE38" s="134">
        <v>0</v>
      </c>
      <c r="AF38" s="135">
        <v>0</v>
      </c>
      <c r="AG38" s="135">
        <v>0</v>
      </c>
      <c r="AH38" s="135">
        <v>0</v>
      </c>
      <c r="AI38" s="135">
        <v>0</v>
      </c>
      <c r="AJ38" s="136">
        <v>0</v>
      </c>
      <c r="AK38" s="150">
        <f t="shared" si="21"/>
        <v>0</v>
      </c>
      <c r="AL38" s="159">
        <f t="shared" si="22"/>
        <v>0</v>
      </c>
      <c r="AN38" s="160">
        <f t="shared" si="23"/>
        <v>0</v>
      </c>
    </row>
    <row r="39" spans="1:53" x14ac:dyDescent="0.3">
      <c r="A39" s="24" t="s">
        <v>512</v>
      </c>
      <c r="B39" s="64" t="s">
        <v>483</v>
      </c>
      <c r="C39" s="187" t="s">
        <v>366</v>
      </c>
      <c r="D39" s="133">
        <v>49.937578027465662</v>
      </c>
      <c r="E39" s="24"/>
      <c r="F39" s="134">
        <v>7.7220000000000004</v>
      </c>
      <c r="G39" s="135">
        <v>15.444000000000004</v>
      </c>
      <c r="H39" s="135">
        <v>15.44994</v>
      </c>
      <c r="I39" s="135">
        <v>15.461600332075475</v>
      </c>
      <c r="J39" s="135">
        <v>15.478779888000005</v>
      </c>
      <c r="K39" s="136">
        <v>15.501294476928001</v>
      </c>
      <c r="L39" s="134">
        <v>4.1580000000000004</v>
      </c>
      <c r="M39" s="135">
        <v>8.3160000000000007</v>
      </c>
      <c r="N39" s="135">
        <v>8.3191984615384609</v>
      </c>
      <c r="O39" s="135">
        <v>8.3254771018867935</v>
      </c>
      <c r="P39" s="135">
        <v>8.3347276320000017</v>
      </c>
      <c r="Q39" s="136">
        <v>8.3468508721919985</v>
      </c>
      <c r="R39" s="134">
        <v>0</v>
      </c>
      <c r="S39" s="135">
        <v>0</v>
      </c>
      <c r="T39" s="135">
        <v>0</v>
      </c>
      <c r="U39" s="135">
        <v>0</v>
      </c>
      <c r="V39" s="135">
        <v>0</v>
      </c>
      <c r="W39" s="136">
        <v>0</v>
      </c>
      <c r="X39" s="159">
        <f t="shared" si="20"/>
        <v>130.85786876462075</v>
      </c>
      <c r="Y39" s="134">
        <v>15.246</v>
      </c>
      <c r="Z39" s="135">
        <v>30.492000000000004</v>
      </c>
      <c r="AA39" s="135">
        <v>30.503727692307692</v>
      </c>
      <c r="AB39" s="135">
        <v>30.526749373584909</v>
      </c>
      <c r="AC39" s="135">
        <v>30.560667984000009</v>
      </c>
      <c r="AD39" s="136">
        <v>30.605119864703997</v>
      </c>
      <c r="AE39" s="134">
        <v>12.473999999999998</v>
      </c>
      <c r="AF39" s="135">
        <v>24.948000000000004</v>
      </c>
      <c r="AG39" s="135">
        <v>24.957595384615384</v>
      </c>
      <c r="AH39" s="135">
        <v>24.97643130566038</v>
      </c>
      <c r="AI39" s="135">
        <v>25.004182896000007</v>
      </c>
      <c r="AJ39" s="136">
        <v>25.040552616575997</v>
      </c>
      <c r="AK39" s="150">
        <f t="shared" si="21"/>
        <v>305.33502711744842</v>
      </c>
      <c r="AL39" s="159">
        <f t="shared" si="22"/>
        <v>436.19289588206914</v>
      </c>
      <c r="AN39" s="160">
        <f t="shared" si="23"/>
        <v>8386.2304576577571</v>
      </c>
    </row>
    <row r="40" spans="1:53" x14ac:dyDescent="0.3">
      <c r="A40" s="24" t="s">
        <v>513</v>
      </c>
      <c r="B40" s="64" t="s">
        <v>483</v>
      </c>
      <c r="C40" s="187" t="s">
        <v>366</v>
      </c>
      <c r="D40" s="133">
        <v>37.20394150169431</v>
      </c>
      <c r="E40" s="24"/>
      <c r="F40" s="134">
        <v>7.7220000000000013</v>
      </c>
      <c r="G40" s="135">
        <v>15.444000000000003</v>
      </c>
      <c r="H40" s="135">
        <v>15.449940000000002</v>
      </c>
      <c r="I40" s="135">
        <v>15.461600332075472</v>
      </c>
      <c r="J40" s="135">
        <v>15.478779888</v>
      </c>
      <c r="K40" s="136">
        <v>15.501294476928001</v>
      </c>
      <c r="L40" s="134">
        <v>4.1580000000000004</v>
      </c>
      <c r="M40" s="135">
        <v>8.3160000000000007</v>
      </c>
      <c r="N40" s="135">
        <v>8.3191984615384609</v>
      </c>
      <c r="O40" s="135">
        <v>8.3254771018867917</v>
      </c>
      <c r="P40" s="135">
        <v>8.3347276319999981</v>
      </c>
      <c r="Q40" s="136">
        <v>8.3468508721919985</v>
      </c>
      <c r="R40" s="134">
        <v>0</v>
      </c>
      <c r="S40" s="135">
        <v>0</v>
      </c>
      <c r="T40" s="135">
        <v>0</v>
      </c>
      <c r="U40" s="135">
        <v>0</v>
      </c>
      <c r="V40" s="135">
        <v>0</v>
      </c>
      <c r="W40" s="136">
        <v>0</v>
      </c>
      <c r="X40" s="159">
        <f t="shared" si="20"/>
        <v>130.85786876462072</v>
      </c>
      <c r="Y40" s="134">
        <v>15.246</v>
      </c>
      <c r="Z40" s="135">
        <v>30.492000000000001</v>
      </c>
      <c r="AA40" s="135">
        <v>30.503727692307695</v>
      </c>
      <c r="AB40" s="135">
        <v>30.526749373584906</v>
      </c>
      <c r="AC40" s="135">
        <v>30.560667983999998</v>
      </c>
      <c r="AD40" s="136">
        <v>30.605119864704001</v>
      </c>
      <c r="AE40" s="134">
        <v>12.474</v>
      </c>
      <c r="AF40" s="135">
        <v>24.948</v>
      </c>
      <c r="AG40" s="135">
        <v>24.957595384615388</v>
      </c>
      <c r="AH40" s="135">
        <v>24.976431305660373</v>
      </c>
      <c r="AI40" s="135">
        <v>25.004182896</v>
      </c>
      <c r="AJ40" s="136">
        <v>25.040552616575997</v>
      </c>
      <c r="AK40" s="150">
        <f t="shared" si="21"/>
        <v>305.33502711744836</v>
      </c>
      <c r="AL40" s="159">
        <f t="shared" si="22"/>
        <v>436.19289588206908</v>
      </c>
      <c r="AN40" s="160">
        <f t="shared" si="23"/>
        <v>6247.8165680126867</v>
      </c>
      <c r="AO40" s="305"/>
    </row>
    <row r="41" spans="1:53" x14ac:dyDescent="0.3">
      <c r="A41" s="24" t="s">
        <v>488</v>
      </c>
      <c r="B41" s="64" t="s">
        <v>483</v>
      </c>
      <c r="C41" s="187" t="s">
        <v>366</v>
      </c>
      <c r="D41" s="133">
        <v>192.50490458355625</v>
      </c>
      <c r="E41" s="24"/>
      <c r="F41" s="134">
        <v>11.698829999999999</v>
      </c>
      <c r="G41" s="135">
        <v>15.599843999999999</v>
      </c>
      <c r="H41" s="135">
        <v>15.605843940000005</v>
      </c>
      <c r="I41" s="135">
        <v>15.617621935426415</v>
      </c>
      <c r="J41" s="135">
        <v>15.635115564868798</v>
      </c>
      <c r="K41" s="136">
        <v>15.657857551144971</v>
      </c>
      <c r="L41" s="134">
        <v>6.2993699999999988</v>
      </c>
      <c r="M41" s="135">
        <v>8.3999159999999993</v>
      </c>
      <c r="N41" s="135">
        <v>8.4031467369230786</v>
      </c>
      <c r="O41" s="135">
        <v>8.4094887344603766</v>
      </c>
      <c r="P41" s="135">
        <v>8.4189083810831988</v>
      </c>
      <c r="Q41" s="136">
        <v>8.4311540660011381</v>
      </c>
      <c r="R41" s="134">
        <v>0</v>
      </c>
      <c r="S41" s="135">
        <v>0</v>
      </c>
      <c r="T41" s="135">
        <v>0</v>
      </c>
      <c r="U41" s="135">
        <v>0</v>
      </c>
      <c r="V41" s="135">
        <v>0</v>
      </c>
      <c r="W41" s="136">
        <v>0</v>
      </c>
      <c r="X41" s="159">
        <f t="shared" si="20"/>
        <v>138.17709690990799</v>
      </c>
      <c r="Y41" s="134">
        <v>23.09769</v>
      </c>
      <c r="Z41" s="135">
        <v>30.799692000000004</v>
      </c>
      <c r="AA41" s="135">
        <v>30.811538035384626</v>
      </c>
      <c r="AB41" s="135">
        <v>30.834792026354719</v>
      </c>
      <c r="AC41" s="135">
        <v>30.869330730638396</v>
      </c>
      <c r="AD41" s="136">
        <v>30.91423157533751</v>
      </c>
      <c r="AE41" s="134">
        <v>18.898109999999999</v>
      </c>
      <c r="AF41" s="135">
        <v>25.199748</v>
      </c>
      <c r="AG41" s="135">
        <v>25.209440210769237</v>
      </c>
      <c r="AH41" s="135">
        <v>25.228466203381135</v>
      </c>
      <c r="AI41" s="135">
        <v>25.256725143249593</v>
      </c>
      <c r="AJ41" s="136">
        <v>25.293462198003414</v>
      </c>
      <c r="AK41" s="150">
        <f t="shared" si="21"/>
        <v>322.41322612311859</v>
      </c>
      <c r="AL41" s="159">
        <f t="shared" si="22"/>
        <v>460.59032303302661</v>
      </c>
      <c r="AN41" s="160">
        <f t="shared" si="23"/>
        <v>34136.370032219129</v>
      </c>
    </row>
    <row r="42" spans="1:53" x14ac:dyDescent="0.3">
      <c r="A42" s="24" t="s">
        <v>524</v>
      </c>
      <c r="B42" s="64" t="s">
        <v>483</v>
      </c>
      <c r="C42" s="187" t="s">
        <v>366</v>
      </c>
      <c r="D42" s="133">
        <v>49.937578027465662</v>
      </c>
      <c r="E42" s="24"/>
      <c r="F42" s="134">
        <v>35.100000000000009</v>
      </c>
      <c r="G42" s="135">
        <v>46.800000000000004</v>
      </c>
      <c r="H42" s="135">
        <v>46.817999999999998</v>
      </c>
      <c r="I42" s="135">
        <v>46.853334339622648</v>
      </c>
      <c r="J42" s="135">
        <v>46.905393600000011</v>
      </c>
      <c r="K42" s="136">
        <v>46.973619627054546</v>
      </c>
      <c r="L42" s="134">
        <v>18.900000000000002</v>
      </c>
      <c r="M42" s="135">
        <v>25.2</v>
      </c>
      <c r="N42" s="135">
        <v>25.209692307692304</v>
      </c>
      <c r="O42" s="135">
        <v>25.228718490566038</v>
      </c>
      <c r="P42" s="135">
        <v>25.256750400000001</v>
      </c>
      <c r="Q42" s="136">
        <v>25.293487491490907</v>
      </c>
      <c r="R42" s="134">
        <v>0</v>
      </c>
      <c r="S42" s="135">
        <v>0</v>
      </c>
      <c r="T42" s="135">
        <v>0</v>
      </c>
      <c r="U42" s="135">
        <v>0</v>
      </c>
      <c r="V42" s="135">
        <v>0</v>
      </c>
      <c r="W42" s="136">
        <v>0</v>
      </c>
      <c r="X42" s="159">
        <f t="shared" si="20"/>
        <v>414.53899625642646</v>
      </c>
      <c r="Y42" s="134">
        <v>69.300000000000011</v>
      </c>
      <c r="Z42" s="135">
        <v>92.4</v>
      </c>
      <c r="AA42" s="135">
        <v>92.435538461538471</v>
      </c>
      <c r="AB42" s="135">
        <v>92.505301132075502</v>
      </c>
      <c r="AC42" s="135">
        <v>92.608084800000015</v>
      </c>
      <c r="AD42" s="136">
        <v>92.742787468800003</v>
      </c>
      <c r="AE42" s="134">
        <v>56.70000000000001</v>
      </c>
      <c r="AF42" s="135">
        <v>75.600000000000009</v>
      </c>
      <c r="AG42" s="135">
        <v>75.629076923076923</v>
      </c>
      <c r="AH42" s="135">
        <v>75.686155471698129</v>
      </c>
      <c r="AI42" s="135">
        <v>75.770251200000004</v>
      </c>
      <c r="AJ42" s="136">
        <v>75.880462474472722</v>
      </c>
      <c r="AK42" s="150">
        <f t="shared" si="21"/>
        <v>967.25765793166192</v>
      </c>
      <c r="AL42" s="159">
        <f t="shared" si="22"/>
        <v>1381.7966541880883</v>
      </c>
      <c r="AN42" s="160">
        <f t="shared" si="23"/>
        <v>26566.377621094332</v>
      </c>
    </row>
    <row r="43" spans="1:53" x14ac:dyDescent="0.3">
      <c r="A43" s="24" t="s">
        <v>489</v>
      </c>
      <c r="B43" s="64" t="s">
        <v>483</v>
      </c>
      <c r="C43" s="187" t="s">
        <v>366</v>
      </c>
      <c r="D43" s="151">
        <v>278.99835027644019</v>
      </c>
      <c r="E43" s="24"/>
      <c r="F43" s="134">
        <v>6.6034732272069459</v>
      </c>
      <c r="G43" s="135">
        <v>8.8046309696092582</v>
      </c>
      <c r="H43" s="135">
        <v>8.8080173661360348</v>
      </c>
      <c r="I43" s="135">
        <v>8.8146649264123624</v>
      </c>
      <c r="J43" s="135">
        <v>8.824458998552819</v>
      </c>
      <c r="K43" s="136">
        <v>8.8372945752779888</v>
      </c>
      <c r="L43" s="134">
        <v>3.555716353111432</v>
      </c>
      <c r="M43" s="135">
        <v>4.7409551374819081</v>
      </c>
      <c r="N43" s="135">
        <v>4.7427785817655561</v>
      </c>
      <c r="O43" s="135">
        <v>4.7463580372989638</v>
      </c>
      <c r="P43" s="135">
        <v>4.7516317684515172</v>
      </c>
      <c r="Q43" s="136">
        <v>4.7585432328419932</v>
      </c>
      <c r="R43" s="134">
        <v>0</v>
      </c>
      <c r="S43" s="135">
        <v>0</v>
      </c>
      <c r="T43" s="135">
        <v>0</v>
      </c>
      <c r="U43" s="135">
        <v>0</v>
      </c>
      <c r="V43" s="135">
        <v>0</v>
      </c>
      <c r="W43" s="136">
        <v>0</v>
      </c>
      <c r="X43" s="159">
        <f t="shared" si="20"/>
        <v>77.988523174146778</v>
      </c>
      <c r="Y43" s="134">
        <v>13.037626628075252</v>
      </c>
      <c r="Z43" s="135">
        <v>17.383502170766999</v>
      </c>
      <c r="AA43" s="135">
        <v>17.390188133140374</v>
      </c>
      <c r="AB43" s="135">
        <v>17.403312803429532</v>
      </c>
      <c r="AC43" s="135">
        <v>17.422649817655568</v>
      </c>
      <c r="AD43" s="136">
        <v>17.447991853753976</v>
      </c>
      <c r="AE43" s="134">
        <v>10.667149059334296</v>
      </c>
      <c r="AF43" s="135">
        <v>14.222865412445726</v>
      </c>
      <c r="AG43" s="135">
        <v>14.228335745296668</v>
      </c>
      <c r="AH43" s="135">
        <v>14.23907411189689</v>
      </c>
      <c r="AI43" s="135">
        <v>14.254895305354554</v>
      </c>
      <c r="AJ43" s="136">
        <v>14.275629698525981</v>
      </c>
      <c r="AK43" s="150">
        <f t="shared" si="21"/>
        <v>181.97322073967581</v>
      </c>
      <c r="AL43" s="161">
        <f t="shared" si="22"/>
        <v>259.9617439138226</v>
      </c>
      <c r="AN43" s="160">
        <f t="shared" si="23"/>
        <v>27923.625609473027</v>
      </c>
    </row>
    <row r="44" spans="1:53" x14ac:dyDescent="0.3">
      <c r="A44" s="143" t="s">
        <v>491</v>
      </c>
      <c r="B44" s="143"/>
      <c r="C44" s="185"/>
      <c r="D44" s="46"/>
      <c r="E44" s="162"/>
      <c r="F44" s="146">
        <f t="shared" ref="F44:AL44" si="24">SUM(F36:F43)</f>
        <v>68.84630322720696</v>
      </c>
      <c r="G44" s="147">
        <f t="shared" si="24"/>
        <v>148.89130496960922</v>
      </c>
      <c r="H44" s="147">
        <f t="shared" si="24"/>
        <v>148.93057130613596</v>
      </c>
      <c r="I44" s="147">
        <f t="shared" si="24"/>
        <v>149.00765186561233</v>
      </c>
      <c r="J44" s="147">
        <f t="shared" si="24"/>
        <v>149.12135793942156</v>
      </c>
      <c r="K44" s="148">
        <f t="shared" si="24"/>
        <v>102.47136070733352</v>
      </c>
      <c r="L44" s="146">
        <f t="shared" si="24"/>
        <v>37.07108635311144</v>
      </c>
      <c r="M44" s="147">
        <f t="shared" si="24"/>
        <v>80.172241137481876</v>
      </c>
      <c r="N44" s="147">
        <f t="shared" si="24"/>
        <v>80.193384549457818</v>
      </c>
      <c r="O44" s="147">
        <f t="shared" si="24"/>
        <v>80.234889466098934</v>
      </c>
      <c r="P44" s="147">
        <f t="shared" si="24"/>
        <v>80.296115813534684</v>
      </c>
      <c r="Q44" s="148">
        <f t="shared" si="24"/>
        <v>55.176886534718037</v>
      </c>
      <c r="R44" s="146">
        <f t="shared" si="24"/>
        <v>0</v>
      </c>
      <c r="S44" s="147">
        <f t="shared" si="24"/>
        <v>0</v>
      </c>
      <c r="T44" s="147">
        <f t="shared" si="24"/>
        <v>0</v>
      </c>
      <c r="U44" s="147">
        <f t="shared" si="24"/>
        <v>0</v>
      </c>
      <c r="V44" s="147">
        <f t="shared" si="24"/>
        <v>0</v>
      </c>
      <c r="W44" s="148">
        <f t="shared" si="24"/>
        <v>0</v>
      </c>
      <c r="X44" s="149">
        <f t="shared" si="24"/>
        <v>1180.4131538697225</v>
      </c>
      <c r="Y44" s="146">
        <f t="shared" si="24"/>
        <v>135.92731662807526</v>
      </c>
      <c r="Z44" s="147">
        <f t="shared" si="24"/>
        <v>293.96488417076682</v>
      </c>
      <c r="AA44" s="147">
        <f t="shared" si="24"/>
        <v>294.04241001467875</v>
      </c>
      <c r="AB44" s="147">
        <f t="shared" si="24"/>
        <v>294.19459470902939</v>
      </c>
      <c r="AC44" s="147">
        <f t="shared" si="24"/>
        <v>294.41909131629387</v>
      </c>
      <c r="AD44" s="148">
        <f t="shared" si="24"/>
        <v>202.31525062729952</v>
      </c>
      <c r="AE44" s="146">
        <f t="shared" si="24"/>
        <v>111.21325905933429</v>
      </c>
      <c r="AF44" s="147">
        <f t="shared" si="24"/>
        <v>240.51672341244566</v>
      </c>
      <c r="AG44" s="147">
        <f t="shared" si="24"/>
        <v>240.58015364837351</v>
      </c>
      <c r="AH44" s="147">
        <f t="shared" si="24"/>
        <v>240.7046683982968</v>
      </c>
      <c r="AI44" s="147">
        <f t="shared" si="24"/>
        <v>240.88834744060406</v>
      </c>
      <c r="AJ44" s="148">
        <f t="shared" si="24"/>
        <v>165.53065960415412</v>
      </c>
      <c r="AK44" s="147">
        <f t="shared" si="24"/>
        <v>2754.2973590293527</v>
      </c>
      <c r="AL44" s="149">
        <f t="shared" si="24"/>
        <v>3934.7105128990743</v>
      </c>
      <c r="AN44" s="163">
        <f>SUM(AN36:AN43)</f>
        <v>247451.57197385019</v>
      </c>
    </row>
    <row r="45" spans="1:53" x14ac:dyDescent="0.3">
      <c r="C45" s="24"/>
    </row>
    <row r="46" spans="1:53" x14ac:dyDescent="0.3">
      <c r="C46" s="24"/>
    </row>
    <row r="47" spans="1:53" ht="27.95" x14ac:dyDescent="0.3">
      <c r="A47" s="152"/>
      <c r="B47" s="180" t="s">
        <v>468</v>
      </c>
      <c r="C47" s="186" t="s">
        <v>469</v>
      </c>
      <c r="D47" s="118" t="s">
        <v>470</v>
      </c>
      <c r="E47" s="24"/>
      <c r="F47" s="325" t="s">
        <v>525</v>
      </c>
      <c r="G47" s="326"/>
      <c r="H47" s="326"/>
      <c r="I47" s="326"/>
      <c r="J47" s="326"/>
      <c r="K47" s="326"/>
      <c r="L47" s="120" t="s">
        <v>348</v>
      </c>
    </row>
    <row r="48" spans="1:53" x14ac:dyDescent="0.3">
      <c r="A48" s="24"/>
      <c r="B48" s="64"/>
      <c r="C48" s="187"/>
      <c r="D48" s="155" t="s">
        <v>377</v>
      </c>
      <c r="E48" s="24"/>
      <c r="F48" s="156" t="s">
        <v>379</v>
      </c>
      <c r="G48" s="31" t="s">
        <v>380</v>
      </c>
      <c r="H48" s="31" t="s">
        <v>381</v>
      </c>
      <c r="I48" s="31" t="s">
        <v>382</v>
      </c>
      <c r="J48" s="31" t="s">
        <v>383</v>
      </c>
      <c r="K48" s="31" t="s">
        <v>457</v>
      </c>
      <c r="L48" s="243"/>
    </row>
    <row r="49" spans="1:40" x14ac:dyDescent="0.3">
      <c r="A49" s="128" t="s">
        <v>526</v>
      </c>
      <c r="B49" s="164"/>
      <c r="C49" s="188"/>
      <c r="D49" s="129"/>
      <c r="E49" s="128"/>
      <c r="F49" s="130"/>
      <c r="L49" s="137"/>
    </row>
    <row r="50" spans="1:40" x14ac:dyDescent="0.3">
      <c r="A50" s="24" t="s">
        <v>527</v>
      </c>
      <c r="B50" s="64" t="s">
        <v>483</v>
      </c>
      <c r="C50" s="187" t="s">
        <v>366</v>
      </c>
      <c r="D50" s="233">
        <v>468.16479400749063</v>
      </c>
      <c r="E50" s="24"/>
      <c r="F50" s="37">
        <v>119.99999999999996</v>
      </c>
      <c r="G50" s="38">
        <v>239.99999999999994</v>
      </c>
      <c r="H50" s="38">
        <v>240.0923076923076</v>
      </c>
      <c r="I50" s="38">
        <v>240.2735094339622</v>
      </c>
      <c r="J50" s="38">
        <v>240.54047999999992</v>
      </c>
      <c r="K50" s="38">
        <v>240.89035706181812</v>
      </c>
      <c r="L50" s="137">
        <f>SUM(F50:K50)</f>
        <v>1321.7966541880878</v>
      </c>
    </row>
    <row r="51" spans="1:40" x14ac:dyDescent="0.3">
      <c r="A51" s="24" t="s">
        <v>528</v>
      </c>
      <c r="B51" s="28" t="s">
        <v>483</v>
      </c>
      <c r="C51" s="235" t="s">
        <v>366</v>
      </c>
      <c r="D51" s="236">
        <v>278.99835027644019</v>
      </c>
      <c r="E51" s="234"/>
      <c r="F51" s="39">
        <v>7.8147612156295221</v>
      </c>
      <c r="G51" s="40">
        <v>10.419681620839361</v>
      </c>
      <c r="H51" s="40">
        <v>10.423689190693533</v>
      </c>
      <c r="I51" s="40">
        <v>10.43155612593179</v>
      </c>
      <c r="J51" s="40">
        <v>10.443146743849491</v>
      </c>
      <c r="K51" s="40">
        <v>10.45833677547691</v>
      </c>
      <c r="L51" s="137">
        <f>SUM(F51:K51)</f>
        <v>59.991171672420606</v>
      </c>
    </row>
    <row r="52" spans="1:40" x14ac:dyDescent="0.3">
      <c r="A52" s="237" t="s">
        <v>491</v>
      </c>
      <c r="B52" s="238"/>
      <c r="C52" s="239"/>
      <c r="D52" s="46"/>
      <c r="E52" s="162"/>
      <c r="F52" s="240">
        <f t="shared" ref="F52:K52" si="25">SUM(F50:F51)</f>
        <v>127.81476121562947</v>
      </c>
      <c r="G52" s="241">
        <f t="shared" si="25"/>
        <v>250.4196816208393</v>
      </c>
      <c r="H52" s="241">
        <f t="shared" si="25"/>
        <v>250.51599688300112</v>
      </c>
      <c r="I52" s="241">
        <f t="shared" si="25"/>
        <v>250.705065559894</v>
      </c>
      <c r="J52" s="241">
        <f t="shared" si="25"/>
        <v>250.98362674384941</v>
      </c>
      <c r="K52" s="241">
        <f t="shared" si="25"/>
        <v>251.34869383729503</v>
      </c>
      <c r="L52" s="245">
        <f>SUM(F52:K52)</f>
        <v>1381.7878258605085</v>
      </c>
    </row>
    <row r="53" spans="1:40" x14ac:dyDescent="0.3">
      <c r="AN53" s="160">
        <f>SUM('GCF Impl Template'!M265,'GCF Impl Template'!M274)</f>
        <v>613445.86427639204</v>
      </c>
    </row>
    <row r="55" spans="1:40" ht="27.95" x14ac:dyDescent="0.3">
      <c r="A55" s="25"/>
      <c r="B55" s="120" t="s">
        <v>468</v>
      </c>
      <c r="C55" s="120" t="s">
        <v>469</v>
      </c>
      <c r="D55" s="118" t="s">
        <v>470</v>
      </c>
      <c r="F55" s="125" t="s">
        <v>379</v>
      </c>
      <c r="G55" s="126" t="s">
        <v>380</v>
      </c>
      <c r="H55" s="126" t="s">
        <v>381</v>
      </c>
      <c r="I55" s="126" t="s">
        <v>382</v>
      </c>
      <c r="J55" s="126" t="s">
        <v>383</v>
      </c>
      <c r="K55" s="127" t="s">
        <v>457</v>
      </c>
      <c r="L55" s="315" t="s">
        <v>529</v>
      </c>
    </row>
    <row r="56" spans="1:40" x14ac:dyDescent="0.3">
      <c r="A56" s="164" t="s">
        <v>530</v>
      </c>
      <c r="B56" s="165"/>
      <c r="C56" s="165"/>
      <c r="D56" s="165" t="s">
        <v>377</v>
      </c>
      <c r="E56" s="128"/>
      <c r="F56" s="166"/>
      <c r="G56" s="167"/>
      <c r="H56" s="167"/>
      <c r="I56" s="167"/>
      <c r="J56" s="167"/>
      <c r="K56" s="168"/>
      <c r="L56" s="169"/>
    </row>
    <row r="57" spans="1:40" x14ac:dyDescent="0.3">
      <c r="A57" s="132" t="s">
        <v>531</v>
      </c>
      <c r="B57" s="24" t="s">
        <v>483</v>
      </c>
      <c r="C57" s="155" t="s">
        <v>366</v>
      </c>
      <c r="D57" s="133">
        <v>468.16479400749063</v>
      </c>
      <c r="F57" s="134">
        <v>76.190476190476247</v>
      </c>
      <c r="G57" s="135">
        <v>76.190476190476247</v>
      </c>
      <c r="H57" s="135">
        <v>0</v>
      </c>
      <c r="I57" s="135">
        <v>0</v>
      </c>
      <c r="J57" s="135">
        <v>0</v>
      </c>
      <c r="K57" s="136">
        <v>0</v>
      </c>
      <c r="L57" s="137">
        <f>SUM(F57:K57)</f>
        <v>152.38095238095249</v>
      </c>
    </row>
    <row r="58" spans="1:40" x14ac:dyDescent="0.3">
      <c r="A58" s="132" t="s">
        <v>489</v>
      </c>
      <c r="B58" s="24" t="s">
        <v>483</v>
      </c>
      <c r="C58" s="155" t="s">
        <v>366</v>
      </c>
      <c r="D58" s="151">
        <v>278.99835027644019</v>
      </c>
      <c r="F58" s="134">
        <v>25.007235890014471</v>
      </c>
      <c r="G58" s="135">
        <v>33.342981186685961</v>
      </c>
      <c r="H58" s="135">
        <v>33.355805410219311</v>
      </c>
      <c r="I58" s="135">
        <v>33.380979602981725</v>
      </c>
      <c r="J58" s="135">
        <v>33.418069580318374</v>
      </c>
      <c r="K58" s="136">
        <v>33.466677681526114</v>
      </c>
      <c r="L58" s="139">
        <f t="shared" ref="L58:L62" si="26">SUM(F58:K58)</f>
        <v>191.97174935174596</v>
      </c>
    </row>
    <row r="59" spans="1:40" x14ac:dyDescent="0.3">
      <c r="A59" s="132" t="s">
        <v>532</v>
      </c>
      <c r="B59" s="24" t="s">
        <v>483</v>
      </c>
      <c r="C59" s="155" t="s">
        <v>366</v>
      </c>
      <c r="D59" s="151">
        <v>256.65462814339219</v>
      </c>
      <c r="F59" s="134">
        <v>180</v>
      </c>
      <c r="G59" s="135">
        <v>240.00000000000003</v>
      </c>
      <c r="H59" s="135">
        <v>240.09230769230766</v>
      </c>
      <c r="I59" s="135">
        <v>240.27350943396223</v>
      </c>
      <c r="J59" s="135">
        <v>240.54047999999997</v>
      </c>
      <c r="K59" s="136">
        <v>240.89035706181812</v>
      </c>
      <c r="L59" s="137">
        <f t="shared" si="26"/>
        <v>1381.796654188088</v>
      </c>
    </row>
    <row r="60" spans="1:40" x14ac:dyDescent="0.3">
      <c r="A60" s="132" t="s">
        <v>533</v>
      </c>
      <c r="B60" s="24" t="s">
        <v>483</v>
      </c>
      <c r="C60" s="155" t="s">
        <v>366</v>
      </c>
      <c r="D60" s="151">
        <v>256.65462814339219</v>
      </c>
      <c r="F60" s="134">
        <v>180</v>
      </c>
      <c r="G60" s="135">
        <v>240.00000000000003</v>
      </c>
      <c r="H60" s="135">
        <v>240.09230769230766</v>
      </c>
      <c r="I60" s="135">
        <v>240.27350943396223</v>
      </c>
      <c r="J60" s="135">
        <v>240.54047999999997</v>
      </c>
      <c r="K60" s="136">
        <v>240.89035706181812</v>
      </c>
      <c r="L60" s="137">
        <f t="shared" si="26"/>
        <v>1381.796654188088</v>
      </c>
    </row>
    <row r="61" spans="1:40" x14ac:dyDescent="0.3">
      <c r="A61" s="132" t="s">
        <v>534</v>
      </c>
      <c r="B61" s="24" t="s">
        <v>483</v>
      </c>
      <c r="C61" s="155" t="s">
        <v>366</v>
      </c>
      <c r="D61" s="151">
        <v>64.651328696272515</v>
      </c>
      <c r="F61" s="134">
        <v>180</v>
      </c>
      <c r="G61" s="135">
        <v>240.00000000000003</v>
      </c>
      <c r="H61" s="135">
        <v>240.09230769230768</v>
      </c>
      <c r="I61" s="135">
        <v>240.27350943396226</v>
      </c>
      <c r="J61" s="135">
        <v>240.54048</v>
      </c>
      <c r="K61" s="136">
        <v>240.89035706181821</v>
      </c>
      <c r="L61" s="137">
        <f t="shared" si="26"/>
        <v>1381.7966541880883</v>
      </c>
    </row>
    <row r="62" spans="1:40" x14ac:dyDescent="0.3">
      <c r="A62" s="132" t="s">
        <v>535</v>
      </c>
      <c r="B62" s="24" t="s">
        <v>483</v>
      </c>
      <c r="C62" s="155" t="s">
        <v>536</v>
      </c>
      <c r="D62" s="151">
        <v>72.100722311396467</v>
      </c>
      <c r="F62" s="134">
        <v>90</v>
      </c>
      <c r="G62" s="135">
        <v>120</v>
      </c>
      <c r="H62" s="135">
        <v>120.04615384615384</v>
      </c>
      <c r="I62" s="135">
        <v>120.13675471698112</v>
      </c>
      <c r="J62" s="135">
        <v>120.27024000000002</v>
      </c>
      <c r="K62" s="136">
        <v>120.44517853090909</v>
      </c>
      <c r="L62" s="137">
        <f t="shared" si="26"/>
        <v>690.89832709404402</v>
      </c>
    </row>
    <row r="63" spans="1:40" x14ac:dyDescent="0.3">
      <c r="A63" s="143" t="s">
        <v>491</v>
      </c>
      <c r="B63" s="143"/>
      <c r="C63" s="181"/>
      <c r="D63" s="46"/>
      <c r="E63" s="162"/>
      <c r="F63" s="170">
        <f t="shared" ref="F63:K63" si="27">SUM(F57:F62)</f>
        <v>731.19771208049065</v>
      </c>
      <c r="G63" s="171">
        <f t="shared" si="27"/>
        <v>949.53345737716222</v>
      </c>
      <c r="H63" s="171">
        <f t="shared" si="27"/>
        <v>873.6788823332962</v>
      </c>
      <c r="I63" s="171">
        <f t="shared" si="27"/>
        <v>874.33826262184971</v>
      </c>
      <c r="J63" s="171">
        <f t="shared" si="27"/>
        <v>875.30974958031834</v>
      </c>
      <c r="K63" s="172">
        <f t="shared" si="27"/>
        <v>876.58292739788965</v>
      </c>
      <c r="L63" s="173">
        <f>SUM(F63:K63)</f>
        <v>5180.6409913910074</v>
      </c>
    </row>
    <row r="65" spans="1:51" x14ac:dyDescent="0.3">
      <c r="Y65" t="s">
        <v>537</v>
      </c>
    </row>
    <row r="66" spans="1:51" x14ac:dyDescent="0.3">
      <c r="A66" s="33" t="s">
        <v>538</v>
      </c>
    </row>
    <row r="67" spans="1:51" x14ac:dyDescent="0.3">
      <c r="A67" s="224" t="s">
        <v>366</v>
      </c>
      <c r="B67" t="s">
        <v>33</v>
      </c>
    </row>
    <row r="68" spans="1:51" x14ac:dyDescent="0.3">
      <c r="A68" s="224" t="s">
        <v>536</v>
      </c>
      <c r="B68" t="s">
        <v>539</v>
      </c>
      <c r="F68" s="175"/>
      <c r="G68" s="175"/>
      <c r="H68" s="175"/>
      <c r="I68" s="175"/>
      <c r="J68" s="175"/>
      <c r="K68" s="175"/>
    </row>
    <row r="69" spans="1:51" x14ac:dyDescent="0.3">
      <c r="F69" s="68"/>
      <c r="G69" s="68"/>
      <c r="H69" s="68"/>
      <c r="I69" s="68"/>
      <c r="J69" s="68"/>
      <c r="K69" s="68"/>
    </row>
    <row r="71" spans="1:51" x14ac:dyDescent="0.3">
      <c r="A71" s="174" t="s">
        <v>540</v>
      </c>
    </row>
    <row r="72" spans="1:51" ht="27.95" x14ac:dyDescent="0.3">
      <c r="F72" s="345" t="s">
        <v>541</v>
      </c>
      <c r="G72" s="345"/>
      <c r="H72" s="345"/>
      <c r="I72" s="345"/>
      <c r="J72" s="345"/>
      <c r="K72" s="325"/>
      <c r="L72" s="345" t="s">
        <v>542</v>
      </c>
      <c r="M72" s="345"/>
      <c r="N72" s="345"/>
      <c r="O72" s="345"/>
      <c r="P72" s="345"/>
      <c r="Q72" s="325"/>
      <c r="R72" s="119" t="s">
        <v>473</v>
      </c>
      <c r="S72" s="345" t="s">
        <v>830</v>
      </c>
      <c r="T72" s="345"/>
      <c r="U72" s="345"/>
      <c r="V72" s="345"/>
      <c r="W72" s="345"/>
      <c r="X72" s="345"/>
      <c r="Y72" s="327" t="s">
        <v>831</v>
      </c>
      <c r="Z72" s="345"/>
      <c r="AA72" s="345"/>
      <c r="AB72" s="345"/>
      <c r="AC72" s="345"/>
      <c r="AD72" s="325"/>
      <c r="AE72" s="345" t="s">
        <v>832</v>
      </c>
      <c r="AF72" s="345"/>
      <c r="AG72" s="345"/>
      <c r="AH72" s="345"/>
      <c r="AI72" s="345"/>
      <c r="AJ72" s="345"/>
      <c r="AK72" s="189" t="s">
        <v>477</v>
      </c>
      <c r="AL72" s="327" t="s">
        <v>833</v>
      </c>
      <c r="AM72" s="345"/>
      <c r="AN72" s="345"/>
      <c r="AO72" s="345"/>
      <c r="AP72" s="345"/>
      <c r="AQ72" s="345"/>
      <c r="AR72" s="327" t="s">
        <v>834</v>
      </c>
      <c r="AS72" s="345"/>
      <c r="AT72" s="345"/>
      <c r="AU72" s="345"/>
      <c r="AV72" s="345"/>
      <c r="AW72" s="325"/>
      <c r="AX72" s="118" t="s">
        <v>480</v>
      </c>
      <c r="AY72" s="120" t="s">
        <v>124</v>
      </c>
    </row>
    <row r="73" spans="1:51" x14ac:dyDescent="0.3">
      <c r="F73" s="122" t="s">
        <v>379</v>
      </c>
      <c r="G73" s="69" t="s">
        <v>380</v>
      </c>
      <c r="H73" s="69" t="s">
        <v>381</v>
      </c>
      <c r="I73" s="69" t="s">
        <v>382</v>
      </c>
      <c r="J73" s="69" t="s">
        <v>383</v>
      </c>
      <c r="K73" s="69" t="s">
        <v>457</v>
      </c>
      <c r="L73" s="122" t="s">
        <v>379</v>
      </c>
      <c r="M73" s="69" t="s">
        <v>380</v>
      </c>
      <c r="N73" s="69" t="s">
        <v>381</v>
      </c>
      <c r="O73" s="69" t="s">
        <v>382</v>
      </c>
      <c r="P73" s="69" t="s">
        <v>383</v>
      </c>
      <c r="Q73" s="69" t="s">
        <v>457</v>
      </c>
      <c r="R73" s="122" t="s">
        <v>368</v>
      </c>
      <c r="S73" s="122" t="s">
        <v>379</v>
      </c>
      <c r="T73" s="69" t="s">
        <v>380</v>
      </c>
      <c r="U73" s="69" t="s">
        <v>381</v>
      </c>
      <c r="V73" s="69" t="s">
        <v>382</v>
      </c>
      <c r="W73" s="69" t="s">
        <v>383</v>
      </c>
      <c r="X73" s="123" t="s">
        <v>457</v>
      </c>
      <c r="Y73" s="69" t="s">
        <v>379</v>
      </c>
      <c r="Z73" s="69" t="s">
        <v>380</v>
      </c>
      <c r="AA73" s="69" t="s">
        <v>381</v>
      </c>
      <c r="AB73" s="69" t="s">
        <v>382</v>
      </c>
      <c r="AC73" s="69" t="s">
        <v>383</v>
      </c>
      <c r="AD73" s="69" t="s">
        <v>457</v>
      </c>
      <c r="AE73" s="122" t="s">
        <v>379</v>
      </c>
      <c r="AF73" s="69" t="s">
        <v>380</v>
      </c>
      <c r="AG73" s="69" t="s">
        <v>381</v>
      </c>
      <c r="AH73" s="69" t="s">
        <v>382</v>
      </c>
      <c r="AI73" s="69" t="s">
        <v>383</v>
      </c>
      <c r="AJ73" s="123" t="s">
        <v>457</v>
      </c>
      <c r="AK73" s="69" t="s">
        <v>368</v>
      </c>
      <c r="AL73" s="122" t="s">
        <v>379</v>
      </c>
      <c r="AM73" s="69" t="s">
        <v>380</v>
      </c>
      <c r="AN73" s="69" t="s">
        <v>381</v>
      </c>
      <c r="AO73" s="69" t="s">
        <v>382</v>
      </c>
      <c r="AP73" s="69" t="s">
        <v>383</v>
      </c>
      <c r="AQ73" s="123" t="s">
        <v>457</v>
      </c>
      <c r="AR73" s="69" t="s">
        <v>379</v>
      </c>
      <c r="AS73" s="69" t="s">
        <v>380</v>
      </c>
      <c r="AT73" s="69" t="s">
        <v>381</v>
      </c>
      <c r="AU73" s="69" t="s">
        <v>382</v>
      </c>
      <c r="AV73" s="69" t="s">
        <v>383</v>
      </c>
      <c r="AW73" s="69" t="s">
        <v>457</v>
      </c>
      <c r="AX73" s="124" t="s">
        <v>368</v>
      </c>
      <c r="AY73" s="124"/>
    </row>
    <row r="74" spans="1:51" x14ac:dyDescent="0.3">
      <c r="A74" s="128" t="s">
        <v>543</v>
      </c>
      <c r="F74" s="130"/>
      <c r="L74" s="130"/>
      <c r="R74" s="130"/>
      <c r="S74" s="130"/>
      <c r="X74" s="131"/>
      <c r="AE74" s="130"/>
      <c r="AJ74" s="131"/>
      <c r="AL74" s="130"/>
      <c r="AQ74" s="131"/>
      <c r="AX74" s="132"/>
      <c r="AY74" s="132"/>
    </row>
    <row r="75" spans="1:51" x14ac:dyDescent="0.3">
      <c r="A75" s="24" t="s">
        <v>482</v>
      </c>
      <c r="F75" s="199">
        <f>F6*$D6</f>
        <v>11235.955056179775</v>
      </c>
      <c r="G75" s="200">
        <f>G6*($D6*1.02)</f>
        <v>0</v>
      </c>
      <c r="H75" s="200">
        <f>H6*($D6*1.04)</f>
        <v>0</v>
      </c>
      <c r="I75" s="200">
        <f>I6*($D6*1.06)</f>
        <v>0</v>
      </c>
      <c r="J75" s="200">
        <f>J6*($D6*1.08)</f>
        <v>0</v>
      </c>
      <c r="K75" s="200">
        <f>K6*($D6*1.1)</f>
        <v>0</v>
      </c>
      <c r="L75" s="199">
        <f>L6*$D6</f>
        <v>11235.955056179775</v>
      </c>
      <c r="M75" s="200">
        <f>M6*($D6*1.02)</f>
        <v>45842.696629213489</v>
      </c>
      <c r="N75" s="200">
        <f>N6*($D6*1.04)</f>
        <v>46759.550561797754</v>
      </c>
      <c r="O75" s="200">
        <f>O6*($D6*1.06)</f>
        <v>47694.741573033709</v>
      </c>
      <c r="P75" s="200">
        <f>P6*($D6*1.08)</f>
        <v>48648.636404494384</v>
      </c>
      <c r="Q75" s="200">
        <f>Q6*($D6*1.1)</f>
        <v>24810.804566292136</v>
      </c>
      <c r="R75" s="199">
        <f>SUM(F75:Q75)</f>
        <v>236228.339847191</v>
      </c>
      <c r="S75" s="199">
        <f>S6*$D6</f>
        <v>6882.0224719101116</v>
      </c>
      <c r="T75" s="200">
        <f>T6*($D6*1.02)</f>
        <v>26073.033707865168</v>
      </c>
      <c r="U75" s="200">
        <f>U6*($D6*1.04)</f>
        <v>26594.494382022469</v>
      </c>
      <c r="V75" s="200">
        <f>V6*($D6*1.06)</f>
        <v>14606.514606741572</v>
      </c>
      <c r="W75" s="200">
        <f>W6*($D6*1.08)</f>
        <v>14898.6448988764</v>
      </c>
      <c r="X75" s="201">
        <f>X6*($D6*1.1)</f>
        <v>7598.3088984269652</v>
      </c>
      <c r="Y75" s="190">
        <f>Y6*$D6</f>
        <v>5898.8764044943819</v>
      </c>
      <c r="Z75" s="190">
        <f>Z6*($D6*1.02)</f>
        <v>0</v>
      </c>
      <c r="AA75" s="190">
        <f>AA6*($D6*1.04)</f>
        <v>0</v>
      </c>
      <c r="AB75" s="190">
        <f>AB6*($D6*1.06)</f>
        <v>12519.869662921348</v>
      </c>
      <c r="AC75" s="190">
        <f>AC6*($D6*1.08)</f>
        <v>12770.267056179773</v>
      </c>
      <c r="AD75" s="190">
        <f>AD6*($D6*1.1)</f>
        <v>6512.8361986516848</v>
      </c>
      <c r="AE75" s="199">
        <f>AE6*$D6</f>
        <v>6882.0224719101116</v>
      </c>
      <c r="AF75" s="200">
        <f>AF6*($D6*1.02)</f>
        <v>14039.325842696629</v>
      </c>
      <c r="AG75" s="200">
        <f>AG6*($D6*1.04)</f>
        <v>14320.11235955056</v>
      </c>
      <c r="AH75" s="200">
        <f>AH6*($D6*1.06)</f>
        <v>14606.514606741572</v>
      </c>
      <c r="AI75" s="200">
        <f>AI6*($D6*1.08)</f>
        <v>14898.6448988764</v>
      </c>
      <c r="AJ75" s="201">
        <f>AJ6*($D6*1.1)</f>
        <v>7598.3088984269652</v>
      </c>
      <c r="AK75" s="190">
        <f>SUM(S75:AJ75)</f>
        <v>206699.79736629213</v>
      </c>
      <c r="AL75" s="199">
        <f>AL6*$D6</f>
        <v>1404.4943820224719</v>
      </c>
      <c r="AM75" s="200">
        <f>AM6*($D6*1.02)</f>
        <v>2865.1685393258431</v>
      </c>
      <c r="AN75" s="200">
        <f>AN6*($D6*1.04)</f>
        <v>29224.719101123599</v>
      </c>
      <c r="AO75" s="200">
        <f>AO6*($D6*1.06)</f>
        <v>2980.9213483146068</v>
      </c>
      <c r="AP75" s="200">
        <f>AP6*($D6*1.08)</f>
        <v>30405.397752808985</v>
      </c>
      <c r="AQ75" s="201">
        <f>AQ6*($D6*1.1)</f>
        <v>15506.752853932583</v>
      </c>
      <c r="AR75" s="190">
        <f>AR6*$D6</f>
        <v>12640.449438202248</v>
      </c>
      <c r="AS75" s="190">
        <f>AS6*($D6*1.02)</f>
        <v>25786.516853932586</v>
      </c>
      <c r="AT75" s="190">
        <f>AT6*($D6*1.04)</f>
        <v>0</v>
      </c>
      <c r="AU75" s="190">
        <f>AU6*($D6*1.06)</f>
        <v>26828.292134831459</v>
      </c>
      <c r="AV75" s="190">
        <f>AV6*($D6*1.08)</f>
        <v>0</v>
      </c>
      <c r="AW75" s="190">
        <f>AW6*($D6*1.1)</f>
        <v>0</v>
      </c>
      <c r="AX75" s="206">
        <f>SUM(AL75:AW75)</f>
        <v>147642.71240449441</v>
      </c>
      <c r="AY75" s="137">
        <f>R75+AK75+AX75</f>
        <v>590570.84961797751</v>
      </c>
    </row>
    <row r="76" spans="1:51" x14ac:dyDescent="0.3">
      <c r="A76" s="24" t="s">
        <v>484</v>
      </c>
      <c r="F76" s="199">
        <f>F7*$D7</f>
        <v>1498.1273408239701</v>
      </c>
      <c r="G76" s="200">
        <f>G7*($D7*1.02)</f>
        <v>0</v>
      </c>
      <c r="H76" s="200">
        <f>H7*($D7*1.04)</f>
        <v>0</v>
      </c>
      <c r="I76" s="200">
        <f>I7*($D7*1.06)</f>
        <v>0</v>
      </c>
      <c r="J76" s="200">
        <f>J7*($D7*1.08)</f>
        <v>0</v>
      </c>
      <c r="K76" s="200">
        <f>K7*($D7*1.1)</f>
        <v>0</v>
      </c>
      <c r="L76" s="199">
        <f>L7*$D7</f>
        <v>1498.1273408239701</v>
      </c>
      <c r="M76" s="200">
        <f>M7*($D7*1.02)</f>
        <v>6112.3595505617977</v>
      </c>
      <c r="N76" s="200">
        <f>N7*($D7*1.04)</f>
        <v>6234.606741573034</v>
      </c>
      <c r="O76" s="200">
        <f>O7*($D7*1.06)</f>
        <v>6359.2988764044949</v>
      </c>
      <c r="P76" s="200">
        <f>P7*($D7*1.08)</f>
        <v>6486.484853932584</v>
      </c>
      <c r="Q76" s="200">
        <f>Q7*($D7*1.1)</f>
        <v>6616.2145510112368</v>
      </c>
      <c r="R76" s="199">
        <f t="shared" ref="R76:R80" si="28">SUM(F76:Q76)</f>
        <v>34805.219255131087</v>
      </c>
      <c r="S76" s="199">
        <f>S7*$D7</f>
        <v>917.60299625468144</v>
      </c>
      <c r="T76" s="200">
        <f>T7*($D7*1.02)</f>
        <v>3476.4044943820218</v>
      </c>
      <c r="U76" s="200">
        <f>U7*($D7*1.04)</f>
        <v>3545.9325842696621</v>
      </c>
      <c r="V76" s="200">
        <f>V7*($D7*1.06)</f>
        <v>1947.5352808988762</v>
      </c>
      <c r="W76" s="200">
        <f>W7*($D7*1.08)</f>
        <v>1986.4859865168535</v>
      </c>
      <c r="X76" s="201">
        <f>X7*($D7*1.1)</f>
        <v>2026.2157062471908</v>
      </c>
      <c r="Y76" s="190">
        <f>Y7*$D7</f>
        <v>786.51685393258424</v>
      </c>
      <c r="Z76" s="190">
        <f>Z7*($D7*1.02)</f>
        <v>0</v>
      </c>
      <c r="AA76" s="190">
        <f>AA7*($D7*1.04)</f>
        <v>0</v>
      </c>
      <c r="AB76" s="190">
        <f>AB7*($D7*1.06)</f>
        <v>1669.3159550561795</v>
      </c>
      <c r="AC76" s="190">
        <f>AC7*($D7*1.08)</f>
        <v>1702.702274157303</v>
      </c>
      <c r="AD76" s="190">
        <f>AD7*($D7*1.1)</f>
        <v>1736.7563196404494</v>
      </c>
      <c r="AE76" s="199">
        <f>AE7*$D7</f>
        <v>917.60299625468144</v>
      </c>
      <c r="AF76" s="200">
        <f>AF7*($D7*1.02)</f>
        <v>1871.9101123595501</v>
      </c>
      <c r="AG76" s="200">
        <f>AG7*($D7*1.04)</f>
        <v>1909.348314606741</v>
      </c>
      <c r="AH76" s="200">
        <f>AH7*($D7*1.06)</f>
        <v>1947.5352808988762</v>
      </c>
      <c r="AI76" s="200">
        <f>AI7*($D7*1.08)</f>
        <v>1986.4859865168535</v>
      </c>
      <c r="AJ76" s="201">
        <f>AJ7*($D7*1.1)</f>
        <v>2026.2157062471908</v>
      </c>
      <c r="AK76" s="190">
        <f t="shared" ref="AK76:AK80" si="29">SUM(S76:AJ76)</f>
        <v>30454.566848239694</v>
      </c>
      <c r="AL76" s="199">
        <f>AL7*$D7</f>
        <v>187.26591760299627</v>
      </c>
      <c r="AM76" s="200">
        <f>AM7*($D7*1.02)</f>
        <v>382.02247191011236</v>
      </c>
      <c r="AN76" s="200">
        <f>AN7*($D7*1.04)</f>
        <v>3896.629213483146</v>
      </c>
      <c r="AO76" s="200">
        <f>AO7*($D7*1.06)</f>
        <v>397.45617977528093</v>
      </c>
      <c r="AP76" s="200">
        <f>AP7*($D7*1.08)</f>
        <v>4054.0530337078649</v>
      </c>
      <c r="AQ76" s="201">
        <f>AQ7*($D7*1.1)</f>
        <v>4135.1340943820223</v>
      </c>
      <c r="AR76" s="190">
        <f>AR7*$D7</f>
        <v>1685.3932584269662</v>
      </c>
      <c r="AS76" s="190">
        <f>AS7*($D7*1.02)</f>
        <v>3438.2022471910109</v>
      </c>
      <c r="AT76" s="190">
        <f>AT7*($D7*1.04)</f>
        <v>0</v>
      </c>
      <c r="AU76" s="190">
        <f>AU7*($D7*1.06)</f>
        <v>3577.1056179775283</v>
      </c>
      <c r="AV76" s="190">
        <f>AV7*($D7*1.08)</f>
        <v>0</v>
      </c>
      <c r="AW76" s="190">
        <f>AW7*($D7*1.1)</f>
        <v>0</v>
      </c>
      <c r="AX76" s="206">
        <f t="shared" ref="AX76:AX80" si="30">SUM(AL76:AW76)</f>
        <v>21753.26203445693</v>
      </c>
      <c r="AY76" s="137">
        <f t="shared" ref="AY76:AY80" si="31">R76+AK76+AX76</f>
        <v>87013.048137827718</v>
      </c>
    </row>
    <row r="77" spans="1:51" x14ac:dyDescent="0.3">
      <c r="A77" s="24" t="s">
        <v>485</v>
      </c>
      <c r="F77" s="199">
        <f>F8*$D8*6</f>
        <v>2373.0337078651687</v>
      </c>
      <c r="G77" s="200">
        <f>G8*($D8*1.02)</f>
        <v>0</v>
      </c>
      <c r="H77" s="200">
        <f>H8*($D8*1.04)</f>
        <v>0</v>
      </c>
      <c r="I77" s="200">
        <f>I8*($D8*1.06)</f>
        <v>0</v>
      </c>
      <c r="J77" s="200">
        <f>J8*($D8*1.08)</f>
        <v>0</v>
      </c>
      <c r="K77" s="200">
        <f>K8*($D8*1.1)</f>
        <v>0</v>
      </c>
      <c r="L77" s="199">
        <f>L8*$D8*6</f>
        <v>2373.0337078651687</v>
      </c>
      <c r="M77" s="200">
        <f>M8*($D8*1.02)*6</f>
        <v>9681.9775280898884</v>
      </c>
      <c r="N77" s="200">
        <f>N8*($D8*1.04)*6</f>
        <v>9875.6170786516868</v>
      </c>
      <c r="O77" s="200">
        <f>O8*($D8*1.06)*6</f>
        <v>10073.129420224719</v>
      </c>
      <c r="P77" s="200">
        <f>P8*($D8*1.08)*6</f>
        <v>10274.592008629215</v>
      </c>
      <c r="Q77" s="200">
        <f>Q8*($D8*1.1)*6</f>
        <v>5240.041924400899</v>
      </c>
      <c r="R77" s="199">
        <f t="shared" si="28"/>
        <v>49891.425375726743</v>
      </c>
      <c r="S77" s="199">
        <f>S8*$D8*6</f>
        <v>1453.4831460674154</v>
      </c>
      <c r="T77" s="200">
        <f>T8*($D8*1.02)*6</f>
        <v>5506.6247191011234</v>
      </c>
      <c r="U77" s="200">
        <f>U8*($D8*1.04)*6</f>
        <v>5616.7572134831453</v>
      </c>
      <c r="V77" s="200">
        <f>V8*($D8*1.06)*6</f>
        <v>3084.8958849438195</v>
      </c>
      <c r="W77" s="200">
        <f>W8*($D8*1.08)*6</f>
        <v>3146.5938026426975</v>
      </c>
      <c r="X77" s="201">
        <f>X8*($D8*1.1)*6</f>
        <v>1604.7628393477753</v>
      </c>
      <c r="Y77" s="190">
        <f>Y8*$D8*6</f>
        <v>1245.8426966292132</v>
      </c>
      <c r="Z77" s="190">
        <f>Z8*($D8*1.02)</f>
        <v>0</v>
      </c>
      <c r="AA77" s="190">
        <f>AA8*($D8*1.04)</f>
        <v>0</v>
      </c>
      <c r="AB77" s="190">
        <f>AB8*($D8*1.06)*6</f>
        <v>2644.1964728089883</v>
      </c>
      <c r="AC77" s="190">
        <f>AC8*($D8*1.08)*6</f>
        <v>2697.0804022651691</v>
      </c>
      <c r="AD77" s="190">
        <f>AD8*($D8*1.1)*6</f>
        <v>1375.5110051552358</v>
      </c>
      <c r="AE77" s="199">
        <f>AE8*$D8*6</f>
        <v>1453.4831460674154</v>
      </c>
      <c r="AF77" s="200">
        <f>AF8*($D8*1.02)*6</f>
        <v>2965.1056179775278</v>
      </c>
      <c r="AG77" s="200">
        <f>AG8*($D8*1.04)*6</f>
        <v>3024.4077303370782</v>
      </c>
      <c r="AH77" s="200">
        <f>AH8*($D8*1.06)*6</f>
        <v>3084.8958849438195</v>
      </c>
      <c r="AI77" s="200">
        <f>AI8*($D8*1.08)*6</f>
        <v>3146.5938026426975</v>
      </c>
      <c r="AJ77" s="201">
        <f>AJ8*($D8*1.1)*6</f>
        <v>1604.7628393477753</v>
      </c>
      <c r="AK77" s="190">
        <f t="shared" si="29"/>
        <v>43654.997203760897</v>
      </c>
      <c r="AL77" s="199">
        <f>AL8*$D8*6</f>
        <v>296.62921348314609</v>
      </c>
      <c r="AM77" s="200">
        <f>AM8*($D8*1.02)*6</f>
        <v>605.12359550561803</v>
      </c>
      <c r="AN77" s="200">
        <f>AN8*($D8*1.04)*6</f>
        <v>6172.2606741573045</v>
      </c>
      <c r="AO77" s="200">
        <f>AO8*($D8*1.06)*6</f>
        <v>629.57058876404494</v>
      </c>
      <c r="AP77" s="200">
        <f>AP8*($D8*1.08)*6</f>
        <v>6421.6200053932589</v>
      </c>
      <c r="AQ77" s="201">
        <f>AQ8*($D8*1.1)*6</f>
        <v>3275.0262027505619</v>
      </c>
      <c r="AR77" s="190">
        <f>AR8*$D8*6</f>
        <v>2669.6629213483147</v>
      </c>
      <c r="AS77" s="190">
        <f>AS8*($D8*1.02)*6</f>
        <v>5446.1123595505624</v>
      </c>
      <c r="AT77" s="190">
        <f>AT8*($D8*1.04)</f>
        <v>0</v>
      </c>
      <c r="AU77" s="190">
        <f>AU8*($D8*1.06)*6</f>
        <v>5666.1352988764047</v>
      </c>
      <c r="AV77" s="190">
        <f>AV8*($D8*1.08)</f>
        <v>0</v>
      </c>
      <c r="AW77" s="190">
        <f>AW8*($D8*1.1)</f>
        <v>0</v>
      </c>
      <c r="AX77" s="206">
        <f t="shared" si="30"/>
        <v>31182.140859829218</v>
      </c>
      <c r="AY77" s="137">
        <f t="shared" si="31"/>
        <v>124728.56343931686</v>
      </c>
    </row>
    <row r="78" spans="1:51" x14ac:dyDescent="0.3">
      <c r="A78" s="24" t="s">
        <v>486</v>
      </c>
      <c r="F78" s="199">
        <f>F9*$D9*29</f>
        <v>8545.0012841091484</v>
      </c>
      <c r="G78" s="200">
        <f>G9*($D9*1.02)</f>
        <v>0</v>
      </c>
      <c r="H78" s="200">
        <f>H9*($D9*1.04)</f>
        <v>0</v>
      </c>
      <c r="I78" s="200">
        <f>I9*($D9*1.06)</f>
        <v>0</v>
      </c>
      <c r="J78" s="200">
        <f>J9*($D9*1.08)</f>
        <v>0</v>
      </c>
      <c r="K78" s="200">
        <f>K9*($D9*1.1)</f>
        <v>0</v>
      </c>
      <c r="L78" s="199">
        <f>L9*$D9*29</f>
        <v>8545.0012841091484</v>
      </c>
      <c r="M78" s="200">
        <f>M9*($D9*1.02)*29</f>
        <v>34863.605239165328</v>
      </c>
      <c r="N78" s="200">
        <f>N9*($D9*1.04)*29</f>
        <v>35560.877343948639</v>
      </c>
      <c r="O78" s="200">
        <f>O9*($D9*1.06)*29</f>
        <v>36272.094890827611</v>
      </c>
      <c r="P78" s="200">
        <f>P9*($D9*1.08)*29</f>
        <v>36997.536788644167</v>
      </c>
      <c r="Q78" s="200">
        <f>Q9*($D9*1.1)*29</f>
        <v>18868.74376220852</v>
      </c>
      <c r="R78" s="199">
        <f t="shared" si="28"/>
        <v>179652.86059301256</v>
      </c>
      <c r="S78" s="199">
        <f>S9*$D9*29</f>
        <v>5233.8132865168536</v>
      </c>
      <c r="T78" s="200">
        <f>T9*($D9*1.02)*29</f>
        <v>19828.67547977528</v>
      </c>
      <c r="U78" s="200">
        <f>U9*($D9*1.04)*29</f>
        <v>20225.248989370783</v>
      </c>
      <c r="V78" s="200">
        <f>V9*($D9*1.06)*29</f>
        <v>11108.329060315953</v>
      </c>
      <c r="W78" s="200">
        <f>W9*($D9*1.08)*29</f>
        <v>11330.495641522273</v>
      </c>
      <c r="X78" s="201">
        <f>X9*($D9*1.1)*29</f>
        <v>5778.5527771763591</v>
      </c>
      <c r="Y78" s="190">
        <f>Y9*$D9*29</f>
        <v>4486.1256741573025</v>
      </c>
      <c r="Z78" s="190">
        <f>Z9*($D9*1.02)</f>
        <v>0</v>
      </c>
      <c r="AA78" s="190">
        <f>AA9*($D9*1.04)</f>
        <v>0</v>
      </c>
      <c r="AB78" s="190">
        <f>AB9*($D9*1.06)*29</f>
        <v>9521.4249088422439</v>
      </c>
      <c r="AC78" s="190">
        <f>AC9*($D9*1.08)*29</f>
        <v>9711.8534070190908</v>
      </c>
      <c r="AD78" s="190">
        <f>AD9*($D9*1.1)*29</f>
        <v>4953.0452375797358</v>
      </c>
      <c r="AE78" s="199">
        <f>AE9*$D9*29</f>
        <v>5233.8132865168536</v>
      </c>
      <c r="AF78" s="200">
        <f>AF9*($D9*1.02)*29</f>
        <v>10676.979104494381</v>
      </c>
      <c r="AG78" s="200">
        <f>AG9*($D9*1.04)*29</f>
        <v>10890.51868658427</v>
      </c>
      <c r="AH78" s="200">
        <f>AH9*($D9*1.06)*29</f>
        <v>11108.329060315953</v>
      </c>
      <c r="AI78" s="200">
        <f>AI9*($D9*1.08)*29</f>
        <v>11330.495641522273</v>
      </c>
      <c r="AJ78" s="201">
        <f>AJ9*($D9*1.1)*29</f>
        <v>5778.5527771763591</v>
      </c>
      <c r="AK78" s="190">
        <f t="shared" si="29"/>
        <v>157196.25301888597</v>
      </c>
      <c r="AL78" s="199">
        <f>AL9*$D9*29</f>
        <v>1068.1251605136436</v>
      </c>
      <c r="AM78" s="200">
        <f>AM9*($D9*1.02)*29</f>
        <v>2178.975327447833</v>
      </c>
      <c r="AN78" s="200">
        <f>AN9*($D9*1.04)*29</f>
        <v>22225.5483399679</v>
      </c>
      <c r="AO78" s="200">
        <f>AO9*($D9*1.06)*29</f>
        <v>2267.0059306767257</v>
      </c>
      <c r="AP78" s="200">
        <f>AP9*($D9*1.08)*29</f>
        <v>23123.460492902606</v>
      </c>
      <c r="AQ78" s="201">
        <f>AQ9*($D9*1.1)*29</f>
        <v>11792.964851380326</v>
      </c>
      <c r="AR78" s="190">
        <f>AR9*$D9*29</f>
        <v>9613.1264446227942</v>
      </c>
      <c r="AS78" s="190">
        <f>AS9*($D9*1.02)*29</f>
        <v>19610.777947030503</v>
      </c>
      <c r="AT78" s="190">
        <f>AT9*($D9*1.04)</f>
        <v>0</v>
      </c>
      <c r="AU78" s="190">
        <f>AU9*($D9*1.06)*29</f>
        <v>20403.053376090527</v>
      </c>
      <c r="AV78" s="190">
        <f>AV9*($D9*1.08)</f>
        <v>0</v>
      </c>
      <c r="AW78" s="190">
        <f>AW9*($D9*1.1)</f>
        <v>0</v>
      </c>
      <c r="AX78" s="206">
        <f t="shared" si="30"/>
        <v>112283.03787063285</v>
      </c>
      <c r="AY78" s="137">
        <f t="shared" si="31"/>
        <v>449132.15148253134</v>
      </c>
    </row>
    <row r="79" spans="1:51" x14ac:dyDescent="0.3">
      <c r="A79" s="24" t="s">
        <v>488</v>
      </c>
      <c r="F79" s="199">
        <f>F11*$D11</f>
        <v>769.94261637239174</v>
      </c>
      <c r="G79" s="200">
        <f>G11*($D11*1.02)</f>
        <v>0</v>
      </c>
      <c r="H79" s="200">
        <f>H11*($D11*1.04)</f>
        <v>0</v>
      </c>
      <c r="I79" s="200">
        <f>I11*($D11*1.06)</f>
        <v>0</v>
      </c>
      <c r="J79" s="200">
        <f>J11*($D11*1.08)</f>
        <v>0</v>
      </c>
      <c r="K79" s="200">
        <f>K11*($D11*1.1)</f>
        <v>0</v>
      </c>
      <c r="L79" s="199">
        <f>L11*$D11</f>
        <v>769.94261637239174</v>
      </c>
      <c r="M79" s="200">
        <f>M11*($D11*1.02)</f>
        <v>6282.7317495987163</v>
      </c>
      <c r="N79" s="200">
        <f>N11*($D11*1.04)</f>
        <v>6408.3863845906908</v>
      </c>
      <c r="O79" s="200">
        <f>O11*($D11*1.06)</f>
        <v>6536.5541122825043</v>
      </c>
      <c r="P79" s="200">
        <f>P11*($D11*1.08)</f>
        <v>6667.2851945281536</v>
      </c>
      <c r="Q79" s="200">
        <f>Q11*($D11*1.1)</f>
        <v>3400.3154492093595</v>
      </c>
      <c r="R79" s="199">
        <f t="shared" si="28"/>
        <v>30835.15812295421</v>
      </c>
      <c r="S79" s="199">
        <f>S11*$D11</f>
        <v>471.58985252808981</v>
      </c>
      <c r="T79" s="200">
        <f>T11*($D11*1.02)</f>
        <v>3573.3036825842696</v>
      </c>
      <c r="U79" s="200">
        <f>U11*($D11*1.04)</f>
        <v>3644.7697562359549</v>
      </c>
      <c r="V79" s="200">
        <f>V11*($D11*1.06)</f>
        <v>2001.8196968865163</v>
      </c>
      <c r="W79" s="200">
        <f>W11*($D11*1.08)</f>
        <v>2041.8560908242466</v>
      </c>
      <c r="X79" s="201">
        <f>X11*($D11*1.1)</f>
        <v>1041.3466063203662</v>
      </c>
      <c r="Y79" s="190">
        <f>Y11*$D11</f>
        <v>404.21987359550559</v>
      </c>
      <c r="Z79" s="190">
        <f>Z11*($D11*1.02)</f>
        <v>0</v>
      </c>
      <c r="AA79" s="190">
        <f>AA11*($D11*1.04)</f>
        <v>0</v>
      </c>
      <c r="AB79" s="190">
        <f>AB11*($D11*1.06)</f>
        <v>1715.8454544741571</v>
      </c>
      <c r="AC79" s="190">
        <f>AC11*($D11*1.08)</f>
        <v>1750.1623635636399</v>
      </c>
      <c r="AD79" s="190">
        <f>AD11*($D11*1.1)</f>
        <v>892.5828054174566</v>
      </c>
      <c r="AE79" s="199">
        <f>AE11*$D11</f>
        <v>471.58985252808981</v>
      </c>
      <c r="AF79" s="200">
        <f>AF11*($D11*1.02)</f>
        <v>1924.0865983146064</v>
      </c>
      <c r="AG79" s="200">
        <f>AG11*($D11*1.04)</f>
        <v>1962.5683302808989</v>
      </c>
      <c r="AH79" s="200">
        <f>AH11*($D11*1.06)</f>
        <v>2001.8196968865163</v>
      </c>
      <c r="AI79" s="200">
        <f>AI11*($D11*1.08)</f>
        <v>2041.8560908242466</v>
      </c>
      <c r="AJ79" s="201">
        <f>AJ11*($D11*1.1)</f>
        <v>1041.3466063203662</v>
      </c>
      <c r="AK79" s="190">
        <f t="shared" si="29"/>
        <v>26980.763357584929</v>
      </c>
      <c r="AL79" s="199">
        <f>AL11*$D11</f>
        <v>96.242827046548967</v>
      </c>
      <c r="AM79" s="200">
        <f>AM11*($D11*1.02)</f>
        <v>392.67073434991977</v>
      </c>
      <c r="AN79" s="200">
        <f>AN11*($D11*1.04)</f>
        <v>4005.2414903691815</v>
      </c>
      <c r="AO79" s="200">
        <f>AO11*($D11*1.06)</f>
        <v>408.53463201765652</v>
      </c>
      <c r="AP79" s="200">
        <f>AP11*($D11*1.08)</f>
        <v>4167.0532465800961</v>
      </c>
      <c r="AQ79" s="201">
        <f>AQ11*($D11*1.1)</f>
        <v>2125.19715575585</v>
      </c>
      <c r="AR79" s="190">
        <f>AR11*$D11</f>
        <v>866.18544341894062</v>
      </c>
      <c r="AS79" s="190">
        <f>AS11*($D11*1.02)</f>
        <v>3534.0366091492774</v>
      </c>
      <c r="AT79" s="190">
        <f>AT11*($D11*1.04)</f>
        <v>0</v>
      </c>
      <c r="AU79" s="190">
        <f>AU11*($D11*1.06)</f>
        <v>3676.8116881589085</v>
      </c>
      <c r="AV79" s="190">
        <f>AV11*($D11*1.08)</f>
        <v>0</v>
      </c>
      <c r="AW79" s="190">
        <f>AW11*($D11*1.1)</f>
        <v>0</v>
      </c>
      <c r="AX79" s="206">
        <f t="shared" si="30"/>
        <v>19271.973826846381</v>
      </c>
      <c r="AY79" s="137">
        <f t="shared" si="31"/>
        <v>77087.895307385523</v>
      </c>
    </row>
    <row r="80" spans="1:51" x14ac:dyDescent="0.3">
      <c r="A80" s="24" t="s">
        <v>489</v>
      </c>
      <c r="F80" s="199">
        <f>F12*$D12</f>
        <v>2616.3665843579338</v>
      </c>
      <c r="G80" s="200">
        <f>G12*($D12*1.02)</f>
        <v>0</v>
      </c>
      <c r="H80" s="200">
        <f>H12*($D12*1.04)</f>
        <v>0</v>
      </c>
      <c r="I80" s="200">
        <f>I12*($D12*1.06)</f>
        <v>0</v>
      </c>
      <c r="J80" s="200">
        <f>J12*($D12*1.08)</f>
        <v>0</v>
      </c>
      <c r="K80" s="200">
        <f>K12*($D12*1.1)</f>
        <v>0</v>
      </c>
      <c r="L80" s="199">
        <f>L12*$D12</f>
        <v>2616.3665843579338</v>
      </c>
      <c r="M80" s="200">
        <f>M12*($D12*1.02)</f>
        <v>7116.5171094535799</v>
      </c>
      <c r="N80" s="200">
        <f>N12*($D12*1.04)</f>
        <v>7258.8474516426522</v>
      </c>
      <c r="O80" s="200">
        <f>O12*($D12*1.06)</f>
        <v>7404.0244006755047</v>
      </c>
      <c r="P80" s="200">
        <f>P12*($D12*1.08)</f>
        <v>7552.1048886890167</v>
      </c>
      <c r="Q80" s="200">
        <f>Q12*($D12*1.1)</f>
        <v>7703.1469864627961</v>
      </c>
      <c r="R80" s="199">
        <f t="shared" si="28"/>
        <v>42267.374005639416</v>
      </c>
      <c r="S80" s="199">
        <f>S12*$D12</f>
        <v>1602.5245329192344</v>
      </c>
      <c r="T80" s="200">
        <f>T12*($D12*1.02)</f>
        <v>4047.5191060017223</v>
      </c>
      <c r="U80" s="200">
        <f>U12*($D12*1.04)</f>
        <v>4128.4694881217583</v>
      </c>
      <c r="V80" s="200">
        <f>V12*($D12*1.06)</f>
        <v>2267.4824727068731</v>
      </c>
      <c r="W80" s="200">
        <f>W12*($D12*1.08)</f>
        <v>2312.8321221610113</v>
      </c>
      <c r="X80" s="201">
        <f>X12*($D12*1.1)</f>
        <v>2359.0887646042311</v>
      </c>
      <c r="Y80" s="190">
        <f>Y12*$D12</f>
        <v>1373.5924567879151</v>
      </c>
      <c r="Z80" s="190">
        <f>Z12*($D12*1.02)</f>
        <v>0</v>
      </c>
      <c r="AA80" s="190">
        <f>AA12*($D12*1.04)</f>
        <v>0</v>
      </c>
      <c r="AB80" s="190">
        <f>AB12*($D12*1.06)</f>
        <v>1943.5564051773197</v>
      </c>
      <c r="AC80" s="190">
        <f>AC12*($D12*1.08)</f>
        <v>1982.4275332808666</v>
      </c>
      <c r="AD80" s="190">
        <f>AD12*($D12*1.1)</f>
        <v>2022.0760839464838</v>
      </c>
      <c r="AE80" s="199">
        <f>AE12*$D12</f>
        <v>1602.5245329192344</v>
      </c>
      <c r="AF80" s="200">
        <f>AF12*($D12*1.02)</f>
        <v>2179.4333647701583</v>
      </c>
      <c r="AG80" s="200">
        <f>AG12*($D12*1.04)</f>
        <v>2223.0220320655617</v>
      </c>
      <c r="AH80" s="200">
        <f>AH12*($D12*1.06)</f>
        <v>2267.4824727068731</v>
      </c>
      <c r="AI80" s="200">
        <f>AI12*($D12*1.08)</f>
        <v>2312.8321221610113</v>
      </c>
      <c r="AJ80" s="201">
        <f>AJ12*($D12*1.1)</f>
        <v>2359.0887646042311</v>
      </c>
      <c r="AK80" s="190">
        <f t="shared" si="29"/>
        <v>36983.952254934484</v>
      </c>
      <c r="AL80" s="199">
        <f>AL12*$D12</f>
        <v>327.04582304474172</v>
      </c>
      <c r="AM80" s="200">
        <f>AM12*($D12*1.02)</f>
        <v>444.78231934084874</v>
      </c>
      <c r="AN80" s="200">
        <f>AN12*($D12*1.04)</f>
        <v>4536.7796572766583</v>
      </c>
      <c r="AO80" s="200">
        <f>AO12*($D12*1.06)</f>
        <v>462.75152504221904</v>
      </c>
      <c r="AP80" s="200">
        <f>AP12*($D12*1.08)</f>
        <v>4720.065555430635</v>
      </c>
      <c r="AQ80" s="201">
        <f>AQ12*($D12*1.1)</f>
        <v>4814.4668665392473</v>
      </c>
      <c r="AR80" s="190">
        <f>AR12*$D12</f>
        <v>2943.4124074026754</v>
      </c>
      <c r="AS80" s="190">
        <f>AS12*($D12*1.02)</f>
        <v>4003.0408740676385</v>
      </c>
      <c r="AT80" s="190">
        <f>AT12*($D12*1.04)</f>
        <v>0</v>
      </c>
      <c r="AU80" s="190">
        <f>AU12*($D12*1.06)</f>
        <v>4164.7637253799721</v>
      </c>
      <c r="AV80" s="190">
        <f>AV12*($D12*1.08)</f>
        <v>0</v>
      </c>
      <c r="AW80" s="190">
        <f>AW12*($D12*1.1)</f>
        <v>0</v>
      </c>
      <c r="AX80" s="206">
        <f t="shared" si="30"/>
        <v>26417.108753524637</v>
      </c>
      <c r="AY80" s="137">
        <f t="shared" si="31"/>
        <v>105668.43501409853</v>
      </c>
    </row>
    <row r="81" spans="1:76" x14ac:dyDescent="0.3">
      <c r="A81" s="154" t="s">
        <v>544</v>
      </c>
      <c r="B81" s="162"/>
      <c r="C81" s="162"/>
      <c r="D81" s="47"/>
      <c r="E81" s="162"/>
      <c r="F81" s="246">
        <f>SUM(F75:F80)</f>
        <v>27038.426589708386</v>
      </c>
      <c r="G81" s="247">
        <f t="shared" ref="G81:AY81" si="32">SUM(G75:G80)</f>
        <v>0</v>
      </c>
      <c r="H81" s="247">
        <f t="shared" si="32"/>
        <v>0</v>
      </c>
      <c r="I81" s="247">
        <f t="shared" si="32"/>
        <v>0</v>
      </c>
      <c r="J81" s="247">
        <f t="shared" si="32"/>
        <v>0</v>
      </c>
      <c r="K81" s="247">
        <f t="shared" si="32"/>
        <v>0</v>
      </c>
      <c r="L81" s="246">
        <f t="shared" si="32"/>
        <v>27038.426589708386</v>
      </c>
      <c r="M81" s="247">
        <f t="shared" si="32"/>
        <v>109899.8878060828</v>
      </c>
      <c r="N81" s="247">
        <f t="shared" si="32"/>
        <v>112097.88556220445</v>
      </c>
      <c r="O81" s="247">
        <f t="shared" si="32"/>
        <v>114339.84327344855</v>
      </c>
      <c r="P81" s="247">
        <f t="shared" si="32"/>
        <v>116626.64013891753</v>
      </c>
      <c r="Q81" s="247">
        <f t="shared" si="32"/>
        <v>66639.267239584951</v>
      </c>
      <c r="R81" s="248">
        <f t="shared" si="32"/>
        <v>573680.37719965505</v>
      </c>
      <c r="S81" s="246">
        <f t="shared" si="32"/>
        <v>16561.036286196388</v>
      </c>
      <c r="T81" s="247">
        <f t="shared" si="32"/>
        <v>62505.561189709588</v>
      </c>
      <c r="U81" s="247">
        <f t="shared" si="32"/>
        <v>63755.672413503773</v>
      </c>
      <c r="V81" s="247">
        <f t="shared" si="32"/>
        <v>35016.577002493606</v>
      </c>
      <c r="W81" s="247">
        <f t="shared" si="32"/>
        <v>35716.908542543482</v>
      </c>
      <c r="X81" s="249">
        <f t="shared" si="32"/>
        <v>20408.275592122889</v>
      </c>
      <c r="Y81" s="247">
        <f t="shared" si="32"/>
        <v>14195.173959596905</v>
      </c>
      <c r="Z81" s="247">
        <f t="shared" si="32"/>
        <v>0</v>
      </c>
      <c r="AA81" s="247">
        <f t="shared" si="32"/>
        <v>0</v>
      </c>
      <c r="AB81" s="247">
        <f t="shared" si="32"/>
        <v>30014.208859280236</v>
      </c>
      <c r="AC81" s="247">
        <f t="shared" si="32"/>
        <v>30614.493036465843</v>
      </c>
      <c r="AD81" s="247">
        <f t="shared" si="32"/>
        <v>17492.807650391049</v>
      </c>
      <c r="AE81" s="246">
        <f t="shared" si="32"/>
        <v>16561.036286196388</v>
      </c>
      <c r="AF81" s="247">
        <f t="shared" si="32"/>
        <v>33656.840640612856</v>
      </c>
      <c r="AG81" s="247">
        <f t="shared" si="32"/>
        <v>34329.977453425112</v>
      </c>
      <c r="AH81" s="247">
        <f t="shared" si="32"/>
        <v>35016.577002493606</v>
      </c>
      <c r="AI81" s="247">
        <f t="shared" si="32"/>
        <v>35716.908542543482</v>
      </c>
      <c r="AJ81" s="249">
        <f t="shared" si="32"/>
        <v>20408.275592122889</v>
      </c>
      <c r="AK81" s="250">
        <f t="shared" si="32"/>
        <v>501970.33004969812</v>
      </c>
      <c r="AL81" s="246">
        <f t="shared" si="32"/>
        <v>3379.8033237135483</v>
      </c>
      <c r="AM81" s="247">
        <f t="shared" si="32"/>
        <v>6868.742987880175</v>
      </c>
      <c r="AN81" s="247">
        <f t="shared" si="32"/>
        <v>70061.178476377783</v>
      </c>
      <c r="AO81" s="247">
        <f t="shared" si="32"/>
        <v>7146.2402045905346</v>
      </c>
      <c r="AP81" s="247">
        <f t="shared" si="32"/>
        <v>72891.650086823443</v>
      </c>
      <c r="AQ81" s="249">
        <f t="shared" si="32"/>
        <v>41649.542024740585</v>
      </c>
      <c r="AR81" s="247">
        <f t="shared" si="32"/>
        <v>30418.229913421939</v>
      </c>
      <c r="AS81" s="247">
        <f t="shared" si="32"/>
        <v>61818.68689092157</v>
      </c>
      <c r="AT81" s="247">
        <f t="shared" si="32"/>
        <v>0</v>
      </c>
      <c r="AU81" s="247">
        <f t="shared" si="32"/>
        <v>64316.161841314803</v>
      </c>
      <c r="AV81" s="247">
        <f t="shared" si="32"/>
        <v>0</v>
      </c>
      <c r="AW81" s="247">
        <f t="shared" si="32"/>
        <v>0</v>
      </c>
      <c r="AX81" s="244">
        <f t="shared" si="32"/>
        <v>358550.23574978445</v>
      </c>
      <c r="AY81" s="251">
        <f t="shared" si="32"/>
        <v>1434200.9429991376</v>
      </c>
    </row>
    <row r="82" spans="1:76" x14ac:dyDescent="0.3">
      <c r="A82" s="24"/>
      <c r="F82" s="199"/>
      <c r="G82" s="200"/>
      <c r="H82" s="200"/>
      <c r="I82" s="200"/>
      <c r="J82" s="200"/>
      <c r="K82" s="200"/>
      <c r="L82" s="199"/>
      <c r="M82" s="200"/>
      <c r="N82" s="200"/>
      <c r="O82" s="200"/>
      <c r="P82" s="200"/>
      <c r="Q82" s="200"/>
      <c r="R82" s="199"/>
      <c r="S82" s="199"/>
      <c r="T82" s="200"/>
      <c r="U82" s="200"/>
      <c r="V82" s="200"/>
      <c r="W82" s="200"/>
      <c r="X82" s="201"/>
      <c r="Y82" s="190"/>
      <c r="Z82" s="190"/>
      <c r="AA82" s="190"/>
      <c r="AB82" s="190"/>
      <c r="AC82" s="190"/>
      <c r="AD82" s="190"/>
      <c r="AE82" s="199"/>
      <c r="AF82" s="200"/>
      <c r="AG82" s="200"/>
      <c r="AH82" s="200"/>
      <c r="AI82" s="200"/>
      <c r="AJ82" s="201"/>
      <c r="AK82" s="190"/>
      <c r="AL82" s="199"/>
      <c r="AM82" s="200"/>
      <c r="AN82" s="200"/>
      <c r="AO82" s="200"/>
      <c r="AP82" s="200"/>
      <c r="AQ82" s="201"/>
      <c r="AR82" s="190"/>
      <c r="AS82" s="190"/>
      <c r="AT82" s="190"/>
      <c r="AU82" s="190"/>
      <c r="AV82" s="190"/>
      <c r="AW82" s="190"/>
      <c r="AX82" s="206"/>
      <c r="AY82" s="137"/>
    </row>
    <row r="83" spans="1:76" x14ac:dyDescent="0.3">
      <c r="A83" s="128" t="s">
        <v>545</v>
      </c>
      <c r="F83" s="199"/>
      <c r="G83" s="200"/>
      <c r="H83" s="200"/>
      <c r="I83" s="200"/>
      <c r="J83" s="200"/>
      <c r="K83" s="200"/>
      <c r="L83" s="199"/>
      <c r="M83" s="200"/>
      <c r="N83" s="200"/>
      <c r="O83" s="200"/>
      <c r="P83" s="200"/>
      <c r="Q83" s="200"/>
      <c r="R83" s="199"/>
      <c r="S83" s="199"/>
      <c r="T83" s="200"/>
      <c r="U83" s="200"/>
      <c r="V83" s="200"/>
      <c r="W83" s="200"/>
      <c r="X83" s="201"/>
      <c r="Y83" s="190"/>
      <c r="Z83" s="190"/>
      <c r="AA83" s="190"/>
      <c r="AB83" s="190"/>
      <c r="AC83" s="190"/>
      <c r="AD83" s="190"/>
      <c r="AE83" s="199"/>
      <c r="AF83" s="200"/>
      <c r="AG83" s="200"/>
      <c r="AH83" s="200"/>
      <c r="AI83" s="200"/>
      <c r="AJ83" s="201"/>
      <c r="AK83" s="190"/>
      <c r="AL83" s="199"/>
      <c r="AM83" s="200"/>
      <c r="AN83" s="200"/>
      <c r="AO83" s="200"/>
      <c r="AP83" s="200"/>
      <c r="AQ83" s="201"/>
      <c r="AR83" s="190"/>
      <c r="AS83" s="190"/>
      <c r="AT83" s="190"/>
      <c r="AU83" s="190"/>
      <c r="AV83" s="190"/>
      <c r="AW83" s="190"/>
      <c r="AX83" s="206"/>
      <c r="AY83" s="137"/>
    </row>
    <row r="84" spans="1:76" x14ac:dyDescent="0.3">
      <c r="A84" s="24" t="s">
        <v>487</v>
      </c>
      <c r="F84" s="199">
        <f>F10*$D10</f>
        <v>0</v>
      </c>
      <c r="G84" s="200">
        <f t="shared" ref="G84:K84" si="33">G10*$D10</f>
        <v>0</v>
      </c>
      <c r="H84" s="200">
        <f t="shared" si="33"/>
        <v>0</v>
      </c>
      <c r="I84" s="200">
        <f t="shared" si="33"/>
        <v>0</v>
      </c>
      <c r="J84" s="200">
        <f t="shared" si="33"/>
        <v>0</v>
      </c>
      <c r="K84" s="200">
        <f t="shared" si="33"/>
        <v>0</v>
      </c>
      <c r="L84" s="199">
        <f>L10*$D10</f>
        <v>0</v>
      </c>
      <c r="M84" s="200">
        <f t="shared" ref="M84:Q84" si="34">M10*$D10</f>
        <v>9362.3595505617996</v>
      </c>
      <c r="N84" s="200">
        <f t="shared" si="34"/>
        <v>9362.3595505617996</v>
      </c>
      <c r="O84" s="200">
        <f t="shared" si="34"/>
        <v>9362.3595505617996</v>
      </c>
      <c r="P84" s="200">
        <f t="shared" si="34"/>
        <v>9362.3595505617996</v>
      </c>
      <c r="Q84" s="200">
        <f t="shared" si="34"/>
        <v>0</v>
      </c>
      <c r="R84" s="199">
        <f>SUM(F84:Q84)</f>
        <v>37449.438202247198</v>
      </c>
      <c r="S84" s="199">
        <f>S10*$D10</f>
        <v>0</v>
      </c>
      <c r="T84" s="200">
        <f t="shared" ref="T84:X84" si="35">T10*$D10</f>
        <v>5324.8419943820218</v>
      </c>
      <c r="U84" s="200">
        <f t="shared" si="35"/>
        <v>5324.8419943820218</v>
      </c>
      <c r="V84" s="200">
        <f t="shared" si="35"/>
        <v>2867.2226123595501</v>
      </c>
      <c r="W84" s="200">
        <f t="shared" si="35"/>
        <v>2867.2226123595501</v>
      </c>
      <c r="X84" s="201">
        <f t="shared" si="35"/>
        <v>0</v>
      </c>
      <c r="Y84" s="190">
        <f>Y10*$D10</f>
        <v>0</v>
      </c>
      <c r="Z84" s="190">
        <f t="shared" ref="Z84:AD84" si="36">Z10*$D10</f>
        <v>0</v>
      </c>
      <c r="AA84" s="190">
        <f t="shared" si="36"/>
        <v>0</v>
      </c>
      <c r="AB84" s="190">
        <f t="shared" si="36"/>
        <v>2457.6193820224717</v>
      </c>
      <c r="AC84" s="190">
        <f t="shared" si="36"/>
        <v>2457.6193820224717</v>
      </c>
      <c r="AD84" s="190">
        <f t="shared" si="36"/>
        <v>0</v>
      </c>
      <c r="AE84" s="199">
        <f>AE10*$D10</f>
        <v>0</v>
      </c>
      <c r="AF84" s="200">
        <f t="shared" ref="AF84:AJ84" si="37">AF10*$D10</f>
        <v>2867.2226123595501</v>
      </c>
      <c r="AG84" s="200">
        <f t="shared" si="37"/>
        <v>2867.2226123595501</v>
      </c>
      <c r="AH84" s="200">
        <f t="shared" si="37"/>
        <v>2867.2226123595501</v>
      </c>
      <c r="AI84" s="200">
        <f t="shared" si="37"/>
        <v>2867.2226123595501</v>
      </c>
      <c r="AJ84" s="201">
        <f t="shared" si="37"/>
        <v>0</v>
      </c>
      <c r="AK84" s="190">
        <f>SUM(S84:AJ84)</f>
        <v>32768.258426966291</v>
      </c>
      <c r="AL84" s="199">
        <f>AL10*$D10</f>
        <v>0</v>
      </c>
      <c r="AM84" s="200">
        <f t="shared" ref="AM84:AQ84" si="38">AM10*$D10</f>
        <v>585.14747191011247</v>
      </c>
      <c r="AN84" s="200">
        <f t="shared" si="38"/>
        <v>5851.4747191011238</v>
      </c>
      <c r="AO84" s="200">
        <f t="shared" si="38"/>
        <v>585.14747191011247</v>
      </c>
      <c r="AP84" s="200">
        <f t="shared" si="38"/>
        <v>5851.4747191011238</v>
      </c>
      <c r="AQ84" s="201">
        <f t="shared" si="38"/>
        <v>0</v>
      </c>
      <c r="AR84" s="190">
        <f>AR10*$D10</f>
        <v>0</v>
      </c>
      <c r="AS84" s="190">
        <f t="shared" ref="AS84:AW84" si="39">AS10*$D10</f>
        <v>5266.3272471910113</v>
      </c>
      <c r="AT84" s="190">
        <f t="shared" si="39"/>
        <v>0</v>
      </c>
      <c r="AU84" s="190">
        <f t="shared" si="39"/>
        <v>5266.3272471910113</v>
      </c>
      <c r="AV84" s="190">
        <f t="shared" si="39"/>
        <v>0</v>
      </c>
      <c r="AW84" s="190">
        <f t="shared" si="39"/>
        <v>0</v>
      </c>
      <c r="AX84" s="206">
        <f>SUM(AL84:AW84)</f>
        <v>23405.898876404492</v>
      </c>
      <c r="AY84" s="137">
        <f>R84+AK84+AX84</f>
        <v>93623.595505617981</v>
      </c>
    </row>
    <row r="85" spans="1:76" x14ac:dyDescent="0.3">
      <c r="A85" s="24" t="s">
        <v>490</v>
      </c>
      <c r="F85" s="199">
        <f>F13*$D13</f>
        <v>7022.4719101123601</v>
      </c>
      <c r="G85" s="200">
        <f t="shared" ref="G85:K85" si="40">G13*$D13</f>
        <v>0</v>
      </c>
      <c r="H85" s="200">
        <f t="shared" si="40"/>
        <v>0</v>
      </c>
      <c r="I85" s="200">
        <f t="shared" si="40"/>
        <v>0</v>
      </c>
      <c r="J85" s="200">
        <f t="shared" si="40"/>
        <v>0</v>
      </c>
      <c r="K85" s="200">
        <f t="shared" si="40"/>
        <v>0</v>
      </c>
      <c r="L85" s="199">
        <f>L13*$D13</f>
        <v>7022.4719101123601</v>
      </c>
      <c r="M85" s="200">
        <f t="shared" ref="M85:Q85" si="41">M13*$D13</f>
        <v>0</v>
      </c>
      <c r="N85" s="200">
        <f t="shared" si="41"/>
        <v>0</v>
      </c>
      <c r="O85" s="200">
        <f t="shared" si="41"/>
        <v>0</v>
      </c>
      <c r="P85" s="200">
        <f t="shared" si="41"/>
        <v>0</v>
      </c>
      <c r="Q85" s="200">
        <f t="shared" si="41"/>
        <v>0</v>
      </c>
      <c r="R85" s="199">
        <f>SUM(F85:Q85)</f>
        <v>14044.94382022472</v>
      </c>
      <c r="S85" s="199">
        <f>S13*$D13</f>
        <v>4301.2640449438195</v>
      </c>
      <c r="T85" s="200">
        <f t="shared" ref="T85:X85" si="42">T13*$D13</f>
        <v>0</v>
      </c>
      <c r="U85" s="200">
        <f t="shared" si="42"/>
        <v>0</v>
      </c>
      <c r="V85" s="200">
        <f t="shared" si="42"/>
        <v>0</v>
      </c>
      <c r="W85" s="200">
        <f t="shared" si="42"/>
        <v>0</v>
      </c>
      <c r="X85" s="201">
        <f t="shared" si="42"/>
        <v>0</v>
      </c>
      <c r="Y85" s="190">
        <f>Y13*$D13</f>
        <v>3686.7977528089882</v>
      </c>
      <c r="Z85" s="190">
        <f t="shared" ref="Z85:AD85" si="43">Z13*$D13</f>
        <v>0</v>
      </c>
      <c r="AA85" s="190">
        <f t="shared" si="43"/>
        <v>0</v>
      </c>
      <c r="AB85" s="190">
        <f t="shared" si="43"/>
        <v>0</v>
      </c>
      <c r="AC85" s="190">
        <f t="shared" si="43"/>
        <v>0</v>
      </c>
      <c r="AD85" s="190">
        <f t="shared" si="43"/>
        <v>0</v>
      </c>
      <c r="AE85" s="199">
        <f>AE13*$D13</f>
        <v>4301.2640449438195</v>
      </c>
      <c r="AF85" s="200">
        <f t="shared" ref="AF85:AJ85" si="44">AF13*$D13</f>
        <v>0</v>
      </c>
      <c r="AG85" s="200">
        <f t="shared" si="44"/>
        <v>0</v>
      </c>
      <c r="AH85" s="200">
        <f t="shared" si="44"/>
        <v>0</v>
      </c>
      <c r="AI85" s="200">
        <f t="shared" si="44"/>
        <v>0</v>
      </c>
      <c r="AJ85" s="201">
        <f t="shared" si="44"/>
        <v>0</v>
      </c>
      <c r="AK85" s="190">
        <f>SUM(S85:AJ85)</f>
        <v>12289.325842696628</v>
      </c>
      <c r="AL85" s="199">
        <f>AL13*$D13</f>
        <v>877.80898876404501</v>
      </c>
      <c r="AM85" s="200">
        <f t="shared" ref="AM85:AQ85" si="45">AM13*$D13</f>
        <v>0</v>
      </c>
      <c r="AN85" s="200">
        <f t="shared" si="45"/>
        <v>0</v>
      </c>
      <c r="AO85" s="200">
        <f t="shared" si="45"/>
        <v>0</v>
      </c>
      <c r="AP85" s="200">
        <f t="shared" si="45"/>
        <v>0</v>
      </c>
      <c r="AQ85" s="201">
        <f t="shared" si="45"/>
        <v>0</v>
      </c>
      <c r="AR85" s="190">
        <f>AR13*$D13</f>
        <v>7900.2808988764045</v>
      </c>
      <c r="AS85" s="190">
        <f t="shared" ref="AS85:AW85" si="46">AS13*$D13</f>
        <v>0</v>
      </c>
      <c r="AT85" s="190">
        <f t="shared" si="46"/>
        <v>0</v>
      </c>
      <c r="AU85" s="190">
        <f t="shared" si="46"/>
        <v>0</v>
      </c>
      <c r="AV85" s="190">
        <f t="shared" si="46"/>
        <v>0</v>
      </c>
      <c r="AW85" s="190">
        <f t="shared" si="46"/>
        <v>0</v>
      </c>
      <c r="AX85" s="206">
        <f>SUM(AL85:AW85)</f>
        <v>8778.0898876404499</v>
      </c>
      <c r="AY85" s="137">
        <f>R85+AK85+AX85</f>
        <v>35112.3595505618</v>
      </c>
    </row>
    <row r="86" spans="1:76" x14ac:dyDescent="0.3">
      <c r="A86" s="154" t="s">
        <v>650</v>
      </c>
      <c r="B86" s="162"/>
      <c r="C86" s="162"/>
      <c r="D86" s="47"/>
      <c r="E86" s="162"/>
      <c r="F86" s="246">
        <f t="shared" ref="F86:AY86" si="47">SUM(F84:F85)</f>
        <v>7022.4719101123601</v>
      </c>
      <c r="G86" s="247">
        <f t="shared" si="47"/>
        <v>0</v>
      </c>
      <c r="H86" s="247">
        <f t="shared" si="47"/>
        <v>0</v>
      </c>
      <c r="I86" s="247">
        <f t="shared" si="47"/>
        <v>0</v>
      </c>
      <c r="J86" s="247">
        <f t="shared" si="47"/>
        <v>0</v>
      </c>
      <c r="K86" s="247">
        <f t="shared" si="47"/>
        <v>0</v>
      </c>
      <c r="L86" s="246">
        <f t="shared" si="47"/>
        <v>7022.4719101123601</v>
      </c>
      <c r="M86" s="247">
        <f t="shared" si="47"/>
        <v>9362.3595505617996</v>
      </c>
      <c r="N86" s="247">
        <f t="shared" si="47"/>
        <v>9362.3595505617996</v>
      </c>
      <c r="O86" s="247">
        <f t="shared" si="47"/>
        <v>9362.3595505617996</v>
      </c>
      <c r="P86" s="247">
        <f t="shared" si="47"/>
        <v>9362.3595505617996</v>
      </c>
      <c r="Q86" s="247">
        <f t="shared" si="47"/>
        <v>0</v>
      </c>
      <c r="R86" s="248">
        <f t="shared" si="47"/>
        <v>51494.382022471917</v>
      </c>
      <c r="S86" s="246">
        <f t="shared" si="47"/>
        <v>4301.2640449438195</v>
      </c>
      <c r="T86" s="247">
        <f t="shared" si="47"/>
        <v>5324.8419943820218</v>
      </c>
      <c r="U86" s="247">
        <f t="shared" si="47"/>
        <v>5324.8419943820218</v>
      </c>
      <c r="V86" s="247">
        <f t="shared" si="47"/>
        <v>2867.2226123595501</v>
      </c>
      <c r="W86" s="247">
        <f t="shared" si="47"/>
        <v>2867.2226123595501</v>
      </c>
      <c r="X86" s="249">
        <f t="shared" si="47"/>
        <v>0</v>
      </c>
      <c r="Y86" s="247">
        <f t="shared" si="47"/>
        <v>3686.7977528089882</v>
      </c>
      <c r="Z86" s="247">
        <f t="shared" si="47"/>
        <v>0</v>
      </c>
      <c r="AA86" s="247">
        <f t="shared" si="47"/>
        <v>0</v>
      </c>
      <c r="AB86" s="247">
        <f t="shared" si="47"/>
        <v>2457.6193820224717</v>
      </c>
      <c r="AC86" s="247">
        <f t="shared" si="47"/>
        <v>2457.6193820224717</v>
      </c>
      <c r="AD86" s="247">
        <f t="shared" si="47"/>
        <v>0</v>
      </c>
      <c r="AE86" s="246">
        <f t="shared" si="47"/>
        <v>4301.2640449438195</v>
      </c>
      <c r="AF86" s="247">
        <f t="shared" si="47"/>
        <v>2867.2226123595501</v>
      </c>
      <c r="AG86" s="247">
        <f t="shared" si="47"/>
        <v>2867.2226123595501</v>
      </c>
      <c r="AH86" s="247">
        <f t="shared" si="47"/>
        <v>2867.2226123595501</v>
      </c>
      <c r="AI86" s="247">
        <f t="shared" si="47"/>
        <v>2867.2226123595501</v>
      </c>
      <c r="AJ86" s="249">
        <f t="shared" si="47"/>
        <v>0</v>
      </c>
      <c r="AK86" s="250">
        <f t="shared" si="47"/>
        <v>45057.584269662919</v>
      </c>
      <c r="AL86" s="246">
        <f t="shared" si="47"/>
        <v>877.80898876404501</v>
      </c>
      <c r="AM86" s="247">
        <f t="shared" si="47"/>
        <v>585.14747191011247</v>
      </c>
      <c r="AN86" s="247">
        <f t="shared" si="47"/>
        <v>5851.4747191011238</v>
      </c>
      <c r="AO86" s="247">
        <f t="shared" si="47"/>
        <v>585.14747191011247</v>
      </c>
      <c r="AP86" s="247">
        <f t="shared" si="47"/>
        <v>5851.4747191011238</v>
      </c>
      <c r="AQ86" s="249">
        <f t="shared" si="47"/>
        <v>0</v>
      </c>
      <c r="AR86" s="247">
        <f t="shared" si="47"/>
        <v>7900.2808988764045</v>
      </c>
      <c r="AS86" s="247">
        <f t="shared" si="47"/>
        <v>5266.3272471910113</v>
      </c>
      <c r="AT86" s="247">
        <f t="shared" si="47"/>
        <v>0</v>
      </c>
      <c r="AU86" s="247">
        <f t="shared" si="47"/>
        <v>5266.3272471910113</v>
      </c>
      <c r="AV86" s="247">
        <f t="shared" si="47"/>
        <v>0</v>
      </c>
      <c r="AW86" s="247">
        <f t="shared" si="47"/>
        <v>0</v>
      </c>
      <c r="AX86" s="244">
        <f t="shared" si="47"/>
        <v>32183.988764044941</v>
      </c>
      <c r="AY86" s="251">
        <f t="shared" si="47"/>
        <v>128735.95505617978</v>
      </c>
    </row>
    <row r="87" spans="1:76" x14ac:dyDescent="0.3">
      <c r="A87" s="31"/>
      <c r="F87" s="202"/>
      <c r="G87" s="192"/>
      <c r="H87" s="192"/>
      <c r="I87" s="192"/>
      <c r="J87" s="192"/>
      <c r="K87" s="192"/>
      <c r="L87" s="202"/>
      <c r="M87" s="192"/>
      <c r="N87" s="192"/>
      <c r="O87" s="192"/>
      <c r="P87" s="192"/>
      <c r="Q87" s="192"/>
      <c r="R87" s="210"/>
      <c r="S87" s="202"/>
      <c r="T87" s="192"/>
      <c r="U87" s="192"/>
      <c r="V87" s="192"/>
      <c r="W87" s="192"/>
      <c r="X87" s="203"/>
      <c r="Y87" s="192"/>
      <c r="Z87" s="192"/>
      <c r="AA87" s="192"/>
      <c r="AB87" s="192"/>
      <c r="AC87" s="192"/>
      <c r="AD87" s="192"/>
      <c r="AE87" s="202"/>
      <c r="AF87" s="192"/>
      <c r="AG87" s="192"/>
      <c r="AH87" s="192"/>
      <c r="AI87" s="192"/>
      <c r="AJ87" s="203"/>
      <c r="AK87" s="193"/>
      <c r="AL87" s="202"/>
      <c r="AM87" s="192"/>
      <c r="AN87" s="192"/>
      <c r="AO87" s="192"/>
      <c r="AP87" s="192"/>
      <c r="AQ87" s="203"/>
      <c r="AR87" s="192"/>
      <c r="AS87" s="192"/>
      <c r="AT87" s="192"/>
      <c r="AU87" s="192"/>
      <c r="AV87" s="192"/>
      <c r="AW87" s="192"/>
      <c r="AX87" s="207"/>
      <c r="AY87" s="209"/>
    </row>
    <row r="88" spans="1:76" x14ac:dyDescent="0.3">
      <c r="A88" s="154" t="s">
        <v>546</v>
      </c>
      <c r="B88" s="162"/>
      <c r="C88" s="162"/>
      <c r="D88" s="47"/>
      <c r="E88" s="162"/>
      <c r="F88" s="246">
        <f>F81+F86</f>
        <v>34060.898499820745</v>
      </c>
      <c r="G88" s="247">
        <f t="shared" ref="G88:AY88" si="48">G81+G86</f>
        <v>0</v>
      </c>
      <c r="H88" s="247">
        <f t="shared" si="48"/>
        <v>0</v>
      </c>
      <c r="I88" s="247">
        <f t="shared" si="48"/>
        <v>0</v>
      </c>
      <c r="J88" s="247">
        <f t="shared" si="48"/>
        <v>0</v>
      </c>
      <c r="K88" s="247">
        <f t="shared" si="48"/>
        <v>0</v>
      </c>
      <c r="L88" s="246">
        <f t="shared" si="48"/>
        <v>34060.898499820745</v>
      </c>
      <c r="M88" s="247">
        <f t="shared" si="48"/>
        <v>119262.2473566446</v>
      </c>
      <c r="N88" s="247">
        <f t="shared" si="48"/>
        <v>121460.24511276625</v>
      </c>
      <c r="O88" s="247">
        <f t="shared" si="48"/>
        <v>123702.20282401035</v>
      </c>
      <c r="P88" s="247">
        <f t="shared" si="48"/>
        <v>125988.99968947933</v>
      </c>
      <c r="Q88" s="247">
        <f t="shared" si="48"/>
        <v>66639.267239584951</v>
      </c>
      <c r="R88" s="248">
        <f t="shared" si="48"/>
        <v>625174.75922212692</v>
      </c>
      <c r="S88" s="246">
        <f t="shared" si="48"/>
        <v>20862.300331140206</v>
      </c>
      <c r="T88" s="247">
        <f t="shared" si="48"/>
        <v>67830.403184091614</v>
      </c>
      <c r="U88" s="247">
        <f t="shared" si="48"/>
        <v>69080.514407885799</v>
      </c>
      <c r="V88" s="247">
        <f t="shared" si="48"/>
        <v>37883.799614853153</v>
      </c>
      <c r="W88" s="247">
        <f t="shared" si="48"/>
        <v>38584.131154903036</v>
      </c>
      <c r="X88" s="249">
        <f t="shared" si="48"/>
        <v>20408.275592122889</v>
      </c>
      <c r="Y88" s="247">
        <f t="shared" si="48"/>
        <v>17881.971712405892</v>
      </c>
      <c r="Z88" s="247">
        <f t="shared" si="48"/>
        <v>0</v>
      </c>
      <c r="AA88" s="247">
        <f t="shared" si="48"/>
        <v>0</v>
      </c>
      <c r="AB88" s="247">
        <f t="shared" si="48"/>
        <v>32471.828241302708</v>
      </c>
      <c r="AC88" s="247">
        <f t="shared" si="48"/>
        <v>33072.112418488316</v>
      </c>
      <c r="AD88" s="247">
        <f t="shared" si="48"/>
        <v>17492.807650391049</v>
      </c>
      <c r="AE88" s="246">
        <f t="shared" si="48"/>
        <v>20862.300331140206</v>
      </c>
      <c r="AF88" s="247">
        <f t="shared" si="48"/>
        <v>36524.06325297241</v>
      </c>
      <c r="AG88" s="247">
        <f t="shared" si="48"/>
        <v>37197.200065784666</v>
      </c>
      <c r="AH88" s="247">
        <f t="shared" si="48"/>
        <v>37883.799614853153</v>
      </c>
      <c r="AI88" s="247">
        <f t="shared" si="48"/>
        <v>38584.131154903036</v>
      </c>
      <c r="AJ88" s="249">
        <f t="shared" si="48"/>
        <v>20408.275592122889</v>
      </c>
      <c r="AK88" s="250">
        <f t="shared" si="48"/>
        <v>547027.91431936109</v>
      </c>
      <c r="AL88" s="246">
        <f t="shared" si="48"/>
        <v>4257.6123124775932</v>
      </c>
      <c r="AM88" s="247">
        <f t="shared" si="48"/>
        <v>7453.8904597902874</v>
      </c>
      <c r="AN88" s="247">
        <f t="shared" si="48"/>
        <v>75912.65319547891</v>
      </c>
      <c r="AO88" s="247">
        <f t="shared" si="48"/>
        <v>7731.3876765006471</v>
      </c>
      <c r="AP88" s="247">
        <f t="shared" si="48"/>
        <v>78743.12480592457</v>
      </c>
      <c r="AQ88" s="249">
        <f t="shared" si="48"/>
        <v>41649.542024740585</v>
      </c>
      <c r="AR88" s="247">
        <f t="shared" si="48"/>
        <v>38318.510812298344</v>
      </c>
      <c r="AS88" s="247">
        <f t="shared" si="48"/>
        <v>67085.014138112587</v>
      </c>
      <c r="AT88" s="247">
        <f t="shared" si="48"/>
        <v>0</v>
      </c>
      <c r="AU88" s="247">
        <f t="shared" si="48"/>
        <v>69582.489088505812</v>
      </c>
      <c r="AV88" s="247">
        <f t="shared" si="48"/>
        <v>0</v>
      </c>
      <c r="AW88" s="247">
        <f t="shared" si="48"/>
        <v>0</v>
      </c>
      <c r="AX88" s="244">
        <f t="shared" si="48"/>
        <v>390734.22451382939</v>
      </c>
      <c r="AY88" s="251">
        <f t="shared" si="48"/>
        <v>1562936.8980553173</v>
      </c>
    </row>
    <row r="89" spans="1:76" x14ac:dyDescent="0.3">
      <c r="A89" s="128" t="s">
        <v>547</v>
      </c>
      <c r="F89" s="134"/>
      <c r="G89" s="135"/>
      <c r="H89" s="135"/>
      <c r="I89" s="135"/>
      <c r="J89" s="135"/>
      <c r="K89" s="135"/>
      <c r="L89" s="134"/>
      <c r="M89" s="135"/>
      <c r="N89" s="135"/>
      <c r="O89" s="135"/>
      <c r="P89" s="135"/>
      <c r="Q89" s="135"/>
      <c r="R89" s="134"/>
      <c r="S89" s="134"/>
      <c r="T89" s="135"/>
      <c r="U89" s="135"/>
      <c r="V89" s="135"/>
      <c r="W89" s="135"/>
      <c r="X89" s="136"/>
      <c r="Y89" s="150"/>
      <c r="Z89" s="150"/>
      <c r="AA89" s="150"/>
      <c r="AB89" s="150"/>
      <c r="AC89" s="150"/>
      <c r="AD89" s="150"/>
      <c r="AE89" s="134"/>
      <c r="AF89" s="135"/>
      <c r="AG89" s="135"/>
      <c r="AH89" s="135"/>
      <c r="AI89" s="135"/>
      <c r="AJ89" s="136"/>
      <c r="AK89" s="150"/>
      <c r="AL89" s="134"/>
      <c r="AM89" s="135"/>
      <c r="AN89" s="135"/>
      <c r="AO89" s="135"/>
      <c r="AP89" s="135"/>
      <c r="AQ89" s="136"/>
      <c r="AR89" s="150"/>
      <c r="AS89" s="150"/>
      <c r="AT89" s="150"/>
      <c r="AU89" s="150"/>
      <c r="AV89" s="150"/>
      <c r="AW89" s="150"/>
      <c r="AX89" s="159"/>
      <c r="AY89" s="137"/>
    </row>
    <row r="90" spans="1:76" ht="14.55" thickBot="1" x14ac:dyDescent="0.35">
      <c r="A90" s="198" t="s">
        <v>548</v>
      </c>
      <c r="B90" s="195"/>
      <c r="C90" s="195"/>
      <c r="D90" s="196"/>
      <c r="E90" s="195"/>
      <c r="F90" s="204">
        <f t="shared" ref="F90:AY90" si="49">SUM(F88:F89)</f>
        <v>34060.898499820745</v>
      </c>
      <c r="G90" s="197">
        <f t="shared" si="49"/>
        <v>0</v>
      </c>
      <c r="H90" s="197">
        <f t="shared" si="49"/>
        <v>0</v>
      </c>
      <c r="I90" s="197">
        <f t="shared" si="49"/>
        <v>0</v>
      </c>
      <c r="J90" s="197">
        <f t="shared" si="49"/>
        <v>0</v>
      </c>
      <c r="K90" s="197">
        <f t="shared" si="49"/>
        <v>0</v>
      </c>
      <c r="L90" s="204">
        <f t="shared" si="49"/>
        <v>34060.898499820745</v>
      </c>
      <c r="M90" s="197">
        <f t="shared" si="49"/>
        <v>119262.2473566446</v>
      </c>
      <c r="N90" s="197">
        <f t="shared" si="49"/>
        <v>121460.24511276625</v>
      </c>
      <c r="O90" s="197">
        <f t="shared" si="49"/>
        <v>123702.20282401035</v>
      </c>
      <c r="P90" s="197">
        <f t="shared" si="49"/>
        <v>125988.99968947933</v>
      </c>
      <c r="Q90" s="197">
        <f t="shared" si="49"/>
        <v>66639.267239584951</v>
      </c>
      <c r="R90" s="204">
        <f t="shared" si="49"/>
        <v>625174.75922212692</v>
      </c>
      <c r="S90" s="204">
        <f t="shared" si="49"/>
        <v>20862.300331140206</v>
      </c>
      <c r="T90" s="197">
        <f t="shared" si="49"/>
        <v>67830.403184091614</v>
      </c>
      <c r="U90" s="197">
        <f t="shared" si="49"/>
        <v>69080.514407885799</v>
      </c>
      <c r="V90" s="197">
        <f t="shared" si="49"/>
        <v>37883.799614853153</v>
      </c>
      <c r="W90" s="197">
        <f t="shared" si="49"/>
        <v>38584.131154903036</v>
      </c>
      <c r="X90" s="205">
        <f t="shared" si="49"/>
        <v>20408.275592122889</v>
      </c>
      <c r="Y90" s="197">
        <f t="shared" si="49"/>
        <v>17881.971712405892</v>
      </c>
      <c r="Z90" s="197">
        <f t="shared" si="49"/>
        <v>0</v>
      </c>
      <c r="AA90" s="197">
        <f t="shared" si="49"/>
        <v>0</v>
      </c>
      <c r="AB90" s="197">
        <f t="shared" si="49"/>
        <v>32471.828241302708</v>
      </c>
      <c r="AC90" s="197">
        <f t="shared" si="49"/>
        <v>33072.112418488316</v>
      </c>
      <c r="AD90" s="197">
        <f t="shared" si="49"/>
        <v>17492.807650391049</v>
      </c>
      <c r="AE90" s="204">
        <f t="shared" si="49"/>
        <v>20862.300331140206</v>
      </c>
      <c r="AF90" s="197">
        <f t="shared" si="49"/>
        <v>36524.06325297241</v>
      </c>
      <c r="AG90" s="197">
        <f t="shared" si="49"/>
        <v>37197.200065784666</v>
      </c>
      <c r="AH90" s="197">
        <f t="shared" si="49"/>
        <v>37883.799614853153</v>
      </c>
      <c r="AI90" s="197">
        <f t="shared" si="49"/>
        <v>38584.131154903036</v>
      </c>
      <c r="AJ90" s="205">
        <f t="shared" si="49"/>
        <v>20408.275592122889</v>
      </c>
      <c r="AK90" s="197">
        <f t="shared" si="49"/>
        <v>547027.91431936109</v>
      </c>
      <c r="AL90" s="204">
        <f t="shared" si="49"/>
        <v>4257.6123124775932</v>
      </c>
      <c r="AM90" s="197">
        <f t="shared" si="49"/>
        <v>7453.8904597902874</v>
      </c>
      <c r="AN90" s="197">
        <f t="shared" si="49"/>
        <v>75912.65319547891</v>
      </c>
      <c r="AO90" s="197">
        <f t="shared" si="49"/>
        <v>7731.3876765006471</v>
      </c>
      <c r="AP90" s="197">
        <f t="shared" si="49"/>
        <v>78743.12480592457</v>
      </c>
      <c r="AQ90" s="205">
        <f t="shared" si="49"/>
        <v>41649.542024740585</v>
      </c>
      <c r="AR90" s="197">
        <f t="shared" si="49"/>
        <v>38318.510812298344</v>
      </c>
      <c r="AS90" s="197">
        <f t="shared" si="49"/>
        <v>67085.014138112587</v>
      </c>
      <c r="AT90" s="197">
        <f t="shared" si="49"/>
        <v>0</v>
      </c>
      <c r="AU90" s="197">
        <f t="shared" si="49"/>
        <v>69582.489088505812</v>
      </c>
      <c r="AV90" s="197">
        <f t="shared" si="49"/>
        <v>0</v>
      </c>
      <c r="AW90" s="197">
        <f t="shared" si="49"/>
        <v>0</v>
      </c>
      <c r="AX90" s="208">
        <f t="shared" si="49"/>
        <v>390734.22451382939</v>
      </c>
      <c r="AY90" s="208">
        <f t="shared" si="49"/>
        <v>1562936.8980553173</v>
      </c>
    </row>
    <row r="91" spans="1:76" x14ac:dyDescent="0.3">
      <c r="F91" s="191"/>
      <c r="G91" s="191"/>
      <c r="H91" s="191"/>
      <c r="I91" s="191"/>
      <c r="J91" s="191"/>
      <c r="K91" s="191"/>
      <c r="L91" s="191"/>
      <c r="M91" s="191"/>
      <c r="N91" s="191"/>
      <c r="O91" s="191"/>
      <c r="P91" s="191"/>
      <c r="Q91" s="191"/>
      <c r="S91" s="191"/>
      <c r="T91" s="191"/>
      <c r="U91" s="191"/>
      <c r="V91" s="191"/>
      <c r="W91" s="191"/>
      <c r="X91" s="191"/>
      <c r="Y91" s="191"/>
      <c r="Z91" s="191"/>
      <c r="AA91" s="191"/>
      <c r="AB91" s="191"/>
      <c r="AC91" s="191"/>
      <c r="AD91" s="191"/>
      <c r="AE91" s="191"/>
      <c r="AF91" s="191"/>
      <c r="AG91" s="191"/>
      <c r="AH91" s="191"/>
      <c r="AI91" s="191"/>
      <c r="AJ91" s="191"/>
      <c r="AL91" s="191"/>
      <c r="AM91" s="191"/>
      <c r="AN91" s="191"/>
      <c r="AO91" s="191"/>
      <c r="AP91" s="191"/>
      <c r="AQ91" s="191"/>
      <c r="AR91" s="191"/>
      <c r="AS91" s="191"/>
      <c r="AT91" s="191"/>
      <c r="AU91" s="191"/>
      <c r="AV91" s="191"/>
      <c r="AW91" s="191"/>
    </row>
    <row r="92" spans="1:76" ht="27.95" x14ac:dyDescent="0.3">
      <c r="A92" s="24"/>
      <c r="F92" s="345" t="s">
        <v>549</v>
      </c>
      <c r="G92" s="345"/>
      <c r="H92" s="345"/>
      <c r="I92" s="345"/>
      <c r="J92" s="345"/>
      <c r="K92" s="345"/>
      <c r="L92" s="327" t="s">
        <v>550</v>
      </c>
      <c r="M92" s="345"/>
      <c r="N92" s="345"/>
      <c r="O92" s="345"/>
      <c r="P92" s="345"/>
      <c r="Q92" s="345"/>
      <c r="R92" s="327" t="s">
        <v>835</v>
      </c>
      <c r="S92" s="345"/>
      <c r="T92" s="345"/>
      <c r="U92" s="345"/>
      <c r="V92" s="345"/>
      <c r="W92" s="325"/>
      <c r="X92" s="118" t="s">
        <v>495</v>
      </c>
      <c r="Y92" s="327" t="s">
        <v>836</v>
      </c>
      <c r="Z92" s="345"/>
      <c r="AA92" s="345"/>
      <c r="AB92" s="345"/>
      <c r="AC92" s="345"/>
      <c r="AD92" s="325"/>
      <c r="AE92" s="345" t="s">
        <v>837</v>
      </c>
      <c r="AF92" s="345"/>
      <c r="AG92" s="345"/>
      <c r="AH92" s="345"/>
      <c r="AI92" s="345"/>
      <c r="AJ92" s="345"/>
      <c r="AK92" s="327" t="s">
        <v>838</v>
      </c>
      <c r="AL92" s="345"/>
      <c r="AM92" s="345"/>
      <c r="AN92" s="345"/>
      <c r="AO92" s="345"/>
      <c r="AP92" s="325"/>
      <c r="AQ92" s="118" t="s">
        <v>499</v>
      </c>
      <c r="AR92" s="325" t="s">
        <v>839</v>
      </c>
      <c r="AS92" s="326"/>
      <c r="AT92" s="326"/>
      <c r="AU92" s="326"/>
      <c r="AV92" s="326"/>
      <c r="AW92" s="327"/>
      <c r="AX92" s="327" t="s">
        <v>840</v>
      </c>
      <c r="AY92" s="345"/>
      <c r="AZ92" s="345"/>
      <c r="BA92" s="345"/>
      <c r="BB92" s="345"/>
      <c r="BC92" s="325"/>
      <c r="BD92" s="118" t="s">
        <v>502</v>
      </c>
      <c r="BE92" s="327" t="s">
        <v>841</v>
      </c>
      <c r="BF92" s="345"/>
      <c r="BG92" s="345"/>
      <c r="BH92" s="345"/>
      <c r="BI92" s="345"/>
      <c r="BJ92" s="325"/>
      <c r="BK92" s="325" t="s">
        <v>842</v>
      </c>
      <c r="BL92" s="326"/>
      <c r="BM92" s="326"/>
      <c r="BN92" s="326"/>
      <c r="BO92" s="326"/>
      <c r="BP92" s="327"/>
      <c r="BQ92" s="327" t="s">
        <v>843</v>
      </c>
      <c r="BR92" s="345"/>
      <c r="BS92" s="345"/>
      <c r="BT92" s="345"/>
      <c r="BU92" s="345"/>
      <c r="BV92" s="325"/>
      <c r="BW92" s="118" t="s">
        <v>506</v>
      </c>
      <c r="BX92" s="120" t="s">
        <v>279</v>
      </c>
    </row>
    <row r="93" spans="1:76" x14ac:dyDescent="0.3">
      <c r="A93" s="24"/>
      <c r="F93" s="122" t="s">
        <v>379</v>
      </c>
      <c r="G93" s="69" t="s">
        <v>380</v>
      </c>
      <c r="H93" s="69" t="s">
        <v>381</v>
      </c>
      <c r="I93" s="69" t="s">
        <v>382</v>
      </c>
      <c r="J93" s="69" t="s">
        <v>383</v>
      </c>
      <c r="K93" s="123" t="s">
        <v>457</v>
      </c>
      <c r="L93" s="69" t="s">
        <v>379</v>
      </c>
      <c r="M93" s="69" t="s">
        <v>380</v>
      </c>
      <c r="N93" s="69" t="s">
        <v>381</v>
      </c>
      <c r="O93" s="69" t="s">
        <v>382</v>
      </c>
      <c r="P93" s="69" t="s">
        <v>383</v>
      </c>
      <c r="Q93" s="123" t="s">
        <v>457</v>
      </c>
      <c r="R93" s="69" t="s">
        <v>379</v>
      </c>
      <c r="S93" s="69" t="s">
        <v>380</v>
      </c>
      <c r="T93" s="69" t="s">
        <v>381</v>
      </c>
      <c r="U93" s="69" t="s">
        <v>382</v>
      </c>
      <c r="V93" s="69" t="s">
        <v>383</v>
      </c>
      <c r="W93" s="69" t="s">
        <v>457</v>
      </c>
      <c r="X93" s="124"/>
      <c r="Y93" s="69" t="s">
        <v>379</v>
      </c>
      <c r="Z93" s="69" t="s">
        <v>380</v>
      </c>
      <c r="AA93" s="69" t="s">
        <v>381</v>
      </c>
      <c r="AB93" s="69" t="s">
        <v>382</v>
      </c>
      <c r="AC93" s="69" t="s">
        <v>383</v>
      </c>
      <c r="AD93" s="69" t="s">
        <v>457</v>
      </c>
      <c r="AE93" s="122" t="s">
        <v>379</v>
      </c>
      <c r="AF93" s="69" t="s">
        <v>380</v>
      </c>
      <c r="AG93" s="69" t="s">
        <v>381</v>
      </c>
      <c r="AH93" s="69" t="s">
        <v>382</v>
      </c>
      <c r="AI93" s="69" t="s">
        <v>383</v>
      </c>
      <c r="AJ93" s="123" t="s">
        <v>457</v>
      </c>
      <c r="AK93" s="69" t="s">
        <v>379</v>
      </c>
      <c r="AL93" s="69" t="s">
        <v>380</v>
      </c>
      <c r="AM93" s="69" t="s">
        <v>381</v>
      </c>
      <c r="AN93" s="69" t="s">
        <v>382</v>
      </c>
      <c r="AO93" s="69" t="s">
        <v>383</v>
      </c>
      <c r="AP93" s="69" t="s">
        <v>457</v>
      </c>
      <c r="AQ93" s="124" t="s">
        <v>368</v>
      </c>
      <c r="AR93" s="122" t="s">
        <v>379</v>
      </c>
      <c r="AS93" s="69" t="s">
        <v>380</v>
      </c>
      <c r="AT93" s="69" t="s">
        <v>381</v>
      </c>
      <c r="AU93" s="69" t="s">
        <v>382</v>
      </c>
      <c r="AV93" s="69" t="s">
        <v>383</v>
      </c>
      <c r="AW93" s="123" t="s">
        <v>457</v>
      </c>
      <c r="AX93" s="69" t="s">
        <v>379</v>
      </c>
      <c r="AY93" s="69" t="s">
        <v>380</v>
      </c>
      <c r="AZ93" s="69" t="s">
        <v>381</v>
      </c>
      <c r="BA93" s="69" t="s">
        <v>382</v>
      </c>
      <c r="BB93" s="69" t="s">
        <v>383</v>
      </c>
      <c r="BC93" s="69" t="s">
        <v>457</v>
      </c>
      <c r="BD93" s="124" t="s">
        <v>368</v>
      </c>
      <c r="BE93" s="69" t="s">
        <v>379</v>
      </c>
      <c r="BF93" s="69" t="s">
        <v>380</v>
      </c>
      <c r="BG93" s="69" t="s">
        <v>381</v>
      </c>
      <c r="BH93" s="69" t="s">
        <v>382</v>
      </c>
      <c r="BI93" s="69" t="s">
        <v>383</v>
      </c>
      <c r="BJ93" s="69" t="s">
        <v>457</v>
      </c>
      <c r="BK93" s="122" t="s">
        <v>379</v>
      </c>
      <c r="BL93" s="69" t="s">
        <v>380</v>
      </c>
      <c r="BM93" s="69" t="s">
        <v>381</v>
      </c>
      <c r="BN93" s="69" t="s">
        <v>382</v>
      </c>
      <c r="BO93" s="69" t="s">
        <v>383</v>
      </c>
      <c r="BP93" s="123" t="s">
        <v>457</v>
      </c>
      <c r="BQ93" s="69" t="s">
        <v>379</v>
      </c>
      <c r="BR93" s="69" t="s">
        <v>380</v>
      </c>
      <c r="BS93" s="69" t="s">
        <v>381</v>
      </c>
      <c r="BT93" s="69" t="s">
        <v>382</v>
      </c>
      <c r="BU93" s="69" t="s">
        <v>383</v>
      </c>
      <c r="BV93" s="69" t="s">
        <v>457</v>
      </c>
      <c r="BW93" s="124" t="s">
        <v>368</v>
      </c>
      <c r="BX93" s="124" t="s">
        <v>368</v>
      </c>
    </row>
    <row r="94" spans="1:76" x14ac:dyDescent="0.3">
      <c r="A94" s="128" t="s">
        <v>551</v>
      </c>
      <c r="F94" s="130"/>
      <c r="K94" s="131"/>
      <c r="Q94" s="131"/>
      <c r="X94" s="132"/>
      <c r="AE94" s="130"/>
      <c r="AJ94" s="131"/>
      <c r="AQ94" s="132"/>
      <c r="AR94" s="130"/>
      <c r="AW94" s="131"/>
      <c r="BD94" s="132"/>
      <c r="BK94" s="130"/>
      <c r="BP94" s="131"/>
      <c r="BW94" s="132"/>
      <c r="BX94" s="132"/>
    </row>
    <row r="95" spans="1:76" x14ac:dyDescent="0.3">
      <c r="A95" s="24" t="s">
        <v>511</v>
      </c>
      <c r="F95" s="199">
        <f>F24*$D24</f>
        <v>1310.8614232209736</v>
      </c>
      <c r="G95" s="200">
        <f>G24*($D24*1.02)</f>
        <v>2674.1573033707864</v>
      </c>
      <c r="H95" s="200">
        <f>H24*($D24*1.04)</f>
        <v>2727.6404494382018</v>
      </c>
      <c r="I95" s="200">
        <f>I24*($D24*1.06)</f>
        <v>2782.1932584269662</v>
      </c>
      <c r="J95" s="200">
        <f>J24*($D24*1.08)</f>
        <v>2837.8371235955051</v>
      </c>
      <c r="K95" s="201">
        <f>K24*($D24*1.1)</f>
        <v>2894.5938660674155</v>
      </c>
      <c r="L95" s="200">
        <f>L24*$D24</f>
        <v>374.53183520599254</v>
      </c>
      <c r="M95" s="200">
        <f>M24*($D24*1.02)</f>
        <v>764.04494382022472</v>
      </c>
      <c r="N95" s="200">
        <f>N24*($D24*1.04)</f>
        <v>779.32584269662925</v>
      </c>
      <c r="O95" s="200">
        <f>O24*($D24*1.06)</f>
        <v>794.91235955056186</v>
      </c>
      <c r="P95" s="200">
        <f>P24*($D24*1.08)</f>
        <v>810.810606741573</v>
      </c>
      <c r="Q95" s="201">
        <f>Q24*($D24*1.1)</f>
        <v>827.0268188764046</v>
      </c>
      <c r="R95" s="190">
        <f>R24*$D24</f>
        <v>187.26591760299627</v>
      </c>
      <c r="S95" s="190">
        <f>S24*($D24*1.02)</f>
        <v>382.02247191011236</v>
      </c>
      <c r="T95" s="190">
        <f>T24*($D24*1.04)</f>
        <v>389.66292134831463</v>
      </c>
      <c r="U95" s="190">
        <f>U24*($D24*1.06)</f>
        <v>397.45617977528093</v>
      </c>
      <c r="V95" s="190">
        <f>V24*($D24*1.08)</f>
        <v>405.4053033707865</v>
      </c>
      <c r="W95" s="190">
        <f>W24*($D24*1.1)</f>
        <v>413.5134094382023</v>
      </c>
      <c r="X95" s="206">
        <f t="shared" ref="X95:X100" si="50">SUM(F95:W95)</f>
        <v>21753.262034456922</v>
      </c>
      <c r="Y95" s="190">
        <f>Y24*$D24</f>
        <v>1048.689138576779</v>
      </c>
      <c r="Z95" s="190">
        <f>Z24*($D24*1.02)</f>
        <v>1069.6629213483145</v>
      </c>
      <c r="AA95" s="190">
        <f>AA24*($D24*1.04)</f>
        <v>1091.0561797752807</v>
      </c>
      <c r="AB95" s="190">
        <f>AB24*($D24*1.06)</f>
        <v>1112.8773033707866</v>
      </c>
      <c r="AC95" s="190">
        <f>AC24*($D24*1.08)</f>
        <v>1135.1348494382021</v>
      </c>
      <c r="AD95" s="190">
        <f>AD24*($D24*1.1)</f>
        <v>1157.8375464269664</v>
      </c>
      <c r="AE95" s="199">
        <f t="shared" ref="AE95:AE100" si="51">AE24*$D24</f>
        <v>0</v>
      </c>
      <c r="AF95" s="200">
        <f>AF24*($D24*1.02)</f>
        <v>2139.325842696629</v>
      </c>
      <c r="AG95" s="200">
        <f>AG24*($D24*1.04)</f>
        <v>2182.1123595505615</v>
      </c>
      <c r="AH95" s="200">
        <f>AH24*($D24*1.06)</f>
        <v>2225.7546067415733</v>
      </c>
      <c r="AI95" s="200">
        <f>AI24*($D24*1.08)</f>
        <v>2270.2696988764042</v>
      </c>
      <c r="AJ95" s="201">
        <f>AJ24*($D24*1.1)</f>
        <v>2315.6750928539327</v>
      </c>
      <c r="AK95" s="190">
        <f>AK24*$D24</f>
        <v>1573.0337078651685</v>
      </c>
      <c r="AL95" s="190">
        <f>AL24*($D24*1.02)</f>
        <v>2139.325842696629</v>
      </c>
      <c r="AM95" s="190">
        <f>AM24*($D24*1.04)</f>
        <v>2182.1123595505615</v>
      </c>
      <c r="AN95" s="190">
        <f>AN24*($D24*1.06)</f>
        <v>2225.7546067415733</v>
      </c>
      <c r="AO95" s="190">
        <f>AO24*($D24*1.08)</f>
        <v>2270.2696988764042</v>
      </c>
      <c r="AP95" s="190">
        <f>AP24*($D24*1.1)</f>
        <v>2315.6750928539327</v>
      </c>
      <c r="AQ95" s="206">
        <f t="shared" ref="AQ95:AQ100" si="52">SUM(Y95:AP95)</f>
        <v>30454.566848239698</v>
      </c>
      <c r="AR95" s="199">
        <f>AR24*$D24</f>
        <v>561.79775280898866</v>
      </c>
      <c r="AS95" s="200">
        <f>AS24*($D24*1.02)</f>
        <v>1146.067415730337</v>
      </c>
      <c r="AT95" s="200">
        <f>AT24*($D24*1.04)</f>
        <v>1168.9887640449438</v>
      </c>
      <c r="AU95" s="200">
        <f>AU24*($D24*1.06)</f>
        <v>1192.3685393258427</v>
      </c>
      <c r="AV95" s="200">
        <f>AV24*($D24*1.08)</f>
        <v>1216.2159101123593</v>
      </c>
      <c r="AW95" s="201">
        <f>AW24*($D24*1.1)</f>
        <v>1240.5402283146066</v>
      </c>
      <c r="AX95" s="190">
        <f>AX24*$D24</f>
        <v>1685.393258426966</v>
      </c>
      <c r="AY95" s="190">
        <f>AY24*($D24*1.02)</f>
        <v>3438.2022471910104</v>
      </c>
      <c r="AZ95" s="190">
        <f>AZ24*($D24*1.04)</f>
        <v>3506.9662921348313</v>
      </c>
      <c r="BA95" s="190">
        <f>BA24*($D24*1.06)</f>
        <v>3577.1056179775278</v>
      </c>
      <c r="BB95" s="190">
        <f>BB24*($D24*1.08)</f>
        <v>3648.647730337078</v>
      </c>
      <c r="BC95" s="190">
        <f>BC24*($D24*1.1)</f>
        <v>3721.6206849438204</v>
      </c>
      <c r="BD95" s="206">
        <f t="shared" ref="BD95:BD100" si="53">SUM(AR95:BC95)</f>
        <v>26103.914441348312</v>
      </c>
      <c r="BE95" s="190">
        <f>BE24*$D24</f>
        <v>149.81273408239704</v>
      </c>
      <c r="BF95" s="190">
        <f>BF24*($D24*1.02)</f>
        <v>305.61797752808997</v>
      </c>
      <c r="BG95" s="190">
        <f>BG24*($D24*1.04)</f>
        <v>311.73033707865176</v>
      </c>
      <c r="BH95" s="190">
        <f>BH24*($D24*1.06)</f>
        <v>317.96494382022473</v>
      </c>
      <c r="BI95" s="190">
        <f>BI24*($D24*1.08)</f>
        <v>324.3242426966292</v>
      </c>
      <c r="BJ95" s="190">
        <f>BJ24*($D24*1.1)</f>
        <v>330.81072755056186</v>
      </c>
      <c r="BK95" s="199">
        <f>BK24*$D24</f>
        <v>37.453183520599261</v>
      </c>
      <c r="BL95" s="200">
        <f>BL24*($D24*1.02)</f>
        <v>76.404494382022492</v>
      </c>
      <c r="BM95" s="200">
        <f>BM24*($D24*1.04)</f>
        <v>77.932584269662939</v>
      </c>
      <c r="BN95" s="200">
        <f>BN24*($D24*1.06)</f>
        <v>79.491235955056183</v>
      </c>
      <c r="BO95" s="200">
        <f>BO24*($D24*1.08)</f>
        <v>81.0810606741573</v>
      </c>
      <c r="BP95" s="201">
        <f>BP24*($D24*1.1)</f>
        <v>82.702681887640466</v>
      </c>
      <c r="BQ95" s="190">
        <f>BQ24*$D24</f>
        <v>561.79775280898878</v>
      </c>
      <c r="BR95" s="190">
        <f>BR24*($D24*1.02)</f>
        <v>1146.0674157303372</v>
      </c>
      <c r="BS95" s="190">
        <f>BS24*($D24*1.04)</f>
        <v>1168.988764044944</v>
      </c>
      <c r="BT95" s="190">
        <f>BT24*($D24*1.06)</f>
        <v>1192.3685393258429</v>
      </c>
      <c r="BU95" s="190">
        <f>BU24*($D24*1.08)</f>
        <v>1216.2159101123596</v>
      </c>
      <c r="BV95" s="190">
        <f>BV24*($D24*1.1)</f>
        <v>1240.5402283146068</v>
      </c>
      <c r="BW95" s="206">
        <f t="shared" ref="BW95:BW100" si="54">SUM(BE95:BV95)</f>
        <v>8701.3048137827736</v>
      </c>
      <c r="BX95" s="211">
        <f t="shared" ref="BX95:BX100" si="55">X95+AQ95+BD95+BW95</f>
        <v>87013.048137827704</v>
      </c>
    </row>
    <row r="96" spans="1:76" x14ac:dyDescent="0.3">
      <c r="A96" s="24" t="s">
        <v>512</v>
      </c>
      <c r="F96" s="199">
        <f>F25*$D25*6</f>
        <v>2076.4044943820222</v>
      </c>
      <c r="G96" s="200">
        <f>G25*($D25*1.02)*6</f>
        <v>4235.8651685393261</v>
      </c>
      <c r="H96" s="200">
        <f>H25*($D25*1.04)*6</f>
        <v>4320.582471910112</v>
      </c>
      <c r="I96" s="200">
        <f>I25*($D25*1.06)*6</f>
        <v>4406.9941213483144</v>
      </c>
      <c r="J96" s="200">
        <f>J25*($D25*1.08)*6</f>
        <v>4495.1340037752816</v>
      </c>
      <c r="K96" s="201">
        <f>K25*($D25*1.1)*6</f>
        <v>2292.5183419253931</v>
      </c>
      <c r="L96" s="200">
        <f>L25*$D25*6</f>
        <v>593.25842696629218</v>
      </c>
      <c r="M96" s="200">
        <f>M25*($D25*1.02)*6</f>
        <v>1210.2471910112361</v>
      </c>
      <c r="N96" s="200">
        <f>N25*($D25*1.04)*6</f>
        <v>1234.4521348314609</v>
      </c>
      <c r="O96" s="200">
        <f>O25*($D25*1.06)*6</f>
        <v>1259.1411775280899</v>
      </c>
      <c r="P96" s="200">
        <f>P25*($D25*1.08)*6</f>
        <v>1284.3240010786519</v>
      </c>
      <c r="Q96" s="201">
        <f>Q25*($D25*1.1)*6</f>
        <v>655.00524055011238</v>
      </c>
      <c r="R96" s="190">
        <f>R25*$D25*6</f>
        <v>296.62921348314609</v>
      </c>
      <c r="S96" s="190">
        <f>S25*($D25*1.02)*6</f>
        <v>605.12359550561803</v>
      </c>
      <c r="T96" s="190">
        <f>T25*($D25*1.04)*6</f>
        <v>617.22606741573043</v>
      </c>
      <c r="U96" s="190">
        <f>U25*($D25*1.06)*6</f>
        <v>629.57058876404494</v>
      </c>
      <c r="V96" s="190">
        <f>V25*($D25*1.08)*6</f>
        <v>642.16200053932596</v>
      </c>
      <c r="W96" s="190">
        <f>W25*($D25*1.1)*6</f>
        <v>327.50262027505619</v>
      </c>
      <c r="X96" s="206">
        <f t="shared" si="50"/>
        <v>31182.140859829207</v>
      </c>
      <c r="Y96" s="190">
        <f>Y25*$D25*6</f>
        <v>1661.1235955056181</v>
      </c>
      <c r="Z96" s="190">
        <f>Z25*($D25*1.02)*6</f>
        <v>1694.3460674157302</v>
      </c>
      <c r="AA96" s="190">
        <f>AA25*($D25*1.04)*6</f>
        <v>1728.2329887640449</v>
      </c>
      <c r="AB96" s="190">
        <f>AB25*($D25*1.06)*6</f>
        <v>1762.797648539326</v>
      </c>
      <c r="AC96" s="190">
        <f>AC25*($D25*1.08)*6</f>
        <v>1798.0536015101129</v>
      </c>
      <c r="AD96" s="190">
        <f>AD25*($D25*1.1)*6</f>
        <v>917.00733677015728</v>
      </c>
      <c r="AE96" s="199">
        <f t="shared" si="51"/>
        <v>0</v>
      </c>
      <c r="AF96" s="200">
        <f>AF25*($D25*1.02)*6</f>
        <v>3388.6921348314604</v>
      </c>
      <c r="AG96" s="200">
        <f>AG25*($D25*1.04)*6</f>
        <v>3456.4659775280898</v>
      </c>
      <c r="AH96" s="200">
        <f>AH25*($D25*1.06)*6</f>
        <v>3525.595297078652</v>
      </c>
      <c r="AI96" s="200">
        <f>AI25*($D25*1.08)*6</f>
        <v>3596.1072030202258</v>
      </c>
      <c r="AJ96" s="201">
        <f>AJ25*($D25*1.1)*6</f>
        <v>1834.0146735403146</v>
      </c>
      <c r="AK96" s="190">
        <f>AK25*$D25*6</f>
        <v>2491.6853932584268</v>
      </c>
      <c r="AL96" s="190">
        <f>AL25*($D25*1.02)*6</f>
        <v>3388.6921348314604</v>
      </c>
      <c r="AM96" s="190">
        <f>AM25*($D25*1.04)*6</f>
        <v>3456.4659775280898</v>
      </c>
      <c r="AN96" s="190">
        <f>AN25*($D25*1.06)*6</f>
        <v>3525.595297078652</v>
      </c>
      <c r="AO96" s="190">
        <f>AO25*($D25*1.08)*6</f>
        <v>3596.1072030202258</v>
      </c>
      <c r="AP96" s="190">
        <f>AP25*($D25*1.1)*6</f>
        <v>1834.0146735403146</v>
      </c>
      <c r="AQ96" s="206">
        <f t="shared" si="52"/>
        <v>43654.997203760911</v>
      </c>
      <c r="AR96" s="199">
        <f>AR25*$D25*6</f>
        <v>889.88764044943809</v>
      </c>
      <c r="AS96" s="200">
        <f>AS25*($D25*1.02)*6</f>
        <v>1815.370786516854</v>
      </c>
      <c r="AT96" s="200">
        <f>AT25*($D25*1.04)*6</f>
        <v>1851.6782022471909</v>
      </c>
      <c r="AU96" s="200">
        <f>AU25*($D25*1.06)*6</f>
        <v>1888.7117662921348</v>
      </c>
      <c r="AV96" s="200">
        <f>AV25*($D25*1.08)*6</f>
        <v>1926.4860016179778</v>
      </c>
      <c r="AW96" s="201">
        <f>AW25*($D25*1.1)*6</f>
        <v>982.50786082516856</v>
      </c>
      <c r="AX96" s="190">
        <f>AX25*$D25*6</f>
        <v>2669.6629213483143</v>
      </c>
      <c r="AY96" s="190">
        <f>AY25*($D25*1.02)*6</f>
        <v>5446.1123595505624</v>
      </c>
      <c r="AZ96" s="190">
        <f>AZ25*($D25*1.04)*6</f>
        <v>5555.034606741573</v>
      </c>
      <c r="BA96" s="190">
        <f>BA25*($D25*1.06)*6</f>
        <v>5666.1352988764047</v>
      </c>
      <c r="BB96" s="190">
        <f>BB25*($D25*1.08)*6</f>
        <v>5779.4580048539337</v>
      </c>
      <c r="BC96" s="190">
        <f>BC25*($D25*1.1)*6</f>
        <v>2947.5235824755055</v>
      </c>
      <c r="BD96" s="206">
        <f t="shared" si="53"/>
        <v>37418.569031795058</v>
      </c>
      <c r="BE96" s="190">
        <f>BE25*$D25*6</f>
        <v>237.30337078651692</v>
      </c>
      <c r="BF96" s="190">
        <f>BF25*($D25*1.02)*6</f>
        <v>484.09887640449449</v>
      </c>
      <c r="BG96" s="190">
        <f>BG25*($D25*1.04)*6</f>
        <v>493.78085393258436</v>
      </c>
      <c r="BH96" s="190">
        <f>BH25*($D25*1.06)*6</f>
        <v>503.65647101123602</v>
      </c>
      <c r="BI96" s="190">
        <f>BI25*($D25*1.08)*6</f>
        <v>513.72960043146077</v>
      </c>
      <c r="BJ96" s="190">
        <f>BJ25*($D25*1.1)*6</f>
        <v>262.00209622004496</v>
      </c>
      <c r="BK96" s="199">
        <f>BK25*$D25*6</f>
        <v>59.32584269662923</v>
      </c>
      <c r="BL96" s="200">
        <f>BL25*($D25*1.02)*6</f>
        <v>121.02471910112362</v>
      </c>
      <c r="BM96" s="200">
        <f>BM25*($D25*1.04)*6</f>
        <v>123.44521348314609</v>
      </c>
      <c r="BN96" s="200">
        <f>BN25*($D25*1.06)*6</f>
        <v>125.91411775280901</v>
      </c>
      <c r="BO96" s="200">
        <f>BO25*($D25*1.08)*6</f>
        <v>128.43240010786519</v>
      </c>
      <c r="BP96" s="201">
        <f>BP25*($D25*1.1)*6</f>
        <v>65.50052405501124</v>
      </c>
      <c r="BQ96" s="190">
        <f>BQ25*$D25*6</f>
        <v>889.88764044943832</v>
      </c>
      <c r="BR96" s="190">
        <f>BR25*($D25*1.02)*6</f>
        <v>1815.370786516854</v>
      </c>
      <c r="BS96" s="190">
        <f>BS25*($D25*1.04)*6</f>
        <v>1851.6782022471912</v>
      </c>
      <c r="BT96" s="190">
        <f>BT25*($D25*1.06)*6</f>
        <v>1888.7117662921348</v>
      </c>
      <c r="BU96" s="190">
        <f>BU25*($D25*1.08)*6</f>
        <v>1926.4860016179787</v>
      </c>
      <c r="BV96" s="190">
        <f>BV25*($D25*1.1)*6</f>
        <v>982.50786082516856</v>
      </c>
      <c r="BW96" s="206">
        <f t="shared" si="54"/>
        <v>12472.856343931688</v>
      </c>
      <c r="BX96" s="211">
        <f t="shared" si="55"/>
        <v>124728.56343931687</v>
      </c>
    </row>
    <row r="97" spans="1:76" x14ac:dyDescent="0.3">
      <c r="A97" s="24" t="s">
        <v>513</v>
      </c>
      <c r="F97" s="199">
        <f>F26*$D26*29</f>
        <v>7476.8761235955053</v>
      </c>
      <c r="G97" s="200">
        <f>G26*($D26*1.02)*29</f>
        <v>15252.827292134829</v>
      </c>
      <c r="H97" s="200">
        <f>H26*($D26*1.04)*29</f>
        <v>15557.88383797753</v>
      </c>
      <c r="I97" s="200">
        <f>I26*($D26*1.06)*29</f>
        <v>15869.041514737077</v>
      </c>
      <c r="J97" s="200">
        <f>J26*($D26*1.08)*29</f>
        <v>16186.422345031819</v>
      </c>
      <c r="K97" s="201">
        <f>K26*($D26*1.1)*29</f>
        <v>8255.075395966227</v>
      </c>
      <c r="L97" s="200">
        <f>L26*$D26*29</f>
        <v>2136.2503210272871</v>
      </c>
      <c r="M97" s="200">
        <f>M26*($D26*1.02)*29</f>
        <v>4357.950654895666</v>
      </c>
      <c r="N97" s="200">
        <f>N26*($D26*1.04)*29</f>
        <v>4445.1096679935799</v>
      </c>
      <c r="O97" s="200">
        <f>O26*($D26*1.06)*29</f>
        <v>4534.0118613534514</v>
      </c>
      <c r="P97" s="200">
        <f>P26*($D26*1.08)*29</f>
        <v>4624.6920985805209</v>
      </c>
      <c r="Q97" s="201">
        <f>Q26*($D26*1.1)*29</f>
        <v>2358.592970276065</v>
      </c>
      <c r="R97" s="190">
        <f>R26*$D26*29</f>
        <v>1068.1251605136436</v>
      </c>
      <c r="S97" s="190">
        <f>S26*($D26*1.02)*29</f>
        <v>2178.975327447833</v>
      </c>
      <c r="T97" s="190">
        <f>T26*($D26*1.04)*29</f>
        <v>2222.55483399679</v>
      </c>
      <c r="U97" s="190">
        <f>U26*($D26*1.06)*29</f>
        <v>2267.0059306767257</v>
      </c>
      <c r="V97" s="190">
        <f>V26*($D26*1.08)*29</f>
        <v>2312.3460492902605</v>
      </c>
      <c r="W97" s="190">
        <f>W26*($D26*1.1)*29</f>
        <v>1179.2964851380325</v>
      </c>
      <c r="X97" s="206">
        <f t="shared" si="50"/>
        <v>112283.03787063286</v>
      </c>
      <c r="Y97" s="190">
        <f>Y26*$D26*29</f>
        <v>5981.5008988764048</v>
      </c>
      <c r="Z97" s="190">
        <f>Z26*($D26*1.02)*29</f>
        <v>6101.1309168539328</v>
      </c>
      <c r="AA97" s="190">
        <f>AA26*($D26*1.04)*29</f>
        <v>6223.1535351910115</v>
      </c>
      <c r="AB97" s="190">
        <f>AB26*($D26*1.06)*29</f>
        <v>6347.616605894832</v>
      </c>
      <c r="AC97" s="190">
        <f>AC26*($D26*1.08)*29</f>
        <v>6474.5689380127278</v>
      </c>
      <c r="AD97" s="190">
        <f>AD26*($D26*1.1)*29</f>
        <v>3302.0301583864912</v>
      </c>
      <c r="AE97" s="199">
        <f t="shared" si="51"/>
        <v>0</v>
      </c>
      <c r="AF97" s="200">
        <f>AF26*($D26*1.02)*29</f>
        <v>12202.261833707866</v>
      </c>
      <c r="AG97" s="200">
        <f>AG26*($D26*1.04)*29</f>
        <v>12446.307070382023</v>
      </c>
      <c r="AH97" s="200">
        <f>AH26*($D26*1.06)*29</f>
        <v>12695.233211789664</v>
      </c>
      <c r="AI97" s="200">
        <f>AI26*($D26*1.08)*29</f>
        <v>12949.137876025456</v>
      </c>
      <c r="AJ97" s="201">
        <f>AJ26*($D26*1.1)*29</f>
        <v>6604.0603167729823</v>
      </c>
      <c r="AK97" s="190">
        <f>AK26*$D26*29</f>
        <v>8972.2513483146067</v>
      </c>
      <c r="AL97" s="190">
        <f>AL26*($D26*1.02)*29</f>
        <v>12202.261833707866</v>
      </c>
      <c r="AM97" s="190">
        <f>AM26*($D26*1.04)*29</f>
        <v>12446.307070382023</v>
      </c>
      <c r="AN97" s="190">
        <f>AN26*($D26*1.06)*29</f>
        <v>12695.233211789664</v>
      </c>
      <c r="AO97" s="190">
        <f>AO26*($D26*1.08)*29</f>
        <v>12949.137876025456</v>
      </c>
      <c r="AP97" s="190">
        <f>AP26*($D26*1.1)*29</f>
        <v>6604.0603167729823</v>
      </c>
      <c r="AQ97" s="206">
        <f t="shared" si="52"/>
        <v>157196.253018886</v>
      </c>
      <c r="AR97" s="199">
        <f>AR26*$D26*29</f>
        <v>3204.3754815409311</v>
      </c>
      <c r="AS97" s="200">
        <f>AS26*($D26*1.02)*29</f>
        <v>6536.9259823434995</v>
      </c>
      <c r="AT97" s="200">
        <f>AT26*($D26*1.04)*29</f>
        <v>6667.664501990369</v>
      </c>
      <c r="AU97" s="200">
        <f>AU26*($D26*1.06)*29</f>
        <v>6801.0177920301758</v>
      </c>
      <c r="AV97" s="200">
        <f>AV26*($D26*1.08)*29</f>
        <v>6937.0381478707795</v>
      </c>
      <c r="AW97" s="201">
        <f>AW26*($D26*1.1)*29</f>
        <v>3537.8894554140979</v>
      </c>
      <c r="AX97" s="190">
        <f>AX26*$D26*29</f>
        <v>9613.1264446227942</v>
      </c>
      <c r="AY97" s="190">
        <f>AY26*($D26*1.02)*29</f>
        <v>19610.777947030503</v>
      </c>
      <c r="AZ97" s="190">
        <f>AZ26*($D26*1.04)*29</f>
        <v>20002.99350597111</v>
      </c>
      <c r="BA97" s="190">
        <f>BA26*($D26*1.06)*29</f>
        <v>20403.053376090527</v>
      </c>
      <c r="BB97" s="190">
        <f>BB26*($D26*1.08)*29</f>
        <v>20811.114443612343</v>
      </c>
      <c r="BC97" s="190">
        <f>BC26*($D26*1.1)*29</f>
        <v>10613.668366242293</v>
      </c>
      <c r="BD97" s="206">
        <f t="shared" si="53"/>
        <v>134739.64544475943</v>
      </c>
      <c r="BE97" s="190">
        <f>BE26*$D26*29</f>
        <v>854.50012841091507</v>
      </c>
      <c r="BF97" s="190">
        <f>BF26*($D26*1.02)*29</f>
        <v>1743.1802619582666</v>
      </c>
      <c r="BG97" s="190">
        <f>BG26*($D26*1.04)*29</f>
        <v>1778.0438671974323</v>
      </c>
      <c r="BH97" s="190">
        <f>BH26*($D26*1.06)*29</f>
        <v>1813.6047445413808</v>
      </c>
      <c r="BI97" s="190">
        <f>BI26*($D26*1.08)*29</f>
        <v>1849.8768394322085</v>
      </c>
      <c r="BJ97" s="190">
        <f>BJ26*($D26*1.1)*29</f>
        <v>943.43718811042618</v>
      </c>
      <c r="BK97" s="199">
        <f>BK26*$D26*29</f>
        <v>213.62503210272877</v>
      </c>
      <c r="BL97" s="200">
        <f>BL26*($D26*1.02)*29</f>
        <v>435.79506548956664</v>
      </c>
      <c r="BM97" s="200">
        <f>BM26*($D26*1.04)*29</f>
        <v>444.51096679935807</v>
      </c>
      <c r="BN97" s="200">
        <f>BN26*($D26*1.06)*29</f>
        <v>453.4011861353452</v>
      </c>
      <c r="BO97" s="200">
        <f>BO26*($D26*1.08)*29</f>
        <v>462.46920985805212</v>
      </c>
      <c r="BP97" s="201">
        <f>BP26*($D26*1.1)*29</f>
        <v>235.85929702760654</v>
      </c>
      <c r="BQ97" s="190">
        <f>BQ26*$D26*29</f>
        <v>3204.3754815409311</v>
      </c>
      <c r="BR97" s="190">
        <f>BR26*($D26*1.02)*29</f>
        <v>6536.9259823434995</v>
      </c>
      <c r="BS97" s="190">
        <f>BS26*($D26*1.04)*29</f>
        <v>6667.6645019903699</v>
      </c>
      <c r="BT97" s="190">
        <f>BT26*($D26*1.06)*29</f>
        <v>6801.0177920301776</v>
      </c>
      <c r="BU97" s="190">
        <f>BU26*($D26*1.08)*29</f>
        <v>6937.0381478707804</v>
      </c>
      <c r="BV97" s="190">
        <f>BV26*($D26*1.1)*29</f>
        <v>3537.8894554140984</v>
      </c>
      <c r="BW97" s="206">
        <f t="shared" si="54"/>
        <v>44913.215148253141</v>
      </c>
      <c r="BX97" s="211">
        <f t="shared" si="55"/>
        <v>449132.15148253145</v>
      </c>
    </row>
    <row r="98" spans="1:76" x14ac:dyDescent="0.3">
      <c r="A98" s="24" t="s">
        <v>488</v>
      </c>
      <c r="F98" s="199">
        <f>F27*$D27</f>
        <v>673.69978932584263</v>
      </c>
      <c r="G98" s="200">
        <f>G27*($D27*1.02)</f>
        <v>2748.9425477528089</v>
      </c>
      <c r="H98" s="200">
        <f>H27*($D27*1.04)</f>
        <v>2803.9213987078656</v>
      </c>
      <c r="I98" s="200">
        <f>I27*($D27*1.06)</f>
        <v>2859.9998266820226</v>
      </c>
      <c r="J98" s="200">
        <f>J27*($D27*1.08)</f>
        <v>2917.2260782766216</v>
      </c>
      <c r="K98" s="201">
        <f>K27*($D27*1.1)</f>
        <v>1487.7866389291862</v>
      </c>
      <c r="L98" s="200">
        <f>L27*$D27</f>
        <v>192.48565409309793</v>
      </c>
      <c r="M98" s="200">
        <f>M27*($D27*1.02)</f>
        <v>785.41215650080255</v>
      </c>
      <c r="N98" s="200">
        <f>N27*($D27*1.04)</f>
        <v>801.12039963081895</v>
      </c>
      <c r="O98" s="200">
        <f>O27*($D27*1.06)</f>
        <v>817.14280762343515</v>
      </c>
      <c r="P98" s="200">
        <f>P27*($D27*1.08)</f>
        <v>833.49316522189201</v>
      </c>
      <c r="Q98" s="201">
        <f>Q27*($D27*1.1)</f>
        <v>425.0818968369104</v>
      </c>
      <c r="R98" s="190">
        <f>R27*$D27</f>
        <v>96.242827046548967</v>
      </c>
      <c r="S98" s="190">
        <f>S27*($D27*1.02)</f>
        <v>392.70607825040128</v>
      </c>
      <c r="T98" s="190">
        <f>T27*($D27*1.04)</f>
        <v>400.56019981540948</v>
      </c>
      <c r="U98" s="190">
        <f>U27*($D27*1.06)</f>
        <v>408.57140381171757</v>
      </c>
      <c r="V98" s="190">
        <f>V27*($D27*1.08)</f>
        <v>416.74658261094601</v>
      </c>
      <c r="W98" s="190">
        <f>W27*($D27*1.1)</f>
        <v>212.5409484184552</v>
      </c>
      <c r="X98" s="206">
        <f t="shared" si="50"/>
        <v>19273.680399534787</v>
      </c>
      <c r="Y98" s="190">
        <f>Y27*$D27</f>
        <v>538.9598314606742</v>
      </c>
      <c r="Z98" s="190">
        <f>Z27*($D27*1.02)</f>
        <v>1099.5770191011236</v>
      </c>
      <c r="AA98" s="190">
        <f>AA27*($D27*1.04)</f>
        <v>1121.5685594831464</v>
      </c>
      <c r="AB98" s="190">
        <f>AB27*($D27*1.06)</f>
        <v>1143.9999306728091</v>
      </c>
      <c r="AC98" s="190">
        <f>AC27*($D27*1.08)</f>
        <v>1166.8904313106489</v>
      </c>
      <c r="AD98" s="190">
        <f>AD27*($D27*1.1)</f>
        <v>595.11465557167458</v>
      </c>
      <c r="AE98" s="199">
        <f t="shared" si="51"/>
        <v>0</v>
      </c>
      <c r="AF98" s="200">
        <f>AF27*($D27*1.02)</f>
        <v>2199.1540382022472</v>
      </c>
      <c r="AG98" s="200">
        <f>AG27*($D27*1.04)</f>
        <v>2243.1371189662927</v>
      </c>
      <c r="AH98" s="200">
        <f>AH27*($D27*1.06)</f>
        <v>2287.9998613456182</v>
      </c>
      <c r="AI98" s="200">
        <f>AI27*($D27*1.08)</f>
        <v>2333.7808626212977</v>
      </c>
      <c r="AJ98" s="201">
        <f>AJ27*($D27*1.1)</f>
        <v>1190.2293111433492</v>
      </c>
      <c r="AK98" s="190">
        <f>AK27*$D27</f>
        <v>808.43974719101118</v>
      </c>
      <c r="AL98" s="190">
        <f>AL27*($D27*1.02)</f>
        <v>2199.1540382022472</v>
      </c>
      <c r="AM98" s="190">
        <f>AM27*($D27*1.04)</f>
        <v>2243.1371189662927</v>
      </c>
      <c r="AN98" s="190">
        <f>AN27*($D27*1.06)</f>
        <v>2287.9998613456182</v>
      </c>
      <c r="AO98" s="190">
        <f>AO27*($D27*1.08)</f>
        <v>2333.7808626212977</v>
      </c>
      <c r="AP98" s="190">
        <f>AP27*($D27*1.1)</f>
        <v>1190.2293111433492</v>
      </c>
      <c r="AQ98" s="206">
        <f t="shared" si="52"/>
        <v>26983.152559348702</v>
      </c>
      <c r="AR98" s="199">
        <f>AR27*$D27</f>
        <v>288.72848113964687</v>
      </c>
      <c r="AS98" s="200">
        <f>AS27*($D27*1.02)</f>
        <v>1178.1182347512038</v>
      </c>
      <c r="AT98" s="200">
        <f>AT27*($D27*1.04)</f>
        <v>1201.6805994462281</v>
      </c>
      <c r="AU98" s="200">
        <f>AU27*($D27*1.06)</f>
        <v>1225.7142114351525</v>
      </c>
      <c r="AV98" s="200">
        <f>AV27*($D27*1.08)</f>
        <v>1250.239747832838</v>
      </c>
      <c r="AW98" s="201">
        <f>AW27*($D27*1.1)</f>
        <v>637.62284525536563</v>
      </c>
      <c r="AX98" s="190">
        <f>AX27*$D27</f>
        <v>866.18544341894062</v>
      </c>
      <c r="AY98" s="190">
        <f>AY27*($D27*1.02)</f>
        <v>3534.3547042536111</v>
      </c>
      <c r="AZ98" s="190">
        <f>AZ27*($D27*1.04)</f>
        <v>3605.0417983386851</v>
      </c>
      <c r="BA98" s="190">
        <f>BA27*($D27*1.06)</f>
        <v>3677.1426343054572</v>
      </c>
      <c r="BB98" s="190">
        <f>BB27*($D27*1.08)</f>
        <v>3750.7192434985141</v>
      </c>
      <c r="BC98" s="190">
        <f>BC27*($D27*1.1)</f>
        <v>1912.868535766097</v>
      </c>
      <c r="BD98" s="206">
        <f t="shared" si="53"/>
        <v>23128.416479441745</v>
      </c>
      <c r="BE98" s="190">
        <f>BE27*$D27</f>
        <v>76.994261637239177</v>
      </c>
      <c r="BF98" s="190">
        <f>BF27*($D27*1.02)</f>
        <v>314.16486260032104</v>
      </c>
      <c r="BG98" s="190">
        <f>BG27*($D27*1.04)</f>
        <v>320.44815985232759</v>
      </c>
      <c r="BH98" s="190">
        <f>BH27*($D27*1.06)</f>
        <v>326.85712304937408</v>
      </c>
      <c r="BI98" s="190">
        <f>BI27*($D27*1.08)</f>
        <v>333.39726608875679</v>
      </c>
      <c r="BJ98" s="190">
        <f>BJ27*($D27*1.1)</f>
        <v>170.03275873476417</v>
      </c>
      <c r="BK98" s="199">
        <f>BK27*$D27</f>
        <v>19.248565409309794</v>
      </c>
      <c r="BL98" s="200">
        <f>BL27*($D27*1.02)</f>
        <v>78.541215650080261</v>
      </c>
      <c r="BM98" s="200">
        <f>BM27*($D27*1.04)</f>
        <v>80.112039963081898</v>
      </c>
      <c r="BN98" s="200">
        <f>BN27*($D27*1.06)</f>
        <v>81.71428076234352</v>
      </c>
      <c r="BO98" s="200">
        <f>BO27*($D27*1.08)</f>
        <v>83.349316522189199</v>
      </c>
      <c r="BP98" s="201">
        <f>BP27*($D27*1.1)</f>
        <v>42.508189683691043</v>
      </c>
      <c r="BQ98" s="190">
        <f>BQ27*$D27</f>
        <v>288.72848113964687</v>
      </c>
      <c r="BR98" s="190">
        <f>BR27*($D27*1.02)</f>
        <v>1178.1182347512038</v>
      </c>
      <c r="BS98" s="190">
        <f>BS27*($D27*1.04)</f>
        <v>1201.6805994462284</v>
      </c>
      <c r="BT98" s="190">
        <f>BT27*($D27*1.06)</f>
        <v>1225.7142114351525</v>
      </c>
      <c r="BU98" s="190">
        <f>BU27*($D27*1.08)</f>
        <v>1250.239747832838</v>
      </c>
      <c r="BV98" s="190">
        <f>BV27*($D27*1.1)</f>
        <v>637.62284525536563</v>
      </c>
      <c r="BW98" s="206">
        <f t="shared" si="54"/>
        <v>7709.4721598139149</v>
      </c>
      <c r="BX98" s="211">
        <f t="shared" si="55"/>
        <v>77094.721598139149</v>
      </c>
    </row>
    <row r="99" spans="1:76" x14ac:dyDescent="0.3">
      <c r="A99" s="24" t="s">
        <v>489</v>
      </c>
      <c r="F99" s="199">
        <f>F28*$D28</f>
        <v>3243.2044118603553</v>
      </c>
      <c r="G99" s="200">
        <f>G28*($D28*1.02)</f>
        <v>4410.758000130083</v>
      </c>
      <c r="H99" s="200">
        <f>H28*($D28*1.04)</f>
        <v>4498.9731601326848</v>
      </c>
      <c r="I99" s="200">
        <f>I28*($D28*1.06)</f>
        <v>4588.9526233353381</v>
      </c>
      <c r="J99" s="200">
        <f>J28*($D28*1.08)</f>
        <v>4680.7316758020452</v>
      </c>
      <c r="K99" s="201">
        <f>K28*($D28*1.1)</f>
        <v>4774.3463093180862</v>
      </c>
      <c r="L99" s="200">
        <f>L28*$D28</f>
        <v>926.62983196010168</v>
      </c>
      <c r="M99" s="200">
        <f>M28*($D28*1.02)</f>
        <v>1260.2165714657381</v>
      </c>
      <c r="N99" s="200">
        <f>N28*($D28*1.04)</f>
        <v>1285.4209028950527</v>
      </c>
      <c r="O99" s="200">
        <f>O28*($D28*1.06)</f>
        <v>1311.1293209529538</v>
      </c>
      <c r="P99" s="200">
        <f>P28*($D28*1.08)</f>
        <v>1337.3519073720131</v>
      </c>
      <c r="Q99" s="201">
        <f>Q28*($D28*1.1)</f>
        <v>1364.0989455194535</v>
      </c>
      <c r="R99" s="190">
        <f>R28*$D28</f>
        <v>463.31491598005084</v>
      </c>
      <c r="S99" s="190">
        <f>S28*($D28*1.02)</f>
        <v>630.10828573286904</v>
      </c>
      <c r="T99" s="190">
        <f>T28*($D28*1.04)</f>
        <v>642.71045144752634</v>
      </c>
      <c r="U99" s="190">
        <f>U28*($D28*1.06)</f>
        <v>655.56466047647689</v>
      </c>
      <c r="V99" s="190">
        <f>V28*($D28*1.08)</f>
        <v>668.67595368600655</v>
      </c>
      <c r="W99" s="190">
        <f>W28*($D28*1.1)</f>
        <v>682.04947275972677</v>
      </c>
      <c r="X99" s="206">
        <f t="shared" si="50"/>
        <v>37424.237400826561</v>
      </c>
      <c r="Y99" s="190">
        <f>Y28*$D28</f>
        <v>2594.5635294882841</v>
      </c>
      <c r="Z99" s="190">
        <f>Z28*($D28*1.02)</f>
        <v>1764.3032000520332</v>
      </c>
      <c r="AA99" s="190">
        <f>AA28*($D28*1.04)</f>
        <v>1799.5892640530737</v>
      </c>
      <c r="AB99" s="190">
        <f>AB28*($D28*1.06)</f>
        <v>1835.5810493341353</v>
      </c>
      <c r="AC99" s="190">
        <f>AC28*($D28*1.08)</f>
        <v>1872.2926703208182</v>
      </c>
      <c r="AD99" s="190">
        <f>AD28*($D28*1.1)</f>
        <v>1909.7385237272347</v>
      </c>
      <c r="AE99" s="199">
        <f t="shared" si="51"/>
        <v>0</v>
      </c>
      <c r="AF99" s="200">
        <f>AF28*($D28*1.02)</f>
        <v>3528.6064001040663</v>
      </c>
      <c r="AG99" s="200">
        <f>AG28*($D28*1.04)</f>
        <v>3599.1785281061475</v>
      </c>
      <c r="AH99" s="200">
        <f>AH28*($D28*1.06)</f>
        <v>3671.1620986682706</v>
      </c>
      <c r="AI99" s="200">
        <f>AI28*($D28*1.08)</f>
        <v>3744.5853406416363</v>
      </c>
      <c r="AJ99" s="201">
        <f>AJ28*($D28*1.1)</f>
        <v>3819.4770474544694</v>
      </c>
      <c r="AK99" s="190">
        <f>AK28*$D28</f>
        <v>3891.8452942324261</v>
      </c>
      <c r="AL99" s="190">
        <f>AL28*($D28*1.02)</f>
        <v>3528.6064001040663</v>
      </c>
      <c r="AM99" s="190">
        <f>AM28*($D28*1.04)</f>
        <v>3599.1785281061475</v>
      </c>
      <c r="AN99" s="190">
        <f>AN28*($D28*1.06)</f>
        <v>3671.1620986682706</v>
      </c>
      <c r="AO99" s="190">
        <f>AO28*($D28*1.08)</f>
        <v>3744.5853406416363</v>
      </c>
      <c r="AP99" s="190">
        <f>AP28*($D28*1.1)</f>
        <v>3819.4770474544694</v>
      </c>
      <c r="AQ99" s="206">
        <f t="shared" si="52"/>
        <v>52393.932361157182</v>
      </c>
      <c r="AR99" s="199">
        <f>AR28*$D28</f>
        <v>1389.9447479401522</v>
      </c>
      <c r="AS99" s="200">
        <f>AS28*($D28*1.02)</f>
        <v>1890.3248571986071</v>
      </c>
      <c r="AT99" s="200">
        <f>AT28*($D28*1.04)</f>
        <v>1928.1313543425792</v>
      </c>
      <c r="AU99" s="200">
        <f>AU28*($D28*1.06)</f>
        <v>1966.6939814294306</v>
      </c>
      <c r="AV99" s="200">
        <f>AV28*($D28*1.08)</f>
        <v>2006.0278610580194</v>
      </c>
      <c r="AW99" s="201">
        <f>AW28*($D28*1.1)</f>
        <v>2046.1484182791801</v>
      </c>
      <c r="AX99" s="190">
        <f>AX28*$D28</f>
        <v>4169.8342438204563</v>
      </c>
      <c r="AY99" s="190">
        <f>AY28*($D28*1.02)</f>
        <v>5670.9745715958215</v>
      </c>
      <c r="AZ99" s="190">
        <f>AZ28*($D28*1.04)</f>
        <v>5784.3940630277384</v>
      </c>
      <c r="BA99" s="190">
        <f>BA28*($D28*1.06)</f>
        <v>5900.0819442882921</v>
      </c>
      <c r="BB99" s="190">
        <f>BB28*($D28*1.08)</f>
        <v>6018.0835831740578</v>
      </c>
      <c r="BC99" s="190">
        <f>BC28*($D28*1.1)</f>
        <v>6138.4452548375393</v>
      </c>
      <c r="BD99" s="206">
        <f t="shared" si="53"/>
        <v>44909.084880991875</v>
      </c>
      <c r="BE99" s="190">
        <f>BE28*$D28</f>
        <v>370.6519327840407</v>
      </c>
      <c r="BF99" s="190">
        <f>BF28*($D28*1.02)</f>
        <v>504.08662858629526</v>
      </c>
      <c r="BG99" s="190">
        <f>BG28*($D28*1.04)</f>
        <v>514.16836115802118</v>
      </c>
      <c r="BH99" s="190">
        <f>BH28*($D28*1.06)</f>
        <v>524.45172838118162</v>
      </c>
      <c r="BI99" s="190">
        <f>BI28*($D28*1.08)</f>
        <v>534.94076294880529</v>
      </c>
      <c r="BJ99" s="190">
        <f>BJ28*($D28*1.1)</f>
        <v>545.63957820778137</v>
      </c>
      <c r="BK99" s="199">
        <f>BK28*$D28</f>
        <v>92.662983196010174</v>
      </c>
      <c r="BL99" s="200">
        <f>BL28*($D28*1.02)</f>
        <v>126.02165714657382</v>
      </c>
      <c r="BM99" s="200">
        <f>BM28*($D28*1.04)</f>
        <v>128.5420902895053</v>
      </c>
      <c r="BN99" s="200">
        <f>BN28*($D28*1.06)</f>
        <v>131.11293209529541</v>
      </c>
      <c r="BO99" s="200">
        <f>BO28*($D28*1.08)</f>
        <v>133.73519073720132</v>
      </c>
      <c r="BP99" s="201">
        <f>BP28*($D28*1.1)</f>
        <v>136.40989455194534</v>
      </c>
      <c r="BQ99" s="190">
        <f>BQ28*$D28</f>
        <v>1389.9447479401524</v>
      </c>
      <c r="BR99" s="190">
        <f>BR28*($D28*1.02)</f>
        <v>1890.3248571986071</v>
      </c>
      <c r="BS99" s="190">
        <f>BS28*($D28*1.04)</f>
        <v>1928.131354342579</v>
      </c>
      <c r="BT99" s="190">
        <f>BT28*($D28*1.06)</f>
        <v>1966.6939814294308</v>
      </c>
      <c r="BU99" s="190">
        <f>BU28*($D28*1.08)</f>
        <v>2006.0278610580197</v>
      </c>
      <c r="BV99" s="190">
        <f>BV28*($D28*1.1)</f>
        <v>2046.1484182791803</v>
      </c>
      <c r="BW99" s="206">
        <f t="shared" si="54"/>
        <v>14969.694960330626</v>
      </c>
      <c r="BX99" s="211">
        <f t="shared" si="55"/>
        <v>149696.94960330622</v>
      </c>
    </row>
    <row r="100" spans="1:76" x14ac:dyDescent="0.3">
      <c r="A100" s="24" t="s">
        <v>514</v>
      </c>
      <c r="F100" s="199">
        <f>F29*$D29</f>
        <v>4681.6479400749085</v>
      </c>
      <c r="G100" s="200">
        <f>G29*($D29*1.02)</f>
        <v>2387.6404494382041</v>
      </c>
      <c r="H100" s="200">
        <f>H29*($D29*1.04)</f>
        <v>2435.3932584269678</v>
      </c>
      <c r="I100" s="200">
        <f>I29*($D29*1.06)</f>
        <v>2484.101123595507</v>
      </c>
      <c r="J100" s="200">
        <f>J29*($D29*1.08)</f>
        <v>2533.7831460674179</v>
      </c>
      <c r="K100" s="201">
        <f>K29*($D29*1.1)</f>
        <v>2584.4588089887666</v>
      </c>
      <c r="L100" s="200">
        <f>L29*$D29</f>
        <v>1337.61369716426</v>
      </c>
      <c r="M100" s="200">
        <f>M29*($D29*1.02)</f>
        <v>682.18298555377271</v>
      </c>
      <c r="N100" s="200">
        <f>N29*($D29*1.04)</f>
        <v>695.82664526484803</v>
      </c>
      <c r="O100" s="200">
        <f>O29*($D29*1.06)</f>
        <v>709.74317817014503</v>
      </c>
      <c r="P100" s="200">
        <f>P29*($D29*1.08)</f>
        <v>723.93804173354795</v>
      </c>
      <c r="Q100" s="201">
        <f>Q29*($D29*1.1)</f>
        <v>738.41680256821905</v>
      </c>
      <c r="R100" s="190">
        <f>R29*$D29</f>
        <v>668.80684858212999</v>
      </c>
      <c r="S100" s="190">
        <f>S29*($D29*1.02)</f>
        <v>341.09149277688635</v>
      </c>
      <c r="T100" s="190">
        <f>T29*($D29*1.04)</f>
        <v>347.91332263242401</v>
      </c>
      <c r="U100" s="190">
        <f>U29*($D29*1.06)</f>
        <v>354.87158908507251</v>
      </c>
      <c r="V100" s="190">
        <f>V29*($D29*1.08)</f>
        <v>361.96902086677397</v>
      </c>
      <c r="W100" s="190">
        <f>W29*($D29*1.1)</f>
        <v>369.20840128410953</v>
      </c>
      <c r="X100" s="206">
        <f t="shared" si="50"/>
        <v>24438.606752273961</v>
      </c>
      <c r="Y100" s="190">
        <f>Y29*$D29</f>
        <v>3745.3183520599282</v>
      </c>
      <c r="Z100" s="190">
        <f>Z29*($D29*1.02)</f>
        <v>955.05617977528163</v>
      </c>
      <c r="AA100" s="190">
        <f>AA29*($D29*1.04)</f>
        <v>974.15730337078719</v>
      </c>
      <c r="AB100" s="190">
        <f>AB29*($D29*1.06)</f>
        <v>993.64044943820284</v>
      </c>
      <c r="AC100" s="190">
        <f>AC29*($D29*1.08)</f>
        <v>1013.5132584269671</v>
      </c>
      <c r="AD100" s="190">
        <f>AD29*($D29*1.1)</f>
        <v>1033.7835235955067</v>
      </c>
      <c r="AE100" s="199">
        <f t="shared" si="51"/>
        <v>0</v>
      </c>
      <c r="AF100" s="200">
        <f>AF29*($D29*1.02)</f>
        <v>1910.1123595505633</v>
      </c>
      <c r="AG100" s="200">
        <f>AG29*($D29*1.04)</f>
        <v>1948.3146067415744</v>
      </c>
      <c r="AH100" s="200">
        <f>AH29*($D29*1.06)</f>
        <v>1987.2808988764057</v>
      </c>
      <c r="AI100" s="200">
        <f>AI29*($D29*1.08)</f>
        <v>2027.0265168539343</v>
      </c>
      <c r="AJ100" s="201">
        <f>AJ29*($D29*1.1)</f>
        <v>2067.5670471910134</v>
      </c>
      <c r="AK100" s="190">
        <f>AK29*$D29</f>
        <v>5617.9775280898921</v>
      </c>
      <c r="AL100" s="190">
        <f>AL29*($D29*1.02)</f>
        <v>1910.1123595505633</v>
      </c>
      <c r="AM100" s="190">
        <f>AM29*($D29*1.04)</f>
        <v>1948.3146067415744</v>
      </c>
      <c r="AN100" s="190">
        <f>AN29*($D29*1.06)</f>
        <v>1987.2808988764057</v>
      </c>
      <c r="AO100" s="190">
        <f>AO29*($D29*1.08)</f>
        <v>2027.0265168539343</v>
      </c>
      <c r="AP100" s="190">
        <f>AP29*($D29*1.1)</f>
        <v>2067.5670471910134</v>
      </c>
      <c r="AQ100" s="206">
        <f t="shared" si="52"/>
        <v>34214.04945318355</v>
      </c>
      <c r="AR100" s="199">
        <f>AR29*$D29</f>
        <v>2006.4205457463895</v>
      </c>
      <c r="AS100" s="200">
        <f>AS29*($D29*1.02)</f>
        <v>1023.274478330659</v>
      </c>
      <c r="AT100" s="200">
        <f>AT29*($D29*1.04)</f>
        <v>1043.739967897272</v>
      </c>
      <c r="AU100" s="200">
        <f>AU29*($D29*1.06)</f>
        <v>1064.6147672552174</v>
      </c>
      <c r="AV100" s="200">
        <f>AV29*($D29*1.08)</f>
        <v>1085.9070626003218</v>
      </c>
      <c r="AW100" s="201">
        <f>AW29*($D29*1.1)</f>
        <v>1107.6252038523285</v>
      </c>
      <c r="AX100" s="190">
        <f>AX29*$D29</f>
        <v>6019.2616372391685</v>
      </c>
      <c r="AY100" s="190">
        <f>AY29*($D29*1.02)</f>
        <v>3069.8234349919771</v>
      </c>
      <c r="AZ100" s="190">
        <f>AZ29*($D29*1.04)</f>
        <v>3131.2199036918155</v>
      </c>
      <c r="BA100" s="190">
        <f>BA29*($D29*1.06)</f>
        <v>3193.8443017656518</v>
      </c>
      <c r="BB100" s="190">
        <f>BB29*($D29*1.08)</f>
        <v>3257.7211878009653</v>
      </c>
      <c r="BC100" s="190">
        <f>BC29*($D29*1.1)</f>
        <v>3322.8756115569854</v>
      </c>
      <c r="BD100" s="206">
        <f t="shared" si="53"/>
        <v>29326.328102728756</v>
      </c>
      <c r="BE100" s="190">
        <f>BE29*$D29</f>
        <v>535.04547886570401</v>
      </c>
      <c r="BF100" s="190">
        <f>BF29*($D29*1.02)</f>
        <v>272.8731942215091</v>
      </c>
      <c r="BG100" s="190">
        <f>BG29*($D29*1.04)</f>
        <v>278.33065810593928</v>
      </c>
      <c r="BH100" s="190">
        <f>BH29*($D29*1.06)</f>
        <v>283.89727126805803</v>
      </c>
      <c r="BI100" s="190">
        <f>BI29*($D29*1.08)</f>
        <v>289.57521669341918</v>
      </c>
      <c r="BJ100" s="190">
        <f>BJ29*($D29*1.1)</f>
        <v>295.36672102728761</v>
      </c>
      <c r="BK100" s="199">
        <f>BK29*$D29</f>
        <v>133.761369716426</v>
      </c>
      <c r="BL100" s="200">
        <f>BL29*($D29*1.02)</f>
        <v>68.218298555377274</v>
      </c>
      <c r="BM100" s="200">
        <f>BM29*($D29*1.04)</f>
        <v>69.58266452648482</v>
      </c>
      <c r="BN100" s="200">
        <f>BN29*($D29*1.06)</f>
        <v>70.974317817014509</v>
      </c>
      <c r="BO100" s="200">
        <f>BO29*($D29*1.08)</f>
        <v>72.393804173354795</v>
      </c>
      <c r="BP100" s="201">
        <f>BP29*($D29*1.1)</f>
        <v>73.841680256821903</v>
      </c>
      <c r="BQ100" s="190">
        <f>BQ29*$D29</f>
        <v>2006.42054574639</v>
      </c>
      <c r="BR100" s="190">
        <f>BR29*($D29*1.02)</f>
        <v>1023.274478330659</v>
      </c>
      <c r="BS100" s="190">
        <f>BS29*($D29*1.04)</f>
        <v>1043.7399678972722</v>
      </c>
      <c r="BT100" s="190">
        <f>BT29*($D29*1.06)</f>
        <v>1064.6147672552177</v>
      </c>
      <c r="BU100" s="190">
        <f>BU29*($D29*1.08)</f>
        <v>1085.9070626003218</v>
      </c>
      <c r="BV100" s="190">
        <f>BV29*($D29*1.1)</f>
        <v>1107.6252038523285</v>
      </c>
      <c r="BW100" s="206">
        <f t="shared" si="54"/>
        <v>9775.4427009095871</v>
      </c>
      <c r="BX100" s="211">
        <f t="shared" si="55"/>
        <v>97754.427009095845</v>
      </c>
    </row>
    <row r="101" spans="1:76" x14ac:dyDescent="0.3">
      <c r="A101" s="154" t="s">
        <v>552</v>
      </c>
      <c r="B101" s="162"/>
      <c r="C101" s="162"/>
      <c r="D101" s="47"/>
      <c r="E101" s="162"/>
      <c r="F101" s="246">
        <f t="shared" ref="F101:AK101" si="56">SUM(F95:F100)</f>
        <v>19462.694182459607</v>
      </c>
      <c r="G101" s="250">
        <f t="shared" si="56"/>
        <v>31710.190761366041</v>
      </c>
      <c r="H101" s="250">
        <f t="shared" si="56"/>
        <v>32344.39457659336</v>
      </c>
      <c r="I101" s="250">
        <f t="shared" si="56"/>
        <v>32991.282468125224</v>
      </c>
      <c r="J101" s="250">
        <f t="shared" si="56"/>
        <v>33651.134372548688</v>
      </c>
      <c r="K101" s="250">
        <f t="shared" si="56"/>
        <v>22288.779361195073</v>
      </c>
      <c r="L101" s="248">
        <f t="shared" si="56"/>
        <v>5560.769766417031</v>
      </c>
      <c r="M101" s="250">
        <f t="shared" si="56"/>
        <v>9060.0545032474402</v>
      </c>
      <c r="N101" s="250">
        <f t="shared" si="56"/>
        <v>9241.2555933123895</v>
      </c>
      <c r="O101" s="250">
        <f t="shared" si="56"/>
        <v>9426.0807051786378</v>
      </c>
      <c r="P101" s="250">
        <f t="shared" si="56"/>
        <v>9614.6098207281993</v>
      </c>
      <c r="Q101" s="250">
        <f t="shared" si="56"/>
        <v>6368.2226746271645</v>
      </c>
      <c r="R101" s="248">
        <f t="shared" si="56"/>
        <v>2780.3848832085155</v>
      </c>
      <c r="S101" s="248">
        <f t="shared" si="56"/>
        <v>4530.0272516237201</v>
      </c>
      <c r="T101" s="250">
        <f t="shared" si="56"/>
        <v>4620.6277966561947</v>
      </c>
      <c r="U101" s="250">
        <f t="shared" si="56"/>
        <v>4713.0403525893189</v>
      </c>
      <c r="V101" s="250">
        <f t="shared" si="56"/>
        <v>4807.3049103640997</v>
      </c>
      <c r="W101" s="250">
        <f t="shared" si="56"/>
        <v>3184.1113373135822</v>
      </c>
      <c r="X101" s="252">
        <f t="shared" si="56"/>
        <v>246354.96531755431</v>
      </c>
      <c r="Y101" s="250">
        <f t="shared" si="56"/>
        <v>15570.155345967689</v>
      </c>
      <c r="Z101" s="250">
        <f t="shared" si="56"/>
        <v>12684.076304546415</v>
      </c>
      <c r="AA101" s="250">
        <f t="shared" si="56"/>
        <v>12937.757830637343</v>
      </c>
      <c r="AB101" s="250">
        <f t="shared" si="56"/>
        <v>13196.512987250093</v>
      </c>
      <c r="AC101" s="250">
        <f t="shared" si="56"/>
        <v>13460.453749019476</v>
      </c>
      <c r="AD101" s="250">
        <f t="shared" si="56"/>
        <v>8915.5117444780317</v>
      </c>
      <c r="AE101" s="248">
        <f t="shared" si="56"/>
        <v>0</v>
      </c>
      <c r="AF101" s="250">
        <f t="shared" si="56"/>
        <v>25368.152609092831</v>
      </c>
      <c r="AG101" s="250">
        <f t="shared" si="56"/>
        <v>25875.515661274687</v>
      </c>
      <c r="AH101" s="250">
        <f t="shared" si="56"/>
        <v>26393.025974500186</v>
      </c>
      <c r="AI101" s="250">
        <f t="shared" si="56"/>
        <v>26920.907498038952</v>
      </c>
      <c r="AJ101" s="252">
        <f t="shared" si="56"/>
        <v>17831.023488956063</v>
      </c>
      <c r="AK101" s="250">
        <f t="shared" si="56"/>
        <v>23355.233018951534</v>
      </c>
      <c r="AL101" s="248">
        <f t="shared" ref="AL101:BQ101" si="57">SUM(AL95:AL100)</f>
        <v>25368.152609092831</v>
      </c>
      <c r="AM101" s="250">
        <f t="shared" si="57"/>
        <v>25875.515661274687</v>
      </c>
      <c r="AN101" s="250">
        <f t="shared" si="57"/>
        <v>26393.025974500186</v>
      </c>
      <c r="AO101" s="250">
        <f t="shared" si="57"/>
        <v>26920.907498038952</v>
      </c>
      <c r="AP101" s="250">
        <f t="shared" si="57"/>
        <v>17831.023488956063</v>
      </c>
      <c r="AQ101" s="252">
        <f t="shared" si="57"/>
        <v>344896.95144457603</v>
      </c>
      <c r="AR101" s="250">
        <f t="shared" si="57"/>
        <v>8341.1546496255469</v>
      </c>
      <c r="AS101" s="250">
        <f t="shared" si="57"/>
        <v>13590.08175487116</v>
      </c>
      <c r="AT101" s="250">
        <f t="shared" si="57"/>
        <v>13861.883389968583</v>
      </c>
      <c r="AU101" s="250">
        <f t="shared" si="57"/>
        <v>14139.121057767954</v>
      </c>
      <c r="AV101" s="250">
        <f t="shared" si="57"/>
        <v>14421.914731092296</v>
      </c>
      <c r="AW101" s="250">
        <f t="shared" si="57"/>
        <v>9552.3340119407494</v>
      </c>
      <c r="AX101" s="244">
        <f t="shared" si="57"/>
        <v>25023.463948876637</v>
      </c>
      <c r="AY101" s="244">
        <f t="shared" si="57"/>
        <v>40770.245264613492</v>
      </c>
      <c r="AZ101" s="250">
        <f t="shared" si="57"/>
        <v>41585.650169905755</v>
      </c>
      <c r="BA101" s="250">
        <f t="shared" si="57"/>
        <v>42417.363173303864</v>
      </c>
      <c r="BB101" s="250">
        <f t="shared" si="57"/>
        <v>43265.744193276885</v>
      </c>
      <c r="BC101" s="250">
        <f t="shared" si="57"/>
        <v>28657.002035822239</v>
      </c>
      <c r="BD101" s="250">
        <f t="shared" si="57"/>
        <v>295625.95838106517</v>
      </c>
      <c r="BE101" s="250">
        <f t="shared" si="57"/>
        <v>2224.3079065668126</v>
      </c>
      <c r="BF101" s="250">
        <f t="shared" si="57"/>
        <v>3624.0218012989762</v>
      </c>
      <c r="BG101" s="250">
        <f t="shared" si="57"/>
        <v>3696.5022373249562</v>
      </c>
      <c r="BH101" s="250">
        <f t="shared" si="57"/>
        <v>3770.4322820714551</v>
      </c>
      <c r="BI101" s="250">
        <f t="shared" si="57"/>
        <v>3845.8439282912796</v>
      </c>
      <c r="BJ101" s="250">
        <f t="shared" si="57"/>
        <v>2547.2890698508659</v>
      </c>
      <c r="BK101" s="250">
        <f t="shared" si="57"/>
        <v>556.07697664170314</v>
      </c>
      <c r="BL101" s="250">
        <f t="shared" si="57"/>
        <v>906.00545032474406</v>
      </c>
      <c r="BM101" s="250">
        <f t="shared" si="57"/>
        <v>924.12555933123906</v>
      </c>
      <c r="BN101" s="250">
        <f t="shared" si="57"/>
        <v>942.60807051786378</v>
      </c>
      <c r="BO101" s="250">
        <f t="shared" si="57"/>
        <v>961.46098207281989</v>
      </c>
      <c r="BP101" s="250">
        <f t="shared" si="57"/>
        <v>636.82226746271647</v>
      </c>
      <c r="BQ101" s="250">
        <f t="shared" si="57"/>
        <v>8341.1546496255469</v>
      </c>
      <c r="BR101" s="250">
        <f t="shared" ref="BR101:BX101" si="58">SUM(BR95:BR100)</f>
        <v>13590.08175487116</v>
      </c>
      <c r="BS101" s="250">
        <f t="shared" si="58"/>
        <v>13861.883389968583</v>
      </c>
      <c r="BT101" s="250">
        <f t="shared" si="58"/>
        <v>14139.121057767956</v>
      </c>
      <c r="BU101" s="250">
        <f t="shared" si="58"/>
        <v>14421.914731092296</v>
      </c>
      <c r="BV101" s="250">
        <f t="shared" si="58"/>
        <v>9552.3340119407494</v>
      </c>
      <c r="BW101" s="250">
        <f t="shared" si="58"/>
        <v>98541.986127021722</v>
      </c>
      <c r="BX101" s="252">
        <f t="shared" si="58"/>
        <v>985419.86127021722</v>
      </c>
    </row>
    <row r="102" spans="1:76" x14ac:dyDescent="0.3">
      <c r="F102" s="199"/>
      <c r="G102" s="200"/>
      <c r="H102" s="200"/>
      <c r="I102" s="200"/>
      <c r="J102" s="200"/>
      <c r="K102" s="201"/>
      <c r="L102" s="200"/>
      <c r="M102" s="200"/>
      <c r="N102" s="200"/>
      <c r="O102" s="200"/>
      <c r="P102" s="200"/>
      <c r="Q102" s="201"/>
      <c r="R102" s="190"/>
      <c r="S102" s="190"/>
      <c r="T102" s="190"/>
      <c r="U102" s="190"/>
      <c r="V102" s="190"/>
      <c r="W102" s="190"/>
      <c r="X102" s="206"/>
      <c r="Y102" s="190"/>
      <c r="Z102" s="190"/>
      <c r="AA102" s="190"/>
      <c r="AB102" s="190"/>
      <c r="AC102" s="190"/>
      <c r="AD102" s="190"/>
      <c r="AE102" s="199"/>
      <c r="AF102" s="200"/>
      <c r="AG102" s="200"/>
      <c r="AH102" s="200"/>
      <c r="AI102" s="200"/>
      <c r="AJ102" s="201"/>
      <c r="AK102" s="190"/>
      <c r="AL102" s="190"/>
      <c r="AM102" s="190"/>
      <c r="AN102" s="190"/>
      <c r="AO102" s="190"/>
      <c r="AP102" s="190"/>
      <c r="AQ102" s="206"/>
      <c r="AR102" s="199"/>
      <c r="AS102" s="200"/>
      <c r="AT102" s="200"/>
      <c r="AU102" s="200"/>
      <c r="AV102" s="200"/>
      <c r="AW102" s="201"/>
      <c r="AX102" s="190"/>
      <c r="AY102" s="190"/>
      <c r="AZ102" s="190"/>
      <c r="BA102" s="190"/>
      <c r="BB102" s="190"/>
      <c r="BC102" s="190"/>
      <c r="BD102" s="206"/>
      <c r="BE102" s="190"/>
      <c r="BF102" s="190"/>
      <c r="BG102" s="190"/>
      <c r="BH102" s="190"/>
      <c r="BI102" s="190"/>
      <c r="BJ102" s="190"/>
      <c r="BK102" s="199"/>
      <c r="BL102" s="200"/>
      <c r="BM102" s="200"/>
      <c r="BN102" s="200"/>
      <c r="BO102" s="200"/>
      <c r="BP102" s="201"/>
      <c r="BQ102" s="190"/>
      <c r="BR102" s="190"/>
      <c r="BS102" s="190"/>
      <c r="BT102" s="190"/>
      <c r="BU102" s="190"/>
      <c r="BV102" s="190"/>
      <c r="BW102" s="206"/>
      <c r="BX102" s="211"/>
    </row>
    <row r="103" spans="1:76" x14ac:dyDescent="0.3">
      <c r="A103" s="128" t="s">
        <v>553</v>
      </c>
      <c r="F103" s="199"/>
      <c r="G103" s="200"/>
      <c r="H103" s="200"/>
      <c r="I103" s="200"/>
      <c r="J103" s="200"/>
      <c r="K103" s="201"/>
      <c r="L103" s="200"/>
      <c r="M103" s="200"/>
      <c r="N103" s="200"/>
      <c r="O103" s="200"/>
      <c r="P103" s="200"/>
      <c r="Q103" s="201"/>
      <c r="R103" s="190"/>
      <c r="S103" s="190"/>
      <c r="T103" s="190"/>
      <c r="U103" s="190"/>
      <c r="V103" s="190"/>
      <c r="W103" s="190"/>
      <c r="X103" s="206"/>
      <c r="Y103" s="190"/>
      <c r="Z103" s="190"/>
      <c r="AA103" s="190"/>
      <c r="AB103" s="190"/>
      <c r="AC103" s="190"/>
      <c r="AD103" s="190"/>
      <c r="AE103" s="199"/>
      <c r="AF103" s="200"/>
      <c r="AG103" s="200"/>
      <c r="AH103" s="200"/>
      <c r="AI103" s="200"/>
      <c r="AJ103" s="201"/>
      <c r="AK103" s="190"/>
      <c r="AL103" s="190"/>
      <c r="AM103" s="190"/>
      <c r="AN103" s="190"/>
      <c r="AO103" s="190"/>
      <c r="AP103" s="190"/>
      <c r="AQ103" s="206"/>
      <c r="AR103" s="199"/>
      <c r="AS103" s="200"/>
      <c r="AT103" s="200"/>
      <c r="AU103" s="200"/>
      <c r="AV103" s="200"/>
      <c r="AW103" s="201"/>
      <c r="AX103" s="190"/>
      <c r="AY103" s="190"/>
      <c r="AZ103" s="190"/>
      <c r="BA103" s="190"/>
      <c r="BB103" s="190"/>
      <c r="BC103" s="190"/>
      <c r="BD103" s="206"/>
      <c r="BE103" s="190"/>
      <c r="BF103" s="190"/>
      <c r="BG103" s="190"/>
      <c r="BH103" s="190"/>
      <c r="BI103" s="190"/>
      <c r="BJ103" s="190"/>
      <c r="BK103" s="199"/>
      <c r="BL103" s="200"/>
      <c r="BM103" s="200"/>
      <c r="BN103" s="200"/>
      <c r="BO103" s="200"/>
      <c r="BP103" s="201"/>
      <c r="BQ103" s="190"/>
      <c r="BR103" s="190"/>
      <c r="BS103" s="190"/>
      <c r="BT103" s="190"/>
      <c r="BU103" s="190"/>
      <c r="BV103" s="190"/>
      <c r="BW103" s="206"/>
      <c r="BX103" s="211"/>
    </row>
    <row r="104" spans="1:76" x14ac:dyDescent="0.3">
      <c r="A104" s="24" t="s">
        <v>508</v>
      </c>
      <c r="F104" s="199">
        <f>F20*$D20</f>
        <v>0</v>
      </c>
      <c r="G104" s="200">
        <f t="shared" ref="G104:K104" si="59">G20*$D20</f>
        <v>12289.325842696628</v>
      </c>
      <c r="H104" s="200">
        <f t="shared" si="59"/>
        <v>12289.325842696628</v>
      </c>
      <c r="I104" s="200">
        <f t="shared" si="59"/>
        <v>12289.325842696628</v>
      </c>
      <c r="J104" s="200">
        <f t="shared" si="59"/>
        <v>12289.325842696628</v>
      </c>
      <c r="K104" s="201">
        <f t="shared" si="59"/>
        <v>0</v>
      </c>
      <c r="L104" s="200">
        <f>L20*$D20</f>
        <v>0</v>
      </c>
      <c r="M104" s="200">
        <f t="shared" ref="M104:Q104" si="60">M20*$D20</f>
        <v>3511.23595505618</v>
      </c>
      <c r="N104" s="200">
        <f t="shared" si="60"/>
        <v>3511.23595505618</v>
      </c>
      <c r="O104" s="200">
        <f t="shared" si="60"/>
        <v>3511.23595505618</v>
      </c>
      <c r="P104" s="200">
        <f t="shared" si="60"/>
        <v>3511.23595505618</v>
      </c>
      <c r="Q104" s="201">
        <f t="shared" si="60"/>
        <v>0</v>
      </c>
      <c r="R104" s="190">
        <f>R20*$D20</f>
        <v>0</v>
      </c>
      <c r="S104" s="190">
        <f t="shared" ref="S104:W104" si="61">S20*$D20</f>
        <v>1755.61797752809</v>
      </c>
      <c r="T104" s="190">
        <f t="shared" si="61"/>
        <v>1755.61797752809</v>
      </c>
      <c r="U104" s="190">
        <f t="shared" si="61"/>
        <v>1755.61797752809</v>
      </c>
      <c r="V104" s="190">
        <f t="shared" si="61"/>
        <v>1755.61797752809</v>
      </c>
      <c r="W104" s="190">
        <f t="shared" si="61"/>
        <v>0</v>
      </c>
      <c r="X104" s="206">
        <f>SUM(F104:W104)</f>
        <v>70224.719101123599</v>
      </c>
      <c r="Y104" s="190">
        <f>Y20*$D20</f>
        <v>0</v>
      </c>
      <c r="Z104" s="190">
        <f t="shared" ref="Z104:AD104" si="62">Z20*$D20</f>
        <v>4915.7303370786512</v>
      </c>
      <c r="AA104" s="190">
        <f t="shared" si="62"/>
        <v>4915.7303370786512</v>
      </c>
      <c r="AB104" s="190">
        <f t="shared" si="62"/>
        <v>4915.7303370786512</v>
      </c>
      <c r="AC104" s="190">
        <f t="shared" si="62"/>
        <v>4915.7303370786512</v>
      </c>
      <c r="AD104" s="190">
        <f t="shared" si="62"/>
        <v>0</v>
      </c>
      <c r="AE104" s="199">
        <f>AE20*$D20</f>
        <v>0</v>
      </c>
      <c r="AF104" s="200">
        <f t="shared" ref="AF104:AJ104" si="63">AF20*$D20</f>
        <v>9831.4606741573025</v>
      </c>
      <c r="AG104" s="200">
        <f t="shared" si="63"/>
        <v>9831.4606741573025</v>
      </c>
      <c r="AH104" s="200">
        <f t="shared" si="63"/>
        <v>9831.4606741573025</v>
      </c>
      <c r="AI104" s="200">
        <f t="shared" si="63"/>
        <v>9831.4606741573025</v>
      </c>
      <c r="AJ104" s="201">
        <f t="shared" si="63"/>
        <v>0</v>
      </c>
      <c r="AK104" s="190">
        <f>AK20*$D20</f>
        <v>0</v>
      </c>
      <c r="AL104" s="190">
        <f t="shared" ref="AL104:AP104" si="64">AL20*$D20</f>
        <v>9831.4606741573025</v>
      </c>
      <c r="AM104" s="190">
        <f t="shared" si="64"/>
        <v>9831.4606741573025</v>
      </c>
      <c r="AN104" s="190">
        <f t="shared" si="64"/>
        <v>9831.4606741573025</v>
      </c>
      <c r="AO104" s="190">
        <f t="shared" si="64"/>
        <v>9831.4606741573025</v>
      </c>
      <c r="AP104" s="190">
        <f t="shared" si="64"/>
        <v>0</v>
      </c>
      <c r="AQ104" s="206">
        <f>SUM(Y104:AP104)</f>
        <v>98314.606741573036</v>
      </c>
      <c r="AR104" s="199">
        <f>AR20*$D20</f>
        <v>0</v>
      </c>
      <c r="AS104" s="200">
        <f t="shared" ref="AS104:AW104" si="65">AS20*$D20</f>
        <v>5266.8539325842694</v>
      </c>
      <c r="AT104" s="200">
        <f t="shared" si="65"/>
        <v>5266.8539325842694</v>
      </c>
      <c r="AU104" s="200">
        <f t="shared" si="65"/>
        <v>5266.8539325842694</v>
      </c>
      <c r="AV104" s="200">
        <f t="shared" si="65"/>
        <v>5266.8539325842694</v>
      </c>
      <c r="AW104" s="201">
        <f t="shared" si="65"/>
        <v>0</v>
      </c>
      <c r="AX104" s="190">
        <f>AX20*$D20</f>
        <v>0</v>
      </c>
      <c r="AY104" s="190">
        <f t="shared" ref="AY104:BC104" si="66">AY20*$D20</f>
        <v>15800.561797752807</v>
      </c>
      <c r="AZ104" s="190">
        <f t="shared" si="66"/>
        <v>15800.561797752807</v>
      </c>
      <c r="BA104" s="190">
        <f t="shared" si="66"/>
        <v>15800.561797752807</v>
      </c>
      <c r="BB104" s="190">
        <f t="shared" si="66"/>
        <v>15800.561797752807</v>
      </c>
      <c r="BC104" s="190">
        <f t="shared" si="66"/>
        <v>0</v>
      </c>
      <c r="BD104" s="206">
        <f>SUM(AR104:BC104)</f>
        <v>84269.662921348296</v>
      </c>
      <c r="BE104" s="190">
        <f>BE20*$D20</f>
        <v>0</v>
      </c>
      <c r="BF104" s="190">
        <f t="shared" ref="BF104:BJ104" si="67">BF20*$D20</f>
        <v>1404.4943820224721</v>
      </c>
      <c r="BG104" s="190">
        <f t="shared" si="67"/>
        <v>1404.4943820224721</v>
      </c>
      <c r="BH104" s="190">
        <f t="shared" si="67"/>
        <v>1404.4943820224721</v>
      </c>
      <c r="BI104" s="190">
        <f t="shared" si="67"/>
        <v>1404.4943820224721</v>
      </c>
      <c r="BJ104" s="190">
        <f t="shared" si="67"/>
        <v>0</v>
      </c>
      <c r="BK104" s="199">
        <f>BK20*$D20</f>
        <v>0</v>
      </c>
      <c r="BL104" s="200">
        <f t="shared" ref="BL104:BP104" si="68">BL20*$D20</f>
        <v>351.12359550561803</v>
      </c>
      <c r="BM104" s="200">
        <f t="shared" si="68"/>
        <v>351.12359550561803</v>
      </c>
      <c r="BN104" s="200">
        <f t="shared" si="68"/>
        <v>351.12359550561803</v>
      </c>
      <c r="BO104" s="200">
        <f t="shared" si="68"/>
        <v>351.12359550561803</v>
      </c>
      <c r="BP104" s="201">
        <f t="shared" si="68"/>
        <v>0</v>
      </c>
      <c r="BQ104" s="190">
        <f>BQ20*$D20</f>
        <v>0</v>
      </c>
      <c r="BR104" s="190">
        <f t="shared" ref="BR104:BV104" si="69">BR20*$D20</f>
        <v>5266.8539325842703</v>
      </c>
      <c r="BS104" s="190">
        <f t="shared" si="69"/>
        <v>5266.8539325842703</v>
      </c>
      <c r="BT104" s="190">
        <f t="shared" si="69"/>
        <v>5266.8539325842703</v>
      </c>
      <c r="BU104" s="190">
        <f t="shared" si="69"/>
        <v>5266.8539325842703</v>
      </c>
      <c r="BV104" s="190">
        <f t="shared" si="69"/>
        <v>0</v>
      </c>
      <c r="BW104" s="206">
        <f>SUM(BE104:BV104)</f>
        <v>28089.887640449444</v>
      </c>
      <c r="BX104" s="211">
        <f>X104+AQ104+BD104+BW104</f>
        <v>280898.8764044944</v>
      </c>
    </row>
    <row r="105" spans="1:76" x14ac:dyDescent="0.3">
      <c r="A105" s="24" t="s">
        <v>509</v>
      </c>
      <c r="F105" s="199">
        <f>F21*$D21</f>
        <v>0</v>
      </c>
      <c r="G105" s="200">
        <f t="shared" ref="G105:K105" si="70">G21*$D21</f>
        <v>16385.767790262173</v>
      </c>
      <c r="H105" s="200">
        <f t="shared" si="70"/>
        <v>16385.767790262173</v>
      </c>
      <c r="I105" s="200">
        <f t="shared" si="70"/>
        <v>16385.767790262173</v>
      </c>
      <c r="J105" s="200">
        <f t="shared" si="70"/>
        <v>16385.767790262173</v>
      </c>
      <c r="K105" s="201">
        <f t="shared" si="70"/>
        <v>0</v>
      </c>
      <c r="L105" s="200">
        <f>L21*$D21</f>
        <v>0</v>
      </c>
      <c r="M105" s="200">
        <f t="shared" ref="M105:Q105" si="71">M21*$D21</f>
        <v>4681.6479400749067</v>
      </c>
      <c r="N105" s="200">
        <f t="shared" si="71"/>
        <v>4681.6479400749067</v>
      </c>
      <c r="O105" s="200">
        <f t="shared" si="71"/>
        <v>4681.6479400749067</v>
      </c>
      <c r="P105" s="200">
        <f t="shared" si="71"/>
        <v>4681.6479400749067</v>
      </c>
      <c r="Q105" s="201">
        <f t="shared" si="71"/>
        <v>0</v>
      </c>
      <c r="R105" s="190">
        <f>R21*$D21</f>
        <v>0</v>
      </c>
      <c r="S105" s="190">
        <f t="shared" ref="S105:W105" si="72">S21*$D21</f>
        <v>2340.8239700374534</v>
      </c>
      <c r="T105" s="190">
        <f t="shared" si="72"/>
        <v>2340.8239700374534</v>
      </c>
      <c r="U105" s="190">
        <f t="shared" si="72"/>
        <v>2340.8239700374534</v>
      </c>
      <c r="V105" s="190">
        <f t="shared" si="72"/>
        <v>2340.8239700374534</v>
      </c>
      <c r="W105" s="190">
        <f t="shared" si="72"/>
        <v>0</v>
      </c>
      <c r="X105" s="206">
        <f>SUM(F105:W105)</f>
        <v>93632.958801498142</v>
      </c>
      <c r="Y105" s="190">
        <f>Y21*$D21</f>
        <v>0</v>
      </c>
      <c r="Z105" s="190">
        <f t="shared" ref="Z105:AD105" si="73">Z21*$D21</f>
        <v>6554.3071161048692</v>
      </c>
      <c r="AA105" s="190">
        <f t="shared" si="73"/>
        <v>6554.3071161048692</v>
      </c>
      <c r="AB105" s="190">
        <f t="shared" si="73"/>
        <v>6554.3071161048692</v>
      </c>
      <c r="AC105" s="190">
        <f t="shared" si="73"/>
        <v>6554.3071161048692</v>
      </c>
      <c r="AD105" s="190">
        <f t="shared" si="73"/>
        <v>0</v>
      </c>
      <c r="AE105" s="199">
        <f>AE21*$D21</f>
        <v>0</v>
      </c>
      <c r="AF105" s="200">
        <f t="shared" ref="AF105:AJ105" si="74">AF21*$D21</f>
        <v>13108.614232209738</v>
      </c>
      <c r="AG105" s="200">
        <f t="shared" si="74"/>
        <v>13108.614232209738</v>
      </c>
      <c r="AH105" s="200">
        <f t="shared" si="74"/>
        <v>13108.614232209738</v>
      </c>
      <c r="AI105" s="200">
        <f t="shared" si="74"/>
        <v>13108.614232209738</v>
      </c>
      <c r="AJ105" s="201">
        <f t="shared" si="74"/>
        <v>0</v>
      </c>
      <c r="AK105" s="190">
        <f>AK21*$D21</f>
        <v>0</v>
      </c>
      <c r="AL105" s="190">
        <f t="shared" ref="AL105:AP105" si="75">AL21*$D21</f>
        <v>13108.614232209738</v>
      </c>
      <c r="AM105" s="190">
        <f t="shared" si="75"/>
        <v>13108.614232209738</v>
      </c>
      <c r="AN105" s="190">
        <f t="shared" si="75"/>
        <v>13108.614232209738</v>
      </c>
      <c r="AO105" s="190">
        <f t="shared" si="75"/>
        <v>13108.614232209738</v>
      </c>
      <c r="AP105" s="190">
        <f t="shared" si="75"/>
        <v>0</v>
      </c>
      <c r="AQ105" s="206">
        <f>SUM(Y105:AP105)</f>
        <v>131086.14232209741</v>
      </c>
      <c r="AR105" s="199">
        <f>AR21*$D21</f>
        <v>0</v>
      </c>
      <c r="AS105" s="200">
        <f t="shared" ref="AS105:AW105" si="76">AS21*$D21</f>
        <v>7022.4719101123601</v>
      </c>
      <c r="AT105" s="200">
        <f t="shared" si="76"/>
        <v>7022.4719101123601</v>
      </c>
      <c r="AU105" s="200">
        <f t="shared" si="76"/>
        <v>7022.4719101123601</v>
      </c>
      <c r="AV105" s="200">
        <f t="shared" si="76"/>
        <v>7022.4719101123601</v>
      </c>
      <c r="AW105" s="201">
        <f t="shared" si="76"/>
        <v>0</v>
      </c>
      <c r="AX105" s="190">
        <f>AX21*$D21</f>
        <v>0</v>
      </c>
      <c r="AY105" s="190">
        <f t="shared" ref="AY105:BC105" si="77">AY21*$D21</f>
        <v>21067.415730337081</v>
      </c>
      <c r="AZ105" s="190">
        <f t="shared" si="77"/>
        <v>21067.415730337081</v>
      </c>
      <c r="BA105" s="190">
        <f t="shared" si="77"/>
        <v>21067.415730337081</v>
      </c>
      <c r="BB105" s="190">
        <f t="shared" si="77"/>
        <v>21067.415730337081</v>
      </c>
      <c r="BC105" s="190">
        <f t="shared" si="77"/>
        <v>0</v>
      </c>
      <c r="BD105" s="206">
        <f>SUM(AR105:BC105)</f>
        <v>112359.55056179778</v>
      </c>
      <c r="BE105" s="190">
        <f>BE21*$D21</f>
        <v>0</v>
      </c>
      <c r="BF105" s="190">
        <f t="shared" ref="BF105:BJ105" si="78">BF21*$D21</f>
        <v>1872.6591760299627</v>
      </c>
      <c r="BG105" s="190">
        <f t="shared" si="78"/>
        <v>1872.6591760299627</v>
      </c>
      <c r="BH105" s="190">
        <f t="shared" si="78"/>
        <v>1872.6591760299627</v>
      </c>
      <c r="BI105" s="190">
        <f t="shared" si="78"/>
        <v>1872.6591760299627</v>
      </c>
      <c r="BJ105" s="190">
        <f t="shared" si="78"/>
        <v>0</v>
      </c>
      <c r="BK105" s="199">
        <f>BK21*$D21</f>
        <v>0</v>
      </c>
      <c r="BL105" s="200">
        <f t="shared" ref="BL105:BP105" si="79">BL21*$D21</f>
        <v>468.16479400749068</v>
      </c>
      <c r="BM105" s="200">
        <f t="shared" si="79"/>
        <v>468.16479400749068</v>
      </c>
      <c r="BN105" s="200">
        <f t="shared" si="79"/>
        <v>468.16479400749068</v>
      </c>
      <c r="BO105" s="200">
        <f t="shared" si="79"/>
        <v>468.16479400749068</v>
      </c>
      <c r="BP105" s="201">
        <f t="shared" si="79"/>
        <v>0</v>
      </c>
      <c r="BQ105" s="190">
        <f>BQ21*$D21</f>
        <v>0</v>
      </c>
      <c r="BR105" s="190">
        <f t="shared" ref="BR105:BV105" si="80">BR21*$D21</f>
        <v>7022.4719101123601</v>
      </c>
      <c r="BS105" s="190">
        <f t="shared" si="80"/>
        <v>7022.4719101123601</v>
      </c>
      <c r="BT105" s="190">
        <f t="shared" si="80"/>
        <v>7022.4719101123601</v>
      </c>
      <c r="BU105" s="190">
        <f t="shared" si="80"/>
        <v>7022.4719101123601</v>
      </c>
      <c r="BV105" s="190">
        <f t="shared" si="80"/>
        <v>0</v>
      </c>
      <c r="BW105" s="206">
        <f>SUM(BE105:BV105)</f>
        <v>37453.183520599254</v>
      </c>
      <c r="BX105" s="211">
        <f>X105+AQ105+BD105+BW105</f>
        <v>374531.83520599257</v>
      </c>
    </row>
    <row r="106" spans="1:76" x14ac:dyDescent="0.3">
      <c r="A106" s="24" t="s">
        <v>510</v>
      </c>
      <c r="F106" s="199">
        <f>F22*$D22</f>
        <v>0</v>
      </c>
      <c r="G106" s="200">
        <f t="shared" ref="G106:K106" si="81">G22*$D22</f>
        <v>8192.8838951310863</v>
      </c>
      <c r="H106" s="200">
        <f t="shared" si="81"/>
        <v>8192.8838951310863</v>
      </c>
      <c r="I106" s="200">
        <f t="shared" si="81"/>
        <v>8192.8838951310863</v>
      </c>
      <c r="J106" s="200">
        <f t="shared" si="81"/>
        <v>0</v>
      </c>
      <c r="K106" s="201">
        <f t="shared" si="81"/>
        <v>0</v>
      </c>
      <c r="L106" s="200">
        <f>L22*$D22</f>
        <v>0</v>
      </c>
      <c r="M106" s="200">
        <f t="shared" ref="M106:Q106" si="82">M22*$D22</f>
        <v>2340.8239700374534</v>
      </c>
      <c r="N106" s="200">
        <f t="shared" si="82"/>
        <v>2340.8239700374534</v>
      </c>
      <c r="O106" s="200">
        <f t="shared" si="82"/>
        <v>2340.8239700374534</v>
      </c>
      <c r="P106" s="200">
        <f t="shared" si="82"/>
        <v>0</v>
      </c>
      <c r="Q106" s="201">
        <f t="shared" si="82"/>
        <v>0</v>
      </c>
      <c r="R106" s="190">
        <f>R22*$D22</f>
        <v>0</v>
      </c>
      <c r="S106" s="190">
        <f t="shared" ref="S106:W106" si="83">S22*$D22</f>
        <v>1170.4119850187267</v>
      </c>
      <c r="T106" s="190">
        <f t="shared" si="83"/>
        <v>1170.4119850187267</v>
      </c>
      <c r="U106" s="190">
        <f t="shared" si="83"/>
        <v>1170.4119850187267</v>
      </c>
      <c r="V106" s="190">
        <f t="shared" si="83"/>
        <v>0</v>
      </c>
      <c r="W106" s="190">
        <f t="shared" si="83"/>
        <v>0</v>
      </c>
      <c r="X106" s="206">
        <f>SUM(F106:W106)</f>
        <v>35112.3595505618</v>
      </c>
      <c r="Y106" s="190">
        <f>Y22*$D22</f>
        <v>0</v>
      </c>
      <c r="Z106" s="190">
        <f t="shared" ref="Z106:AD106" si="84">Z22*$D22</f>
        <v>3277.1535580524346</v>
      </c>
      <c r="AA106" s="190">
        <f t="shared" si="84"/>
        <v>3277.1535580524346</v>
      </c>
      <c r="AB106" s="190">
        <f t="shared" si="84"/>
        <v>3277.1535580524346</v>
      </c>
      <c r="AC106" s="190">
        <f t="shared" si="84"/>
        <v>0</v>
      </c>
      <c r="AD106" s="190">
        <f t="shared" si="84"/>
        <v>0</v>
      </c>
      <c r="AE106" s="199">
        <f>AE22*$D22</f>
        <v>0</v>
      </c>
      <c r="AF106" s="200">
        <f t="shared" ref="AF106:AJ106" si="85">AF22*$D22</f>
        <v>6554.3071161048692</v>
      </c>
      <c r="AG106" s="200">
        <f t="shared" si="85"/>
        <v>6554.3071161048692</v>
      </c>
      <c r="AH106" s="200">
        <f t="shared" si="85"/>
        <v>6554.3071161048692</v>
      </c>
      <c r="AI106" s="200">
        <f t="shared" si="85"/>
        <v>0</v>
      </c>
      <c r="AJ106" s="201">
        <f t="shared" si="85"/>
        <v>0</v>
      </c>
      <c r="AK106" s="190">
        <f>AK22*$D22</f>
        <v>0</v>
      </c>
      <c r="AL106" s="190">
        <f t="shared" ref="AL106:AP106" si="86">AL22*$D22</f>
        <v>6554.3071161048692</v>
      </c>
      <c r="AM106" s="190">
        <f t="shared" si="86"/>
        <v>6554.3071161048692</v>
      </c>
      <c r="AN106" s="190">
        <f t="shared" si="86"/>
        <v>6554.3071161048692</v>
      </c>
      <c r="AO106" s="190">
        <f t="shared" si="86"/>
        <v>0</v>
      </c>
      <c r="AP106" s="190">
        <f t="shared" si="86"/>
        <v>0</v>
      </c>
      <c r="AQ106" s="206">
        <f>SUM(Y106:AP106)</f>
        <v>49157.303370786525</v>
      </c>
      <c r="AR106" s="199">
        <f>AR22*$D22</f>
        <v>0</v>
      </c>
      <c r="AS106" s="200">
        <f t="shared" ref="AS106:AW106" si="87">AS22*$D22</f>
        <v>3511.23595505618</v>
      </c>
      <c r="AT106" s="200">
        <f t="shared" si="87"/>
        <v>3511.23595505618</v>
      </c>
      <c r="AU106" s="200">
        <f t="shared" si="87"/>
        <v>3511.23595505618</v>
      </c>
      <c r="AV106" s="200">
        <f t="shared" si="87"/>
        <v>0</v>
      </c>
      <c r="AW106" s="201">
        <f t="shared" si="87"/>
        <v>0</v>
      </c>
      <c r="AX106" s="190">
        <f>AX22*$D22</f>
        <v>0</v>
      </c>
      <c r="AY106" s="190">
        <f t="shared" ref="AY106:BC106" si="88">AY22*$D22</f>
        <v>10533.707865168541</v>
      </c>
      <c r="AZ106" s="190">
        <f t="shared" si="88"/>
        <v>10533.707865168541</v>
      </c>
      <c r="BA106" s="190">
        <f t="shared" si="88"/>
        <v>10533.707865168541</v>
      </c>
      <c r="BB106" s="190">
        <f t="shared" si="88"/>
        <v>0</v>
      </c>
      <c r="BC106" s="190">
        <f t="shared" si="88"/>
        <v>0</v>
      </c>
      <c r="BD106" s="206">
        <f>SUM(AR106:BC106)</f>
        <v>42134.831460674162</v>
      </c>
      <c r="BE106" s="190">
        <f>BE22*$D22</f>
        <v>0</v>
      </c>
      <c r="BF106" s="190">
        <f t="shared" ref="BF106:BJ106" si="89">BF22*$D22</f>
        <v>936.32958801498137</v>
      </c>
      <c r="BG106" s="190">
        <f t="shared" si="89"/>
        <v>936.32958801498137</v>
      </c>
      <c r="BH106" s="190">
        <f t="shared" si="89"/>
        <v>936.32958801498137</v>
      </c>
      <c r="BI106" s="190">
        <f t="shared" si="89"/>
        <v>0</v>
      </c>
      <c r="BJ106" s="190">
        <f t="shared" si="89"/>
        <v>0</v>
      </c>
      <c r="BK106" s="199">
        <f>BK22*$D22</f>
        <v>0</v>
      </c>
      <c r="BL106" s="200">
        <f t="shared" ref="BL106:BP106" si="90">BL22*$D22</f>
        <v>234.08239700374534</v>
      </c>
      <c r="BM106" s="200">
        <f t="shared" si="90"/>
        <v>234.08239700374534</v>
      </c>
      <c r="BN106" s="200">
        <f t="shared" si="90"/>
        <v>234.08239700374534</v>
      </c>
      <c r="BO106" s="200">
        <f t="shared" si="90"/>
        <v>0</v>
      </c>
      <c r="BP106" s="201">
        <f t="shared" si="90"/>
        <v>0</v>
      </c>
      <c r="BQ106" s="190">
        <f>BQ22*$D22</f>
        <v>0</v>
      </c>
      <c r="BR106" s="190">
        <f t="shared" ref="BR106:BV106" si="91">BR22*$D22</f>
        <v>3511.23595505618</v>
      </c>
      <c r="BS106" s="190">
        <f t="shared" si="91"/>
        <v>3511.23595505618</v>
      </c>
      <c r="BT106" s="190">
        <f t="shared" si="91"/>
        <v>3511.23595505618</v>
      </c>
      <c r="BU106" s="190">
        <f t="shared" si="91"/>
        <v>0</v>
      </c>
      <c r="BV106" s="190">
        <f t="shared" si="91"/>
        <v>0</v>
      </c>
      <c r="BW106" s="206">
        <f>SUM(BE106:BV106)</f>
        <v>14044.94382022472</v>
      </c>
      <c r="BX106" s="211">
        <f>X106+AQ106+BD106+BW106</f>
        <v>140449.4382022472</v>
      </c>
    </row>
    <row r="107" spans="1:76" x14ac:dyDescent="0.3">
      <c r="A107" s="24" t="s">
        <v>487</v>
      </c>
      <c r="F107" s="199">
        <f>F23*$D23</f>
        <v>0</v>
      </c>
      <c r="G107" s="200">
        <f t="shared" ref="G107:K107" si="92">G23*$D23</f>
        <v>4096.0323033707864</v>
      </c>
      <c r="H107" s="200">
        <f t="shared" si="92"/>
        <v>4096.0323033707864</v>
      </c>
      <c r="I107" s="200">
        <f t="shared" si="92"/>
        <v>4096.0323033707864</v>
      </c>
      <c r="J107" s="200">
        <f t="shared" si="92"/>
        <v>4096.0323033707864</v>
      </c>
      <c r="K107" s="201">
        <f t="shared" si="92"/>
        <v>0</v>
      </c>
      <c r="L107" s="200">
        <f>L23*$D23</f>
        <v>0</v>
      </c>
      <c r="M107" s="200">
        <f t="shared" ref="M107:Q107" si="93">M23*$D23</f>
        <v>1170.2949438202249</v>
      </c>
      <c r="N107" s="200">
        <f t="shared" si="93"/>
        <v>1170.2949438202249</v>
      </c>
      <c r="O107" s="200">
        <f t="shared" si="93"/>
        <v>1170.2949438202249</v>
      </c>
      <c r="P107" s="200">
        <f t="shared" si="93"/>
        <v>1170.2949438202249</v>
      </c>
      <c r="Q107" s="201">
        <f t="shared" si="93"/>
        <v>0</v>
      </c>
      <c r="R107" s="190">
        <f>R23*$D23</f>
        <v>0</v>
      </c>
      <c r="S107" s="190">
        <f t="shared" ref="S107:W107" si="94">S23*$D23</f>
        <v>585.14747191011247</v>
      </c>
      <c r="T107" s="190">
        <f t="shared" si="94"/>
        <v>585.14747191011247</v>
      </c>
      <c r="U107" s="190">
        <f t="shared" si="94"/>
        <v>585.14747191011247</v>
      </c>
      <c r="V107" s="190">
        <f t="shared" si="94"/>
        <v>585.14747191011247</v>
      </c>
      <c r="W107" s="190">
        <f t="shared" si="94"/>
        <v>0</v>
      </c>
      <c r="X107" s="206">
        <f>SUM(F107:W107)</f>
        <v>23405.898876404506</v>
      </c>
      <c r="Y107" s="190">
        <f>Y23*$D23</f>
        <v>0</v>
      </c>
      <c r="Z107" s="190">
        <f t="shared" ref="Z107:AD107" si="95">Z23*$D23</f>
        <v>1638.4129213483145</v>
      </c>
      <c r="AA107" s="190">
        <f t="shared" si="95"/>
        <v>1638.4129213483145</v>
      </c>
      <c r="AB107" s="190">
        <f t="shared" si="95"/>
        <v>1638.4129213483145</v>
      </c>
      <c r="AC107" s="190">
        <f t="shared" si="95"/>
        <v>1638.4129213483145</v>
      </c>
      <c r="AD107" s="190">
        <f t="shared" si="95"/>
        <v>0</v>
      </c>
      <c r="AE107" s="199">
        <f>AE23*$D23</f>
        <v>0</v>
      </c>
      <c r="AF107" s="200">
        <f t="shared" ref="AF107:AJ107" si="96">AF23*$D23</f>
        <v>3276.825842696629</v>
      </c>
      <c r="AG107" s="200">
        <f t="shared" si="96"/>
        <v>3276.825842696629</v>
      </c>
      <c r="AH107" s="200">
        <f t="shared" si="96"/>
        <v>3276.825842696629</v>
      </c>
      <c r="AI107" s="200">
        <f t="shared" si="96"/>
        <v>3276.825842696629</v>
      </c>
      <c r="AJ107" s="201">
        <f t="shared" si="96"/>
        <v>0</v>
      </c>
      <c r="AK107" s="190">
        <f>AK23*$D23</f>
        <v>0</v>
      </c>
      <c r="AL107" s="190">
        <f t="shared" ref="AL107:AP107" si="97">AL23*$D23</f>
        <v>3276.825842696629</v>
      </c>
      <c r="AM107" s="190">
        <f t="shared" si="97"/>
        <v>3276.825842696629</v>
      </c>
      <c r="AN107" s="190">
        <f t="shared" si="97"/>
        <v>3276.825842696629</v>
      </c>
      <c r="AO107" s="190">
        <f t="shared" si="97"/>
        <v>3276.825842696629</v>
      </c>
      <c r="AP107" s="190">
        <f t="shared" si="97"/>
        <v>0</v>
      </c>
      <c r="AQ107" s="206">
        <f>SUM(Y107:AP107)</f>
        <v>32768.258426966284</v>
      </c>
      <c r="AR107" s="199">
        <f>AR23*$D23</f>
        <v>0</v>
      </c>
      <c r="AS107" s="200">
        <f t="shared" ref="AS107:AW107" si="98">AS23*$D23</f>
        <v>1755.4424157303372</v>
      </c>
      <c r="AT107" s="200">
        <f t="shared" si="98"/>
        <v>1755.4424157303372</v>
      </c>
      <c r="AU107" s="200">
        <f t="shared" si="98"/>
        <v>1755.4424157303372</v>
      </c>
      <c r="AV107" s="200">
        <f t="shared" si="98"/>
        <v>1755.4424157303372</v>
      </c>
      <c r="AW107" s="201">
        <f t="shared" si="98"/>
        <v>0</v>
      </c>
      <c r="AX107" s="190">
        <f>AX23*$D23</f>
        <v>0</v>
      </c>
      <c r="AY107" s="190">
        <f t="shared" ref="AY107:BC107" si="99">AY23*$D23</f>
        <v>5266.3272471910113</v>
      </c>
      <c r="AZ107" s="190">
        <f t="shared" si="99"/>
        <v>5266.3272471910113</v>
      </c>
      <c r="BA107" s="190">
        <f t="shared" si="99"/>
        <v>5266.3272471910113</v>
      </c>
      <c r="BB107" s="190">
        <f t="shared" si="99"/>
        <v>5266.3272471910113</v>
      </c>
      <c r="BC107" s="190">
        <f t="shared" si="99"/>
        <v>0</v>
      </c>
      <c r="BD107" s="206">
        <f>SUM(AR107:BC107)</f>
        <v>28087.078651685391</v>
      </c>
      <c r="BE107" s="190">
        <f>BE23*$D23</f>
        <v>0</v>
      </c>
      <c r="BF107" s="190">
        <f t="shared" ref="BF107:BJ107" si="100">BF23*$D23</f>
        <v>468.11797752808997</v>
      </c>
      <c r="BG107" s="190">
        <f t="shared" si="100"/>
        <v>468.11797752808997</v>
      </c>
      <c r="BH107" s="190">
        <f t="shared" si="100"/>
        <v>468.11797752808997</v>
      </c>
      <c r="BI107" s="190">
        <f t="shared" si="100"/>
        <v>468.11797752808997</v>
      </c>
      <c r="BJ107" s="190">
        <f t="shared" si="100"/>
        <v>0</v>
      </c>
      <c r="BK107" s="199">
        <f>BK23*$D23</f>
        <v>0</v>
      </c>
      <c r="BL107" s="200">
        <f t="shared" ref="BL107:BP107" si="101">BL23*$D23</f>
        <v>117.02949438202249</v>
      </c>
      <c r="BM107" s="200">
        <f t="shared" si="101"/>
        <v>117.02949438202249</v>
      </c>
      <c r="BN107" s="200">
        <f t="shared" si="101"/>
        <v>117.02949438202249</v>
      </c>
      <c r="BO107" s="200">
        <f t="shared" si="101"/>
        <v>117.02949438202249</v>
      </c>
      <c r="BP107" s="201">
        <f t="shared" si="101"/>
        <v>0</v>
      </c>
      <c r="BQ107" s="190">
        <f>BQ23*$D23</f>
        <v>0</v>
      </c>
      <c r="BR107" s="190">
        <f t="shared" ref="BR107:BV107" si="102">BR23*$D23</f>
        <v>1755.4424157303372</v>
      </c>
      <c r="BS107" s="190">
        <f t="shared" si="102"/>
        <v>1755.4424157303372</v>
      </c>
      <c r="BT107" s="190">
        <f t="shared" si="102"/>
        <v>1755.4424157303372</v>
      </c>
      <c r="BU107" s="190">
        <f t="shared" si="102"/>
        <v>1755.4424157303372</v>
      </c>
      <c r="BV107" s="190">
        <f t="shared" si="102"/>
        <v>0</v>
      </c>
      <c r="BW107" s="206">
        <f>SUM(BE107:BV107)</f>
        <v>9362.3595505617996</v>
      </c>
      <c r="BX107" s="211">
        <f>X107+AQ107+BD107+BW107</f>
        <v>93623.595505617981</v>
      </c>
    </row>
    <row r="108" spans="1:76" x14ac:dyDescent="0.3">
      <c r="A108" s="154" t="s">
        <v>649</v>
      </c>
      <c r="B108" s="162"/>
      <c r="C108" s="162"/>
      <c r="D108" s="47"/>
      <c r="E108" s="162"/>
      <c r="F108" s="246">
        <f t="shared" ref="F108:AK108" si="103">SUM(F104:F107)</f>
        <v>0</v>
      </c>
      <c r="G108" s="250">
        <f t="shared" si="103"/>
        <v>40964.009831460673</v>
      </c>
      <c r="H108" s="250">
        <f t="shared" si="103"/>
        <v>40964.009831460673</v>
      </c>
      <c r="I108" s="250">
        <f t="shared" si="103"/>
        <v>40964.009831460673</v>
      </c>
      <c r="J108" s="250">
        <f t="shared" si="103"/>
        <v>32771.125936329583</v>
      </c>
      <c r="K108" s="250">
        <f t="shared" si="103"/>
        <v>0</v>
      </c>
      <c r="L108" s="248">
        <f t="shared" si="103"/>
        <v>0</v>
      </c>
      <c r="M108" s="250">
        <f t="shared" si="103"/>
        <v>11704.002808988766</v>
      </c>
      <c r="N108" s="250">
        <f t="shared" si="103"/>
        <v>11704.002808988766</v>
      </c>
      <c r="O108" s="250">
        <f t="shared" si="103"/>
        <v>11704.002808988766</v>
      </c>
      <c r="P108" s="250">
        <f t="shared" si="103"/>
        <v>9363.1788389513113</v>
      </c>
      <c r="Q108" s="250">
        <f t="shared" si="103"/>
        <v>0</v>
      </c>
      <c r="R108" s="248">
        <f t="shared" si="103"/>
        <v>0</v>
      </c>
      <c r="S108" s="248">
        <f t="shared" si="103"/>
        <v>5852.0014044943828</v>
      </c>
      <c r="T108" s="250">
        <f t="shared" si="103"/>
        <v>5852.0014044943828</v>
      </c>
      <c r="U108" s="250">
        <f t="shared" si="103"/>
        <v>5852.0014044943828</v>
      </c>
      <c r="V108" s="250">
        <f t="shared" si="103"/>
        <v>4681.5894194756556</v>
      </c>
      <c r="W108" s="250">
        <f t="shared" si="103"/>
        <v>0</v>
      </c>
      <c r="X108" s="252">
        <f t="shared" si="103"/>
        <v>222375.93632958806</v>
      </c>
      <c r="Y108" s="250">
        <f t="shared" si="103"/>
        <v>0</v>
      </c>
      <c r="Z108" s="250">
        <f t="shared" si="103"/>
        <v>16385.603932584268</v>
      </c>
      <c r="AA108" s="250">
        <f t="shared" si="103"/>
        <v>16385.603932584268</v>
      </c>
      <c r="AB108" s="250">
        <f t="shared" si="103"/>
        <v>16385.603932584268</v>
      </c>
      <c r="AC108" s="250">
        <f t="shared" si="103"/>
        <v>13108.450374531834</v>
      </c>
      <c r="AD108" s="250">
        <f t="shared" si="103"/>
        <v>0</v>
      </c>
      <c r="AE108" s="248">
        <f t="shared" si="103"/>
        <v>0</v>
      </c>
      <c r="AF108" s="250">
        <f t="shared" si="103"/>
        <v>32771.207865168537</v>
      </c>
      <c r="AG108" s="250">
        <f t="shared" si="103"/>
        <v>32771.207865168537</v>
      </c>
      <c r="AH108" s="250">
        <f t="shared" si="103"/>
        <v>32771.207865168537</v>
      </c>
      <c r="AI108" s="250">
        <f t="shared" si="103"/>
        <v>26216.900749063669</v>
      </c>
      <c r="AJ108" s="252">
        <f t="shared" si="103"/>
        <v>0</v>
      </c>
      <c r="AK108" s="250">
        <f t="shared" si="103"/>
        <v>0</v>
      </c>
      <c r="AL108" s="248">
        <f t="shared" ref="AL108:BQ108" si="104">SUM(AL104:AL107)</f>
        <v>32771.207865168537</v>
      </c>
      <c r="AM108" s="250">
        <f t="shared" si="104"/>
        <v>32771.207865168537</v>
      </c>
      <c r="AN108" s="250">
        <f t="shared" si="104"/>
        <v>32771.207865168537</v>
      </c>
      <c r="AO108" s="250">
        <f t="shared" si="104"/>
        <v>26216.900749063669</v>
      </c>
      <c r="AP108" s="250">
        <f t="shared" si="104"/>
        <v>0</v>
      </c>
      <c r="AQ108" s="252">
        <f t="shared" si="104"/>
        <v>311326.31086142326</v>
      </c>
      <c r="AR108" s="250">
        <f t="shared" si="104"/>
        <v>0</v>
      </c>
      <c r="AS108" s="250">
        <f t="shared" si="104"/>
        <v>17556.004213483146</v>
      </c>
      <c r="AT108" s="250">
        <f t="shared" si="104"/>
        <v>17556.004213483146</v>
      </c>
      <c r="AU108" s="250">
        <f t="shared" si="104"/>
        <v>17556.004213483146</v>
      </c>
      <c r="AV108" s="250">
        <f t="shared" si="104"/>
        <v>14044.768258426966</v>
      </c>
      <c r="AW108" s="250">
        <f t="shared" si="104"/>
        <v>0</v>
      </c>
      <c r="AX108" s="244">
        <f t="shared" si="104"/>
        <v>0</v>
      </c>
      <c r="AY108" s="244">
        <f t="shared" si="104"/>
        <v>52668.012640449444</v>
      </c>
      <c r="AZ108" s="250">
        <f t="shared" si="104"/>
        <v>52668.012640449444</v>
      </c>
      <c r="BA108" s="250">
        <f t="shared" si="104"/>
        <v>52668.012640449444</v>
      </c>
      <c r="BB108" s="250">
        <f t="shared" si="104"/>
        <v>42134.3047752809</v>
      </c>
      <c r="BC108" s="250">
        <f t="shared" si="104"/>
        <v>0</v>
      </c>
      <c r="BD108" s="250">
        <f t="shared" si="104"/>
        <v>266851.1235955056</v>
      </c>
      <c r="BE108" s="250">
        <f t="shared" si="104"/>
        <v>0</v>
      </c>
      <c r="BF108" s="250">
        <f t="shared" si="104"/>
        <v>4681.6011235955066</v>
      </c>
      <c r="BG108" s="250">
        <f t="shared" si="104"/>
        <v>4681.6011235955066</v>
      </c>
      <c r="BH108" s="250">
        <f t="shared" si="104"/>
        <v>4681.6011235955066</v>
      </c>
      <c r="BI108" s="250">
        <f t="shared" si="104"/>
        <v>3745.2715355805249</v>
      </c>
      <c r="BJ108" s="250">
        <f t="shared" si="104"/>
        <v>0</v>
      </c>
      <c r="BK108" s="250">
        <f t="shared" si="104"/>
        <v>0</v>
      </c>
      <c r="BL108" s="250">
        <f t="shared" si="104"/>
        <v>1170.4002808988766</v>
      </c>
      <c r="BM108" s="250">
        <f t="shared" si="104"/>
        <v>1170.4002808988766</v>
      </c>
      <c r="BN108" s="250">
        <f t="shared" si="104"/>
        <v>1170.4002808988766</v>
      </c>
      <c r="BO108" s="250">
        <f t="shared" si="104"/>
        <v>936.31788389513122</v>
      </c>
      <c r="BP108" s="250">
        <f t="shared" si="104"/>
        <v>0</v>
      </c>
      <c r="BQ108" s="250">
        <f t="shared" si="104"/>
        <v>0</v>
      </c>
      <c r="BR108" s="250">
        <f t="shared" ref="BR108:BX108" si="105">SUM(BR104:BR107)</f>
        <v>17556.004213483149</v>
      </c>
      <c r="BS108" s="250">
        <f t="shared" si="105"/>
        <v>17556.004213483149</v>
      </c>
      <c r="BT108" s="250">
        <f t="shared" si="105"/>
        <v>17556.004213483149</v>
      </c>
      <c r="BU108" s="250">
        <f t="shared" si="105"/>
        <v>14044.768258426968</v>
      </c>
      <c r="BV108" s="250">
        <f t="shared" si="105"/>
        <v>0</v>
      </c>
      <c r="BW108" s="250">
        <f t="shared" si="105"/>
        <v>88950.374531835216</v>
      </c>
      <c r="BX108" s="252">
        <f t="shared" si="105"/>
        <v>889503.74531835224</v>
      </c>
    </row>
    <row r="109" spans="1:76" x14ac:dyDescent="0.3">
      <c r="A109" s="24"/>
      <c r="F109" s="199"/>
      <c r="G109" s="200"/>
      <c r="H109" s="200"/>
      <c r="I109" s="200"/>
      <c r="J109" s="200"/>
      <c r="K109" s="201"/>
      <c r="L109" s="200"/>
      <c r="M109" s="200"/>
      <c r="N109" s="200"/>
      <c r="O109" s="200"/>
      <c r="P109" s="200"/>
      <c r="Q109" s="201"/>
      <c r="R109" s="190"/>
      <c r="S109" s="190"/>
      <c r="T109" s="190"/>
      <c r="U109" s="190"/>
      <c r="V109" s="190"/>
      <c r="W109" s="190"/>
      <c r="X109" s="206"/>
      <c r="Y109" s="190"/>
      <c r="Z109" s="190"/>
      <c r="AA109" s="190"/>
      <c r="AB109" s="190"/>
      <c r="AC109" s="190"/>
      <c r="AD109" s="190"/>
      <c r="AE109" s="199"/>
      <c r="AF109" s="200"/>
      <c r="AG109" s="200"/>
      <c r="AH109" s="200"/>
      <c r="AI109" s="200"/>
      <c r="AJ109" s="201"/>
      <c r="AK109" s="190"/>
      <c r="AL109" s="190"/>
      <c r="AM109" s="190"/>
      <c r="AN109" s="190"/>
      <c r="AO109" s="190"/>
      <c r="AP109" s="190"/>
      <c r="AQ109" s="206"/>
      <c r="AR109" s="199"/>
      <c r="AS109" s="200"/>
      <c r="AT109" s="200"/>
      <c r="AU109" s="200"/>
      <c r="AV109" s="200"/>
      <c r="AW109" s="201"/>
      <c r="AX109" s="190"/>
      <c r="AY109" s="190"/>
      <c r="AZ109" s="190"/>
      <c r="BA109" s="190"/>
      <c r="BB109" s="190"/>
      <c r="BC109" s="190"/>
      <c r="BD109" s="206"/>
      <c r="BE109" s="190"/>
      <c r="BF109" s="190"/>
      <c r="BG109" s="190"/>
      <c r="BH109" s="190"/>
      <c r="BI109" s="190"/>
      <c r="BJ109" s="190"/>
      <c r="BK109" s="199"/>
      <c r="BL109" s="200"/>
      <c r="BM109" s="200"/>
      <c r="BN109" s="200"/>
      <c r="BO109" s="200"/>
      <c r="BP109" s="201"/>
      <c r="BQ109" s="190"/>
      <c r="BR109" s="190"/>
      <c r="BS109" s="190"/>
      <c r="BT109" s="190"/>
      <c r="BU109" s="190"/>
      <c r="BV109" s="190"/>
      <c r="BW109" s="206"/>
      <c r="BX109" s="211"/>
    </row>
    <row r="110" spans="1:76" x14ac:dyDescent="0.3">
      <c r="F110" s="130"/>
      <c r="K110" s="131"/>
      <c r="Q110" s="131"/>
      <c r="X110" s="132"/>
      <c r="AE110" s="130"/>
      <c r="AJ110" s="131"/>
      <c r="AQ110" s="132"/>
      <c r="AR110" s="130"/>
      <c r="AW110" s="131"/>
      <c r="BD110" s="132"/>
      <c r="BK110" s="130"/>
      <c r="BL110" s="200"/>
      <c r="BP110" s="131"/>
      <c r="BW110" s="132"/>
      <c r="BX110" s="132"/>
    </row>
    <row r="111" spans="1:76" x14ac:dyDescent="0.3">
      <c r="A111" s="154" t="s">
        <v>546</v>
      </c>
      <c r="B111" s="162"/>
      <c r="C111" s="162"/>
      <c r="D111" s="47"/>
      <c r="E111" s="162"/>
      <c r="F111" s="246">
        <f>F101+F108</f>
        <v>19462.694182459607</v>
      </c>
      <c r="G111" s="250">
        <f t="shared" ref="G111:BR111" si="106">G101+G108</f>
        <v>72674.200592826717</v>
      </c>
      <c r="H111" s="250">
        <f t="shared" si="106"/>
        <v>73308.404408054033</v>
      </c>
      <c r="I111" s="250">
        <f t="shared" si="106"/>
        <v>73955.292299585897</v>
      </c>
      <c r="J111" s="250">
        <f t="shared" si="106"/>
        <v>66422.260308878263</v>
      </c>
      <c r="K111" s="250">
        <f t="shared" si="106"/>
        <v>22288.779361195073</v>
      </c>
      <c r="L111" s="248">
        <f t="shared" si="106"/>
        <v>5560.769766417031</v>
      </c>
      <c r="M111" s="250">
        <f t="shared" si="106"/>
        <v>20764.057312236204</v>
      </c>
      <c r="N111" s="250">
        <f t="shared" si="106"/>
        <v>20945.258402301155</v>
      </c>
      <c r="O111" s="250">
        <f t="shared" si="106"/>
        <v>21130.083514167403</v>
      </c>
      <c r="P111" s="250">
        <f t="shared" si="106"/>
        <v>18977.788659679511</v>
      </c>
      <c r="Q111" s="250">
        <f t="shared" si="106"/>
        <v>6368.2226746271645</v>
      </c>
      <c r="R111" s="248">
        <f t="shared" si="106"/>
        <v>2780.3848832085155</v>
      </c>
      <c r="S111" s="248">
        <f t="shared" si="106"/>
        <v>10382.028656118102</v>
      </c>
      <c r="T111" s="250">
        <f t="shared" si="106"/>
        <v>10472.629201150578</v>
      </c>
      <c r="U111" s="250">
        <f t="shared" si="106"/>
        <v>10565.041757083702</v>
      </c>
      <c r="V111" s="250">
        <f t="shared" si="106"/>
        <v>9488.8943298397553</v>
      </c>
      <c r="W111" s="250">
        <f t="shared" si="106"/>
        <v>3184.1113373135822</v>
      </c>
      <c r="X111" s="252">
        <f t="shared" si="106"/>
        <v>468730.90164714237</v>
      </c>
      <c r="Y111" s="250">
        <f t="shared" si="106"/>
        <v>15570.155345967689</v>
      </c>
      <c r="Z111" s="250">
        <f t="shared" si="106"/>
        <v>29069.680237130684</v>
      </c>
      <c r="AA111" s="250">
        <f t="shared" si="106"/>
        <v>29323.361763221612</v>
      </c>
      <c r="AB111" s="250">
        <f t="shared" si="106"/>
        <v>29582.116919834363</v>
      </c>
      <c r="AC111" s="250">
        <f t="shared" si="106"/>
        <v>26568.90412355131</v>
      </c>
      <c r="AD111" s="250">
        <f t="shared" si="106"/>
        <v>8915.5117444780317</v>
      </c>
      <c r="AE111" s="248">
        <f t="shared" si="106"/>
        <v>0</v>
      </c>
      <c r="AF111" s="250">
        <f t="shared" si="106"/>
        <v>58139.360474261368</v>
      </c>
      <c r="AG111" s="250">
        <f t="shared" si="106"/>
        <v>58646.723526443224</v>
      </c>
      <c r="AH111" s="250">
        <f t="shared" si="106"/>
        <v>59164.233839668726</v>
      </c>
      <c r="AI111" s="250">
        <f t="shared" si="106"/>
        <v>53137.808247102621</v>
      </c>
      <c r="AJ111" s="252">
        <f t="shared" si="106"/>
        <v>17831.023488956063</v>
      </c>
      <c r="AK111" s="250">
        <f t="shared" si="106"/>
        <v>23355.233018951534</v>
      </c>
      <c r="AL111" s="248">
        <f t="shared" si="106"/>
        <v>58139.360474261368</v>
      </c>
      <c r="AM111" s="250">
        <f t="shared" si="106"/>
        <v>58646.723526443224</v>
      </c>
      <c r="AN111" s="250">
        <f t="shared" si="106"/>
        <v>59164.233839668726</v>
      </c>
      <c r="AO111" s="250">
        <f t="shared" si="106"/>
        <v>53137.808247102621</v>
      </c>
      <c r="AP111" s="250">
        <f t="shared" si="106"/>
        <v>17831.023488956063</v>
      </c>
      <c r="AQ111" s="252">
        <f t="shared" si="106"/>
        <v>656223.26230599929</v>
      </c>
      <c r="AR111" s="250">
        <f t="shared" si="106"/>
        <v>8341.1546496255469</v>
      </c>
      <c r="AS111" s="250">
        <f t="shared" si="106"/>
        <v>31146.085968354306</v>
      </c>
      <c r="AT111" s="250">
        <f t="shared" si="106"/>
        <v>31417.887603451731</v>
      </c>
      <c r="AU111" s="250">
        <f t="shared" si="106"/>
        <v>31695.125271251098</v>
      </c>
      <c r="AV111" s="250">
        <f t="shared" si="106"/>
        <v>28466.682989519264</v>
      </c>
      <c r="AW111" s="250">
        <f t="shared" si="106"/>
        <v>9552.3340119407494</v>
      </c>
      <c r="AX111" s="244">
        <f t="shared" si="106"/>
        <v>25023.463948876637</v>
      </c>
      <c r="AY111" s="244">
        <f t="shared" si="106"/>
        <v>93438.257905062928</v>
      </c>
      <c r="AZ111" s="250">
        <f t="shared" si="106"/>
        <v>94253.662810355192</v>
      </c>
      <c r="BA111" s="250">
        <f t="shared" si="106"/>
        <v>95085.375813753315</v>
      </c>
      <c r="BB111" s="250">
        <f t="shared" si="106"/>
        <v>85400.048968557792</v>
      </c>
      <c r="BC111" s="250">
        <f t="shared" si="106"/>
        <v>28657.002035822239</v>
      </c>
      <c r="BD111" s="250">
        <f t="shared" si="106"/>
        <v>562477.08197657077</v>
      </c>
      <c r="BE111" s="250">
        <f t="shared" si="106"/>
        <v>2224.3079065668126</v>
      </c>
      <c r="BF111" s="250">
        <f t="shared" si="106"/>
        <v>8305.6229248944837</v>
      </c>
      <c r="BG111" s="250">
        <f t="shared" si="106"/>
        <v>8378.1033609204624</v>
      </c>
      <c r="BH111" s="250">
        <f t="shared" si="106"/>
        <v>8452.0334056669617</v>
      </c>
      <c r="BI111" s="250">
        <f t="shared" si="106"/>
        <v>7591.1154638718044</v>
      </c>
      <c r="BJ111" s="250">
        <f t="shared" si="106"/>
        <v>2547.2890698508659</v>
      </c>
      <c r="BK111" s="250">
        <f t="shared" si="106"/>
        <v>556.07697664170314</v>
      </c>
      <c r="BL111" s="250">
        <f t="shared" si="106"/>
        <v>2076.4057312236209</v>
      </c>
      <c r="BM111" s="250">
        <f t="shared" si="106"/>
        <v>2094.5258402301156</v>
      </c>
      <c r="BN111" s="250">
        <f t="shared" si="106"/>
        <v>2113.0083514167404</v>
      </c>
      <c r="BO111" s="250">
        <f t="shared" si="106"/>
        <v>1897.7788659679511</v>
      </c>
      <c r="BP111" s="250">
        <f t="shared" si="106"/>
        <v>636.82226746271647</v>
      </c>
      <c r="BQ111" s="250">
        <f t="shared" si="106"/>
        <v>8341.1546496255469</v>
      </c>
      <c r="BR111" s="250">
        <f t="shared" si="106"/>
        <v>31146.085968354309</v>
      </c>
      <c r="BS111" s="250">
        <f t="shared" ref="BS111:BX111" si="107">BS101+BS108</f>
        <v>31417.887603451731</v>
      </c>
      <c r="BT111" s="250">
        <f t="shared" si="107"/>
        <v>31695.125271251105</v>
      </c>
      <c r="BU111" s="250">
        <f t="shared" si="107"/>
        <v>28466.682989519264</v>
      </c>
      <c r="BV111" s="250">
        <f t="shared" si="107"/>
        <v>9552.3340119407494</v>
      </c>
      <c r="BW111" s="250">
        <f t="shared" si="107"/>
        <v>187492.36065885692</v>
      </c>
      <c r="BX111" s="252">
        <f t="shared" si="107"/>
        <v>1874923.6065885695</v>
      </c>
    </row>
    <row r="112" spans="1:76" x14ac:dyDescent="0.3">
      <c r="A112" s="128" t="s">
        <v>554</v>
      </c>
      <c r="F112" s="134"/>
      <c r="G112" s="135"/>
      <c r="H112" s="135"/>
      <c r="I112" s="135"/>
      <c r="J112" s="135"/>
      <c r="K112" s="136"/>
      <c r="L112" s="135"/>
      <c r="M112" s="135"/>
      <c r="N112" s="135"/>
      <c r="O112" s="135"/>
      <c r="P112" s="135"/>
      <c r="Q112" s="136"/>
      <c r="R112" s="150"/>
      <c r="S112" s="150"/>
      <c r="T112" s="150"/>
      <c r="U112" s="150"/>
      <c r="V112" s="150"/>
      <c r="W112" s="150"/>
      <c r="X112" s="206"/>
      <c r="Y112" s="150"/>
      <c r="Z112" s="150"/>
      <c r="AA112" s="150"/>
      <c r="AB112" s="150"/>
      <c r="AC112" s="150"/>
      <c r="AD112" s="150"/>
      <c r="AE112" s="134"/>
      <c r="AF112" s="135"/>
      <c r="AG112" s="135"/>
      <c r="AH112" s="135"/>
      <c r="AI112" s="135"/>
      <c r="AJ112" s="136"/>
      <c r="AK112" s="150"/>
      <c r="AL112" s="150"/>
      <c r="AM112" s="150"/>
      <c r="AN112" s="150"/>
      <c r="AO112" s="150"/>
      <c r="AP112" s="150"/>
      <c r="AQ112" s="206"/>
      <c r="AR112" s="134"/>
      <c r="AS112" s="135"/>
      <c r="AT112" s="135"/>
      <c r="AU112" s="135"/>
      <c r="AV112" s="135"/>
      <c r="AW112" s="136"/>
      <c r="AX112" s="150"/>
      <c r="AY112" s="150"/>
      <c r="AZ112" s="150"/>
      <c r="BA112" s="150"/>
      <c r="BB112" s="150"/>
      <c r="BC112" s="150"/>
      <c r="BD112" s="206"/>
      <c r="BE112" s="150"/>
      <c r="BF112" s="150"/>
      <c r="BG112" s="150"/>
      <c r="BH112" s="150"/>
      <c r="BI112" s="150"/>
      <c r="BJ112" s="150"/>
      <c r="BK112" s="134"/>
      <c r="BL112" s="135"/>
      <c r="BM112" s="135"/>
      <c r="BN112" s="135"/>
      <c r="BO112" s="135"/>
      <c r="BP112" s="136"/>
      <c r="BQ112" s="150"/>
      <c r="BR112" s="150"/>
      <c r="BS112" s="150"/>
      <c r="BT112" s="150"/>
      <c r="BU112" s="150"/>
      <c r="BV112" s="150"/>
      <c r="BW112" s="206"/>
      <c r="BX112" s="211"/>
    </row>
    <row r="113" spans="1:82" x14ac:dyDescent="0.3">
      <c r="A113" s="128" t="s">
        <v>555</v>
      </c>
      <c r="F113" s="130"/>
      <c r="H113" s="213">
        <v>605.36918138041722</v>
      </c>
      <c r="I113" s="213">
        <v>617.47656500802566</v>
      </c>
      <c r="J113" s="213">
        <v>629.82609630818615</v>
      </c>
      <c r="K113" s="131"/>
      <c r="Q113" s="131"/>
      <c r="X113" s="206">
        <f>SUM(F113:W113)</f>
        <v>1852.671842696629</v>
      </c>
      <c r="AE113" s="130"/>
      <c r="AJ113" s="131"/>
      <c r="AQ113" s="206">
        <f>SUM(Y113:AP113)</f>
        <v>0</v>
      </c>
      <c r="AR113" s="130"/>
      <c r="AW113" s="131"/>
      <c r="AY113" s="194">
        <v>593.49919743178168</v>
      </c>
      <c r="AZ113" s="194">
        <v>605.36918138041722</v>
      </c>
      <c r="BD113" s="206">
        <f>SUM(AR113:BC113)</f>
        <v>1198.8683788121989</v>
      </c>
      <c r="BK113" s="130"/>
      <c r="BP113" s="131"/>
      <c r="BW113" s="206">
        <f>SUM(BE113:BV113)</f>
        <v>0</v>
      </c>
      <c r="BX113" s="211">
        <f>X113+AQ113+BD113+BW113</f>
        <v>3051.5402215088279</v>
      </c>
    </row>
    <row r="114" spans="1:82" ht="14.55" thickBot="1" x14ac:dyDescent="0.35">
      <c r="A114" s="198" t="s">
        <v>548</v>
      </c>
      <c r="B114" s="195"/>
      <c r="C114" s="195"/>
      <c r="D114" s="196"/>
      <c r="E114" s="195"/>
      <c r="F114" s="204">
        <f t="shared" ref="F114:AK114" si="108">SUM(F111:F113)</f>
        <v>19462.694182459607</v>
      </c>
      <c r="G114" s="197">
        <f t="shared" si="108"/>
        <v>72674.200592826717</v>
      </c>
      <c r="H114" s="197">
        <f t="shared" si="108"/>
        <v>73913.773589434451</v>
      </c>
      <c r="I114" s="197">
        <f t="shared" si="108"/>
        <v>74572.76886459392</v>
      </c>
      <c r="J114" s="197">
        <f t="shared" si="108"/>
        <v>67052.086405186448</v>
      </c>
      <c r="K114" s="205">
        <f t="shared" si="108"/>
        <v>22288.779361195073</v>
      </c>
      <c r="L114" s="197">
        <f t="shared" si="108"/>
        <v>5560.769766417031</v>
      </c>
      <c r="M114" s="197">
        <f t="shared" si="108"/>
        <v>20764.057312236204</v>
      </c>
      <c r="N114" s="197">
        <f t="shared" si="108"/>
        <v>20945.258402301155</v>
      </c>
      <c r="O114" s="197">
        <f t="shared" si="108"/>
        <v>21130.083514167403</v>
      </c>
      <c r="P114" s="197">
        <f t="shared" si="108"/>
        <v>18977.788659679511</v>
      </c>
      <c r="Q114" s="205">
        <f t="shared" si="108"/>
        <v>6368.2226746271645</v>
      </c>
      <c r="R114" s="197">
        <f t="shared" si="108"/>
        <v>2780.3848832085155</v>
      </c>
      <c r="S114" s="197">
        <f t="shared" si="108"/>
        <v>10382.028656118102</v>
      </c>
      <c r="T114" s="197">
        <f t="shared" si="108"/>
        <v>10472.629201150578</v>
      </c>
      <c r="U114" s="197">
        <f t="shared" si="108"/>
        <v>10565.041757083702</v>
      </c>
      <c r="V114" s="197">
        <f t="shared" si="108"/>
        <v>9488.8943298397553</v>
      </c>
      <c r="W114" s="197">
        <f t="shared" si="108"/>
        <v>3184.1113373135822</v>
      </c>
      <c r="X114" s="208">
        <f t="shared" si="108"/>
        <v>470583.57348983898</v>
      </c>
      <c r="Y114" s="197">
        <f t="shared" si="108"/>
        <v>15570.155345967689</v>
      </c>
      <c r="Z114" s="197">
        <f t="shared" si="108"/>
        <v>29069.680237130684</v>
      </c>
      <c r="AA114" s="197">
        <f t="shared" si="108"/>
        <v>29323.361763221612</v>
      </c>
      <c r="AB114" s="197">
        <f t="shared" si="108"/>
        <v>29582.116919834363</v>
      </c>
      <c r="AC114" s="197">
        <f t="shared" si="108"/>
        <v>26568.90412355131</v>
      </c>
      <c r="AD114" s="197">
        <f t="shared" si="108"/>
        <v>8915.5117444780317</v>
      </c>
      <c r="AE114" s="204">
        <f t="shared" si="108"/>
        <v>0</v>
      </c>
      <c r="AF114" s="197">
        <f t="shared" si="108"/>
        <v>58139.360474261368</v>
      </c>
      <c r="AG114" s="197">
        <f t="shared" si="108"/>
        <v>58646.723526443224</v>
      </c>
      <c r="AH114" s="197">
        <f t="shared" si="108"/>
        <v>59164.233839668726</v>
      </c>
      <c r="AI114" s="197">
        <f t="shared" si="108"/>
        <v>53137.808247102621</v>
      </c>
      <c r="AJ114" s="205">
        <f t="shared" si="108"/>
        <v>17831.023488956063</v>
      </c>
      <c r="AK114" s="197">
        <f t="shared" si="108"/>
        <v>23355.233018951534</v>
      </c>
      <c r="AL114" s="197">
        <f t="shared" ref="AL114:BQ114" si="109">SUM(AL111:AL113)</f>
        <v>58139.360474261368</v>
      </c>
      <c r="AM114" s="197">
        <f t="shared" si="109"/>
        <v>58646.723526443224</v>
      </c>
      <c r="AN114" s="197">
        <f t="shared" si="109"/>
        <v>59164.233839668726</v>
      </c>
      <c r="AO114" s="197">
        <f t="shared" si="109"/>
        <v>53137.808247102621</v>
      </c>
      <c r="AP114" s="197">
        <f t="shared" si="109"/>
        <v>17831.023488956063</v>
      </c>
      <c r="AQ114" s="208">
        <f t="shared" si="109"/>
        <v>656223.26230599929</v>
      </c>
      <c r="AR114" s="204">
        <f t="shared" si="109"/>
        <v>8341.1546496255469</v>
      </c>
      <c r="AS114" s="197">
        <f t="shared" si="109"/>
        <v>31146.085968354306</v>
      </c>
      <c r="AT114" s="197">
        <f t="shared" si="109"/>
        <v>31417.887603451731</v>
      </c>
      <c r="AU114" s="197">
        <f t="shared" si="109"/>
        <v>31695.125271251098</v>
      </c>
      <c r="AV114" s="197">
        <f t="shared" si="109"/>
        <v>28466.682989519264</v>
      </c>
      <c r="AW114" s="205">
        <f t="shared" si="109"/>
        <v>9552.3340119407494</v>
      </c>
      <c r="AX114" s="197">
        <f t="shared" si="109"/>
        <v>25023.463948876637</v>
      </c>
      <c r="AY114" s="197">
        <f t="shared" si="109"/>
        <v>94031.75710249471</v>
      </c>
      <c r="AZ114" s="197">
        <f t="shared" si="109"/>
        <v>94859.03199173561</v>
      </c>
      <c r="BA114" s="197">
        <f t="shared" si="109"/>
        <v>95085.375813753315</v>
      </c>
      <c r="BB114" s="197">
        <f t="shared" si="109"/>
        <v>85400.048968557792</v>
      </c>
      <c r="BC114" s="197">
        <f t="shared" si="109"/>
        <v>28657.002035822239</v>
      </c>
      <c r="BD114" s="208">
        <f t="shared" si="109"/>
        <v>563675.95035538299</v>
      </c>
      <c r="BE114" s="197">
        <f t="shared" si="109"/>
        <v>2224.3079065668126</v>
      </c>
      <c r="BF114" s="197">
        <f t="shared" si="109"/>
        <v>8305.6229248944837</v>
      </c>
      <c r="BG114" s="197">
        <f t="shared" si="109"/>
        <v>8378.1033609204624</v>
      </c>
      <c r="BH114" s="197">
        <f t="shared" si="109"/>
        <v>8452.0334056669617</v>
      </c>
      <c r="BI114" s="197">
        <f t="shared" si="109"/>
        <v>7591.1154638718044</v>
      </c>
      <c r="BJ114" s="197">
        <f t="shared" si="109"/>
        <v>2547.2890698508659</v>
      </c>
      <c r="BK114" s="204">
        <f t="shared" si="109"/>
        <v>556.07697664170314</v>
      </c>
      <c r="BL114" s="197">
        <f t="shared" si="109"/>
        <v>2076.4057312236209</v>
      </c>
      <c r="BM114" s="197">
        <f t="shared" si="109"/>
        <v>2094.5258402301156</v>
      </c>
      <c r="BN114" s="197">
        <f t="shared" si="109"/>
        <v>2113.0083514167404</v>
      </c>
      <c r="BO114" s="197">
        <f t="shared" si="109"/>
        <v>1897.7788659679511</v>
      </c>
      <c r="BP114" s="205">
        <f t="shared" si="109"/>
        <v>636.82226746271647</v>
      </c>
      <c r="BQ114" s="197">
        <f t="shared" si="109"/>
        <v>8341.1546496255469</v>
      </c>
      <c r="BR114" s="197">
        <f t="shared" ref="BR114:BX114" si="110">SUM(BR111:BR113)</f>
        <v>31146.085968354309</v>
      </c>
      <c r="BS114" s="197">
        <f t="shared" si="110"/>
        <v>31417.887603451731</v>
      </c>
      <c r="BT114" s="197">
        <f t="shared" si="110"/>
        <v>31695.125271251105</v>
      </c>
      <c r="BU114" s="197">
        <f t="shared" si="110"/>
        <v>28466.682989519264</v>
      </c>
      <c r="BV114" s="197">
        <f t="shared" si="110"/>
        <v>9552.3340119407494</v>
      </c>
      <c r="BW114" s="208">
        <f t="shared" si="110"/>
        <v>187492.36065885692</v>
      </c>
      <c r="BX114" s="208">
        <f t="shared" si="110"/>
        <v>1877975.1468100783</v>
      </c>
    </row>
    <row r="115" spans="1:82" x14ac:dyDescent="0.3">
      <c r="F115" s="192"/>
      <c r="G115" s="192"/>
      <c r="H115" s="192"/>
      <c r="I115" s="192"/>
      <c r="J115" s="192"/>
      <c r="K115" s="192"/>
      <c r="L115" s="192"/>
      <c r="M115" s="192"/>
      <c r="N115" s="192"/>
      <c r="O115" s="192"/>
      <c r="P115" s="192"/>
      <c r="Q115" s="192"/>
      <c r="R115" s="192"/>
      <c r="S115" s="192"/>
      <c r="T115" s="192"/>
      <c r="U115" s="192"/>
      <c r="V115" s="192"/>
      <c r="W115" s="192"/>
      <c r="X115" s="192"/>
      <c r="Y115" s="192"/>
      <c r="Z115" s="192"/>
      <c r="AA115" s="192"/>
      <c r="AB115" s="192"/>
      <c r="AC115" s="192"/>
      <c r="AD115" s="192"/>
      <c r="AE115" s="192"/>
      <c r="AF115" s="192"/>
      <c r="AG115" s="192"/>
      <c r="AH115" s="192"/>
      <c r="AI115" s="192"/>
      <c r="AJ115" s="192"/>
      <c r="AK115" s="192"/>
      <c r="AL115" s="192"/>
      <c r="AM115" s="192"/>
      <c r="AN115" s="192"/>
      <c r="AO115" s="192"/>
      <c r="AP115" s="192"/>
      <c r="AQ115" s="192"/>
      <c r="AR115" s="192"/>
      <c r="AS115" s="192"/>
      <c r="AT115" s="192"/>
      <c r="AU115" s="192"/>
      <c r="AV115" s="192"/>
      <c r="AW115" s="192"/>
      <c r="AX115" s="192"/>
      <c r="AY115" s="192"/>
      <c r="AZ115" s="192"/>
      <c r="BA115" s="192"/>
      <c r="BB115" s="192"/>
      <c r="BC115" s="192"/>
      <c r="BD115" s="192"/>
      <c r="BE115" s="192"/>
      <c r="BF115" s="192"/>
      <c r="BG115" s="192"/>
      <c r="BH115" s="192"/>
      <c r="BI115" s="192"/>
      <c r="BJ115" s="192"/>
      <c r="BK115" s="192"/>
      <c r="BL115" s="192"/>
      <c r="BM115" s="192"/>
      <c r="BN115" s="192"/>
      <c r="BO115" s="192"/>
      <c r="BP115" s="192"/>
      <c r="BQ115" s="192"/>
      <c r="BR115" s="192"/>
      <c r="BS115" s="192"/>
      <c r="BT115" s="192"/>
      <c r="BU115" s="192"/>
      <c r="BV115" s="192"/>
      <c r="BW115" s="192"/>
      <c r="BX115" s="192"/>
      <c r="BY115" s="192"/>
      <c r="BZ115" s="192"/>
      <c r="CA115" s="192"/>
      <c r="CB115" s="192"/>
      <c r="CC115" s="192"/>
      <c r="CD115" s="192"/>
    </row>
    <row r="116" spans="1:82" ht="27.95" x14ac:dyDescent="0.3">
      <c r="A116" s="24"/>
      <c r="F116" s="345" t="s">
        <v>556</v>
      </c>
      <c r="G116" s="345"/>
      <c r="H116" s="345"/>
      <c r="I116" s="345"/>
      <c r="J116" s="345"/>
      <c r="K116" s="345"/>
      <c r="L116" s="327" t="s">
        <v>844</v>
      </c>
      <c r="M116" s="345"/>
      <c r="N116" s="345"/>
      <c r="O116" s="345"/>
      <c r="P116" s="345"/>
      <c r="Q116" s="325"/>
      <c r="R116" s="345" t="s">
        <v>845</v>
      </c>
      <c r="S116" s="345"/>
      <c r="T116" s="345"/>
      <c r="U116" s="345"/>
      <c r="V116" s="345"/>
      <c r="W116" s="345"/>
      <c r="X116" s="215" t="s">
        <v>518</v>
      </c>
      <c r="Y116" s="345" t="s">
        <v>846</v>
      </c>
      <c r="Z116" s="345"/>
      <c r="AA116" s="345"/>
      <c r="AB116" s="345"/>
      <c r="AC116" s="345"/>
      <c r="AD116" s="345"/>
      <c r="AE116" s="327" t="s">
        <v>847</v>
      </c>
      <c r="AF116" s="345"/>
      <c r="AG116" s="345"/>
      <c r="AH116" s="345"/>
      <c r="AI116" s="345"/>
      <c r="AJ116" s="325"/>
      <c r="AK116" s="154" t="s">
        <v>521</v>
      </c>
      <c r="AL116" s="120" t="s">
        <v>340</v>
      </c>
    </row>
    <row r="117" spans="1:82" x14ac:dyDescent="0.3">
      <c r="A117" s="24"/>
      <c r="F117" s="122" t="s">
        <v>379</v>
      </c>
      <c r="G117" s="69" t="s">
        <v>380</v>
      </c>
      <c r="H117" s="69" t="s">
        <v>381</v>
      </c>
      <c r="I117" s="69" t="s">
        <v>382</v>
      </c>
      <c r="J117" s="69" t="s">
        <v>383</v>
      </c>
      <c r="K117" s="123" t="s">
        <v>457</v>
      </c>
      <c r="L117" s="69" t="s">
        <v>379</v>
      </c>
      <c r="M117" s="69" t="s">
        <v>380</v>
      </c>
      <c r="N117" s="69" t="s">
        <v>381</v>
      </c>
      <c r="O117" s="69" t="s">
        <v>382</v>
      </c>
      <c r="P117" s="69" t="s">
        <v>383</v>
      </c>
      <c r="Q117" s="69" t="s">
        <v>457</v>
      </c>
      <c r="R117" s="122" t="s">
        <v>379</v>
      </c>
      <c r="S117" s="69" t="s">
        <v>380</v>
      </c>
      <c r="T117" s="69" t="s">
        <v>381</v>
      </c>
      <c r="U117" s="69" t="s">
        <v>382</v>
      </c>
      <c r="V117" s="69" t="s">
        <v>383</v>
      </c>
      <c r="W117" s="123" t="s">
        <v>457</v>
      </c>
      <c r="X117" s="69" t="s">
        <v>368</v>
      </c>
      <c r="Y117" s="122" t="s">
        <v>379</v>
      </c>
      <c r="Z117" s="69" t="s">
        <v>380</v>
      </c>
      <c r="AA117" s="69" t="s">
        <v>381</v>
      </c>
      <c r="AB117" s="69" t="s">
        <v>382</v>
      </c>
      <c r="AC117" s="69" t="s">
        <v>383</v>
      </c>
      <c r="AD117" s="123" t="s">
        <v>457</v>
      </c>
      <c r="AE117" s="69" t="s">
        <v>379</v>
      </c>
      <c r="AF117" s="69" t="s">
        <v>380</v>
      </c>
      <c r="AG117" s="69" t="s">
        <v>381</v>
      </c>
      <c r="AH117" s="69" t="s">
        <v>382</v>
      </c>
      <c r="AI117" s="69" t="s">
        <v>383</v>
      </c>
      <c r="AJ117" s="69" t="s">
        <v>457</v>
      </c>
      <c r="AK117" s="122" t="s">
        <v>368</v>
      </c>
      <c r="AL117" s="158"/>
    </row>
    <row r="118" spans="1:82" x14ac:dyDescent="0.3">
      <c r="A118" s="128" t="s">
        <v>557</v>
      </c>
      <c r="F118" s="130"/>
      <c r="K118" s="131"/>
      <c r="R118" s="130"/>
      <c r="W118" s="131"/>
      <c r="Y118" s="130"/>
      <c r="AD118" s="131"/>
      <c r="AK118" s="130"/>
      <c r="AL118" s="132"/>
    </row>
    <row r="119" spans="1:82" x14ac:dyDescent="0.3">
      <c r="A119" s="24" t="s">
        <v>511</v>
      </c>
      <c r="F119" s="199">
        <f>F38*$D38</f>
        <v>0</v>
      </c>
      <c r="G119" s="200">
        <f>G38*($D38*1.02)</f>
        <v>0</v>
      </c>
      <c r="H119" s="200">
        <f>H38*($D38*1.04)</f>
        <v>0</v>
      </c>
      <c r="I119" s="200">
        <f>I38*($D38*1.06)</f>
        <v>0</v>
      </c>
      <c r="J119" s="200">
        <f>J38*($D38*1.08)</f>
        <v>0</v>
      </c>
      <c r="K119" s="201">
        <f>K38*($D38*1.1)</f>
        <v>0</v>
      </c>
      <c r="L119" s="190">
        <f>L38*$D38</f>
        <v>0</v>
      </c>
      <c r="M119" s="190">
        <f>M38*($D38*1.02)</f>
        <v>0</v>
      </c>
      <c r="N119" s="190">
        <f>N38*($D38*1.04)</f>
        <v>0</v>
      </c>
      <c r="O119" s="190">
        <f>O38*($D38*1.06)</f>
        <v>0</v>
      </c>
      <c r="P119" s="190">
        <f>P38*($D38*1.08)</f>
        <v>0</v>
      </c>
      <c r="Q119" s="190">
        <f>Q38*($D38*1.1)</f>
        <v>0</v>
      </c>
      <c r="R119" s="199">
        <f t="shared" ref="R119:W124" si="111">R38*$D38</f>
        <v>0</v>
      </c>
      <c r="S119" s="200">
        <f t="shared" si="111"/>
        <v>0</v>
      </c>
      <c r="T119" s="200">
        <f t="shared" si="111"/>
        <v>0</v>
      </c>
      <c r="U119" s="200">
        <f t="shared" si="111"/>
        <v>0</v>
      </c>
      <c r="V119" s="200">
        <f t="shared" si="111"/>
        <v>0</v>
      </c>
      <c r="W119" s="201">
        <f t="shared" si="111"/>
        <v>0</v>
      </c>
      <c r="X119" s="190">
        <f t="shared" ref="X119:X124" si="112">SUM(F119:W119)</f>
        <v>0</v>
      </c>
      <c r="Y119" s="199">
        <f>Y38*$D38</f>
        <v>0</v>
      </c>
      <c r="Z119" s="200">
        <f>Z38*($D38*1.02)</f>
        <v>0</v>
      </c>
      <c r="AA119" s="200">
        <f>AA38*($D38*1.04)</f>
        <v>0</v>
      </c>
      <c r="AB119" s="200">
        <f>AB38*($D38*1.06)</f>
        <v>0</v>
      </c>
      <c r="AC119" s="200">
        <f>AC38*($D38*1.08)</f>
        <v>0</v>
      </c>
      <c r="AD119" s="201">
        <f>AD38*($D38*1.1)</f>
        <v>0</v>
      </c>
      <c r="AE119" s="190">
        <f>AE38*$D38</f>
        <v>0</v>
      </c>
      <c r="AF119" s="190">
        <f>AF38*($D38*1.02)</f>
        <v>0</v>
      </c>
      <c r="AG119" s="190">
        <f>AG38*($D38*1.04)</f>
        <v>0</v>
      </c>
      <c r="AH119" s="190">
        <f>AH38*($D38*1.06)</f>
        <v>0</v>
      </c>
      <c r="AI119" s="190">
        <f>AI38*($D38*1.08)</f>
        <v>0</v>
      </c>
      <c r="AJ119" s="190">
        <f>AJ38*($D38*1.1)</f>
        <v>0</v>
      </c>
      <c r="AK119" s="199">
        <f t="shared" ref="AK119:AK124" si="113">SUM(Y119:AJ119)</f>
        <v>0</v>
      </c>
      <c r="AL119" s="206">
        <f t="shared" ref="AL119:AL124" si="114">X119+AK119</f>
        <v>0</v>
      </c>
    </row>
    <row r="120" spans="1:82" x14ac:dyDescent="0.3">
      <c r="A120" s="24" t="s">
        <v>512</v>
      </c>
      <c r="F120" s="199">
        <f>F39*$D39*6</f>
        <v>2313.7078651685392</v>
      </c>
      <c r="G120" s="200">
        <f>G39*($D39*1.02)*6</f>
        <v>4719.9640449438211</v>
      </c>
      <c r="H120" s="200">
        <f>H39*($D39*1.04)*6</f>
        <v>4814.3633258426962</v>
      </c>
      <c r="I120" s="200">
        <f>I39*($D39*1.06)*6</f>
        <v>4910.6505923595505</v>
      </c>
      <c r="J120" s="200">
        <f>J39*($D39*1.08)*6</f>
        <v>5008.8636042067428</v>
      </c>
      <c r="K120" s="201">
        <f>K39*($D39*1.1)*6</f>
        <v>5109.0408762908764</v>
      </c>
      <c r="L120" s="190">
        <f>L39*$D39*6</f>
        <v>1245.8426966292134</v>
      </c>
      <c r="M120" s="190">
        <f>M39*($D39*1.02)*6</f>
        <v>2541.5191011235956</v>
      </c>
      <c r="N120" s="190">
        <f>N39*($D39*1.04)*6</f>
        <v>2592.3494831460675</v>
      </c>
      <c r="O120" s="190">
        <f>O39*($D39*1.06)*6</f>
        <v>2644.1964728089888</v>
      </c>
      <c r="P120" s="190">
        <f>P39*($D39*1.08)*6</f>
        <v>2697.0804022651691</v>
      </c>
      <c r="Q120" s="190">
        <f>Q39*($D39*1.1)*6</f>
        <v>2751.0220103104716</v>
      </c>
      <c r="R120" s="199">
        <f t="shared" si="111"/>
        <v>0</v>
      </c>
      <c r="S120" s="200">
        <f t="shared" si="111"/>
        <v>0</v>
      </c>
      <c r="T120" s="200">
        <f t="shared" si="111"/>
        <v>0</v>
      </c>
      <c r="U120" s="200">
        <f t="shared" si="111"/>
        <v>0</v>
      </c>
      <c r="V120" s="200">
        <f t="shared" si="111"/>
        <v>0</v>
      </c>
      <c r="W120" s="201">
        <f t="shared" si="111"/>
        <v>0</v>
      </c>
      <c r="X120" s="190">
        <f t="shared" si="112"/>
        <v>41348.600475095736</v>
      </c>
      <c r="Y120" s="199">
        <f>Y39*$D39*6</f>
        <v>4568.089887640449</v>
      </c>
      <c r="Z120" s="200">
        <f>Z39*($D39*1.02)*6</f>
        <v>9318.9033707865183</v>
      </c>
      <c r="AA120" s="200">
        <f>AA39*($D39*1.04)*6</f>
        <v>9505.2814382022461</v>
      </c>
      <c r="AB120" s="200">
        <f>AB39*($D39*1.06)*6</f>
        <v>9695.387066966292</v>
      </c>
      <c r="AC120" s="200">
        <f>AC39*($D39*1.08)*6</f>
        <v>9889.2948083056199</v>
      </c>
      <c r="AD120" s="201">
        <f>AD39*($D39*1.1)*6</f>
        <v>10087.080704471729</v>
      </c>
      <c r="AE120" s="190">
        <f>AE39*$D39*6</f>
        <v>3737.5280898876395</v>
      </c>
      <c r="AF120" s="190">
        <f>AF39*($D39*1.02)*6</f>
        <v>7624.5573033707869</v>
      </c>
      <c r="AG120" s="190">
        <f>AG39*($D39*1.04)*6</f>
        <v>7777.0484494382026</v>
      </c>
      <c r="AH120" s="190">
        <f>AH39*($D39*1.06)*6</f>
        <v>7932.5894184269664</v>
      </c>
      <c r="AI120" s="190">
        <f>AI39*($D39*1.08)*6</f>
        <v>8091.2412067955074</v>
      </c>
      <c r="AJ120" s="190">
        <f>AJ39*($D39*1.1)*6</f>
        <v>8253.0660309314153</v>
      </c>
      <c r="AK120" s="199">
        <f t="shared" si="113"/>
        <v>96480.067775223361</v>
      </c>
      <c r="AL120" s="206">
        <f t="shared" si="114"/>
        <v>137828.66825031908</v>
      </c>
    </row>
    <row r="121" spans="1:82" x14ac:dyDescent="0.3">
      <c r="A121" s="24" t="s">
        <v>513</v>
      </c>
      <c r="F121" s="199">
        <f>F40*$D40*29</f>
        <v>8331.3762520064211</v>
      </c>
      <c r="G121" s="200">
        <f>G40*($D40*1.02)*29</f>
        <v>16996.007554093099</v>
      </c>
      <c r="H121" s="200">
        <f>H40*($D40*1.04)*29</f>
        <v>17335.92770517496</v>
      </c>
      <c r="I121" s="200">
        <f>I40*($D40*1.06)*29</f>
        <v>17682.646259278459</v>
      </c>
      <c r="J121" s="200">
        <f>J40*($D40*1.08)*29</f>
        <v>18036.299184464031</v>
      </c>
      <c r="K121" s="201">
        <f>K40*($D40*1.1)*29</f>
        <v>18397.025168153308</v>
      </c>
      <c r="L121" s="190">
        <f>L40*$D40*29</f>
        <v>4486.1256741573034</v>
      </c>
      <c r="M121" s="190">
        <f>M40*($D40*1.02)*29</f>
        <v>9151.6963752808988</v>
      </c>
      <c r="N121" s="190">
        <f>N40*($D40*1.04)*29</f>
        <v>9334.7303027865146</v>
      </c>
      <c r="O121" s="190">
        <f>O40*($D40*1.06)*29</f>
        <v>9521.4249088422457</v>
      </c>
      <c r="P121" s="190">
        <f>P40*($D40*1.08)*29</f>
        <v>9711.8534070190908</v>
      </c>
      <c r="Q121" s="190">
        <f>Q40*($D40*1.1)*29</f>
        <v>9906.0904751594717</v>
      </c>
      <c r="R121" s="199">
        <f t="shared" si="111"/>
        <v>0</v>
      </c>
      <c r="S121" s="200">
        <f t="shared" si="111"/>
        <v>0</v>
      </c>
      <c r="T121" s="200">
        <f t="shared" si="111"/>
        <v>0</v>
      </c>
      <c r="U121" s="200">
        <f t="shared" si="111"/>
        <v>0</v>
      </c>
      <c r="V121" s="200">
        <f t="shared" si="111"/>
        <v>0</v>
      </c>
      <c r="W121" s="201">
        <f t="shared" si="111"/>
        <v>0</v>
      </c>
      <c r="X121" s="190">
        <f t="shared" si="112"/>
        <v>148891.2032664158</v>
      </c>
      <c r="Y121" s="199">
        <f>Y40*$D40*29</f>
        <v>16449.127471910109</v>
      </c>
      <c r="Z121" s="200">
        <f>Z40*($D40*1.02)*29</f>
        <v>33556.22004269663</v>
      </c>
      <c r="AA121" s="200">
        <f>AA40*($D40*1.04)*29</f>
        <v>34227.344443550559</v>
      </c>
      <c r="AB121" s="200">
        <f>AB40*($D40*1.06)*29</f>
        <v>34911.891332421575</v>
      </c>
      <c r="AC121" s="200">
        <f>AC40*($D40*1.08)*29</f>
        <v>35610.129159070006</v>
      </c>
      <c r="AD121" s="201">
        <f>AD40*($D40*1.1)*29</f>
        <v>36322.331742251408</v>
      </c>
      <c r="AE121" s="190">
        <f>AE40*$D40*29</f>
        <v>13458.37702247191</v>
      </c>
      <c r="AF121" s="190">
        <f>AF40*($D40*1.02)*29</f>
        <v>27455.089125842696</v>
      </c>
      <c r="AG121" s="190">
        <f>AG40*($D40*1.04)*29</f>
        <v>28004.190908359549</v>
      </c>
      <c r="AH121" s="190">
        <f>AH40*($D40*1.06)*29</f>
        <v>28564.274726526739</v>
      </c>
      <c r="AI121" s="190">
        <f>AI40*($D40*1.08)*29</f>
        <v>29135.560221057276</v>
      </c>
      <c r="AJ121" s="190">
        <f>AJ40*($D40*1.1)*29</f>
        <v>29718.271425478419</v>
      </c>
      <c r="AK121" s="199">
        <f t="shared" si="113"/>
        <v>347412.80762163684</v>
      </c>
      <c r="AL121" s="206">
        <f t="shared" si="114"/>
        <v>496304.01088805264</v>
      </c>
    </row>
    <row r="122" spans="1:82" x14ac:dyDescent="0.3">
      <c r="A122" s="24" t="s">
        <v>488</v>
      </c>
      <c r="F122" s="199">
        <f>F41*$D41</f>
        <v>2252.0821528892452</v>
      </c>
      <c r="G122" s="200">
        <f>G41*($D41*1.02)</f>
        <v>3063.1074103531296</v>
      </c>
      <c r="H122" s="200">
        <f>H41*($D41*1.04)</f>
        <v>3124.3695585601936</v>
      </c>
      <c r="I122" s="200">
        <f>I41*($D41*1.06)</f>
        <v>3186.8569497313965</v>
      </c>
      <c r="J122" s="200">
        <f>J41*($D41*1.08)</f>
        <v>3250.6233443653787</v>
      </c>
      <c r="K122" s="201">
        <f>K41*($D41*1.1)</f>
        <v>3315.6358112526868</v>
      </c>
      <c r="L122" s="190">
        <f>L41*$D41</f>
        <v>1212.6596207865166</v>
      </c>
      <c r="M122" s="190">
        <f>M41*($D41*1.02)</f>
        <v>1649.3655286516851</v>
      </c>
      <c r="N122" s="190">
        <f>N41*($D41*1.04)</f>
        <v>1682.3528392247194</v>
      </c>
      <c r="O122" s="190">
        <f>O41*($D41*1.06)</f>
        <v>1715.9998960092132</v>
      </c>
      <c r="P122" s="190">
        <f>P41*($D41*1.08)</f>
        <v>1750.3356469659732</v>
      </c>
      <c r="Q122" s="190">
        <f>Q41*($D41*1.1)</f>
        <v>1785.3423599052928</v>
      </c>
      <c r="R122" s="199">
        <f t="shared" si="111"/>
        <v>0</v>
      </c>
      <c r="S122" s="200">
        <f t="shared" si="111"/>
        <v>0</v>
      </c>
      <c r="T122" s="200">
        <f t="shared" si="111"/>
        <v>0</v>
      </c>
      <c r="U122" s="200">
        <f t="shared" si="111"/>
        <v>0</v>
      </c>
      <c r="V122" s="200">
        <f t="shared" si="111"/>
        <v>0</v>
      </c>
      <c r="W122" s="201">
        <f t="shared" si="111"/>
        <v>0</v>
      </c>
      <c r="X122" s="190">
        <f t="shared" si="112"/>
        <v>27988.731118695428</v>
      </c>
      <c r="Y122" s="199">
        <f>Y41*$D41</f>
        <v>4446.4186095505611</v>
      </c>
      <c r="Z122" s="200">
        <f>Z41*($D41*1.02)</f>
        <v>6047.6736050561803</v>
      </c>
      <c r="AA122" s="200">
        <f>AA41*($D41*1.04)</f>
        <v>6168.6270771573054</v>
      </c>
      <c r="AB122" s="200">
        <f>AB41*($D41*1.06)</f>
        <v>6291.9996187004499</v>
      </c>
      <c r="AC122" s="200">
        <f>AC41*($D41*1.08)</f>
        <v>6417.8973722085684</v>
      </c>
      <c r="AD122" s="201">
        <f>AD41*($D41*1.1)</f>
        <v>6546.2553196527406</v>
      </c>
      <c r="AE122" s="190">
        <f>AE41*$D41</f>
        <v>3637.97886235955</v>
      </c>
      <c r="AF122" s="190">
        <f>AF41*($D41*1.02)</f>
        <v>4948.0965859550561</v>
      </c>
      <c r="AG122" s="190">
        <f>AG41*($D41*1.04)</f>
        <v>5047.0585176741588</v>
      </c>
      <c r="AH122" s="190">
        <f>AH41*($D41*1.06)</f>
        <v>5147.9996880276412</v>
      </c>
      <c r="AI122" s="190">
        <f>AI41*($D41*1.08)</f>
        <v>5251.0069408979189</v>
      </c>
      <c r="AJ122" s="190">
        <f>AJ41*($D41*1.1)</f>
        <v>5356.0270797158782</v>
      </c>
      <c r="AK122" s="199">
        <f t="shared" si="113"/>
        <v>65307.03927695602</v>
      </c>
      <c r="AL122" s="206">
        <f t="shared" si="114"/>
        <v>93295.770395651445</v>
      </c>
    </row>
    <row r="123" spans="1:82" x14ac:dyDescent="0.3">
      <c r="A123" s="24" t="s">
        <v>524</v>
      </c>
      <c r="F123" s="199">
        <f>F42*$D42</f>
        <v>1752.8089887640451</v>
      </c>
      <c r="G123" s="200">
        <f>G42*($D42*1.02)</f>
        <v>2383.8202247191011</v>
      </c>
      <c r="H123" s="200">
        <f>H42*($D42*1.04)</f>
        <v>2431.4966292134832</v>
      </c>
      <c r="I123" s="200">
        <f>I42*($D42*1.06)</f>
        <v>2480.1265617977529</v>
      </c>
      <c r="J123" s="200">
        <f>J42*($D42*1.08)</f>
        <v>2529.7290930337081</v>
      </c>
      <c r="K123" s="201">
        <f>K42*($D42*1.1)</f>
        <v>2580.3236748943818</v>
      </c>
      <c r="L123" s="190">
        <f>L42*$D42</f>
        <v>943.82022471910113</v>
      </c>
      <c r="M123" s="190">
        <f>M42*($D42*1.02)</f>
        <v>1283.5955056179773</v>
      </c>
      <c r="N123" s="190">
        <f>N42*($D42*1.04)</f>
        <v>1309.2674157303368</v>
      </c>
      <c r="O123" s="190">
        <f>O42*($D42*1.06)</f>
        <v>1335.4527640449437</v>
      </c>
      <c r="P123" s="190">
        <f>P42*($D42*1.08)</f>
        <v>1362.1618193258428</v>
      </c>
      <c r="Q123" s="190">
        <f>Q42*($D42*1.1)</f>
        <v>1389.4050557123594</v>
      </c>
      <c r="R123" s="199">
        <f t="shared" si="111"/>
        <v>0</v>
      </c>
      <c r="S123" s="200">
        <f t="shared" si="111"/>
        <v>0</v>
      </c>
      <c r="T123" s="200">
        <f t="shared" si="111"/>
        <v>0</v>
      </c>
      <c r="U123" s="200">
        <f t="shared" si="111"/>
        <v>0</v>
      </c>
      <c r="V123" s="200">
        <f t="shared" si="111"/>
        <v>0</v>
      </c>
      <c r="W123" s="201">
        <f t="shared" si="111"/>
        <v>0</v>
      </c>
      <c r="X123" s="190">
        <f t="shared" si="112"/>
        <v>21782.007957573034</v>
      </c>
      <c r="Y123" s="199">
        <f>Y42*$D42</f>
        <v>3460.674157303371</v>
      </c>
      <c r="Z123" s="200">
        <f>Z42*($D42*1.02)</f>
        <v>4706.5168539325841</v>
      </c>
      <c r="AA123" s="200">
        <f>AA42*($D42*1.04)</f>
        <v>4800.6471910112359</v>
      </c>
      <c r="AB123" s="200">
        <f>AB42*($D42*1.06)</f>
        <v>4896.6601348314616</v>
      </c>
      <c r="AC123" s="200">
        <f>AC42*($D42*1.08)</f>
        <v>4994.5933375280902</v>
      </c>
      <c r="AD123" s="201">
        <f>AD42*($D42*1.1)</f>
        <v>5094.4852042786515</v>
      </c>
      <c r="AE123" s="190">
        <f>AE42*$D42</f>
        <v>2831.4606741573034</v>
      </c>
      <c r="AF123" s="190">
        <f>AF42*($D42*1.02)</f>
        <v>3850.7865168539329</v>
      </c>
      <c r="AG123" s="190">
        <f>AG42*($D42*1.04)</f>
        <v>3927.8022471910112</v>
      </c>
      <c r="AH123" s="190">
        <f>AH42*($D42*1.06)</f>
        <v>4006.358292134832</v>
      </c>
      <c r="AI123" s="190">
        <f>AI42*($D42*1.08)</f>
        <v>4086.4854579775279</v>
      </c>
      <c r="AJ123" s="190">
        <f>AJ42*($D42*1.1)</f>
        <v>4168.2151671370784</v>
      </c>
      <c r="AK123" s="199">
        <f t="shared" si="113"/>
        <v>50824.685234337085</v>
      </c>
      <c r="AL123" s="206">
        <f t="shared" si="114"/>
        <v>72606.693191910119</v>
      </c>
    </row>
    <row r="124" spans="1:82" x14ac:dyDescent="0.3">
      <c r="A124" s="24" t="s">
        <v>489</v>
      </c>
      <c r="F124" s="199">
        <f>F43*$D43</f>
        <v>1842.3581364853785</v>
      </c>
      <c r="G124" s="200">
        <f>G43*($D43*1.02)</f>
        <v>2505.6070656201141</v>
      </c>
      <c r="H124" s="200">
        <f>H43*($D43*1.04)</f>
        <v>2555.719206932517</v>
      </c>
      <c r="I124" s="200">
        <f>I43*($D43*1.06)</f>
        <v>2606.8335910711671</v>
      </c>
      <c r="J124" s="200">
        <f>J43*($D43*1.08)</f>
        <v>2658.9702628925902</v>
      </c>
      <c r="K124" s="201">
        <f>K43*($D43*1.1)</f>
        <v>2712.1496681504423</v>
      </c>
      <c r="L124" s="190">
        <f>L43*$D43</f>
        <v>992.0389965690498</v>
      </c>
      <c r="M124" s="190">
        <f>M43*($D43*1.02)</f>
        <v>1349.1730353339076</v>
      </c>
      <c r="N124" s="190">
        <f>N43*($D43*1.04)</f>
        <v>1376.1564960405858</v>
      </c>
      <c r="O124" s="190">
        <f>O43*($D43*1.06)</f>
        <v>1403.6796259613975</v>
      </c>
      <c r="P124" s="190">
        <f>P43*($D43*1.08)</f>
        <v>1431.7532184806253</v>
      </c>
      <c r="Q124" s="190">
        <f>Q43*($D43*1.1)</f>
        <v>1460.3882828502381</v>
      </c>
      <c r="R124" s="199">
        <f t="shared" si="111"/>
        <v>0</v>
      </c>
      <c r="S124" s="200">
        <f t="shared" si="111"/>
        <v>0</v>
      </c>
      <c r="T124" s="200">
        <f t="shared" si="111"/>
        <v>0</v>
      </c>
      <c r="U124" s="200">
        <f t="shared" si="111"/>
        <v>0</v>
      </c>
      <c r="V124" s="200">
        <f t="shared" si="111"/>
        <v>0</v>
      </c>
      <c r="W124" s="201">
        <f t="shared" si="111"/>
        <v>0</v>
      </c>
      <c r="X124" s="190">
        <f t="shared" si="112"/>
        <v>22894.827586388012</v>
      </c>
      <c r="Y124" s="199">
        <f>Y43*$D43</f>
        <v>3637.4763207531828</v>
      </c>
      <c r="Z124" s="200">
        <f>Z43*($D43*1.02)</f>
        <v>4946.9677962243286</v>
      </c>
      <c r="AA124" s="200">
        <f>AA43*($D43*1.04)</f>
        <v>5045.9071521488149</v>
      </c>
      <c r="AB124" s="200">
        <f>AB43*($D43*1.06)</f>
        <v>5146.8252951917902</v>
      </c>
      <c r="AC124" s="200">
        <f>AC43*($D43*1.08)</f>
        <v>5249.7618010956276</v>
      </c>
      <c r="AD124" s="201">
        <f>AD43*($D43*1.1)</f>
        <v>5354.7570371175398</v>
      </c>
      <c r="AE124" s="190">
        <f>AE43*$D43</f>
        <v>2976.1169897071495</v>
      </c>
      <c r="AF124" s="190">
        <f>AF43*($D43*1.02)</f>
        <v>4047.5191060017232</v>
      </c>
      <c r="AG124" s="190">
        <f>AG43*($D43*1.04)</f>
        <v>4128.4694881217574</v>
      </c>
      <c r="AH124" s="190">
        <f>AH43*($D43*1.06)</f>
        <v>4211.0388778841925</v>
      </c>
      <c r="AI124" s="190">
        <f>AI43*($D43*1.08)</f>
        <v>4295.2596554418769</v>
      </c>
      <c r="AJ124" s="190">
        <f>AJ43*($D43*1.1)</f>
        <v>4381.1648485507139</v>
      </c>
      <c r="AK124" s="199">
        <f t="shared" si="113"/>
        <v>53421.264368238699</v>
      </c>
      <c r="AL124" s="206">
        <f t="shared" si="114"/>
        <v>76316.091954626711</v>
      </c>
    </row>
    <row r="125" spans="1:82" x14ac:dyDescent="0.3">
      <c r="A125" s="182" t="s">
        <v>558</v>
      </c>
      <c r="B125" s="215"/>
      <c r="C125" s="215"/>
      <c r="D125" s="232"/>
      <c r="E125" s="215"/>
      <c r="F125" s="248">
        <f t="shared" ref="F125:AL125" si="115">SUM(F119:F124)</f>
        <v>16492.333395313628</v>
      </c>
      <c r="G125" s="250">
        <f t="shared" si="115"/>
        <v>29668.506299729266</v>
      </c>
      <c r="H125" s="250">
        <f t="shared" si="115"/>
        <v>30261.876425723851</v>
      </c>
      <c r="I125" s="250">
        <f t="shared" si="115"/>
        <v>30867.113954238328</v>
      </c>
      <c r="J125" s="250">
        <f t="shared" si="115"/>
        <v>31484.485488962451</v>
      </c>
      <c r="K125" s="252">
        <f t="shared" si="115"/>
        <v>32114.175198741697</v>
      </c>
      <c r="L125" s="250">
        <f t="shared" si="115"/>
        <v>8880.4872128611842</v>
      </c>
      <c r="M125" s="250">
        <f t="shared" si="115"/>
        <v>15975.349546008063</v>
      </c>
      <c r="N125" s="250">
        <f t="shared" si="115"/>
        <v>16294.856536928226</v>
      </c>
      <c r="O125" s="250">
        <f t="shared" si="115"/>
        <v>16620.753667666788</v>
      </c>
      <c r="P125" s="250">
        <f t="shared" si="115"/>
        <v>16953.184494056703</v>
      </c>
      <c r="Q125" s="250">
        <f t="shared" si="115"/>
        <v>17292.248183937834</v>
      </c>
      <c r="R125" s="248">
        <f t="shared" si="115"/>
        <v>0</v>
      </c>
      <c r="S125" s="250">
        <f t="shared" si="115"/>
        <v>0</v>
      </c>
      <c r="T125" s="250">
        <f t="shared" si="115"/>
        <v>0</v>
      </c>
      <c r="U125" s="250">
        <f t="shared" si="115"/>
        <v>0</v>
      </c>
      <c r="V125" s="250">
        <f t="shared" si="115"/>
        <v>0</v>
      </c>
      <c r="W125" s="252">
        <f t="shared" si="115"/>
        <v>0</v>
      </c>
      <c r="X125" s="250">
        <f t="shared" si="115"/>
        <v>262905.37040416803</v>
      </c>
      <c r="Y125" s="248">
        <f t="shared" si="115"/>
        <v>32561.786447157676</v>
      </c>
      <c r="Z125" s="250">
        <f t="shared" si="115"/>
        <v>58576.28166869624</v>
      </c>
      <c r="AA125" s="250">
        <f t="shared" si="115"/>
        <v>59747.807302070163</v>
      </c>
      <c r="AB125" s="250">
        <f t="shared" si="115"/>
        <v>60942.763448111575</v>
      </c>
      <c r="AC125" s="250">
        <f t="shared" si="115"/>
        <v>62161.676478207904</v>
      </c>
      <c r="AD125" s="252">
        <f t="shared" si="115"/>
        <v>63404.910007772065</v>
      </c>
      <c r="AE125" s="250">
        <f t="shared" si="115"/>
        <v>26641.461638583551</v>
      </c>
      <c r="AF125" s="250">
        <f t="shared" si="115"/>
        <v>47926.0486380242</v>
      </c>
      <c r="AG125" s="250">
        <f t="shared" si="115"/>
        <v>48884.569610784674</v>
      </c>
      <c r="AH125" s="250">
        <f t="shared" si="115"/>
        <v>49862.261003000371</v>
      </c>
      <c r="AI125" s="250">
        <f t="shared" si="115"/>
        <v>50859.553482170108</v>
      </c>
      <c r="AJ125" s="250">
        <f t="shared" si="115"/>
        <v>51876.744551813506</v>
      </c>
      <c r="AK125" s="248">
        <f t="shared" si="115"/>
        <v>613445.86427639204</v>
      </c>
      <c r="AL125" s="244">
        <f t="shared" si="115"/>
        <v>876351.23468056007</v>
      </c>
    </row>
    <row r="126" spans="1:82" x14ac:dyDescent="0.3">
      <c r="A126" s="24"/>
      <c r="F126" s="199"/>
      <c r="G126" s="200"/>
      <c r="H126" s="200"/>
      <c r="I126" s="200"/>
      <c r="J126" s="200"/>
      <c r="K126" s="201"/>
      <c r="L126" s="190"/>
      <c r="M126" s="190"/>
      <c r="N126" s="190"/>
      <c r="O126" s="190"/>
      <c r="P126" s="190"/>
      <c r="Q126" s="190"/>
      <c r="R126" s="199"/>
      <c r="S126" s="200"/>
      <c r="T126" s="200"/>
      <c r="U126" s="200"/>
      <c r="V126" s="200"/>
      <c r="W126" s="201"/>
      <c r="X126" s="190"/>
      <c r="Y126" s="199"/>
      <c r="Z126" s="200"/>
      <c r="AA126" s="200"/>
      <c r="AB126" s="200"/>
      <c r="AC126" s="200"/>
      <c r="AD126" s="201"/>
      <c r="AE126" s="190"/>
      <c r="AF126" s="190"/>
      <c r="AG126" s="190"/>
      <c r="AH126" s="190"/>
      <c r="AI126" s="190"/>
      <c r="AJ126" s="190"/>
      <c r="AK126" s="199"/>
      <c r="AL126" s="206"/>
    </row>
    <row r="127" spans="1:82" x14ac:dyDescent="0.3">
      <c r="A127" s="128" t="s">
        <v>559</v>
      </c>
      <c r="F127" s="199"/>
      <c r="G127" s="200"/>
      <c r="H127" s="200"/>
      <c r="I127" s="200"/>
      <c r="J127" s="200"/>
      <c r="K127" s="201"/>
      <c r="L127" s="190"/>
      <c r="M127" s="190"/>
      <c r="N127" s="190"/>
      <c r="O127" s="190"/>
      <c r="P127" s="190"/>
      <c r="Q127" s="190"/>
      <c r="R127" s="199"/>
      <c r="S127" s="200"/>
      <c r="T127" s="200"/>
      <c r="U127" s="200"/>
      <c r="V127" s="200"/>
      <c r="W127" s="201"/>
      <c r="X127" s="190"/>
      <c r="Y127" s="199"/>
      <c r="Z127" s="200"/>
      <c r="AA127" s="200"/>
      <c r="AB127" s="200"/>
      <c r="AC127" s="200"/>
      <c r="AD127" s="201"/>
      <c r="AE127" s="190"/>
      <c r="AF127" s="190"/>
      <c r="AG127" s="190"/>
      <c r="AH127" s="190"/>
      <c r="AI127" s="190"/>
      <c r="AJ127" s="190"/>
      <c r="AK127" s="199"/>
      <c r="AL127" s="206"/>
    </row>
    <row r="128" spans="1:82" x14ac:dyDescent="0.3">
      <c r="A128" s="24" t="s">
        <v>487</v>
      </c>
      <c r="F128" s="199">
        <f>F37*$D37</f>
        <v>0</v>
      </c>
      <c r="G128" s="200">
        <f t="shared" ref="G128:K128" si="116">G37*$D37</f>
        <v>4564.1502808988771</v>
      </c>
      <c r="H128" s="200">
        <f t="shared" si="116"/>
        <v>4564.1502808988771</v>
      </c>
      <c r="I128" s="200">
        <f t="shared" si="116"/>
        <v>4564.1502808988771</v>
      </c>
      <c r="J128" s="200">
        <f t="shared" si="116"/>
        <v>4564.1502808988771</v>
      </c>
      <c r="K128" s="201">
        <f t="shared" si="116"/>
        <v>0</v>
      </c>
      <c r="L128" s="190">
        <f>L37*$D37</f>
        <v>0</v>
      </c>
      <c r="M128" s="190">
        <f t="shared" ref="M128:Q128" si="117">M37*$D37</f>
        <v>2457.6193820224721</v>
      </c>
      <c r="N128" s="190">
        <f t="shared" si="117"/>
        <v>2457.6193820224721</v>
      </c>
      <c r="O128" s="190">
        <f t="shared" si="117"/>
        <v>2457.6193820224721</v>
      </c>
      <c r="P128" s="190">
        <f t="shared" si="117"/>
        <v>2457.6193820224721</v>
      </c>
      <c r="Q128" s="190">
        <f t="shared" si="117"/>
        <v>0</v>
      </c>
      <c r="R128" s="199">
        <f t="shared" ref="R128" si="118">R37*$D37</f>
        <v>0</v>
      </c>
      <c r="S128" s="200">
        <f t="shared" ref="S128:W128" si="119">S37*$D37</f>
        <v>0</v>
      </c>
      <c r="T128" s="200">
        <f t="shared" si="119"/>
        <v>0</v>
      </c>
      <c r="U128" s="200">
        <f t="shared" si="119"/>
        <v>0</v>
      </c>
      <c r="V128" s="200">
        <f t="shared" si="119"/>
        <v>0</v>
      </c>
      <c r="W128" s="201">
        <f t="shared" si="119"/>
        <v>0</v>
      </c>
      <c r="X128" s="190">
        <f>SUM(F128:W128)</f>
        <v>28087.078651685399</v>
      </c>
      <c r="Y128" s="199">
        <f>Y37*$D37</f>
        <v>0</v>
      </c>
      <c r="Z128" s="200">
        <f t="shared" ref="Z128:AD128" si="120">Z37*$D37</f>
        <v>9011.2710674157297</v>
      </c>
      <c r="AA128" s="200">
        <f t="shared" si="120"/>
        <v>9011.2710674157297</v>
      </c>
      <c r="AB128" s="200">
        <f t="shared" si="120"/>
        <v>9011.2710674157297</v>
      </c>
      <c r="AC128" s="200">
        <f t="shared" si="120"/>
        <v>9011.2710674157297</v>
      </c>
      <c r="AD128" s="201">
        <f t="shared" si="120"/>
        <v>0</v>
      </c>
      <c r="AE128" s="190">
        <f>AE37*$D37</f>
        <v>0</v>
      </c>
      <c r="AF128" s="190">
        <f t="shared" ref="AF128:AJ128" si="121">AF37*$D37</f>
        <v>7372.8581460674159</v>
      </c>
      <c r="AG128" s="190">
        <f t="shared" si="121"/>
        <v>7372.8581460674159</v>
      </c>
      <c r="AH128" s="190">
        <f t="shared" si="121"/>
        <v>7372.8581460674159</v>
      </c>
      <c r="AI128" s="190">
        <f t="shared" si="121"/>
        <v>7372.8581460674159</v>
      </c>
      <c r="AJ128" s="190">
        <f t="shared" si="121"/>
        <v>0</v>
      </c>
      <c r="AK128" s="199">
        <f>SUM(Y128:AJ128)</f>
        <v>65536.516853932582</v>
      </c>
      <c r="AL128" s="206">
        <f>X128+AK128</f>
        <v>93623.595505617981</v>
      </c>
    </row>
    <row r="129" spans="1:38" x14ac:dyDescent="0.3">
      <c r="A129" s="24" t="s">
        <v>523</v>
      </c>
      <c r="F129" s="199">
        <f>F36*$D36</f>
        <v>0</v>
      </c>
      <c r="G129" s="200">
        <f t="shared" ref="G129:K129" si="122">G36*$D36</f>
        <v>13693.820224719098</v>
      </c>
      <c r="H129" s="200">
        <f t="shared" si="122"/>
        <v>13693.820224719098</v>
      </c>
      <c r="I129" s="200">
        <f t="shared" si="122"/>
        <v>13693.820224719098</v>
      </c>
      <c r="J129" s="200">
        <f t="shared" si="122"/>
        <v>13693.820224719098</v>
      </c>
      <c r="K129" s="201">
        <f t="shared" si="122"/>
        <v>0</v>
      </c>
      <c r="L129" s="190">
        <f>L36*$D36</f>
        <v>0</v>
      </c>
      <c r="M129" s="190">
        <f t="shared" ref="M129:Q129" si="123">M36*$D36</f>
        <v>7373.5955056179764</v>
      </c>
      <c r="N129" s="190">
        <f t="shared" si="123"/>
        <v>7373.5955056179764</v>
      </c>
      <c r="O129" s="190">
        <f t="shared" si="123"/>
        <v>7373.5955056179764</v>
      </c>
      <c r="P129" s="190">
        <f t="shared" si="123"/>
        <v>7373.5955056179764</v>
      </c>
      <c r="Q129" s="190">
        <f t="shared" si="123"/>
        <v>0</v>
      </c>
      <c r="R129" s="199">
        <f t="shared" ref="R129" si="124">R36*$D36</f>
        <v>0</v>
      </c>
      <c r="S129" s="200">
        <f t="shared" ref="S129:W129" si="125">S36*$D36</f>
        <v>0</v>
      </c>
      <c r="T129" s="200">
        <f t="shared" si="125"/>
        <v>0</v>
      </c>
      <c r="U129" s="200">
        <f t="shared" si="125"/>
        <v>0</v>
      </c>
      <c r="V129" s="200">
        <f t="shared" si="125"/>
        <v>0</v>
      </c>
      <c r="W129" s="201">
        <f t="shared" si="125"/>
        <v>0</v>
      </c>
      <c r="X129" s="190">
        <f>SUM(F129:W129)</f>
        <v>84269.66292134831</v>
      </c>
      <c r="Y129" s="199">
        <f>Y36*$D36</f>
        <v>0</v>
      </c>
      <c r="Z129" s="200">
        <f t="shared" ref="Z129:AD129" si="126">Z36*$D36</f>
        <v>27036.516853932582</v>
      </c>
      <c r="AA129" s="200">
        <f t="shared" si="126"/>
        <v>27036.516853932582</v>
      </c>
      <c r="AB129" s="200">
        <f t="shared" si="126"/>
        <v>27036.516853932582</v>
      </c>
      <c r="AC129" s="200">
        <f t="shared" si="126"/>
        <v>27036.516853932582</v>
      </c>
      <c r="AD129" s="201">
        <f t="shared" si="126"/>
        <v>0</v>
      </c>
      <c r="AE129" s="190">
        <f>AE36*$D36</f>
        <v>0</v>
      </c>
      <c r="AF129" s="190">
        <f t="shared" ref="AF129:AJ129" si="127">AF36*$D36</f>
        <v>22120.786516853932</v>
      </c>
      <c r="AG129" s="190">
        <f t="shared" si="127"/>
        <v>22120.786516853932</v>
      </c>
      <c r="AH129" s="190">
        <f t="shared" si="127"/>
        <v>22120.786516853932</v>
      </c>
      <c r="AI129" s="190">
        <f t="shared" si="127"/>
        <v>22120.786516853932</v>
      </c>
      <c r="AJ129" s="190">
        <f t="shared" si="127"/>
        <v>0</v>
      </c>
      <c r="AK129" s="199">
        <f>SUM(Y129:AJ129)</f>
        <v>196629.21348314604</v>
      </c>
      <c r="AL129" s="206">
        <f>X129+AK129</f>
        <v>280898.87640449434</v>
      </c>
    </row>
    <row r="130" spans="1:38" x14ac:dyDescent="0.3">
      <c r="A130" s="182" t="s">
        <v>649</v>
      </c>
      <c r="B130" s="215"/>
      <c r="C130" s="215"/>
      <c r="D130" s="269"/>
      <c r="E130" s="215"/>
      <c r="F130" s="248">
        <f>SUM(F128:F129)</f>
        <v>0</v>
      </c>
      <c r="G130" s="250">
        <f t="shared" ref="G130:AL130" si="128">SUM(G128:G129)</f>
        <v>18257.970505617974</v>
      </c>
      <c r="H130" s="250">
        <f t="shared" si="128"/>
        <v>18257.970505617974</v>
      </c>
      <c r="I130" s="250">
        <f t="shared" si="128"/>
        <v>18257.970505617974</v>
      </c>
      <c r="J130" s="250">
        <f t="shared" si="128"/>
        <v>18257.970505617974</v>
      </c>
      <c r="K130" s="252">
        <f t="shared" si="128"/>
        <v>0</v>
      </c>
      <c r="L130" s="250">
        <f t="shared" si="128"/>
        <v>0</v>
      </c>
      <c r="M130" s="250">
        <f t="shared" si="128"/>
        <v>9831.2148876404481</v>
      </c>
      <c r="N130" s="250">
        <f t="shared" si="128"/>
        <v>9831.2148876404481</v>
      </c>
      <c r="O130" s="250">
        <f t="shared" si="128"/>
        <v>9831.2148876404481</v>
      </c>
      <c r="P130" s="250">
        <f t="shared" si="128"/>
        <v>9831.2148876404481</v>
      </c>
      <c r="Q130" s="250">
        <f t="shared" si="128"/>
        <v>0</v>
      </c>
      <c r="R130" s="248">
        <f t="shared" si="128"/>
        <v>0</v>
      </c>
      <c r="S130" s="250">
        <f t="shared" si="128"/>
        <v>0</v>
      </c>
      <c r="T130" s="250">
        <f t="shared" si="128"/>
        <v>0</v>
      </c>
      <c r="U130" s="250">
        <f t="shared" si="128"/>
        <v>0</v>
      </c>
      <c r="V130" s="250">
        <f t="shared" si="128"/>
        <v>0</v>
      </c>
      <c r="W130" s="252">
        <f t="shared" si="128"/>
        <v>0</v>
      </c>
      <c r="X130" s="250">
        <f t="shared" si="128"/>
        <v>112356.74157303371</v>
      </c>
      <c r="Y130" s="248">
        <f t="shared" si="128"/>
        <v>0</v>
      </c>
      <c r="Z130" s="250">
        <f t="shared" si="128"/>
        <v>36047.78792134831</v>
      </c>
      <c r="AA130" s="250">
        <f t="shared" si="128"/>
        <v>36047.78792134831</v>
      </c>
      <c r="AB130" s="250">
        <f t="shared" si="128"/>
        <v>36047.78792134831</v>
      </c>
      <c r="AC130" s="250">
        <f t="shared" si="128"/>
        <v>36047.78792134831</v>
      </c>
      <c r="AD130" s="252">
        <f t="shared" si="128"/>
        <v>0</v>
      </c>
      <c r="AE130" s="250">
        <f t="shared" si="128"/>
        <v>0</v>
      </c>
      <c r="AF130" s="250">
        <f t="shared" si="128"/>
        <v>29493.644662921346</v>
      </c>
      <c r="AG130" s="250">
        <f t="shared" si="128"/>
        <v>29493.644662921346</v>
      </c>
      <c r="AH130" s="250">
        <f t="shared" si="128"/>
        <v>29493.644662921346</v>
      </c>
      <c r="AI130" s="250">
        <f t="shared" si="128"/>
        <v>29493.644662921346</v>
      </c>
      <c r="AJ130" s="250">
        <f t="shared" si="128"/>
        <v>0</v>
      </c>
      <c r="AK130" s="248">
        <f t="shared" si="128"/>
        <v>262165.73033707862</v>
      </c>
      <c r="AL130" s="244">
        <f t="shared" si="128"/>
        <v>374522.4719101123</v>
      </c>
    </row>
    <row r="131" spans="1:38" x14ac:dyDescent="0.3">
      <c r="A131" s="24"/>
      <c r="F131" s="199"/>
      <c r="G131" s="200"/>
      <c r="H131" s="200"/>
      <c r="I131" s="200"/>
      <c r="J131" s="200"/>
      <c r="K131" s="201"/>
      <c r="L131" s="190"/>
      <c r="M131" s="190"/>
      <c r="N131" s="190"/>
      <c r="O131" s="190"/>
      <c r="P131" s="190"/>
      <c r="Q131" s="190"/>
      <c r="R131" s="199"/>
      <c r="S131" s="200"/>
      <c r="T131" s="200"/>
      <c r="U131" s="200"/>
      <c r="V131" s="200"/>
      <c r="W131" s="201"/>
      <c r="X131" s="190"/>
      <c r="Y131" s="199"/>
      <c r="Z131" s="200"/>
      <c r="AA131" s="200"/>
      <c r="AB131" s="200"/>
      <c r="AC131" s="200"/>
      <c r="AD131" s="201"/>
      <c r="AE131" s="190"/>
      <c r="AF131" s="190"/>
      <c r="AG131" s="190"/>
      <c r="AH131" s="190"/>
      <c r="AI131" s="190"/>
      <c r="AJ131" s="190"/>
      <c r="AK131" s="199"/>
      <c r="AL131" s="206"/>
    </row>
    <row r="132" spans="1:38" x14ac:dyDescent="0.3">
      <c r="A132" s="182" t="s">
        <v>546</v>
      </c>
      <c r="B132" s="215"/>
      <c r="C132" s="215"/>
      <c r="D132" s="232"/>
      <c r="E132" s="215"/>
      <c r="F132" s="248">
        <f>F125+F130</f>
        <v>16492.333395313628</v>
      </c>
      <c r="G132" s="250">
        <f t="shared" ref="G132:AL132" si="129">G125+G130</f>
        <v>47926.476805347236</v>
      </c>
      <c r="H132" s="250">
        <f t="shared" si="129"/>
        <v>48519.846931341825</v>
      </c>
      <c r="I132" s="250">
        <f t="shared" si="129"/>
        <v>49125.084459856298</v>
      </c>
      <c r="J132" s="250">
        <f t="shared" si="129"/>
        <v>49742.455994580421</v>
      </c>
      <c r="K132" s="252">
        <f t="shared" si="129"/>
        <v>32114.175198741697</v>
      </c>
      <c r="L132" s="250">
        <f t="shared" si="129"/>
        <v>8880.4872128611842</v>
      </c>
      <c r="M132" s="250">
        <f t="shared" si="129"/>
        <v>25806.564433648513</v>
      </c>
      <c r="N132" s="250">
        <f t="shared" si="129"/>
        <v>26126.071424568676</v>
      </c>
      <c r="O132" s="250">
        <f t="shared" si="129"/>
        <v>26451.968555307234</v>
      </c>
      <c r="P132" s="250">
        <f t="shared" si="129"/>
        <v>26784.399381697149</v>
      </c>
      <c r="Q132" s="250">
        <f t="shared" si="129"/>
        <v>17292.248183937834</v>
      </c>
      <c r="R132" s="248">
        <f t="shared" si="129"/>
        <v>0</v>
      </c>
      <c r="S132" s="250">
        <f t="shared" si="129"/>
        <v>0</v>
      </c>
      <c r="T132" s="250">
        <f t="shared" si="129"/>
        <v>0</v>
      </c>
      <c r="U132" s="250">
        <f t="shared" si="129"/>
        <v>0</v>
      </c>
      <c r="V132" s="250">
        <f t="shared" si="129"/>
        <v>0</v>
      </c>
      <c r="W132" s="252">
        <f t="shared" si="129"/>
        <v>0</v>
      </c>
      <c r="X132" s="250">
        <f t="shared" si="129"/>
        <v>375262.11197720177</v>
      </c>
      <c r="Y132" s="248">
        <f t="shared" si="129"/>
        <v>32561.786447157676</v>
      </c>
      <c r="Z132" s="250">
        <f t="shared" si="129"/>
        <v>94624.069590044557</v>
      </c>
      <c r="AA132" s="250">
        <f t="shared" si="129"/>
        <v>95795.595223418466</v>
      </c>
      <c r="AB132" s="250">
        <f t="shared" si="129"/>
        <v>96990.551369459892</v>
      </c>
      <c r="AC132" s="250">
        <f t="shared" si="129"/>
        <v>98209.464399556222</v>
      </c>
      <c r="AD132" s="252">
        <f t="shared" si="129"/>
        <v>63404.910007772065</v>
      </c>
      <c r="AE132" s="250">
        <f t="shared" si="129"/>
        <v>26641.461638583551</v>
      </c>
      <c r="AF132" s="250">
        <f t="shared" si="129"/>
        <v>77419.693300945539</v>
      </c>
      <c r="AG132" s="250">
        <f t="shared" si="129"/>
        <v>78378.21427370602</v>
      </c>
      <c r="AH132" s="250">
        <f t="shared" si="129"/>
        <v>79355.905665921717</v>
      </c>
      <c r="AI132" s="250">
        <f t="shared" si="129"/>
        <v>80353.198145091446</v>
      </c>
      <c r="AJ132" s="250">
        <f t="shared" si="129"/>
        <v>51876.744551813506</v>
      </c>
      <c r="AK132" s="248">
        <f t="shared" si="129"/>
        <v>875611.5946134706</v>
      </c>
      <c r="AL132" s="244">
        <f t="shared" si="129"/>
        <v>1250873.7065906725</v>
      </c>
    </row>
    <row r="133" spans="1:38" x14ac:dyDescent="0.3">
      <c r="A133" s="128" t="s">
        <v>547</v>
      </c>
      <c r="F133" s="212"/>
      <c r="G133" s="213"/>
      <c r="H133" s="213"/>
      <c r="I133" s="213"/>
      <c r="J133" s="213"/>
      <c r="K133" s="214"/>
      <c r="L133" s="194"/>
      <c r="M133" s="194"/>
      <c r="N133" s="194"/>
      <c r="O133" s="194"/>
      <c r="P133" s="194"/>
      <c r="Q133" s="194"/>
      <c r="R133" s="212"/>
      <c r="S133" s="213"/>
      <c r="T133" s="213"/>
      <c r="U133" s="213"/>
      <c r="V133" s="213"/>
      <c r="W133" s="214"/>
      <c r="X133" s="194"/>
      <c r="Y133" s="212"/>
      <c r="Z133" s="213"/>
      <c r="AA133" s="213"/>
      <c r="AB133" s="213"/>
      <c r="AC133" s="213"/>
      <c r="AD133" s="214"/>
      <c r="AE133" s="194"/>
      <c r="AF133" s="194"/>
      <c r="AG133" s="194"/>
      <c r="AH133" s="194"/>
      <c r="AI133" s="194"/>
      <c r="AJ133" s="194"/>
      <c r="AK133" s="212"/>
      <c r="AL133" s="206"/>
    </row>
    <row r="134" spans="1:38" ht="14.55" thickBot="1" x14ac:dyDescent="0.35">
      <c r="A134" s="198" t="s">
        <v>548</v>
      </c>
      <c r="B134" s="195"/>
      <c r="C134" s="195"/>
      <c r="D134" s="196"/>
      <c r="E134" s="195"/>
      <c r="F134" s="204">
        <f t="shared" ref="F134:AL134" si="130">SUM(F132:F133)</f>
        <v>16492.333395313628</v>
      </c>
      <c r="G134" s="197">
        <f t="shared" si="130"/>
        <v>47926.476805347236</v>
      </c>
      <c r="H134" s="197">
        <f t="shared" si="130"/>
        <v>48519.846931341825</v>
      </c>
      <c r="I134" s="197">
        <f t="shared" si="130"/>
        <v>49125.084459856298</v>
      </c>
      <c r="J134" s="197">
        <f t="shared" si="130"/>
        <v>49742.455994580421</v>
      </c>
      <c r="K134" s="205">
        <f t="shared" si="130"/>
        <v>32114.175198741697</v>
      </c>
      <c r="L134" s="197">
        <f t="shared" si="130"/>
        <v>8880.4872128611842</v>
      </c>
      <c r="M134" s="197">
        <f t="shared" si="130"/>
        <v>25806.564433648513</v>
      </c>
      <c r="N134" s="197">
        <f t="shared" si="130"/>
        <v>26126.071424568676</v>
      </c>
      <c r="O134" s="197">
        <f t="shared" si="130"/>
        <v>26451.968555307234</v>
      </c>
      <c r="P134" s="197">
        <f t="shared" si="130"/>
        <v>26784.399381697149</v>
      </c>
      <c r="Q134" s="197">
        <f t="shared" si="130"/>
        <v>17292.248183937834</v>
      </c>
      <c r="R134" s="204">
        <f t="shared" si="130"/>
        <v>0</v>
      </c>
      <c r="S134" s="197">
        <f t="shared" si="130"/>
        <v>0</v>
      </c>
      <c r="T134" s="197">
        <f t="shared" si="130"/>
        <v>0</v>
      </c>
      <c r="U134" s="197">
        <f t="shared" si="130"/>
        <v>0</v>
      </c>
      <c r="V134" s="197">
        <f t="shared" si="130"/>
        <v>0</v>
      </c>
      <c r="W134" s="205">
        <f t="shared" si="130"/>
        <v>0</v>
      </c>
      <c r="X134" s="197">
        <f t="shared" si="130"/>
        <v>375262.11197720177</v>
      </c>
      <c r="Y134" s="204">
        <f t="shared" si="130"/>
        <v>32561.786447157676</v>
      </c>
      <c r="Z134" s="197">
        <f t="shared" si="130"/>
        <v>94624.069590044557</v>
      </c>
      <c r="AA134" s="197">
        <f t="shared" si="130"/>
        <v>95795.595223418466</v>
      </c>
      <c r="AB134" s="197">
        <f t="shared" si="130"/>
        <v>96990.551369459892</v>
      </c>
      <c r="AC134" s="197">
        <f t="shared" si="130"/>
        <v>98209.464399556222</v>
      </c>
      <c r="AD134" s="205">
        <f t="shared" si="130"/>
        <v>63404.910007772065</v>
      </c>
      <c r="AE134" s="197">
        <f t="shared" si="130"/>
        <v>26641.461638583551</v>
      </c>
      <c r="AF134" s="197">
        <f t="shared" si="130"/>
        <v>77419.693300945539</v>
      </c>
      <c r="AG134" s="197">
        <f t="shared" si="130"/>
        <v>78378.21427370602</v>
      </c>
      <c r="AH134" s="197">
        <f t="shared" si="130"/>
        <v>79355.905665921717</v>
      </c>
      <c r="AI134" s="197">
        <f t="shared" si="130"/>
        <v>80353.198145091446</v>
      </c>
      <c r="AJ134" s="197">
        <f t="shared" si="130"/>
        <v>51876.744551813506</v>
      </c>
      <c r="AK134" s="204">
        <f t="shared" si="130"/>
        <v>875611.5946134706</v>
      </c>
      <c r="AL134" s="208">
        <f t="shared" si="130"/>
        <v>1250873.7065906725</v>
      </c>
    </row>
    <row r="135" spans="1:38" x14ac:dyDescent="0.3">
      <c r="F135" s="191"/>
      <c r="G135" s="191"/>
      <c r="H135" s="191"/>
      <c r="I135" s="191"/>
      <c r="J135" s="191"/>
      <c r="K135" s="191"/>
    </row>
    <row r="136" spans="1:38" x14ac:dyDescent="0.3">
      <c r="F136" s="191"/>
      <c r="G136" s="191"/>
      <c r="H136" s="191"/>
      <c r="I136" s="191"/>
      <c r="J136" s="191"/>
      <c r="K136" s="191"/>
    </row>
    <row r="137" spans="1:38" x14ac:dyDescent="0.3">
      <c r="A137" s="24"/>
      <c r="F137" s="345" t="s">
        <v>848</v>
      </c>
      <c r="G137" s="345"/>
      <c r="H137" s="345"/>
      <c r="I137" s="345"/>
      <c r="J137" s="345"/>
      <c r="K137" s="345"/>
      <c r="L137" s="118" t="s">
        <v>368</v>
      </c>
    </row>
    <row r="138" spans="1:38" x14ac:dyDescent="0.3">
      <c r="A138" s="24"/>
      <c r="F138" s="122" t="s">
        <v>379</v>
      </c>
      <c r="G138" s="69" t="s">
        <v>380</v>
      </c>
      <c r="H138" s="69" t="s">
        <v>381</v>
      </c>
      <c r="I138" s="69" t="s">
        <v>382</v>
      </c>
      <c r="J138" s="69" t="s">
        <v>383</v>
      </c>
      <c r="K138" s="69" t="s">
        <v>457</v>
      </c>
      <c r="L138" s="132"/>
    </row>
    <row r="139" spans="1:38" x14ac:dyDescent="0.3">
      <c r="A139" s="128" t="s">
        <v>560</v>
      </c>
      <c r="F139" s="130"/>
      <c r="L139" s="132"/>
    </row>
    <row r="140" spans="1:38" x14ac:dyDescent="0.3">
      <c r="A140" s="24" t="s">
        <v>528</v>
      </c>
      <c r="F140" s="199">
        <f>F51*$D51</f>
        <v>2180.305486964945</v>
      </c>
      <c r="G140" s="190">
        <f>G51*($D51*1.02)</f>
        <v>2965.2154622723251</v>
      </c>
      <c r="H140" s="190">
        <f>H51*($D51*1.04)</f>
        <v>3024.5197715177719</v>
      </c>
      <c r="I140" s="190">
        <f>I51*($D51*1.06)</f>
        <v>3085.0101669481269</v>
      </c>
      <c r="J140" s="190">
        <f>J51*($D51*1.08)</f>
        <v>3146.7103702870895</v>
      </c>
      <c r="K140" s="201">
        <f>K51*($D51*1.1)</f>
        <v>3209.6445776928317</v>
      </c>
      <c r="L140" s="211">
        <f>SUM(F140:K140)</f>
        <v>17611.40583568309</v>
      </c>
    </row>
    <row r="141" spans="1:38" x14ac:dyDescent="0.3">
      <c r="A141" s="24" t="s">
        <v>527</v>
      </c>
      <c r="F141" s="199">
        <f>F50*$D50</f>
        <v>56179.775280898859</v>
      </c>
      <c r="G141" s="190">
        <f>G50*($D50*1.02)</f>
        <v>114606.74157303369</v>
      </c>
      <c r="H141" s="190">
        <f>H50*($D50*1.04)</f>
        <v>116898.87640449434</v>
      </c>
      <c r="I141" s="190">
        <f>I50*($D50*1.06)</f>
        <v>119236.85393258424</v>
      </c>
      <c r="J141" s="190">
        <f>J50*($D50*1.08)</f>
        <v>121621.59101123591</v>
      </c>
      <c r="K141" s="201">
        <f>K50*($D50*1.1)</f>
        <v>124054.02283146065</v>
      </c>
      <c r="L141" s="211">
        <f>SUM(F141:K141)</f>
        <v>652597.86103370774</v>
      </c>
    </row>
    <row r="142" spans="1:38" x14ac:dyDescent="0.3">
      <c r="A142" s="24"/>
      <c r="F142" s="199"/>
      <c r="G142" s="190"/>
      <c r="H142" s="190"/>
      <c r="I142" s="190"/>
      <c r="J142" s="190"/>
      <c r="K142" s="200"/>
      <c r="L142" s="211"/>
    </row>
    <row r="143" spans="1:38" ht="14.55" thickBot="1" x14ac:dyDescent="0.35">
      <c r="A143" s="198" t="s">
        <v>548</v>
      </c>
      <c r="B143" s="195"/>
      <c r="C143" s="195"/>
      <c r="D143" s="196"/>
      <c r="E143" s="195"/>
      <c r="F143" s="204">
        <f t="shared" ref="F143:L143" si="131">SUM(F140:F142)</f>
        <v>58360.080767863801</v>
      </c>
      <c r="G143" s="197">
        <f t="shared" si="131"/>
        <v>117571.95703530603</v>
      </c>
      <c r="H143" s="197">
        <f t="shared" si="131"/>
        <v>119923.39617601212</v>
      </c>
      <c r="I143" s="197">
        <f t="shared" si="131"/>
        <v>122321.86409953237</v>
      </c>
      <c r="J143" s="197">
        <f t="shared" si="131"/>
        <v>124768.30138152301</v>
      </c>
      <c r="K143" s="197">
        <f t="shared" si="131"/>
        <v>127263.66740915348</v>
      </c>
      <c r="L143" s="208">
        <f t="shared" si="131"/>
        <v>670209.26686939085</v>
      </c>
    </row>
    <row r="144" spans="1:38" x14ac:dyDescent="0.3">
      <c r="A144" s="24"/>
      <c r="E144" s="3"/>
      <c r="F144" s="3"/>
      <c r="G144" s="3"/>
      <c r="H144" s="3"/>
      <c r="I144" s="3"/>
      <c r="J144" s="3"/>
      <c r="K144" s="3"/>
      <c r="L144" s="3"/>
      <c r="M144" s="3"/>
    </row>
    <row r="145" spans="1:14" x14ac:dyDescent="0.3">
      <c r="A145" s="24"/>
      <c r="F145" s="200"/>
      <c r="G145" s="190"/>
      <c r="H145" s="190"/>
      <c r="I145" s="190"/>
      <c r="J145" s="190"/>
      <c r="K145" s="200"/>
    </row>
    <row r="146" spans="1:14" x14ac:dyDescent="0.3">
      <c r="A146" s="24"/>
      <c r="F146" s="200"/>
      <c r="G146" s="190"/>
      <c r="H146" s="190"/>
      <c r="I146" s="190"/>
      <c r="J146" s="190"/>
      <c r="K146" s="200"/>
    </row>
    <row r="147" spans="1:14" x14ac:dyDescent="0.3">
      <c r="A147" s="24"/>
      <c r="F147" s="200"/>
      <c r="G147" s="190"/>
      <c r="H147" s="190"/>
      <c r="I147" s="190"/>
      <c r="J147" s="190"/>
      <c r="K147" s="200"/>
    </row>
    <row r="148" spans="1:14" x14ac:dyDescent="0.3">
      <c r="F148" s="345" t="s">
        <v>350</v>
      </c>
      <c r="G148" s="345"/>
      <c r="H148" s="345"/>
      <c r="I148" s="345"/>
      <c r="J148" s="345"/>
      <c r="K148" s="345"/>
      <c r="L148" s="318" t="s">
        <v>368</v>
      </c>
    </row>
    <row r="149" spans="1:14" x14ac:dyDescent="0.3">
      <c r="A149" s="128" t="s">
        <v>530</v>
      </c>
      <c r="F149" s="69" t="s">
        <v>379</v>
      </c>
      <c r="G149" s="69" t="s">
        <v>380</v>
      </c>
      <c r="H149" s="69" t="s">
        <v>381</v>
      </c>
      <c r="I149" s="69" t="s">
        <v>382</v>
      </c>
      <c r="J149" s="69" t="s">
        <v>383</v>
      </c>
      <c r="K149" s="69" t="s">
        <v>457</v>
      </c>
    </row>
    <row r="150" spans="1:14" x14ac:dyDescent="0.3">
      <c r="A150" s="130" t="s">
        <v>531</v>
      </c>
      <c r="F150" s="190">
        <f t="shared" ref="F150:F155" si="132">F57*$D57</f>
        <v>35669.69859104693</v>
      </c>
      <c r="G150" s="190">
        <f t="shared" ref="G150:G155" si="133">G57*($D57*1.02)</f>
        <v>36383.092562867874</v>
      </c>
      <c r="H150" s="190">
        <f t="shared" ref="H150:H155" si="134">H57*($D57*1.04)</f>
        <v>0</v>
      </c>
      <c r="I150" s="190">
        <f t="shared" ref="I150:I155" si="135">I57*($D57*1.06)</f>
        <v>0</v>
      </c>
      <c r="J150" s="190">
        <f t="shared" ref="J150:J155" si="136">J57*($D57*1.08)</f>
        <v>0</v>
      </c>
      <c r="K150" s="190">
        <f t="shared" ref="K150:K155" si="137">K57*($D57*1.1)</f>
        <v>0</v>
      </c>
      <c r="L150" s="191">
        <f t="shared" ref="L150:L155" si="138">SUM(F150:K150)</f>
        <v>72052.791153914804</v>
      </c>
    </row>
    <row r="151" spans="1:14" x14ac:dyDescent="0.3">
      <c r="A151" s="130" t="s">
        <v>489</v>
      </c>
      <c r="F151" s="190">
        <f t="shared" si="132"/>
        <v>6976.9775582878237</v>
      </c>
      <c r="G151" s="190">
        <f t="shared" si="133"/>
        <v>9488.6894792714411</v>
      </c>
      <c r="H151" s="190">
        <f t="shared" si="134"/>
        <v>9678.4632688568727</v>
      </c>
      <c r="I151" s="190">
        <f t="shared" si="135"/>
        <v>9872.0325342340057</v>
      </c>
      <c r="J151" s="190">
        <f t="shared" si="136"/>
        <v>10069.473184918686</v>
      </c>
      <c r="K151" s="190">
        <f t="shared" si="137"/>
        <v>10270.862648617061</v>
      </c>
      <c r="L151" s="191">
        <f t="shared" si="138"/>
        <v>56356.498674185896</v>
      </c>
    </row>
    <row r="152" spans="1:14" x14ac:dyDescent="0.3">
      <c r="A152" s="130" t="s">
        <v>532</v>
      </c>
      <c r="F152" s="190">
        <f t="shared" si="132"/>
        <v>46197.833065810592</v>
      </c>
      <c r="G152" s="190">
        <f t="shared" si="133"/>
        <v>62829.052969502409</v>
      </c>
      <c r="H152" s="190">
        <f t="shared" si="134"/>
        <v>64085.634028892455</v>
      </c>
      <c r="I152" s="190">
        <f t="shared" si="135"/>
        <v>65367.346709470301</v>
      </c>
      <c r="J152" s="190">
        <f t="shared" si="136"/>
        <v>66674.693643659703</v>
      </c>
      <c r="K152" s="190">
        <f t="shared" si="137"/>
        <v>68008.187516532897</v>
      </c>
      <c r="L152" s="191">
        <f t="shared" si="138"/>
        <v>373162.74793386838</v>
      </c>
    </row>
    <row r="153" spans="1:14" x14ac:dyDescent="0.3">
      <c r="A153" s="130" t="s">
        <v>533</v>
      </c>
      <c r="F153" s="190">
        <f t="shared" si="132"/>
        <v>46197.833065810592</v>
      </c>
      <c r="G153" s="190">
        <f t="shared" si="133"/>
        <v>62829.052969502409</v>
      </c>
      <c r="H153" s="190">
        <f t="shared" si="134"/>
        <v>64085.634028892455</v>
      </c>
      <c r="I153" s="190">
        <f t="shared" si="135"/>
        <v>65367.346709470301</v>
      </c>
      <c r="J153" s="190">
        <f t="shared" si="136"/>
        <v>66674.693643659703</v>
      </c>
      <c r="K153" s="190">
        <f t="shared" si="137"/>
        <v>68008.187516532897</v>
      </c>
      <c r="L153" s="191">
        <f t="shared" si="138"/>
        <v>373162.74793386838</v>
      </c>
    </row>
    <row r="154" spans="1:14" x14ac:dyDescent="0.3">
      <c r="A154" s="130" t="s">
        <v>534</v>
      </c>
      <c r="F154" s="190">
        <f t="shared" si="132"/>
        <v>11637.239165329052</v>
      </c>
      <c r="G154" s="190">
        <f t="shared" si="133"/>
        <v>15826.645264847511</v>
      </c>
      <c r="H154" s="190">
        <f t="shared" si="134"/>
        <v>16143.178170144462</v>
      </c>
      <c r="I154" s="190">
        <f t="shared" si="135"/>
        <v>16466.04173354735</v>
      </c>
      <c r="J154" s="190">
        <f t="shared" si="136"/>
        <v>16795.362568218301</v>
      </c>
      <c r="K154" s="190">
        <f t="shared" si="137"/>
        <v>17131.269819582667</v>
      </c>
      <c r="L154" s="191">
        <f t="shared" si="138"/>
        <v>93999.736721669353</v>
      </c>
    </row>
    <row r="155" spans="1:14" x14ac:dyDescent="0.3">
      <c r="A155" s="130" t="s">
        <v>535</v>
      </c>
      <c r="F155" s="190">
        <f t="shared" si="132"/>
        <v>6489.0650080256819</v>
      </c>
      <c r="G155" s="190">
        <f t="shared" si="133"/>
        <v>8825.1284109149274</v>
      </c>
      <c r="H155" s="190">
        <f t="shared" si="134"/>
        <v>9001.630979133226</v>
      </c>
      <c r="I155" s="190">
        <f t="shared" si="135"/>
        <v>9181.6635987158897</v>
      </c>
      <c r="J155" s="190">
        <f t="shared" si="136"/>
        <v>9365.2968706902102</v>
      </c>
      <c r="K155" s="190">
        <f t="shared" si="137"/>
        <v>9552.6028081040131</v>
      </c>
      <c r="L155" s="191">
        <f t="shared" si="138"/>
        <v>52415.387675583945</v>
      </c>
    </row>
    <row r="156" spans="1:14" x14ac:dyDescent="0.3">
      <c r="F156" s="190"/>
      <c r="G156" s="190"/>
      <c r="H156" s="190"/>
      <c r="I156" s="190"/>
      <c r="J156" s="190"/>
      <c r="K156" s="190"/>
      <c r="L156" s="191"/>
    </row>
    <row r="157" spans="1:14" ht="14.55" thickBot="1" x14ac:dyDescent="0.35">
      <c r="A157" s="198" t="s">
        <v>561</v>
      </c>
      <c r="B157" s="198"/>
      <c r="C157" s="198"/>
      <c r="D157" s="99"/>
      <c r="E157" s="198"/>
      <c r="F157" s="197">
        <f t="shared" ref="F157:L157" si="139">SUM(F150:F155)</f>
        <v>153168.64645431066</v>
      </c>
      <c r="G157" s="197">
        <f t="shared" si="139"/>
        <v>196181.6616569066</v>
      </c>
      <c r="H157" s="197">
        <f t="shared" si="139"/>
        <v>162994.54047591946</v>
      </c>
      <c r="I157" s="197">
        <f t="shared" si="139"/>
        <v>166254.43128543784</v>
      </c>
      <c r="J157" s="197">
        <f t="shared" si="139"/>
        <v>169579.51991114661</v>
      </c>
      <c r="K157" s="197">
        <f t="shared" si="139"/>
        <v>172971.11030936954</v>
      </c>
      <c r="L157" s="197">
        <f t="shared" si="139"/>
        <v>1021149.9100930907</v>
      </c>
      <c r="N157" s="191"/>
    </row>
    <row r="160" spans="1:14" x14ac:dyDescent="0.3">
      <c r="A160" s="31" t="s">
        <v>651</v>
      </c>
      <c r="H160" s="31"/>
    </row>
    <row r="161" spans="1:12" ht="27.95" x14ac:dyDescent="0.3">
      <c r="B161" s="128" t="s">
        <v>562</v>
      </c>
      <c r="C161" s="128" t="s">
        <v>563</v>
      </c>
    </row>
    <row r="162" spans="1:12" x14ac:dyDescent="0.3">
      <c r="A162" s="313" t="s">
        <v>482</v>
      </c>
      <c r="B162" s="68">
        <f>AY75</f>
        <v>590570.84961797751</v>
      </c>
      <c r="C162">
        <v>1</v>
      </c>
    </row>
    <row r="163" spans="1:12" x14ac:dyDescent="0.3">
      <c r="A163" s="313" t="s">
        <v>534</v>
      </c>
      <c r="B163" s="150">
        <f>L154</f>
        <v>93999.736721669353</v>
      </c>
      <c r="C163">
        <v>1</v>
      </c>
    </row>
    <row r="164" spans="1:12" x14ac:dyDescent="0.3">
      <c r="A164" s="313" t="s">
        <v>564</v>
      </c>
      <c r="B164" s="150">
        <f>AY78+BX97+AL121</f>
        <v>1394568.3138531153</v>
      </c>
      <c r="C164">
        <v>29</v>
      </c>
    </row>
    <row r="165" spans="1:12" x14ac:dyDescent="0.3">
      <c r="A165" s="313" t="s">
        <v>569</v>
      </c>
      <c r="B165" s="150">
        <f>AY77+BX96+AL120</f>
        <v>387285.79512895283</v>
      </c>
      <c r="C165">
        <v>6</v>
      </c>
    </row>
    <row r="166" spans="1:12" x14ac:dyDescent="0.3">
      <c r="A166" s="313" t="s">
        <v>488</v>
      </c>
      <c r="B166" s="150">
        <f>AY79+AL122+BX98</f>
        <v>247478.38730117612</v>
      </c>
      <c r="C166">
        <v>1</v>
      </c>
    </row>
    <row r="167" spans="1:12" x14ac:dyDescent="0.3">
      <c r="A167" s="313" t="s">
        <v>565</v>
      </c>
      <c r="B167" s="150">
        <f>AY76</f>
        <v>87013.048137827718</v>
      </c>
      <c r="C167">
        <v>1</v>
      </c>
    </row>
    <row r="168" spans="1:12" x14ac:dyDescent="0.3">
      <c r="A168" s="313" t="s">
        <v>566</v>
      </c>
      <c r="B168" s="150">
        <f>AL119+BX95</f>
        <v>87013.048137827704</v>
      </c>
      <c r="C168">
        <v>1</v>
      </c>
    </row>
    <row r="169" spans="1:12" x14ac:dyDescent="0.3">
      <c r="A169" s="313" t="s">
        <v>771</v>
      </c>
      <c r="B169" s="150">
        <f>BX100</f>
        <v>97754.427009095845</v>
      </c>
      <c r="C169">
        <v>1</v>
      </c>
      <c r="D169" s="306"/>
    </row>
    <row r="170" spans="1:12" x14ac:dyDescent="0.3">
      <c r="A170" s="313" t="s">
        <v>532</v>
      </c>
      <c r="B170" s="150">
        <f>L152</f>
        <v>373162.74793386838</v>
      </c>
      <c r="C170">
        <v>1</v>
      </c>
    </row>
    <row r="171" spans="1:12" x14ac:dyDescent="0.3">
      <c r="A171" s="313" t="s">
        <v>567</v>
      </c>
      <c r="B171" s="150">
        <f>AL123</f>
        <v>72606.693191910119</v>
      </c>
      <c r="C171">
        <v>1</v>
      </c>
    </row>
    <row r="172" spans="1:12" x14ac:dyDescent="0.3">
      <c r="A172" s="313" t="s">
        <v>527</v>
      </c>
      <c r="B172" s="150">
        <f>L141</f>
        <v>652597.86103370774</v>
      </c>
      <c r="C172">
        <v>1</v>
      </c>
      <c r="F172" s="309"/>
      <c r="G172" s="309"/>
      <c r="H172" s="309"/>
      <c r="I172" s="309"/>
      <c r="J172" s="309"/>
      <c r="K172" s="309"/>
      <c r="L172" s="309"/>
    </row>
    <row r="173" spans="1:12" x14ac:dyDescent="0.3">
      <c r="A173" s="313" t="s">
        <v>568</v>
      </c>
      <c r="B173" s="150">
        <f>AY80+BX99+AL124+L140+L151</f>
        <v>405649.38108190044</v>
      </c>
      <c r="C173">
        <v>1</v>
      </c>
      <c r="F173" s="309"/>
      <c r="G173" s="309"/>
      <c r="H173" s="309"/>
      <c r="I173" s="309"/>
      <c r="J173" s="309"/>
      <c r="K173" s="309"/>
      <c r="L173" s="309"/>
    </row>
    <row r="174" spans="1:12" x14ac:dyDescent="0.3">
      <c r="A174" s="313" t="s">
        <v>533</v>
      </c>
      <c r="B174" s="150">
        <f>L153</f>
        <v>373162.74793386838</v>
      </c>
      <c r="C174">
        <v>1</v>
      </c>
      <c r="F174" s="309"/>
      <c r="G174" s="309"/>
      <c r="H174" s="309"/>
      <c r="I174" s="309"/>
      <c r="J174" s="309"/>
      <c r="K174" s="309"/>
      <c r="L174" s="309"/>
    </row>
    <row r="175" spans="1:12" x14ac:dyDescent="0.3">
      <c r="A175" s="313" t="s">
        <v>531</v>
      </c>
      <c r="B175" s="150">
        <f>L150</f>
        <v>72052.791153914804</v>
      </c>
      <c r="C175">
        <v>1</v>
      </c>
      <c r="F175" s="309"/>
      <c r="G175" s="309"/>
      <c r="H175" s="309"/>
      <c r="I175" s="309"/>
      <c r="J175" s="309"/>
      <c r="K175" s="309"/>
      <c r="L175" s="309"/>
    </row>
    <row r="176" spans="1:12" x14ac:dyDescent="0.3">
      <c r="A176" s="313" t="s">
        <v>535</v>
      </c>
      <c r="B176" s="150">
        <f>L155</f>
        <v>52415.387675583945</v>
      </c>
      <c r="C176">
        <v>0.5</v>
      </c>
      <c r="F176" s="309"/>
      <c r="G176" s="309"/>
      <c r="H176" s="309"/>
      <c r="I176" s="309"/>
      <c r="J176" s="309"/>
      <c r="K176" s="309"/>
      <c r="L176" s="309"/>
    </row>
    <row r="177" spans="1:12" x14ac:dyDescent="0.3">
      <c r="A177" s="128" t="s">
        <v>546</v>
      </c>
      <c r="B177" s="228">
        <f>SUM(B162:B176)</f>
        <v>4987331.215912397</v>
      </c>
      <c r="C177" s="228">
        <f>SUM(C162:C176)</f>
        <v>47.5</v>
      </c>
      <c r="F177" s="309"/>
      <c r="G177" s="309"/>
      <c r="H177" s="310"/>
      <c r="I177" s="310"/>
      <c r="J177" s="310"/>
      <c r="K177" s="309"/>
      <c r="L177" s="309"/>
    </row>
    <row r="178" spans="1:12" x14ac:dyDescent="0.3">
      <c r="A178" s="128" t="s">
        <v>554</v>
      </c>
      <c r="B178" s="228">
        <v>0</v>
      </c>
      <c r="F178" s="309"/>
      <c r="G178" s="309"/>
      <c r="H178" s="309"/>
      <c r="I178" s="309"/>
      <c r="J178" s="309"/>
      <c r="K178" s="309"/>
      <c r="L178" s="309"/>
    </row>
    <row r="179" spans="1:12" x14ac:dyDescent="0.3">
      <c r="A179" s="128" t="s">
        <v>555</v>
      </c>
      <c r="B179" s="192">
        <f>BX113</f>
        <v>3051.5402215088279</v>
      </c>
      <c r="C179">
        <v>1</v>
      </c>
      <c r="F179" s="311"/>
      <c r="G179" s="309"/>
      <c r="H179" s="309"/>
      <c r="I179" s="309"/>
      <c r="J179" s="309"/>
      <c r="K179" s="309"/>
      <c r="L179" s="309"/>
    </row>
    <row r="180" spans="1:12" x14ac:dyDescent="0.3">
      <c r="A180" s="128" t="s">
        <v>570</v>
      </c>
      <c r="B180" s="229">
        <f>SUM(B177:B179)</f>
        <v>4990382.7561339056</v>
      </c>
      <c r="C180">
        <f>C177+C179</f>
        <v>48.5</v>
      </c>
      <c r="F180" s="312"/>
      <c r="G180" s="309"/>
      <c r="H180" s="309"/>
      <c r="I180" s="309"/>
      <c r="J180" s="309"/>
      <c r="K180" s="309"/>
      <c r="L180" s="309"/>
    </row>
    <row r="181" spans="1:12" x14ac:dyDescent="0.3">
      <c r="A181" s="128"/>
      <c r="B181" s="229"/>
      <c r="F181" s="309"/>
      <c r="G181" s="309"/>
      <c r="H181" s="309"/>
      <c r="I181" s="309"/>
      <c r="J181" s="309"/>
      <c r="K181" s="309"/>
      <c r="L181" s="309"/>
    </row>
    <row r="182" spans="1:12" x14ac:dyDescent="0.3">
      <c r="A182" s="128"/>
      <c r="B182" s="229"/>
      <c r="F182" s="309"/>
      <c r="G182" s="309"/>
      <c r="H182" s="309"/>
      <c r="I182" s="309"/>
      <c r="J182" s="309"/>
      <c r="K182" s="309"/>
      <c r="L182" s="309"/>
    </row>
    <row r="183" spans="1:12" x14ac:dyDescent="0.3">
      <c r="A183" s="30" t="s">
        <v>652</v>
      </c>
      <c r="B183" s="229"/>
      <c r="F183" s="309"/>
      <c r="G183" s="309"/>
      <c r="H183" s="309"/>
      <c r="I183" s="309"/>
      <c r="J183" s="309"/>
      <c r="K183" s="309"/>
      <c r="L183" s="309"/>
    </row>
    <row r="184" spans="1:12" x14ac:dyDescent="0.3">
      <c r="A184" s="314" t="s">
        <v>487</v>
      </c>
      <c r="B184" s="229">
        <f>AY84+BX107+AL128</f>
        <v>280870.78651685396</v>
      </c>
      <c r="C184">
        <v>1</v>
      </c>
      <c r="F184" s="309"/>
      <c r="G184" s="309"/>
      <c r="H184" s="309"/>
      <c r="I184" s="309"/>
      <c r="J184" s="309"/>
      <c r="K184" s="309"/>
      <c r="L184" s="309"/>
    </row>
    <row r="185" spans="1:12" x14ac:dyDescent="0.3">
      <c r="A185" s="314" t="s">
        <v>770</v>
      </c>
      <c r="B185" s="229">
        <f>AY85</f>
        <v>35112.3595505618</v>
      </c>
      <c r="C185">
        <v>1</v>
      </c>
      <c r="F185" s="309"/>
      <c r="G185" s="309"/>
      <c r="H185" s="309"/>
      <c r="I185" s="309"/>
      <c r="J185" s="309"/>
      <c r="K185" s="309"/>
      <c r="L185" s="309"/>
    </row>
    <row r="186" spans="1:12" x14ac:dyDescent="0.3">
      <c r="A186" s="314" t="s">
        <v>772</v>
      </c>
      <c r="B186" s="229">
        <f>BX104</f>
        <v>280898.8764044944</v>
      </c>
      <c r="C186">
        <v>1</v>
      </c>
      <c r="F186" s="309"/>
      <c r="G186" s="309"/>
      <c r="H186" s="309"/>
      <c r="I186" s="309"/>
      <c r="J186" s="309"/>
      <c r="K186" s="309"/>
      <c r="L186" s="309"/>
    </row>
    <row r="187" spans="1:12" x14ac:dyDescent="0.3">
      <c r="A187" s="314" t="s">
        <v>509</v>
      </c>
      <c r="B187" s="229">
        <f t="shared" ref="B187:B188" si="140">BX105</f>
        <v>374531.83520599257</v>
      </c>
      <c r="C187">
        <v>1</v>
      </c>
      <c r="F187" s="309"/>
      <c r="G187" s="309"/>
      <c r="H187" s="309"/>
      <c r="I187" s="309"/>
      <c r="J187" s="309"/>
      <c r="K187" s="309"/>
      <c r="L187" s="309"/>
    </row>
    <row r="188" spans="1:12" x14ac:dyDescent="0.3">
      <c r="A188" s="314" t="s">
        <v>773</v>
      </c>
      <c r="B188" s="229">
        <f t="shared" si="140"/>
        <v>140449.4382022472</v>
      </c>
      <c r="C188">
        <v>1</v>
      </c>
      <c r="F188" s="309"/>
      <c r="G188" s="309"/>
      <c r="H188" s="309"/>
      <c r="I188" s="309"/>
      <c r="J188" s="309"/>
      <c r="K188" s="309"/>
      <c r="L188" s="309"/>
    </row>
    <row r="189" spans="1:12" x14ac:dyDescent="0.3">
      <c r="A189" s="314" t="s">
        <v>774</v>
      </c>
      <c r="B189" s="229">
        <f>AL129</f>
        <v>280898.87640449434</v>
      </c>
      <c r="C189">
        <v>1</v>
      </c>
      <c r="F189" s="309"/>
      <c r="G189" s="309"/>
      <c r="H189" s="309"/>
      <c r="I189" s="309"/>
      <c r="J189" s="309"/>
      <c r="K189" s="309"/>
      <c r="L189" s="309"/>
    </row>
    <row r="190" spans="1:12" x14ac:dyDescent="0.3">
      <c r="A190" s="128"/>
      <c r="B190" s="171">
        <f>SUM(B184:B189)</f>
        <v>1392762.1722846441</v>
      </c>
      <c r="C190" s="31">
        <f>SUM(C184:C189)</f>
        <v>6</v>
      </c>
      <c r="E190" s="191"/>
      <c r="F190" s="312"/>
      <c r="G190" s="312"/>
      <c r="H190" s="309"/>
      <c r="I190" s="309"/>
      <c r="J190" s="309"/>
      <c r="K190" s="309"/>
      <c r="L190" s="309"/>
    </row>
    <row r="191" spans="1:12" ht="36" customHeight="1" x14ac:dyDescent="0.3">
      <c r="F191" s="309"/>
      <c r="G191" s="312"/>
      <c r="H191" s="309"/>
      <c r="I191" s="309"/>
      <c r="J191" s="309"/>
      <c r="K191" s="309"/>
      <c r="L191" s="309"/>
    </row>
    <row r="193" spans="1:9" x14ac:dyDescent="0.3">
      <c r="A193" s="31" t="s">
        <v>639</v>
      </c>
    </row>
    <row r="194" spans="1:9" ht="27.95" x14ac:dyDescent="0.3">
      <c r="A194" s="275" t="s">
        <v>653</v>
      </c>
    </row>
    <row r="195" spans="1:9" x14ac:dyDescent="0.3">
      <c r="A195" s="31"/>
    </row>
    <row r="196" spans="1:9" x14ac:dyDescent="0.3">
      <c r="A196" s="273" t="s">
        <v>640</v>
      </c>
    </row>
    <row r="197" spans="1:9" x14ac:dyDescent="0.3">
      <c r="A197" s="31"/>
    </row>
    <row r="199" spans="1:9" x14ac:dyDescent="0.3">
      <c r="B199" s="69" t="s">
        <v>379</v>
      </c>
      <c r="C199" s="69" t="s">
        <v>380</v>
      </c>
      <c r="D199" s="69" t="s">
        <v>381</v>
      </c>
      <c r="E199" s="69" t="s">
        <v>382</v>
      </c>
      <c r="F199" s="69" t="s">
        <v>383</v>
      </c>
      <c r="G199" s="69" t="s">
        <v>457</v>
      </c>
      <c r="H199" s="69"/>
      <c r="I199" s="69" t="s">
        <v>368</v>
      </c>
    </row>
    <row r="200" spans="1:9" x14ac:dyDescent="0.3">
      <c r="A200" s="174" t="s">
        <v>571</v>
      </c>
      <c r="B200" s="3" t="s">
        <v>377</v>
      </c>
      <c r="C200" s="3" t="s">
        <v>377</v>
      </c>
      <c r="D200" s="3" t="s">
        <v>377</v>
      </c>
      <c r="E200" s="3" t="s">
        <v>377</v>
      </c>
      <c r="F200" s="3" t="s">
        <v>377</v>
      </c>
      <c r="G200" s="3" t="s">
        <v>377</v>
      </c>
      <c r="I200" s="3" t="s">
        <v>377</v>
      </c>
    </row>
    <row r="201" spans="1:9" x14ac:dyDescent="0.3">
      <c r="A201" s="254" t="s">
        <v>572</v>
      </c>
      <c r="D201"/>
    </row>
    <row r="202" spans="1:9" x14ac:dyDescent="0.3">
      <c r="A202" t="s">
        <v>573</v>
      </c>
      <c r="B202" s="1">
        <v>2273.9432851792403</v>
      </c>
      <c r="C202" s="1">
        <v>0</v>
      </c>
      <c r="D202" s="1">
        <v>0</v>
      </c>
      <c r="E202" s="1">
        <v>0</v>
      </c>
      <c r="F202" s="1">
        <v>0</v>
      </c>
      <c r="G202" s="1">
        <v>0</v>
      </c>
      <c r="H202" s="1"/>
      <c r="I202" s="1">
        <v>2273.9432851792403</v>
      </c>
    </row>
    <row r="203" spans="1:9" x14ac:dyDescent="0.3">
      <c r="A203" t="s">
        <v>27</v>
      </c>
      <c r="B203" s="1">
        <v>16452.648475120386</v>
      </c>
      <c r="C203" s="1">
        <v>0</v>
      </c>
      <c r="D203" s="1">
        <v>0</v>
      </c>
      <c r="E203" s="1">
        <v>0</v>
      </c>
      <c r="F203" s="1">
        <v>0</v>
      </c>
      <c r="G203" s="1">
        <v>0</v>
      </c>
      <c r="H203" s="1"/>
      <c r="I203" s="1">
        <v>16452.648475120386</v>
      </c>
    </row>
    <row r="204" spans="1:9" x14ac:dyDescent="0.3">
      <c r="A204" s="183" t="s">
        <v>574</v>
      </c>
      <c r="B204" s="241">
        <v>18726.591760299627</v>
      </c>
      <c r="C204" s="241">
        <v>0</v>
      </c>
      <c r="D204" s="241">
        <v>0</v>
      </c>
      <c r="E204" s="241">
        <v>0</v>
      </c>
      <c r="F204" s="241">
        <v>0</v>
      </c>
      <c r="G204" s="241">
        <v>0</v>
      </c>
      <c r="H204" s="241"/>
      <c r="I204" s="241">
        <v>18726.591760299627</v>
      </c>
    </row>
    <row r="205" spans="1:9" x14ac:dyDescent="0.3">
      <c r="A205" t="s">
        <v>573</v>
      </c>
      <c r="B205" s="1">
        <v>2273.9432851792403</v>
      </c>
      <c r="C205" s="1">
        <v>18555.3772070626</v>
      </c>
      <c r="D205" s="1">
        <v>18926.48475120385</v>
      </c>
      <c r="E205" s="1">
        <v>19305.014446227931</v>
      </c>
      <c r="F205" s="1">
        <v>19691.114735152489</v>
      </c>
      <c r="G205" s="1">
        <v>10042.46851492777</v>
      </c>
      <c r="H205" s="1"/>
      <c r="I205" s="1">
        <v>88794.402939753869</v>
      </c>
    </row>
    <row r="206" spans="1:9" x14ac:dyDescent="0.3">
      <c r="A206" t="s">
        <v>27</v>
      </c>
      <c r="B206" s="1">
        <v>16452.648475120386</v>
      </c>
      <c r="C206" s="1">
        <v>6548.9566613162115</v>
      </c>
      <c r="D206" s="1">
        <v>6679.9357945425363</v>
      </c>
      <c r="E206" s="1">
        <v>6813.5345104333883</v>
      </c>
      <c r="F206" s="1">
        <v>6949.8052006420539</v>
      </c>
      <c r="G206" s="1">
        <v>7088.8013046548958</v>
      </c>
      <c r="H206" s="1"/>
      <c r="I206" s="1">
        <v>50533.681946709476</v>
      </c>
    </row>
    <row r="207" spans="1:9" x14ac:dyDescent="0.3">
      <c r="A207" s="183" t="s">
        <v>575</v>
      </c>
      <c r="B207" s="255">
        <v>18726.591760299627</v>
      </c>
      <c r="C207" s="255">
        <v>25104.33386837881</v>
      </c>
      <c r="D207" s="255">
        <v>25606.420545746387</v>
      </c>
      <c r="E207" s="255">
        <v>26118.548956661318</v>
      </c>
      <c r="F207" s="255">
        <v>26640.919935794544</v>
      </c>
      <c r="G207" s="255">
        <v>17131.269819582667</v>
      </c>
      <c r="H207" s="255"/>
      <c r="I207" s="255">
        <v>139328.08488646336</v>
      </c>
    </row>
    <row r="208" spans="1:9" x14ac:dyDescent="0.3">
      <c r="A208" s="154" t="s">
        <v>576</v>
      </c>
      <c r="B208" s="171">
        <v>37453.183520599254</v>
      </c>
      <c r="C208" s="171">
        <v>25104.33386837881</v>
      </c>
      <c r="D208" s="171">
        <v>25606.420545746387</v>
      </c>
      <c r="E208" s="171">
        <v>26118.548956661318</v>
      </c>
      <c r="F208" s="171">
        <v>26640.919935794544</v>
      </c>
      <c r="G208" s="171">
        <v>17131.269819582667</v>
      </c>
      <c r="H208" s="171"/>
      <c r="I208" s="171">
        <v>158054.67664676299</v>
      </c>
    </row>
    <row r="209" spans="1:9" x14ac:dyDescent="0.3">
      <c r="A209" s="254" t="s">
        <v>577</v>
      </c>
      <c r="D209"/>
      <c r="I209" s="1">
        <v>0</v>
      </c>
    </row>
    <row r="210" spans="1:9" x14ac:dyDescent="0.3">
      <c r="A210" s="254"/>
      <c r="D210"/>
      <c r="I210" s="1">
        <v>0</v>
      </c>
    </row>
    <row r="211" spans="1:9" x14ac:dyDescent="0.3">
      <c r="A211" t="s">
        <v>573</v>
      </c>
      <c r="B211" s="1">
        <v>1392.7902621722847</v>
      </c>
      <c r="C211" s="1">
        <v>10553.370786516854</v>
      </c>
      <c r="D211" s="1">
        <v>10764.438202247189</v>
      </c>
      <c r="E211" s="1">
        <v>5912.1606741573032</v>
      </c>
      <c r="F211" s="1">
        <v>6030.4038876404484</v>
      </c>
      <c r="G211" s="1">
        <v>3075.505982696629</v>
      </c>
      <c r="I211" s="1">
        <v>37728.669795430716</v>
      </c>
    </row>
    <row r="212" spans="1:9" x14ac:dyDescent="0.3">
      <c r="A212" t="s">
        <v>27</v>
      </c>
      <c r="B212" s="1">
        <v>10077.247191011236</v>
      </c>
      <c r="C212" s="1">
        <v>3724.7191011235955</v>
      </c>
      <c r="D212" s="1">
        <v>3799.2134831460671</v>
      </c>
      <c r="E212" s="1">
        <v>2086.6449438202249</v>
      </c>
      <c r="F212" s="1">
        <v>2128.3778426966287</v>
      </c>
      <c r="G212" s="1">
        <v>2170.9453995505614</v>
      </c>
      <c r="I212" s="1">
        <v>23987.147961348313</v>
      </c>
    </row>
    <row r="213" spans="1:9" x14ac:dyDescent="0.3">
      <c r="A213" s="183" t="s">
        <v>578</v>
      </c>
      <c r="B213" s="255">
        <v>11470.03745318352</v>
      </c>
      <c r="C213" s="255">
        <v>14278.08988764045</v>
      </c>
      <c r="D213" s="255">
        <v>14563.651685393255</v>
      </c>
      <c r="E213" s="255">
        <v>7998.8056179775285</v>
      </c>
      <c r="F213" s="255">
        <v>8158.7817303370775</v>
      </c>
      <c r="G213" s="255">
        <v>5246.4513822471908</v>
      </c>
      <c r="H213" s="255"/>
      <c r="I213" s="255">
        <v>61715.817756779026</v>
      </c>
    </row>
    <row r="214" spans="1:9" x14ac:dyDescent="0.3">
      <c r="D214"/>
      <c r="I214" s="1">
        <v>0</v>
      </c>
    </row>
    <row r="215" spans="1:9" x14ac:dyDescent="0.3">
      <c r="A215" t="s">
        <v>573</v>
      </c>
      <c r="B215" s="1">
        <v>1193.8202247191011</v>
      </c>
      <c r="C215" s="1">
        <v>0</v>
      </c>
      <c r="D215" s="1">
        <v>0</v>
      </c>
      <c r="E215" s="1">
        <v>5067.5662921348312</v>
      </c>
      <c r="F215" s="1">
        <v>5168.9176179775277</v>
      </c>
      <c r="G215" s="1">
        <v>2636.147985168539</v>
      </c>
      <c r="H215" s="1"/>
      <c r="I215" s="1">
        <v>14066.452119999998</v>
      </c>
    </row>
    <row r="216" spans="1:9" x14ac:dyDescent="0.3">
      <c r="A216" t="s">
        <v>27</v>
      </c>
      <c r="B216" s="1">
        <v>8637.6404494382023</v>
      </c>
      <c r="C216" s="1">
        <v>0</v>
      </c>
      <c r="D216" s="1">
        <v>0</v>
      </c>
      <c r="E216" s="1">
        <v>1788.5528089887641</v>
      </c>
      <c r="F216" s="1">
        <v>1824.3238651685392</v>
      </c>
      <c r="G216" s="1">
        <v>1860.81034247191</v>
      </c>
      <c r="H216" s="1"/>
      <c r="I216" s="1">
        <v>14111.327466067416</v>
      </c>
    </row>
    <row r="217" spans="1:9" x14ac:dyDescent="0.3">
      <c r="A217" s="183" t="s">
        <v>579</v>
      </c>
      <c r="B217" s="241">
        <v>9831.4606741573043</v>
      </c>
      <c r="C217" s="241">
        <v>0</v>
      </c>
      <c r="D217" s="241">
        <v>0</v>
      </c>
      <c r="E217" s="241">
        <v>6856.1191011235951</v>
      </c>
      <c r="F217" s="241">
        <v>6993.2414831460665</v>
      </c>
      <c r="G217" s="241">
        <v>4496.9583276404492</v>
      </c>
      <c r="H217" s="241"/>
      <c r="I217" s="242">
        <v>28177.779586067416</v>
      </c>
    </row>
    <row r="218" spans="1:9" x14ac:dyDescent="0.3">
      <c r="D218"/>
      <c r="I218" s="1">
        <v>0</v>
      </c>
    </row>
    <row r="219" spans="1:9" x14ac:dyDescent="0.3">
      <c r="A219" t="s">
        <v>573</v>
      </c>
      <c r="B219" s="1">
        <v>1392.7902621722847</v>
      </c>
      <c r="C219" s="1">
        <v>5682.5842696629215</v>
      </c>
      <c r="D219" s="1">
        <v>5796.2359550561787</v>
      </c>
      <c r="E219" s="1">
        <v>5912.1606741573032</v>
      </c>
      <c r="F219" s="1">
        <v>6030.4038876404484</v>
      </c>
      <c r="G219" s="1">
        <v>3075.505982696629</v>
      </c>
      <c r="H219" s="1"/>
      <c r="I219" s="1">
        <v>27889.681031385764</v>
      </c>
    </row>
    <row r="220" spans="1:9" x14ac:dyDescent="0.3">
      <c r="A220" t="s">
        <v>27</v>
      </c>
      <c r="B220" s="1">
        <v>10077.247191011236</v>
      </c>
      <c r="C220" s="1">
        <v>2005.6179775280898</v>
      </c>
      <c r="D220" s="1">
        <v>2045.7303370786515</v>
      </c>
      <c r="E220" s="1">
        <v>2086.6449438202249</v>
      </c>
      <c r="F220" s="1">
        <v>2128.3778426966287</v>
      </c>
      <c r="G220" s="1">
        <v>2170.9453995505614</v>
      </c>
      <c r="H220" s="1"/>
      <c r="I220" s="1">
        <v>20514.563691685395</v>
      </c>
    </row>
    <row r="221" spans="1:9" x14ac:dyDescent="0.3">
      <c r="A221" s="183" t="s">
        <v>580</v>
      </c>
      <c r="B221" s="241">
        <v>11470.03745318352</v>
      </c>
      <c r="C221" s="241">
        <v>7688.2022471910113</v>
      </c>
      <c r="D221" s="241">
        <v>7841.9662921348299</v>
      </c>
      <c r="E221" s="241">
        <v>7998.8056179775285</v>
      </c>
      <c r="F221" s="241">
        <v>8158.7817303370775</v>
      </c>
      <c r="G221" s="241">
        <v>5246.4513822471908</v>
      </c>
      <c r="H221" s="241"/>
      <c r="I221" s="242">
        <v>48404.244723071155</v>
      </c>
    </row>
    <row r="222" spans="1:9" x14ac:dyDescent="0.3">
      <c r="D222"/>
      <c r="I222" s="1">
        <v>0</v>
      </c>
    </row>
    <row r="223" spans="1:9" x14ac:dyDescent="0.3">
      <c r="A223" s="154" t="s">
        <v>581</v>
      </c>
      <c r="B223" s="255">
        <v>32771.535580524345</v>
      </c>
      <c r="C223" s="255">
        <v>21966.292134831463</v>
      </c>
      <c r="D223" s="255">
        <v>22405.617977528083</v>
      </c>
      <c r="E223" s="255">
        <v>22853.730337078654</v>
      </c>
      <c r="F223" s="255">
        <v>23310.804943820222</v>
      </c>
      <c r="G223" s="255">
        <v>14989.861092134832</v>
      </c>
      <c r="H223" s="255"/>
      <c r="I223" s="255">
        <v>138297.84206591762</v>
      </c>
    </row>
    <row r="224" spans="1:9" x14ac:dyDescent="0.3">
      <c r="A224" s="254" t="s">
        <v>582</v>
      </c>
      <c r="D224"/>
      <c r="I224" s="1">
        <v>0</v>
      </c>
    </row>
    <row r="225" spans="1:16" x14ac:dyDescent="0.3">
      <c r="A225" s="254"/>
      <c r="D225"/>
      <c r="I225" s="1">
        <v>0</v>
      </c>
    </row>
    <row r="226" spans="1:16" x14ac:dyDescent="0.3">
      <c r="A226" t="s">
        <v>573</v>
      </c>
      <c r="B226" s="1">
        <v>284.24291064740504</v>
      </c>
      <c r="C226" s="1">
        <v>1159.7110754414125</v>
      </c>
      <c r="D226" s="1">
        <v>11829.052969502407</v>
      </c>
      <c r="E226" s="1">
        <v>1206.5634028892457</v>
      </c>
      <c r="F226" s="1">
        <v>12306.946709470307</v>
      </c>
      <c r="G226" s="1">
        <v>6276.5428218298557</v>
      </c>
      <c r="H226" s="1"/>
      <c r="I226" s="1">
        <v>33063.059889780634</v>
      </c>
    </row>
    <row r="227" spans="1:16" x14ac:dyDescent="0.3">
      <c r="A227" t="s">
        <v>27</v>
      </c>
      <c r="B227" s="1">
        <v>2056.5810593900483</v>
      </c>
      <c r="C227" s="1">
        <v>409.30979133226322</v>
      </c>
      <c r="D227" s="1">
        <v>4174.9598715890852</v>
      </c>
      <c r="E227" s="1">
        <v>425.84590690208677</v>
      </c>
      <c r="F227" s="1">
        <v>4343.6282504012834</v>
      </c>
      <c r="G227" s="1">
        <v>4430.5008154093102</v>
      </c>
      <c r="H227" s="1"/>
      <c r="I227" s="1">
        <v>15840.825695024078</v>
      </c>
    </row>
    <row r="228" spans="1:16" x14ac:dyDescent="0.3">
      <c r="A228" s="183" t="s">
        <v>583</v>
      </c>
      <c r="B228" s="241">
        <v>2340.8239700374534</v>
      </c>
      <c r="C228" s="241">
        <v>1569.0208667736756</v>
      </c>
      <c r="D228" s="241">
        <v>16004.012841091491</v>
      </c>
      <c r="E228" s="241">
        <v>1632.4093097913324</v>
      </c>
      <c r="F228" s="241">
        <v>16650.574959871592</v>
      </c>
      <c r="G228" s="241">
        <v>10707.043637239167</v>
      </c>
      <c r="H228" s="241"/>
      <c r="I228" s="242">
        <v>48903.88558480471</v>
      </c>
    </row>
    <row r="229" spans="1:16" x14ac:dyDescent="0.3">
      <c r="D229"/>
      <c r="I229" s="1">
        <v>0</v>
      </c>
    </row>
    <row r="230" spans="1:16" x14ac:dyDescent="0.3">
      <c r="A230" t="s">
        <v>573</v>
      </c>
      <c r="B230" s="1">
        <v>2558.1861958266454</v>
      </c>
      <c r="C230" s="1">
        <v>10437.399678972713</v>
      </c>
      <c r="D230" s="1">
        <v>0</v>
      </c>
      <c r="E230" s="1">
        <v>10859.070626003211</v>
      </c>
      <c r="F230" s="1">
        <v>0</v>
      </c>
      <c r="G230" s="1">
        <v>0</v>
      </c>
      <c r="H230" s="1"/>
      <c r="I230" s="1">
        <v>23854.656500802572</v>
      </c>
    </row>
    <row r="231" spans="1:16" x14ac:dyDescent="0.3">
      <c r="A231" t="s">
        <v>27</v>
      </c>
      <c r="B231" s="1">
        <v>18509.229534510432</v>
      </c>
      <c r="C231" s="1">
        <v>3683.7881219903693</v>
      </c>
      <c r="D231" s="1">
        <v>0</v>
      </c>
      <c r="E231" s="1">
        <v>3832.6131621187806</v>
      </c>
      <c r="F231" s="1">
        <v>0</v>
      </c>
      <c r="G231" s="1">
        <v>0</v>
      </c>
      <c r="H231" s="1"/>
      <c r="I231" s="1">
        <v>26025.630818619582</v>
      </c>
    </row>
    <row r="232" spans="1:16" x14ac:dyDescent="0.3">
      <c r="A232" s="183" t="s">
        <v>584</v>
      </c>
      <c r="B232" s="241">
        <v>21067.415730337078</v>
      </c>
      <c r="C232" s="241">
        <v>14121.187800963082</v>
      </c>
      <c r="D232" s="241">
        <v>0</v>
      </c>
      <c r="E232" s="241">
        <v>14691.683788121991</v>
      </c>
      <c r="F232" s="241">
        <v>0</v>
      </c>
      <c r="G232" s="241">
        <v>0</v>
      </c>
      <c r="H232" s="241"/>
      <c r="I232" s="242">
        <v>49880.287319422154</v>
      </c>
    </row>
    <row r="233" spans="1:16" ht="14.55" thickBot="1" x14ac:dyDescent="0.35">
      <c r="A233" s="256" t="s">
        <v>585</v>
      </c>
      <c r="B233" s="257">
        <v>23408.239700374532</v>
      </c>
      <c r="C233" s="257">
        <v>15690.208667736757</v>
      </c>
      <c r="D233" s="257">
        <v>16004.012841091491</v>
      </c>
      <c r="E233" s="257">
        <v>16324.093097913323</v>
      </c>
      <c r="F233" s="257">
        <v>16650.574959871592</v>
      </c>
      <c r="G233" s="257">
        <v>10707.043637239167</v>
      </c>
      <c r="H233" s="257"/>
      <c r="I233" s="257">
        <v>98784.172904226871</v>
      </c>
    </row>
    <row r="234" spans="1:16" ht="14.55" thickBot="1" x14ac:dyDescent="0.35">
      <c r="A234" s="258" t="s">
        <v>586</v>
      </c>
      <c r="B234" s="259">
        <v>93632.958801498127</v>
      </c>
      <c r="C234" s="259">
        <v>62760.834670947028</v>
      </c>
      <c r="D234" s="259">
        <v>64016.051364365965</v>
      </c>
      <c r="E234" s="259">
        <v>65296.372391653291</v>
      </c>
      <c r="F234" s="259">
        <v>66602.299839486353</v>
      </c>
      <c r="G234" s="259">
        <v>42828.174548956667</v>
      </c>
      <c r="H234" s="259"/>
      <c r="I234" s="259">
        <v>395136.69161690748</v>
      </c>
    </row>
    <row r="235" spans="1:16" x14ac:dyDescent="0.3">
      <c r="A235" s="270"/>
      <c r="B235" s="271"/>
      <c r="C235" s="271"/>
      <c r="D235" s="271"/>
      <c r="E235" s="271"/>
      <c r="F235" s="271"/>
      <c r="G235" s="271"/>
      <c r="H235" s="271"/>
      <c r="I235" s="271"/>
    </row>
    <row r="236" spans="1:16" x14ac:dyDescent="0.3">
      <c r="A236" s="276" t="s">
        <v>634</v>
      </c>
      <c r="B236" s="271"/>
      <c r="C236" s="271"/>
      <c r="D236" s="271"/>
      <c r="E236" s="271"/>
      <c r="F236" s="271"/>
      <c r="G236" s="271"/>
      <c r="H236" s="271"/>
      <c r="I236" s="271"/>
    </row>
    <row r="237" spans="1:16" x14ac:dyDescent="0.3">
      <c r="A237" s="270"/>
      <c r="B237" s="272" t="s">
        <v>379</v>
      </c>
      <c r="C237" s="272"/>
      <c r="D237" s="272" t="s">
        <v>380</v>
      </c>
      <c r="E237" s="272"/>
      <c r="F237" s="272" t="s">
        <v>381</v>
      </c>
      <c r="G237" s="272"/>
      <c r="H237" s="272" t="s">
        <v>382</v>
      </c>
      <c r="I237" s="272"/>
      <c r="J237" s="31" t="s">
        <v>383</v>
      </c>
      <c r="K237" s="31"/>
      <c r="L237" s="31" t="s">
        <v>457</v>
      </c>
      <c r="N237" t="s">
        <v>368</v>
      </c>
    </row>
    <row r="238" spans="1:16" x14ac:dyDescent="0.3">
      <c r="A238" s="270"/>
      <c r="B238" s="272" t="s">
        <v>642</v>
      </c>
      <c r="C238" s="272" t="s">
        <v>641</v>
      </c>
      <c r="D238" s="272" t="s">
        <v>642</v>
      </c>
      <c r="E238" s="272" t="s">
        <v>641</v>
      </c>
      <c r="F238" s="272" t="s">
        <v>642</v>
      </c>
      <c r="G238" s="272" t="s">
        <v>641</v>
      </c>
      <c r="H238" s="272" t="s">
        <v>642</v>
      </c>
      <c r="I238" s="272" t="s">
        <v>641</v>
      </c>
      <c r="J238" s="272" t="s">
        <v>642</v>
      </c>
      <c r="K238" s="272" t="s">
        <v>641</v>
      </c>
      <c r="L238" s="272" t="s">
        <v>642</v>
      </c>
      <c r="M238" s="272" t="s">
        <v>641</v>
      </c>
    </row>
    <row r="239" spans="1:16" x14ac:dyDescent="0.3">
      <c r="A239" s="270" t="s">
        <v>635</v>
      </c>
      <c r="B239" s="271">
        <v>6</v>
      </c>
      <c r="C239" s="271">
        <v>1894.9527376493668</v>
      </c>
      <c r="D239" s="271">
        <f>2*12</f>
        <v>24</v>
      </c>
      <c r="E239" s="271">
        <v>1932.8517924023542</v>
      </c>
      <c r="F239" s="271">
        <f>2*12</f>
        <v>24</v>
      </c>
      <c r="G239" s="271">
        <v>1971.5088282504012</v>
      </c>
      <c r="H239" s="271">
        <f>2*12</f>
        <v>24</v>
      </c>
      <c r="I239" s="271">
        <v>2010.9390048154094</v>
      </c>
      <c r="J239" s="271">
        <f>2*12</f>
        <v>24</v>
      </c>
      <c r="K239" s="271">
        <v>2051.1577849117175</v>
      </c>
      <c r="L239" s="271">
        <v>12</v>
      </c>
      <c r="M239" s="271">
        <v>2092.1809406099519</v>
      </c>
      <c r="N239" s="191">
        <f>B239*C239+D239*E239+F239*G239+H239*I239+J239*K239+L239*M239</f>
        <v>227670.86556233279</v>
      </c>
      <c r="P239" t="s">
        <v>776</v>
      </c>
    </row>
    <row r="240" spans="1:16" x14ac:dyDescent="0.3">
      <c r="A240" s="270" t="s">
        <v>636</v>
      </c>
      <c r="B240" s="271">
        <v>37</v>
      </c>
      <c r="C240" s="271">
        <v>2006.4205457463884</v>
      </c>
      <c r="D240" s="271"/>
      <c r="E240" s="271"/>
      <c r="F240" s="271"/>
      <c r="G240" s="271"/>
      <c r="H240" s="271"/>
      <c r="I240" s="271"/>
      <c r="N240" s="191">
        <f t="shared" ref="N240:N242" si="141">B240*C240+D240*E240+F240*G240+H240*I240+J240*K240+L240*M240</f>
        <v>74237.560192616365</v>
      </c>
      <c r="P240" t="s">
        <v>643</v>
      </c>
    </row>
    <row r="241" spans="1:16" x14ac:dyDescent="0.3">
      <c r="A241" s="270" t="s">
        <v>637</v>
      </c>
      <c r="B241" s="271">
        <f>8*6</f>
        <v>48</v>
      </c>
      <c r="C241" s="271">
        <v>55.733904048510787</v>
      </c>
      <c r="D241" s="271">
        <f>8*12</f>
        <v>96</v>
      </c>
      <c r="E241" s="271">
        <v>56.848582129481002</v>
      </c>
      <c r="F241" s="271">
        <f>8*12</f>
        <v>96</v>
      </c>
      <c r="G241" s="271">
        <v>57.985553772070624</v>
      </c>
      <c r="H241" s="271">
        <f>8*12</f>
        <v>96</v>
      </c>
      <c r="I241" s="271">
        <v>59.145264847512038</v>
      </c>
      <c r="J241" s="271">
        <f>8*12</f>
        <v>96</v>
      </c>
      <c r="K241" s="271">
        <v>60.328170144462277</v>
      </c>
      <c r="L241" s="271">
        <f>8*12</f>
        <v>96</v>
      </c>
      <c r="M241" s="271">
        <v>61.534733547351529</v>
      </c>
      <c r="N241" s="191">
        <f t="shared" si="141"/>
        <v>31076.088620652754</v>
      </c>
      <c r="P241" t="s">
        <v>644</v>
      </c>
    </row>
    <row r="242" spans="1:16" x14ac:dyDescent="0.3">
      <c r="A242" s="270" t="s">
        <v>638</v>
      </c>
      <c r="B242" s="271">
        <f>8*6</f>
        <v>48</v>
      </c>
      <c r="C242" s="271">
        <v>111.46780809702157</v>
      </c>
      <c r="D242" s="271">
        <f>8*12</f>
        <v>96</v>
      </c>
      <c r="E242" s="271">
        <v>113.697164258962</v>
      </c>
      <c r="F242" s="271">
        <f>8*12</f>
        <v>96</v>
      </c>
      <c r="G242" s="271">
        <v>115.97110754414125</v>
      </c>
      <c r="H242" s="271">
        <f>8*12</f>
        <v>96</v>
      </c>
      <c r="I242" s="271">
        <v>118.29052969502408</v>
      </c>
      <c r="J242" s="271">
        <f>8*12</f>
        <v>96</v>
      </c>
      <c r="K242" s="271">
        <v>120.65634028892455</v>
      </c>
      <c r="L242" s="271">
        <f>8*12</f>
        <v>96</v>
      </c>
      <c r="M242" s="271">
        <v>123.06946709470306</v>
      </c>
      <c r="N242" s="191">
        <f t="shared" si="141"/>
        <v>62152.177241305508</v>
      </c>
      <c r="P242" t="s">
        <v>644</v>
      </c>
    </row>
    <row r="243" spans="1:16" x14ac:dyDescent="0.3">
      <c r="A243" s="270"/>
      <c r="B243" s="271"/>
      <c r="C243" s="271"/>
      <c r="D243" s="271"/>
      <c r="E243" s="271"/>
      <c r="F243" s="271"/>
      <c r="G243" s="271"/>
      <c r="H243" s="271"/>
      <c r="I243" s="271"/>
      <c r="N243" s="191">
        <f>SUM(N239:N242)</f>
        <v>395136.69161690742</v>
      </c>
    </row>
    <row r="244" spans="1:16" x14ac:dyDescent="0.3">
      <c r="D244"/>
      <c r="I244" s="1"/>
    </row>
    <row r="245" spans="1:16" x14ac:dyDescent="0.3">
      <c r="A245" s="174" t="s">
        <v>587</v>
      </c>
      <c r="D245"/>
      <c r="I245" s="1"/>
    </row>
    <row r="246" spans="1:16" x14ac:dyDescent="0.3">
      <c r="A246" s="254" t="s">
        <v>588</v>
      </c>
      <c r="D246"/>
      <c r="I246" s="1"/>
    </row>
    <row r="247" spans="1:16" x14ac:dyDescent="0.3">
      <c r="A247" s="254"/>
      <c r="D247"/>
      <c r="I247" s="1"/>
    </row>
    <row r="248" spans="1:16" x14ac:dyDescent="0.3">
      <c r="A248" t="s">
        <v>573</v>
      </c>
      <c r="B248" s="1">
        <v>1326.4669163545568</v>
      </c>
      <c r="C248" s="1">
        <v>8117.9775280898875</v>
      </c>
      <c r="D248" s="1">
        <v>8280.3370786516844</v>
      </c>
      <c r="E248" s="1">
        <v>8445.9438202247184</v>
      </c>
      <c r="F248" s="1">
        <v>8614.8626966292122</v>
      </c>
      <c r="G248" s="1">
        <v>4393.5799752808989</v>
      </c>
      <c r="H248" s="1"/>
      <c r="I248" s="1">
        <v>39179.168015230956</v>
      </c>
    </row>
    <row r="249" spans="1:16" x14ac:dyDescent="0.3">
      <c r="A249" t="s">
        <v>27</v>
      </c>
      <c r="B249" s="1">
        <v>2106.7415730337075</v>
      </c>
      <c r="C249" s="1">
        <v>1432.5842696629213</v>
      </c>
      <c r="D249" s="1">
        <v>1461.2359550561798</v>
      </c>
      <c r="E249" s="1">
        <v>1490.4606741573034</v>
      </c>
      <c r="F249" s="1">
        <v>1520.2698876404493</v>
      </c>
      <c r="G249" s="1">
        <v>1550.6752853932583</v>
      </c>
      <c r="H249" s="1"/>
      <c r="I249" s="1">
        <v>9561.9676449438193</v>
      </c>
    </row>
    <row r="250" spans="1:16" x14ac:dyDescent="0.3">
      <c r="A250" s="183" t="s">
        <v>589</v>
      </c>
      <c r="B250" s="241">
        <v>3433.2084893882643</v>
      </c>
      <c r="C250" s="241">
        <v>9550.5617977528091</v>
      </c>
      <c r="D250" s="241">
        <v>9741.5730337078639</v>
      </c>
      <c r="E250" s="241">
        <v>9936.4044943820227</v>
      </c>
      <c r="F250" s="241">
        <v>10135.132584269661</v>
      </c>
      <c r="G250" s="241">
        <v>5944.2552606741574</v>
      </c>
      <c r="H250" s="241"/>
      <c r="I250" s="242">
        <v>48741.135660174776</v>
      </c>
    </row>
    <row r="251" spans="1:16" x14ac:dyDescent="0.3">
      <c r="D251"/>
      <c r="I251" s="1">
        <v>0</v>
      </c>
    </row>
    <row r="252" spans="1:16" x14ac:dyDescent="0.3">
      <c r="A252" t="s">
        <v>573</v>
      </c>
      <c r="B252" s="1">
        <v>378.99054752987337</v>
      </c>
      <c r="C252" s="1">
        <v>2319.422150882825</v>
      </c>
      <c r="D252" s="1">
        <v>2365.8105939004813</v>
      </c>
      <c r="E252" s="1">
        <v>2413.1268057784914</v>
      </c>
      <c r="F252" s="1">
        <v>2461.3893418940611</v>
      </c>
      <c r="G252" s="1">
        <v>1255.3085643659713</v>
      </c>
      <c r="H252" s="1"/>
      <c r="I252" s="1">
        <v>11194.048004351702</v>
      </c>
    </row>
    <row r="253" spans="1:16" x14ac:dyDescent="0.3">
      <c r="A253" t="s">
        <v>27</v>
      </c>
      <c r="B253" s="1">
        <v>601.92616372391649</v>
      </c>
      <c r="C253" s="1">
        <v>409.30979133226322</v>
      </c>
      <c r="D253" s="1">
        <v>417.49598715890852</v>
      </c>
      <c r="E253" s="1">
        <v>425.84590690208677</v>
      </c>
      <c r="F253" s="1">
        <v>434.36282504012837</v>
      </c>
      <c r="G253" s="1">
        <v>443.05008154093099</v>
      </c>
      <c r="H253" s="1"/>
      <c r="I253" s="1">
        <v>2731.9907556982344</v>
      </c>
    </row>
    <row r="254" spans="1:16" x14ac:dyDescent="0.3">
      <c r="A254" s="183" t="s">
        <v>590</v>
      </c>
      <c r="B254" s="241">
        <v>980.9167112537898</v>
      </c>
      <c r="C254" s="241">
        <v>2728.7319422150881</v>
      </c>
      <c r="D254" s="241">
        <v>2783.3065810593898</v>
      </c>
      <c r="E254" s="241">
        <v>2838.9727126805783</v>
      </c>
      <c r="F254" s="241">
        <v>2895.7521669341895</v>
      </c>
      <c r="G254" s="241">
        <v>1698.3586459069022</v>
      </c>
      <c r="H254" s="241"/>
      <c r="I254" s="242">
        <v>13926.038760049936</v>
      </c>
    </row>
    <row r="255" spans="1:16" x14ac:dyDescent="0.3">
      <c r="D255"/>
      <c r="I255" s="1">
        <v>0</v>
      </c>
    </row>
    <row r="256" spans="1:16" x14ac:dyDescent="0.3">
      <c r="A256" t="s">
        <v>573</v>
      </c>
      <c r="B256" s="1">
        <v>189.49527376493668</v>
      </c>
      <c r="C256" s="1">
        <v>1159.7110754414125</v>
      </c>
      <c r="D256" s="1">
        <v>1182.9052969502407</v>
      </c>
      <c r="E256" s="1">
        <v>1206.5634028892457</v>
      </c>
      <c r="F256" s="1">
        <v>1230.6946709470305</v>
      </c>
      <c r="G256" s="1">
        <v>627.65428218298564</v>
      </c>
      <c r="H256" s="1"/>
      <c r="I256" s="1">
        <v>5597.0240021758509</v>
      </c>
    </row>
    <row r="257" spans="1:9" x14ac:dyDescent="0.3">
      <c r="A257" t="s">
        <v>27</v>
      </c>
      <c r="B257" s="1">
        <v>300.96308186195824</v>
      </c>
      <c r="C257" s="1">
        <v>204.65489566613161</v>
      </c>
      <c r="D257" s="1">
        <v>208.74799357945426</v>
      </c>
      <c r="E257" s="1">
        <v>212.92295345104338</v>
      </c>
      <c r="F257" s="1">
        <v>217.18141252006419</v>
      </c>
      <c r="G257" s="1">
        <v>221.52504077046549</v>
      </c>
      <c r="H257" s="1"/>
      <c r="I257" s="1">
        <v>1365.9953778491172</v>
      </c>
    </row>
    <row r="258" spans="1:9" x14ac:dyDescent="0.3">
      <c r="A258" s="183" t="s">
        <v>591</v>
      </c>
      <c r="B258" s="241">
        <v>490.4583556268949</v>
      </c>
      <c r="C258" s="241">
        <v>1364.3659711075441</v>
      </c>
      <c r="D258" s="241">
        <v>1391.6532905296949</v>
      </c>
      <c r="E258" s="241">
        <v>1419.4863563402891</v>
      </c>
      <c r="F258" s="241">
        <v>1447.8760834670948</v>
      </c>
      <c r="G258" s="241">
        <v>849.17932295345111</v>
      </c>
      <c r="H258" s="241"/>
      <c r="I258" s="242">
        <v>6963.0193800249681</v>
      </c>
    </row>
    <row r="259" spans="1:9" x14ac:dyDescent="0.3">
      <c r="D259"/>
      <c r="I259" s="1">
        <v>0</v>
      </c>
    </row>
    <row r="260" spans="1:9" x14ac:dyDescent="0.3">
      <c r="A260" s="154" t="s">
        <v>592</v>
      </c>
      <c r="B260" s="255">
        <v>4904.5835562689499</v>
      </c>
      <c r="C260" s="255">
        <v>13643.659711075441</v>
      </c>
      <c r="D260" s="255">
        <v>13916.53290529695</v>
      </c>
      <c r="E260" s="255">
        <v>14194.863563402889</v>
      </c>
      <c r="F260" s="255">
        <v>14478.760834670946</v>
      </c>
      <c r="G260" s="255">
        <v>8491.7932295345108</v>
      </c>
      <c r="H260" s="255"/>
      <c r="I260" s="255">
        <v>69630.193800249675</v>
      </c>
    </row>
    <row r="261" spans="1:9" x14ac:dyDescent="0.3">
      <c r="A261" s="254" t="s">
        <v>593</v>
      </c>
      <c r="D261"/>
      <c r="I261" s="1">
        <v>0</v>
      </c>
    </row>
    <row r="262" spans="1:9" x14ac:dyDescent="0.3">
      <c r="A262" s="254"/>
      <c r="D262"/>
      <c r="I262" s="1">
        <v>0</v>
      </c>
    </row>
    <row r="263" spans="1:9" x14ac:dyDescent="0.3">
      <c r="A263" t="s">
        <v>573</v>
      </c>
      <c r="B263" s="1">
        <v>1061.1735330836455</v>
      </c>
      <c r="C263" s="1">
        <v>3247.1910112359551</v>
      </c>
      <c r="D263" s="1">
        <v>3312.1348314606739</v>
      </c>
      <c r="E263" s="1">
        <v>3378.3775280898881</v>
      </c>
      <c r="F263" s="1">
        <v>3445.945078651685</v>
      </c>
      <c r="G263" s="1">
        <v>1757.4319901123597</v>
      </c>
      <c r="H263" s="1"/>
      <c r="I263" s="1">
        <v>16202.253972634206</v>
      </c>
    </row>
    <row r="264" spans="1:9" x14ac:dyDescent="0.3">
      <c r="A264" t="s">
        <v>27</v>
      </c>
      <c r="B264" s="1">
        <v>1685.3932584269662</v>
      </c>
      <c r="C264" s="1">
        <v>573.03370786516848</v>
      </c>
      <c r="D264" s="1">
        <v>584.49438202247188</v>
      </c>
      <c r="E264" s="1">
        <v>596.18426966292145</v>
      </c>
      <c r="F264" s="1">
        <v>608.10795505617966</v>
      </c>
      <c r="G264" s="1">
        <v>620.27011415730328</v>
      </c>
      <c r="H264" s="1"/>
      <c r="I264" s="1">
        <v>4667.4836871910111</v>
      </c>
    </row>
    <row r="265" spans="1:9" x14ac:dyDescent="0.3">
      <c r="A265" s="183" t="s">
        <v>594</v>
      </c>
      <c r="B265" s="241">
        <v>2746.5667915106114</v>
      </c>
      <c r="C265" s="241">
        <v>3820.2247191011238</v>
      </c>
      <c r="D265" s="241">
        <v>3896.6292134831456</v>
      </c>
      <c r="E265" s="241">
        <v>3974.5617977528095</v>
      </c>
      <c r="F265" s="241">
        <v>4054.0530337078644</v>
      </c>
      <c r="G265" s="241">
        <v>2377.7021042696629</v>
      </c>
      <c r="H265" s="241"/>
      <c r="I265" s="242">
        <v>20869.737659825216</v>
      </c>
    </row>
    <row r="266" spans="1:9" x14ac:dyDescent="0.3">
      <c r="D266"/>
      <c r="I266" s="1">
        <v>0</v>
      </c>
    </row>
    <row r="267" spans="1:9" x14ac:dyDescent="0.3">
      <c r="A267" t="s">
        <v>573</v>
      </c>
      <c r="B267" s="1">
        <v>0</v>
      </c>
      <c r="C267" s="1">
        <v>6494.3820224719102</v>
      </c>
      <c r="D267" s="1">
        <v>6624.2696629213478</v>
      </c>
      <c r="E267" s="1">
        <v>6756.7550561797761</v>
      </c>
      <c r="F267" s="1">
        <v>6891.89015730337</v>
      </c>
      <c r="G267" s="1">
        <v>3514.8639802247194</v>
      </c>
      <c r="H267" s="1"/>
      <c r="I267" s="1">
        <v>30282.160879101124</v>
      </c>
    </row>
    <row r="268" spans="1:9" x14ac:dyDescent="0.3">
      <c r="A268" t="s">
        <v>27</v>
      </c>
      <c r="B268" s="1">
        <v>0</v>
      </c>
      <c r="C268" s="1">
        <v>1146.067415730337</v>
      </c>
      <c r="D268" s="1">
        <v>1168.9887640449438</v>
      </c>
      <c r="E268" s="1">
        <v>1192.3685393258429</v>
      </c>
      <c r="F268" s="1">
        <v>1216.2159101123593</v>
      </c>
      <c r="G268" s="1">
        <v>1240.5402283146066</v>
      </c>
      <c r="H268" s="1"/>
      <c r="I268" s="1">
        <v>5964.1808575280902</v>
      </c>
    </row>
    <row r="269" spans="1:9" x14ac:dyDescent="0.3">
      <c r="A269" s="183" t="s">
        <v>595</v>
      </c>
      <c r="B269" s="241">
        <v>0</v>
      </c>
      <c r="C269" s="241">
        <v>7640.4494382022476</v>
      </c>
      <c r="D269" s="241">
        <v>7793.2584269662912</v>
      </c>
      <c r="E269" s="241">
        <v>7949.1235955056191</v>
      </c>
      <c r="F269" s="241">
        <v>8108.1060674157288</v>
      </c>
      <c r="G269" s="241">
        <v>4755.4042085393257</v>
      </c>
      <c r="H269" s="241"/>
      <c r="I269" s="242">
        <v>36246.341736629212</v>
      </c>
    </row>
    <row r="270" spans="1:9" x14ac:dyDescent="0.3">
      <c r="D270"/>
      <c r="I270" s="1">
        <v>0</v>
      </c>
    </row>
    <row r="271" spans="1:9" x14ac:dyDescent="0.3">
      <c r="A271" t="s">
        <v>573</v>
      </c>
      <c r="B271" s="1">
        <v>1591.7602996254682</v>
      </c>
      <c r="C271" s="1">
        <v>6494.3820224719102</v>
      </c>
      <c r="D271" s="1">
        <v>6624.2696629213478</v>
      </c>
      <c r="E271" s="1">
        <v>6756.7550561797761</v>
      </c>
      <c r="F271" s="1">
        <v>6891.89015730337</v>
      </c>
      <c r="G271" s="1">
        <v>3514.8639802247194</v>
      </c>
      <c r="H271" s="1"/>
      <c r="I271" s="1">
        <v>31873.921178726592</v>
      </c>
    </row>
    <row r="272" spans="1:9" x14ac:dyDescent="0.3">
      <c r="A272" t="s">
        <v>27</v>
      </c>
      <c r="B272" s="1">
        <v>2528.0898876404494</v>
      </c>
      <c r="C272" s="1">
        <v>1146.067415730337</v>
      </c>
      <c r="D272" s="1">
        <v>1168.9887640449438</v>
      </c>
      <c r="E272" s="1">
        <v>1192.3685393258429</v>
      </c>
      <c r="F272" s="1">
        <v>1216.2159101123593</v>
      </c>
      <c r="G272" s="1">
        <v>1240.5402283146066</v>
      </c>
      <c r="H272" s="1"/>
      <c r="I272" s="1">
        <v>8492.2707451685383</v>
      </c>
    </row>
    <row r="273" spans="1:9" x14ac:dyDescent="0.3">
      <c r="A273" s="183" t="s">
        <v>596</v>
      </c>
      <c r="B273" s="241">
        <v>4119.8501872659181</v>
      </c>
      <c r="C273" s="241">
        <v>7640.4494382022476</v>
      </c>
      <c r="D273" s="241">
        <v>7793.2584269662912</v>
      </c>
      <c r="E273" s="241">
        <v>7949.1235955056191</v>
      </c>
      <c r="F273" s="241">
        <v>8108.1060674157288</v>
      </c>
      <c r="G273" s="241">
        <v>4755.4042085393257</v>
      </c>
      <c r="H273" s="241"/>
      <c r="I273" s="242">
        <v>40366.19192389513</v>
      </c>
    </row>
    <row r="274" spans="1:9" x14ac:dyDescent="0.3">
      <c r="D274"/>
      <c r="I274" s="1">
        <v>0</v>
      </c>
    </row>
    <row r="275" spans="1:9" x14ac:dyDescent="0.3">
      <c r="A275" s="154" t="s">
        <v>597</v>
      </c>
      <c r="B275" s="255">
        <v>6866.4169787765295</v>
      </c>
      <c r="C275" s="255">
        <v>19101.123595505618</v>
      </c>
      <c r="D275" s="255">
        <v>19483.146067415728</v>
      </c>
      <c r="E275" s="255">
        <v>19872.808988764049</v>
      </c>
      <c r="F275" s="255">
        <v>20270.265168539321</v>
      </c>
      <c r="G275" s="255">
        <v>11888.510521348315</v>
      </c>
      <c r="H275" s="255"/>
      <c r="I275" s="255">
        <v>97482.271320349566</v>
      </c>
    </row>
    <row r="276" spans="1:9" x14ac:dyDescent="0.3">
      <c r="A276" s="254" t="s">
        <v>598</v>
      </c>
      <c r="D276"/>
      <c r="I276" s="1">
        <v>0</v>
      </c>
    </row>
    <row r="277" spans="1:9" x14ac:dyDescent="0.3">
      <c r="A277" s="254"/>
      <c r="D277"/>
      <c r="I277" s="1">
        <v>0</v>
      </c>
    </row>
    <row r="278" spans="1:9" x14ac:dyDescent="0.3">
      <c r="A278" t="s">
        <v>573</v>
      </c>
      <c r="B278" s="1">
        <v>568.48582129481008</v>
      </c>
      <c r="C278" s="1">
        <v>3479.1332263242375</v>
      </c>
      <c r="D278" s="1">
        <v>3548.7158908507222</v>
      </c>
      <c r="E278" s="1">
        <v>3619.6902086677374</v>
      </c>
      <c r="F278" s="1">
        <v>3692.0840128410914</v>
      </c>
      <c r="G278" s="1">
        <v>1882.9628465489568</v>
      </c>
      <c r="I278" s="1">
        <v>16791.072006527556</v>
      </c>
    </row>
    <row r="279" spans="1:9" x14ac:dyDescent="0.3">
      <c r="A279" t="s">
        <v>27</v>
      </c>
      <c r="B279" s="1">
        <v>902.88924558587485</v>
      </c>
      <c r="C279" s="1">
        <v>613.96468699839488</v>
      </c>
      <c r="D279" s="1">
        <v>626.24398073836278</v>
      </c>
      <c r="E279" s="1">
        <v>638.76886035313009</v>
      </c>
      <c r="F279" s="1">
        <v>651.54423756019253</v>
      </c>
      <c r="G279" s="1">
        <v>664.5751223113964</v>
      </c>
      <c r="I279" s="1">
        <v>4097.9861335473515</v>
      </c>
    </row>
    <row r="280" spans="1:9" x14ac:dyDescent="0.3">
      <c r="A280" s="183" t="s">
        <v>599</v>
      </c>
      <c r="B280" s="241">
        <v>1471.3750668806849</v>
      </c>
      <c r="C280" s="241">
        <v>4093.0979133226324</v>
      </c>
      <c r="D280" s="241">
        <v>4174.9598715890852</v>
      </c>
      <c r="E280" s="241">
        <v>4258.4590690208679</v>
      </c>
      <c r="F280" s="241">
        <v>4343.6282504012843</v>
      </c>
      <c r="G280" s="241">
        <v>2547.5379688603534</v>
      </c>
      <c r="H280" s="162"/>
      <c r="I280" s="242">
        <v>20889.058140074907</v>
      </c>
    </row>
    <row r="281" spans="1:9" x14ac:dyDescent="0.3">
      <c r="D281"/>
      <c r="I281" s="1">
        <v>0</v>
      </c>
    </row>
    <row r="282" spans="1:9" x14ac:dyDescent="0.3">
      <c r="A282" t="s">
        <v>573</v>
      </c>
      <c r="B282" s="1">
        <v>1705.4574638844301</v>
      </c>
      <c r="C282" s="1">
        <v>10437.399678972713</v>
      </c>
      <c r="D282" s="1">
        <v>10646.147672552166</v>
      </c>
      <c r="E282" s="1">
        <v>10859.070626003211</v>
      </c>
      <c r="F282" s="1">
        <v>11076.252038523273</v>
      </c>
      <c r="G282" s="1">
        <v>5648.8885396468704</v>
      </c>
      <c r="I282" s="1">
        <v>50373.216019582658</v>
      </c>
    </row>
    <row r="283" spans="1:9" x14ac:dyDescent="0.3">
      <c r="A283" t="s">
        <v>27</v>
      </c>
      <c r="B283" s="1">
        <v>2708.6677367576244</v>
      </c>
      <c r="C283" s="1">
        <v>1841.8940609951846</v>
      </c>
      <c r="D283" s="1">
        <v>1878.7319422150883</v>
      </c>
      <c r="E283" s="1">
        <v>1916.3065810593903</v>
      </c>
      <c r="F283" s="1">
        <v>1954.6327126805777</v>
      </c>
      <c r="G283" s="1">
        <v>1993.7253669341894</v>
      </c>
      <c r="I283" s="1">
        <v>12293.958400642055</v>
      </c>
    </row>
    <row r="284" spans="1:9" x14ac:dyDescent="0.3">
      <c r="A284" s="183" t="s">
        <v>600</v>
      </c>
      <c r="B284" s="241">
        <v>4414.1252006420546</v>
      </c>
      <c r="C284" s="241">
        <v>12279.293739967898</v>
      </c>
      <c r="D284" s="241">
        <v>12524.879614767255</v>
      </c>
      <c r="E284" s="241">
        <v>12775.377207062602</v>
      </c>
      <c r="F284" s="241">
        <v>13030.88475120385</v>
      </c>
      <c r="G284" s="241">
        <v>7642.6139065810603</v>
      </c>
      <c r="H284" s="162"/>
      <c r="I284" s="242">
        <v>62667.174420224714</v>
      </c>
    </row>
    <row r="285" spans="1:9" x14ac:dyDescent="0.3">
      <c r="A285" s="154" t="s">
        <v>601</v>
      </c>
      <c r="B285" s="255">
        <v>5885.5002675227397</v>
      </c>
      <c r="C285" s="255">
        <v>16372.39165329053</v>
      </c>
      <c r="D285" s="255">
        <v>16699.839486356341</v>
      </c>
      <c r="E285" s="255">
        <v>17033.836276083472</v>
      </c>
      <c r="F285" s="255">
        <v>17374.513001605133</v>
      </c>
      <c r="G285" s="255">
        <v>10190.151875441414</v>
      </c>
      <c r="H285" s="255"/>
      <c r="I285" s="255">
        <v>83556.232560299628</v>
      </c>
    </row>
    <row r="286" spans="1:9" x14ac:dyDescent="0.3">
      <c r="A286" s="254" t="s">
        <v>602</v>
      </c>
      <c r="D286"/>
      <c r="I286" s="1">
        <v>0</v>
      </c>
    </row>
    <row r="287" spans="1:9" x14ac:dyDescent="0.3">
      <c r="A287" s="254"/>
      <c r="D287"/>
      <c r="I287" s="1">
        <v>0</v>
      </c>
    </row>
    <row r="288" spans="1:9" x14ac:dyDescent="0.3">
      <c r="A288" t="s">
        <v>573</v>
      </c>
      <c r="B288" s="1">
        <v>151.59621901194936</v>
      </c>
      <c r="C288" s="1">
        <v>927.76886035312998</v>
      </c>
      <c r="D288" s="1">
        <v>946.32423756019261</v>
      </c>
      <c r="E288" s="1">
        <v>965.25072231139654</v>
      </c>
      <c r="F288" s="1">
        <v>984.55573675762446</v>
      </c>
      <c r="G288" s="1">
        <v>502.12342574638853</v>
      </c>
      <c r="H288" s="1"/>
      <c r="I288" s="1">
        <v>4477.6192017406811</v>
      </c>
    </row>
    <row r="289" spans="1:14" x14ac:dyDescent="0.3">
      <c r="A289" t="s">
        <v>27</v>
      </c>
      <c r="B289" s="1">
        <v>240.77046548956662</v>
      </c>
      <c r="C289" s="1">
        <v>163.72391653290529</v>
      </c>
      <c r="D289" s="1">
        <v>166.99839486356342</v>
      </c>
      <c r="E289" s="1">
        <v>170.33836276083468</v>
      </c>
      <c r="F289" s="1">
        <v>173.74513001605135</v>
      </c>
      <c r="G289" s="1">
        <v>177.22003261637244</v>
      </c>
      <c r="H289" s="1"/>
      <c r="I289" s="1">
        <v>1092.7963022792937</v>
      </c>
    </row>
    <row r="290" spans="1:14" x14ac:dyDescent="0.3">
      <c r="A290" s="183" t="s">
        <v>603</v>
      </c>
      <c r="B290" s="241">
        <v>392.36668450151598</v>
      </c>
      <c r="C290" s="241">
        <v>1091.4927768860352</v>
      </c>
      <c r="D290" s="241">
        <v>1113.322632423756</v>
      </c>
      <c r="E290" s="241">
        <v>1135.5890850722312</v>
      </c>
      <c r="F290" s="241">
        <v>1158.3008667736758</v>
      </c>
      <c r="G290" s="241">
        <v>679.343458362761</v>
      </c>
      <c r="H290" s="241"/>
      <c r="I290" s="242">
        <v>5570.4155040199748</v>
      </c>
    </row>
    <row r="291" spans="1:14" x14ac:dyDescent="0.3">
      <c r="D291"/>
      <c r="I291" s="1">
        <v>0</v>
      </c>
    </row>
    <row r="292" spans="1:14" x14ac:dyDescent="0.3">
      <c r="A292" t="s">
        <v>573</v>
      </c>
      <c r="B292" s="1">
        <v>37.89905475298734</v>
      </c>
      <c r="C292" s="1">
        <v>231.9422150882825</v>
      </c>
      <c r="D292" s="1">
        <v>236.58105939004815</v>
      </c>
      <c r="E292" s="1">
        <v>241.31268057784914</v>
      </c>
      <c r="F292" s="1">
        <v>246.13893418940611</v>
      </c>
      <c r="G292" s="1">
        <v>125.53085643659713</v>
      </c>
      <c r="I292" s="1">
        <v>1119.4048004351703</v>
      </c>
    </row>
    <row r="293" spans="1:14" x14ac:dyDescent="0.3">
      <c r="A293" t="s">
        <v>27</v>
      </c>
      <c r="B293" s="1">
        <v>60.192616372391655</v>
      </c>
      <c r="C293" s="1">
        <v>40.930979133226323</v>
      </c>
      <c r="D293" s="1">
        <v>41.749598715890855</v>
      </c>
      <c r="E293" s="1">
        <v>42.584590690208671</v>
      </c>
      <c r="F293" s="1">
        <v>43.436282504012837</v>
      </c>
      <c r="G293" s="1">
        <v>44.305008154093109</v>
      </c>
      <c r="I293" s="1">
        <v>273.19907556982344</v>
      </c>
    </row>
    <row r="294" spans="1:14" x14ac:dyDescent="0.3">
      <c r="A294" s="183" t="s">
        <v>604</v>
      </c>
      <c r="B294" s="241">
        <v>98.091671125378994</v>
      </c>
      <c r="C294" s="241">
        <v>272.87319422150881</v>
      </c>
      <c r="D294" s="241">
        <v>278.33065810593899</v>
      </c>
      <c r="E294" s="241">
        <v>283.89727126805781</v>
      </c>
      <c r="F294" s="241">
        <v>289.57521669341895</v>
      </c>
      <c r="G294" s="241">
        <v>169.83586459069025</v>
      </c>
      <c r="H294" s="162"/>
      <c r="I294" s="242">
        <v>1392.6038760049937</v>
      </c>
    </row>
    <row r="295" spans="1:14" x14ac:dyDescent="0.3">
      <c r="D295"/>
      <c r="I295" s="1">
        <v>0</v>
      </c>
    </row>
    <row r="296" spans="1:14" x14ac:dyDescent="0.3">
      <c r="A296" t="s">
        <v>573</v>
      </c>
      <c r="B296" s="1">
        <v>568.48582129481008</v>
      </c>
      <c r="C296" s="1">
        <v>3479.1332263242375</v>
      </c>
      <c r="D296" s="1">
        <v>3548.7158908507222</v>
      </c>
      <c r="E296" s="1">
        <v>3619.6902086677374</v>
      </c>
      <c r="F296" s="1">
        <v>3692.0840128410914</v>
      </c>
      <c r="G296" s="1">
        <v>1882.962846548957</v>
      </c>
      <c r="I296" s="1">
        <v>16791.072006527556</v>
      </c>
    </row>
    <row r="297" spans="1:14" x14ac:dyDescent="0.3">
      <c r="A297" t="s">
        <v>27</v>
      </c>
      <c r="B297" s="1">
        <v>902.88924558587485</v>
      </c>
      <c r="C297" s="1">
        <v>613.96468699839488</v>
      </c>
      <c r="D297" s="1">
        <v>626.24398073836278</v>
      </c>
      <c r="E297" s="1">
        <v>638.76886035313009</v>
      </c>
      <c r="F297" s="1">
        <v>651.54423756019253</v>
      </c>
      <c r="G297" s="1">
        <v>664.57512231139663</v>
      </c>
      <c r="I297" s="1">
        <v>4097.9861335473524</v>
      </c>
    </row>
    <row r="298" spans="1:14" x14ac:dyDescent="0.3">
      <c r="A298" s="183" t="s">
        <v>605</v>
      </c>
      <c r="B298" s="241">
        <v>1471.3750668806849</v>
      </c>
      <c r="C298" s="241">
        <v>4093.0979133226324</v>
      </c>
      <c r="D298" s="241">
        <v>4174.9598715890852</v>
      </c>
      <c r="E298" s="241">
        <v>4258.4590690208679</v>
      </c>
      <c r="F298" s="241">
        <v>4343.6282504012843</v>
      </c>
      <c r="G298" s="241">
        <v>2547.5379688603534</v>
      </c>
      <c r="H298" s="162"/>
      <c r="I298" s="242">
        <v>20889.058140074907</v>
      </c>
    </row>
    <row r="299" spans="1:14" x14ac:dyDescent="0.3">
      <c r="D299"/>
      <c r="I299" s="1">
        <v>0</v>
      </c>
    </row>
    <row r="300" spans="1:14" ht="14.55" thickBot="1" x14ac:dyDescent="0.35">
      <c r="A300" s="256" t="s">
        <v>606</v>
      </c>
      <c r="B300" s="257">
        <v>1961.8334225075798</v>
      </c>
      <c r="C300" s="257">
        <v>5457.4638844301762</v>
      </c>
      <c r="D300" s="257">
        <v>5566.6131621187797</v>
      </c>
      <c r="E300" s="257">
        <v>5677.9454253611566</v>
      </c>
      <c r="F300" s="257">
        <v>5791.504333868379</v>
      </c>
      <c r="G300" s="257">
        <v>3396.7172918138049</v>
      </c>
      <c r="H300" s="257"/>
      <c r="I300" s="257">
        <v>27852.077520099876</v>
      </c>
    </row>
    <row r="301" spans="1:14" ht="14.55" thickBot="1" x14ac:dyDescent="0.35">
      <c r="A301" s="258" t="s">
        <v>607</v>
      </c>
      <c r="B301" s="259">
        <v>19618.3342250758</v>
      </c>
      <c r="C301" s="259">
        <v>54574.638844301764</v>
      </c>
      <c r="D301" s="259">
        <v>55666.1316211878</v>
      </c>
      <c r="E301" s="259">
        <v>56779.454253611562</v>
      </c>
      <c r="F301" s="259">
        <v>57915.043338683783</v>
      </c>
      <c r="G301" s="259">
        <v>33967.172918138043</v>
      </c>
      <c r="H301" s="259"/>
      <c r="I301" s="259">
        <v>278520.77520099876</v>
      </c>
    </row>
    <row r="302" spans="1:14" x14ac:dyDescent="0.3">
      <c r="A302" s="270"/>
      <c r="B302" s="272"/>
      <c r="C302" s="272"/>
      <c r="D302" s="272"/>
      <c r="E302" s="272"/>
      <c r="F302" s="272"/>
      <c r="G302" s="272"/>
      <c r="H302" s="272"/>
      <c r="I302" s="272"/>
    </row>
    <row r="303" spans="1:14" x14ac:dyDescent="0.3">
      <c r="A303" s="276" t="s">
        <v>654</v>
      </c>
      <c r="B303" s="272"/>
      <c r="C303" s="272"/>
      <c r="D303" s="272"/>
      <c r="E303" s="272"/>
      <c r="F303" s="272"/>
      <c r="G303" s="272"/>
      <c r="H303" s="272"/>
      <c r="I303" s="272"/>
    </row>
    <row r="304" spans="1:14" x14ac:dyDescent="0.3">
      <c r="A304" s="270"/>
      <c r="B304" s="272" t="s">
        <v>379</v>
      </c>
      <c r="C304" s="272"/>
      <c r="D304" s="272" t="s">
        <v>380</v>
      </c>
      <c r="E304" s="272"/>
      <c r="F304" s="272" t="s">
        <v>381</v>
      </c>
      <c r="G304" s="272"/>
      <c r="H304" s="272" t="s">
        <v>382</v>
      </c>
      <c r="I304" s="272"/>
      <c r="J304" s="31" t="s">
        <v>383</v>
      </c>
      <c r="K304" s="31"/>
      <c r="L304" s="31" t="s">
        <v>457</v>
      </c>
      <c r="N304" t="s">
        <v>368</v>
      </c>
    </row>
    <row r="305" spans="1:16" x14ac:dyDescent="0.3">
      <c r="A305" s="270"/>
      <c r="B305" s="272" t="s">
        <v>642</v>
      </c>
      <c r="C305" s="272" t="s">
        <v>641</v>
      </c>
      <c r="D305" s="272" t="s">
        <v>642</v>
      </c>
      <c r="E305" s="272" t="s">
        <v>641</v>
      </c>
      <c r="F305" s="272" t="s">
        <v>642</v>
      </c>
      <c r="G305" s="272" t="s">
        <v>641</v>
      </c>
      <c r="H305" s="272" t="s">
        <v>642</v>
      </c>
      <c r="I305" s="272" t="s">
        <v>641</v>
      </c>
      <c r="J305" s="272" t="s">
        <v>642</v>
      </c>
      <c r="K305" s="272" t="s">
        <v>641</v>
      </c>
      <c r="L305" s="272" t="s">
        <v>642</v>
      </c>
      <c r="M305" s="272" t="s">
        <v>641</v>
      </c>
    </row>
    <row r="306" spans="1:16" x14ac:dyDescent="0.3">
      <c r="A306" s="270" t="s">
        <v>635</v>
      </c>
      <c r="B306" s="271">
        <v>4</v>
      </c>
      <c r="C306" s="271">
        <v>1894.9527376493668</v>
      </c>
      <c r="D306" s="271">
        <f>2*12</f>
        <v>24</v>
      </c>
      <c r="E306" s="271">
        <v>1932.8517924023542</v>
      </c>
      <c r="F306" s="271">
        <f>2*12</f>
        <v>24</v>
      </c>
      <c r="G306" s="271">
        <v>1971.5088282504012</v>
      </c>
      <c r="H306" s="271">
        <f>2*12</f>
        <v>24</v>
      </c>
      <c r="I306" s="271">
        <v>2010.9390048154094</v>
      </c>
      <c r="J306" s="271">
        <f>2*12</f>
        <v>24</v>
      </c>
      <c r="K306" s="271">
        <v>2051.1577849117175</v>
      </c>
      <c r="L306" s="271">
        <v>12</v>
      </c>
      <c r="M306" s="271">
        <v>2092.1809406099519</v>
      </c>
      <c r="N306" s="191">
        <f>B306*C306+D306*E306+F306*G306+H306*I306+J306*K306+L306*M306</f>
        <v>223880.96008703407</v>
      </c>
      <c r="P306" t="s">
        <v>775</v>
      </c>
    </row>
    <row r="307" spans="1:16" x14ac:dyDescent="0.3">
      <c r="A307" s="270" t="s">
        <v>636</v>
      </c>
      <c r="B307" s="271">
        <v>4</v>
      </c>
      <c r="C307" s="271">
        <v>2006.4205457463884</v>
      </c>
      <c r="D307" s="271"/>
      <c r="E307" s="271"/>
      <c r="F307" s="271"/>
      <c r="G307" s="271"/>
      <c r="H307" s="271"/>
      <c r="I307" s="271"/>
      <c r="N307" s="191">
        <f t="shared" ref="N307:N309" si="142">B307*C307+D307*E307+F307*G307+H307*I307+J307*K307+L307*M307</f>
        <v>8025.6821829855535</v>
      </c>
      <c r="P307" t="s">
        <v>645</v>
      </c>
    </row>
    <row r="308" spans="1:16" x14ac:dyDescent="0.3">
      <c r="A308" s="270" t="s">
        <v>637</v>
      </c>
      <c r="B308" s="271">
        <f>4*6</f>
        <v>24</v>
      </c>
      <c r="C308" s="271">
        <v>55.733904048510787</v>
      </c>
      <c r="D308" s="271">
        <f>4*12</f>
        <v>48</v>
      </c>
      <c r="E308" s="271">
        <v>56.848582129481002</v>
      </c>
      <c r="F308" s="271">
        <f>4*12</f>
        <v>48</v>
      </c>
      <c r="G308" s="271">
        <v>57.985553772070624</v>
      </c>
      <c r="H308" s="271">
        <f>4*12</f>
        <v>48</v>
      </c>
      <c r="I308" s="271">
        <v>59.145264847512038</v>
      </c>
      <c r="J308" s="271">
        <f>4*12</f>
        <v>48</v>
      </c>
      <c r="K308" s="271">
        <v>60.328170144462277</v>
      </c>
      <c r="L308" s="271">
        <f>4*12</f>
        <v>48</v>
      </c>
      <c r="M308" s="271">
        <v>61.534733547351529</v>
      </c>
      <c r="N308" s="191">
        <f t="shared" si="142"/>
        <v>15538.044310326377</v>
      </c>
      <c r="P308" t="s">
        <v>646</v>
      </c>
    </row>
    <row r="309" spans="1:16" x14ac:dyDescent="0.3">
      <c r="A309" s="270" t="s">
        <v>638</v>
      </c>
      <c r="B309" s="271">
        <f>4*6</f>
        <v>24</v>
      </c>
      <c r="C309" s="271">
        <v>111.46780809702157</v>
      </c>
      <c r="D309" s="271">
        <f>4*12</f>
        <v>48</v>
      </c>
      <c r="E309" s="271">
        <v>113.697164258962</v>
      </c>
      <c r="F309" s="271">
        <f>4*12</f>
        <v>48</v>
      </c>
      <c r="G309" s="271">
        <v>115.97110754414125</v>
      </c>
      <c r="H309" s="271">
        <f>4*12</f>
        <v>48</v>
      </c>
      <c r="I309" s="271">
        <v>118.29052969502408</v>
      </c>
      <c r="J309" s="271">
        <f>4*12</f>
        <v>48</v>
      </c>
      <c r="K309" s="271">
        <v>120.65634028892455</v>
      </c>
      <c r="L309" s="271">
        <f>4*12</f>
        <v>48</v>
      </c>
      <c r="M309" s="271">
        <v>123.06946709470306</v>
      </c>
      <c r="N309" s="191">
        <f t="shared" si="142"/>
        <v>31076.088620652754</v>
      </c>
      <c r="P309" t="s">
        <v>646</v>
      </c>
    </row>
    <row r="310" spans="1:16" x14ac:dyDescent="0.3">
      <c r="A310" s="270"/>
      <c r="B310" s="272"/>
      <c r="C310" s="272"/>
      <c r="D310" s="272"/>
      <c r="E310" s="272"/>
      <c r="F310" s="272"/>
      <c r="G310" s="272"/>
      <c r="H310" s="272"/>
      <c r="I310" s="272"/>
      <c r="N310" s="191">
        <f>SUM(N306:N309)</f>
        <v>278520.77520099876</v>
      </c>
    </row>
    <row r="311" spans="1:16" x14ac:dyDescent="0.3">
      <c r="A311" s="270"/>
      <c r="B311" s="272"/>
      <c r="C311" s="272"/>
      <c r="D311" s="272"/>
      <c r="E311" s="272"/>
      <c r="F311" s="272"/>
      <c r="G311" s="272"/>
      <c r="H311" s="272"/>
      <c r="I311" s="272"/>
    </row>
    <row r="312" spans="1:16" x14ac:dyDescent="0.3">
      <c r="D312"/>
      <c r="I312" s="1"/>
    </row>
    <row r="313" spans="1:16" x14ac:dyDescent="0.3">
      <c r="A313" s="174" t="s">
        <v>608</v>
      </c>
      <c r="D313"/>
      <c r="I313" s="1"/>
    </row>
    <row r="314" spans="1:16" x14ac:dyDescent="0.3">
      <c r="A314" s="254" t="s">
        <v>609</v>
      </c>
      <c r="D314"/>
      <c r="I314" s="1"/>
    </row>
    <row r="315" spans="1:16" x14ac:dyDescent="0.3">
      <c r="A315" s="254"/>
      <c r="D315"/>
      <c r="I315" s="1"/>
    </row>
    <row r="316" spans="1:16" x14ac:dyDescent="0.3">
      <c r="A316" t="s">
        <v>573</v>
      </c>
      <c r="B316" s="1">
        <v>1478.0631353665062</v>
      </c>
      <c r="C316" s="1">
        <v>9045.7463884430181</v>
      </c>
      <c r="D316" s="1">
        <v>9226.6613162118792</v>
      </c>
      <c r="E316" s="1">
        <v>9411.1945425361173</v>
      </c>
      <c r="F316" s="1">
        <v>9599.4184333868379</v>
      </c>
      <c r="G316" s="1">
        <v>4895.7034010272882</v>
      </c>
      <c r="I316" s="1">
        <v>43656.78721697165</v>
      </c>
    </row>
    <row r="317" spans="1:16" x14ac:dyDescent="0.3">
      <c r="A317" t="s">
        <v>27</v>
      </c>
      <c r="B317" s="1">
        <v>1760.6340288924559</v>
      </c>
      <c r="C317" s="1">
        <v>1197.2311396468699</v>
      </c>
      <c r="D317" s="1">
        <v>1221.1757624398074</v>
      </c>
      <c r="E317" s="1">
        <v>1245.5992776886035</v>
      </c>
      <c r="F317" s="1">
        <v>1270.5112632423752</v>
      </c>
      <c r="G317" s="1">
        <v>1295.9214885072231</v>
      </c>
      <c r="I317" s="1">
        <v>7991.0729604173357</v>
      </c>
    </row>
    <row r="318" spans="1:16" x14ac:dyDescent="0.3">
      <c r="A318" s="183" t="s">
        <v>610</v>
      </c>
      <c r="B318" s="241">
        <v>3238.6971642589624</v>
      </c>
      <c r="C318" s="241">
        <v>10242.977528089888</v>
      </c>
      <c r="D318" s="241">
        <v>10447.837078651686</v>
      </c>
      <c r="E318" s="241">
        <v>10656.793820224721</v>
      </c>
      <c r="F318" s="241">
        <v>10869.929696629213</v>
      </c>
      <c r="G318" s="241">
        <v>6191.6248895345116</v>
      </c>
      <c r="H318" s="162"/>
      <c r="I318" s="242">
        <v>51647.860177388982</v>
      </c>
    </row>
    <row r="319" spans="1:16" x14ac:dyDescent="0.3">
      <c r="D319"/>
      <c r="I319" s="1">
        <v>0</v>
      </c>
    </row>
    <row r="320" spans="1:16" x14ac:dyDescent="0.3">
      <c r="A320" t="s">
        <v>573</v>
      </c>
      <c r="B320" s="1">
        <v>795.88014981273409</v>
      </c>
      <c r="C320" s="1">
        <v>4870.7865168539329</v>
      </c>
      <c r="D320" s="1">
        <v>4968.2022471910104</v>
      </c>
      <c r="E320" s="1">
        <v>5067.5662921348321</v>
      </c>
      <c r="F320" s="1">
        <v>5168.9176179775277</v>
      </c>
      <c r="G320" s="1">
        <v>2636.147985168539</v>
      </c>
      <c r="H320" s="1"/>
      <c r="I320" s="1">
        <v>23507.500809138579</v>
      </c>
    </row>
    <row r="321" spans="1:9" x14ac:dyDescent="0.3">
      <c r="A321" t="s">
        <v>27</v>
      </c>
      <c r="B321" s="1">
        <v>948.03370786516848</v>
      </c>
      <c r="C321" s="1">
        <v>644.66292134831463</v>
      </c>
      <c r="D321" s="1">
        <v>657.55617977528084</v>
      </c>
      <c r="E321" s="1">
        <v>670.70730337078646</v>
      </c>
      <c r="F321" s="1">
        <v>684.12144943820203</v>
      </c>
      <c r="G321" s="1">
        <v>697.80387842696621</v>
      </c>
      <c r="H321" s="1"/>
      <c r="I321" s="1">
        <v>4302.8854402247189</v>
      </c>
    </row>
    <row r="322" spans="1:9" x14ac:dyDescent="0.3">
      <c r="A322" s="183" t="s">
        <v>611</v>
      </c>
      <c r="B322" s="241">
        <v>1743.9138576779026</v>
      </c>
      <c r="C322" s="241">
        <v>5515.4494382022476</v>
      </c>
      <c r="D322" s="241">
        <v>5625.7584269662912</v>
      </c>
      <c r="E322" s="241">
        <v>5738.2735955056187</v>
      </c>
      <c r="F322" s="241">
        <v>5853.0390674157297</v>
      </c>
      <c r="G322" s="241">
        <v>3333.9518635955051</v>
      </c>
      <c r="H322" s="241"/>
      <c r="I322" s="242">
        <v>27810.386249363299</v>
      </c>
    </row>
    <row r="323" spans="1:9" x14ac:dyDescent="0.3">
      <c r="B323" s="1"/>
      <c r="C323" s="1"/>
      <c r="D323" s="1"/>
      <c r="E323" s="1"/>
      <c r="F323" s="1"/>
      <c r="G323" s="1"/>
      <c r="H323" s="1"/>
      <c r="I323" s="1">
        <v>0</v>
      </c>
    </row>
    <row r="324" spans="1:9" x14ac:dyDescent="0.3">
      <c r="A324" t="s">
        <v>573</v>
      </c>
      <c r="B324" s="1"/>
      <c r="C324" s="1"/>
      <c r="D324" s="1"/>
      <c r="E324" s="1"/>
      <c r="F324" s="1"/>
      <c r="G324" s="1"/>
      <c r="H324" s="1"/>
      <c r="I324" s="1">
        <v>0</v>
      </c>
    </row>
    <row r="325" spans="1:9" x14ac:dyDescent="0.3">
      <c r="A325" t="s">
        <v>27</v>
      </c>
      <c r="B325" s="1"/>
      <c r="C325" s="1"/>
      <c r="D325" s="1"/>
      <c r="E325" s="1"/>
      <c r="F325" s="1"/>
      <c r="G325" s="1"/>
      <c r="H325" s="1"/>
      <c r="I325" s="1">
        <v>0</v>
      </c>
    </row>
    <row r="326" spans="1:9" x14ac:dyDescent="0.3">
      <c r="A326" s="183" t="s">
        <v>612</v>
      </c>
      <c r="B326" s="241">
        <v>0</v>
      </c>
      <c r="C326" s="241">
        <v>0</v>
      </c>
      <c r="D326" s="241">
        <v>0</v>
      </c>
      <c r="E326" s="241">
        <v>0</v>
      </c>
      <c r="F326" s="241">
        <v>0</v>
      </c>
      <c r="G326" s="241">
        <v>0</v>
      </c>
      <c r="H326" s="241"/>
      <c r="I326" s="242">
        <v>0</v>
      </c>
    </row>
    <row r="327" spans="1:9" x14ac:dyDescent="0.3">
      <c r="A327" s="154" t="s">
        <v>613</v>
      </c>
      <c r="B327" s="241">
        <v>4982.6110219368647</v>
      </c>
      <c r="C327" s="241">
        <v>15758.426966292136</v>
      </c>
      <c r="D327" s="241">
        <v>16073.595505617977</v>
      </c>
      <c r="E327" s="241">
        <v>16395.06741573034</v>
      </c>
      <c r="F327" s="241">
        <v>16722.968764044941</v>
      </c>
      <c r="G327" s="241">
        <v>9525.5767531300171</v>
      </c>
      <c r="H327" s="241">
        <v>0</v>
      </c>
      <c r="I327" s="241">
        <v>79458.246426752274</v>
      </c>
    </row>
    <row r="328" spans="1:9" x14ac:dyDescent="0.3">
      <c r="A328" s="254" t="s">
        <v>614</v>
      </c>
      <c r="B328" s="1"/>
      <c r="C328" s="1"/>
      <c r="D328" s="1"/>
      <c r="E328" s="1"/>
      <c r="F328" s="1"/>
      <c r="G328" s="1"/>
      <c r="H328" s="1"/>
      <c r="I328" s="1">
        <v>0</v>
      </c>
    </row>
    <row r="329" spans="1:9" x14ac:dyDescent="0.3">
      <c r="A329" s="254"/>
      <c r="B329" s="1"/>
      <c r="C329" s="1"/>
      <c r="D329" s="1"/>
      <c r="E329" s="1"/>
      <c r="F329" s="1"/>
      <c r="G329" s="1"/>
      <c r="H329" s="1"/>
      <c r="I329" s="1">
        <v>0</v>
      </c>
    </row>
    <row r="330" spans="1:9" x14ac:dyDescent="0.3">
      <c r="A330" t="s">
        <v>573</v>
      </c>
      <c r="B330" s="1">
        <v>2918.227215980025</v>
      </c>
      <c r="C330" s="1">
        <v>17859.550561797754</v>
      </c>
      <c r="D330" s="1">
        <v>18216.741573033705</v>
      </c>
      <c r="E330" s="1">
        <v>18581.076404494386</v>
      </c>
      <c r="F330" s="1">
        <v>18952.697932584269</v>
      </c>
      <c r="G330" s="1">
        <v>9665.8759456179796</v>
      </c>
      <c r="H330" s="1"/>
      <c r="I330" s="1">
        <v>86194.169633508121</v>
      </c>
    </row>
    <row r="331" spans="1:9" x14ac:dyDescent="0.3">
      <c r="A331" t="s">
        <v>27</v>
      </c>
      <c r="B331" s="1">
        <v>3476.1235955056186</v>
      </c>
      <c r="C331" s="1">
        <v>2363.7640449438204</v>
      </c>
      <c r="D331" s="1">
        <v>2411.0393258426966</v>
      </c>
      <c r="E331" s="1">
        <v>2459.2601123595505</v>
      </c>
      <c r="F331" s="1">
        <v>2508.4453146067412</v>
      </c>
      <c r="G331" s="1">
        <v>2558.6142208988763</v>
      </c>
      <c r="H331" s="1"/>
      <c r="I331" s="1">
        <v>15777.246614157304</v>
      </c>
    </row>
    <row r="332" spans="1:9" x14ac:dyDescent="0.3">
      <c r="A332" s="183" t="s">
        <v>615</v>
      </c>
      <c r="B332" s="241">
        <v>6394.3508114856431</v>
      </c>
      <c r="C332" s="241">
        <v>20223.314606741573</v>
      </c>
      <c r="D332" s="241">
        <v>20627.780898876401</v>
      </c>
      <c r="E332" s="241">
        <v>21040.336516853939</v>
      </c>
      <c r="F332" s="241">
        <v>21461.143247191012</v>
      </c>
      <c r="G332" s="241">
        <v>12224.490166516856</v>
      </c>
      <c r="H332" s="241"/>
      <c r="I332" s="242">
        <v>101971.41624766543</v>
      </c>
    </row>
    <row r="333" spans="1:9" x14ac:dyDescent="0.3">
      <c r="B333" s="1"/>
      <c r="C333" s="1"/>
      <c r="D333" s="1"/>
      <c r="E333" s="1"/>
      <c r="F333" s="1"/>
      <c r="G333" s="1"/>
      <c r="H333" s="1"/>
      <c r="I333" s="1">
        <v>0</v>
      </c>
    </row>
    <row r="334" spans="1:9" x14ac:dyDescent="0.3">
      <c r="A334" t="s">
        <v>573</v>
      </c>
      <c r="B334" s="1">
        <v>2387.6404494382023</v>
      </c>
      <c r="C334" s="1">
        <v>14612.359550561798</v>
      </c>
      <c r="D334" s="1">
        <v>14904.606741573032</v>
      </c>
      <c r="E334" s="1">
        <v>15202.698876404495</v>
      </c>
      <c r="F334" s="1">
        <v>15506.752853932581</v>
      </c>
      <c r="G334" s="1">
        <v>7908.4439555056188</v>
      </c>
      <c r="H334" s="1"/>
      <c r="I334" s="1">
        <v>70522.502427415733</v>
      </c>
    </row>
    <row r="335" spans="1:9" x14ac:dyDescent="0.3">
      <c r="A335" t="s">
        <v>27</v>
      </c>
      <c r="B335" s="1">
        <v>2844.1011235955057</v>
      </c>
      <c r="C335" s="1">
        <v>1933.9887640449435</v>
      </c>
      <c r="D335" s="1">
        <v>1972.6685393258426</v>
      </c>
      <c r="E335" s="1">
        <v>2012.1219101123595</v>
      </c>
      <c r="F335" s="1">
        <v>2052.3643483146061</v>
      </c>
      <c r="G335" s="1">
        <v>2093.4116352808987</v>
      </c>
      <c r="H335" s="1"/>
      <c r="I335" s="1">
        <v>12908.656320674156</v>
      </c>
    </row>
    <row r="336" spans="1:9" x14ac:dyDescent="0.3">
      <c r="A336" s="183" t="s">
        <v>616</v>
      </c>
      <c r="B336" s="241">
        <v>5231.7415730337079</v>
      </c>
      <c r="C336" s="241">
        <v>16546.348314606741</v>
      </c>
      <c r="D336" s="241">
        <v>16877.275280898873</v>
      </c>
      <c r="E336" s="241">
        <v>17214.820786516855</v>
      </c>
      <c r="F336" s="241">
        <v>17559.117202247187</v>
      </c>
      <c r="G336" s="241">
        <v>10001.855590786517</v>
      </c>
      <c r="H336" s="241"/>
      <c r="I336" s="242">
        <v>83431.158748089889</v>
      </c>
    </row>
    <row r="337" spans="1:16" x14ac:dyDescent="0.3">
      <c r="B337" s="1"/>
      <c r="C337" s="1"/>
      <c r="D337" s="1"/>
      <c r="E337" s="1"/>
      <c r="F337" s="1"/>
      <c r="G337" s="1"/>
      <c r="H337" s="1"/>
      <c r="I337" s="1">
        <v>0</v>
      </c>
    </row>
    <row r="338" spans="1:16" x14ac:dyDescent="0.3">
      <c r="A338" t="s">
        <v>573</v>
      </c>
      <c r="B338" s="1"/>
      <c r="C338" s="1"/>
      <c r="D338" s="1"/>
      <c r="E338" s="1"/>
      <c r="F338" s="1"/>
      <c r="G338" s="1"/>
      <c r="H338" s="1"/>
      <c r="I338" s="1">
        <v>0</v>
      </c>
    </row>
    <row r="339" spans="1:16" x14ac:dyDescent="0.3">
      <c r="A339" t="s">
        <v>27</v>
      </c>
      <c r="B339" s="1"/>
      <c r="C339" s="1"/>
      <c r="D339" s="1"/>
      <c r="E339" s="1"/>
      <c r="F339" s="1"/>
      <c r="G339" s="1"/>
      <c r="H339" s="1"/>
      <c r="I339" s="1">
        <v>0</v>
      </c>
    </row>
    <row r="340" spans="1:16" x14ac:dyDescent="0.3">
      <c r="A340" s="183" t="s">
        <v>617</v>
      </c>
      <c r="B340" s="241">
        <v>0</v>
      </c>
      <c r="C340" s="241">
        <v>0</v>
      </c>
      <c r="D340" s="241">
        <v>0</v>
      </c>
      <c r="E340" s="241">
        <v>0</v>
      </c>
      <c r="F340" s="241">
        <v>0</v>
      </c>
      <c r="G340" s="241">
        <v>0</v>
      </c>
      <c r="H340" s="241"/>
      <c r="I340" s="242">
        <v>0</v>
      </c>
    </row>
    <row r="341" spans="1:16" ht="14.55" thickBot="1" x14ac:dyDescent="0.35">
      <c r="A341" s="256" t="s">
        <v>618</v>
      </c>
      <c r="B341" s="59">
        <v>11626.09238451935</v>
      </c>
      <c r="C341" s="59">
        <v>36769.66292134831</v>
      </c>
      <c r="D341" s="59">
        <v>37505.056179775274</v>
      </c>
      <c r="E341" s="59">
        <v>38255.157303370797</v>
      </c>
      <c r="F341" s="59">
        <v>39020.260449438196</v>
      </c>
      <c r="G341" s="59">
        <v>22226.345757303374</v>
      </c>
      <c r="H341" s="59"/>
      <c r="I341" s="59">
        <v>185402.57499575533</v>
      </c>
    </row>
    <row r="342" spans="1:16" ht="14.55" thickBot="1" x14ac:dyDescent="0.35">
      <c r="A342" s="258" t="s">
        <v>619</v>
      </c>
      <c r="B342" s="260">
        <v>16608.703406456214</v>
      </c>
      <c r="C342" s="260">
        <v>52528.089887640446</v>
      </c>
      <c r="D342" s="260">
        <v>53578.651685393255</v>
      </c>
      <c r="E342" s="260">
        <v>54650.224719101141</v>
      </c>
      <c r="F342" s="260">
        <v>55743.229213483137</v>
      </c>
      <c r="G342" s="260">
        <v>31751.922510433389</v>
      </c>
      <c r="H342" s="260"/>
      <c r="I342" s="260">
        <v>264860.82142250764</v>
      </c>
    </row>
    <row r="343" spans="1:16" x14ac:dyDescent="0.3">
      <c r="D343"/>
      <c r="I343" s="1"/>
    </row>
    <row r="344" spans="1:16" x14ac:dyDescent="0.3">
      <c r="A344" s="174" t="s">
        <v>655</v>
      </c>
      <c r="B344" s="272" t="s">
        <v>379</v>
      </c>
      <c r="C344" s="272"/>
      <c r="D344" s="272" t="s">
        <v>380</v>
      </c>
      <c r="E344" s="272"/>
      <c r="F344" s="272" t="s">
        <v>381</v>
      </c>
      <c r="G344" s="272"/>
      <c r="H344" s="272" t="s">
        <v>382</v>
      </c>
      <c r="I344" s="272"/>
      <c r="J344" s="31" t="s">
        <v>383</v>
      </c>
      <c r="K344" s="31"/>
      <c r="L344" s="31" t="s">
        <v>457</v>
      </c>
      <c r="N344" t="s">
        <v>368</v>
      </c>
    </row>
    <row r="345" spans="1:16" x14ac:dyDescent="0.3">
      <c r="B345" s="272" t="s">
        <v>642</v>
      </c>
      <c r="C345" s="272" t="s">
        <v>641</v>
      </c>
      <c r="D345" s="272" t="s">
        <v>642</v>
      </c>
      <c r="E345" s="272" t="s">
        <v>641</v>
      </c>
      <c r="F345" s="272" t="s">
        <v>642</v>
      </c>
      <c r="G345" s="272" t="s">
        <v>641</v>
      </c>
      <c r="H345" s="272" t="s">
        <v>642</v>
      </c>
      <c r="I345" s="272" t="s">
        <v>641</v>
      </c>
      <c r="J345" s="272" t="s">
        <v>642</v>
      </c>
      <c r="K345" s="272" t="s">
        <v>641</v>
      </c>
      <c r="L345" s="272" t="s">
        <v>642</v>
      </c>
      <c r="M345" s="272" t="s">
        <v>641</v>
      </c>
    </row>
    <row r="346" spans="1:16" x14ac:dyDescent="0.3">
      <c r="A346" s="270" t="s">
        <v>635</v>
      </c>
      <c r="B346" s="271">
        <v>4</v>
      </c>
      <c r="C346" s="271">
        <v>1894.9527376493668</v>
      </c>
      <c r="D346" s="271">
        <v>24</v>
      </c>
      <c r="E346" s="271">
        <v>1932.8517924023542</v>
      </c>
      <c r="F346" s="271">
        <v>24</v>
      </c>
      <c r="G346" s="271">
        <v>1971.5088282504012</v>
      </c>
      <c r="H346" s="271">
        <v>24</v>
      </c>
      <c r="I346" s="271">
        <v>2010.9390048154094</v>
      </c>
      <c r="J346" s="271">
        <v>24</v>
      </c>
      <c r="K346" s="271">
        <v>2051.1577849117175</v>
      </c>
      <c r="L346" s="271">
        <v>12</v>
      </c>
      <c r="M346" s="271">
        <v>2092.1809406099519</v>
      </c>
      <c r="N346" s="191">
        <f>B346*C346+D346*E346+F346*G346+H346*I346+J346*K346+L346*M346</f>
        <v>223880.96008703407</v>
      </c>
      <c r="P346" t="s">
        <v>775</v>
      </c>
    </row>
    <row r="347" spans="1:16" x14ac:dyDescent="0.3">
      <c r="A347" s="270" t="s">
        <v>636</v>
      </c>
      <c r="B347" s="271">
        <v>3</v>
      </c>
      <c r="C347" s="271">
        <v>2006.4205457463884</v>
      </c>
      <c r="D347" s="271"/>
      <c r="E347" s="271"/>
      <c r="F347" s="271"/>
      <c r="G347" s="271"/>
      <c r="H347" s="271"/>
      <c r="I347" s="271"/>
      <c r="N347" s="191">
        <f t="shared" ref="N347:N349" si="143">B347*C347+D347*E347+F347*G347+H347*I347+J347*K347+L347*M347</f>
        <v>6019.2616372391649</v>
      </c>
      <c r="P347" t="s">
        <v>647</v>
      </c>
    </row>
    <row r="348" spans="1:16" x14ac:dyDescent="0.3">
      <c r="A348" s="270" t="s">
        <v>637</v>
      </c>
      <c r="B348" s="271">
        <f>3*6</f>
        <v>18</v>
      </c>
      <c r="C348" s="271">
        <v>55.733904048510787</v>
      </c>
      <c r="D348" s="271">
        <f>3*12</f>
        <v>36</v>
      </c>
      <c r="E348" s="271">
        <v>56.848582129481002</v>
      </c>
      <c r="F348" s="271">
        <f>3*12</f>
        <v>36</v>
      </c>
      <c r="G348" s="271">
        <v>57.985553772070624</v>
      </c>
      <c r="H348" s="271">
        <f>3*12</f>
        <v>36</v>
      </c>
      <c r="I348" s="271">
        <v>59.145264847512038</v>
      </c>
      <c r="J348" s="271">
        <f>3*12</f>
        <v>36</v>
      </c>
      <c r="K348" s="271">
        <v>60.328170144462277</v>
      </c>
      <c r="L348" s="271">
        <f>3*12</f>
        <v>36</v>
      </c>
      <c r="M348" s="271">
        <v>61.534733547351529</v>
      </c>
      <c r="N348" s="191">
        <f t="shared" si="143"/>
        <v>11653.533232744783</v>
      </c>
      <c r="P348" t="s">
        <v>648</v>
      </c>
    </row>
    <row r="349" spans="1:16" x14ac:dyDescent="0.3">
      <c r="A349" s="270" t="s">
        <v>638</v>
      </c>
      <c r="B349" s="271">
        <f>3*6</f>
        <v>18</v>
      </c>
      <c r="C349" s="271">
        <v>111.46780809702157</v>
      </c>
      <c r="D349" s="271">
        <f>3*12</f>
        <v>36</v>
      </c>
      <c r="E349" s="271">
        <v>113.697164258962</v>
      </c>
      <c r="F349" s="271">
        <f>3*12</f>
        <v>36</v>
      </c>
      <c r="G349" s="271">
        <v>115.97110754414125</v>
      </c>
      <c r="H349" s="271">
        <f>3*12</f>
        <v>36</v>
      </c>
      <c r="I349" s="271">
        <v>118.29052969502408</v>
      </c>
      <c r="J349" s="271">
        <f>3*12</f>
        <v>36</v>
      </c>
      <c r="K349" s="271">
        <v>120.65634028892455</v>
      </c>
      <c r="L349" s="271">
        <f>3*12</f>
        <v>36</v>
      </c>
      <c r="M349" s="271">
        <v>123.06946709470306</v>
      </c>
      <c r="N349" s="191">
        <f t="shared" si="143"/>
        <v>23307.066465489566</v>
      </c>
      <c r="P349" t="s">
        <v>648</v>
      </c>
    </row>
    <row r="350" spans="1:16" x14ac:dyDescent="0.3">
      <c r="D350"/>
      <c r="I350" s="1"/>
      <c r="N350" s="191">
        <f>SUM(N346:N349)</f>
        <v>264860.82142250758</v>
      </c>
    </row>
    <row r="351" spans="1:16" x14ac:dyDescent="0.3">
      <c r="D351"/>
      <c r="I351" s="1"/>
    </row>
    <row r="352" spans="1:16" x14ac:dyDescent="0.3">
      <c r="A352" s="174" t="s">
        <v>620</v>
      </c>
      <c r="D352"/>
      <c r="I352" s="1"/>
    </row>
    <row r="353" spans="1:10" x14ac:dyDescent="0.3">
      <c r="A353" s="254" t="s">
        <v>621</v>
      </c>
      <c r="D353"/>
      <c r="I353" s="1"/>
    </row>
    <row r="354" spans="1:10" x14ac:dyDescent="0.3">
      <c r="A354" s="254"/>
      <c r="D354"/>
      <c r="I354" s="1"/>
    </row>
    <row r="355" spans="1:10" x14ac:dyDescent="0.3">
      <c r="A355" t="s">
        <v>573</v>
      </c>
      <c r="D355"/>
      <c r="I355" s="1">
        <v>0</v>
      </c>
    </row>
    <row r="356" spans="1:10" x14ac:dyDescent="0.3">
      <c r="A356" t="s">
        <v>27</v>
      </c>
      <c r="D356"/>
      <c r="I356" s="1">
        <v>0</v>
      </c>
    </row>
    <row r="357" spans="1:10" x14ac:dyDescent="0.3">
      <c r="A357" s="183" t="s">
        <v>622</v>
      </c>
      <c r="B357" s="162"/>
      <c r="C357" s="162"/>
      <c r="D357" s="162"/>
      <c r="E357" s="162"/>
      <c r="F357" s="162"/>
      <c r="G357" s="162"/>
      <c r="H357" s="162"/>
      <c r="I357" s="242">
        <v>0</v>
      </c>
    </row>
    <row r="358" spans="1:10" ht="14.55" thickBot="1" x14ac:dyDescent="0.35">
      <c r="A358" s="256" t="s">
        <v>623</v>
      </c>
      <c r="B358" s="261"/>
      <c r="C358" s="261"/>
      <c r="D358" s="261"/>
      <c r="E358" s="261"/>
      <c r="F358" s="261"/>
      <c r="G358" s="261"/>
      <c r="H358" s="261"/>
      <c r="I358" s="60">
        <v>0</v>
      </c>
    </row>
    <row r="359" spans="1:10" ht="14.55" thickBot="1" x14ac:dyDescent="0.35">
      <c r="A359" s="258" t="s">
        <v>624</v>
      </c>
      <c r="B359" s="262"/>
      <c r="C359" s="262"/>
      <c r="D359" s="262"/>
      <c r="E359" s="262"/>
      <c r="F359" s="262"/>
      <c r="G359" s="262"/>
      <c r="H359" s="262"/>
      <c r="I359" s="263">
        <v>0</v>
      </c>
    </row>
    <row r="360" spans="1:10" x14ac:dyDescent="0.3">
      <c r="D360"/>
    </row>
    <row r="361" spans="1:10" x14ac:dyDescent="0.3">
      <c r="A361" s="31" t="s">
        <v>625</v>
      </c>
      <c r="B361" s="229">
        <v>129859.99643303014</v>
      </c>
      <c r="C361" s="229">
        <v>169863.56340288924</v>
      </c>
      <c r="D361" s="229">
        <v>173260.83467094702</v>
      </c>
      <c r="E361" s="229">
        <v>176726.05136436599</v>
      </c>
      <c r="F361" s="229">
        <v>180260.57239165326</v>
      </c>
      <c r="G361" s="229">
        <v>108547.26997752811</v>
      </c>
      <c r="H361" s="229"/>
      <c r="I361" s="223">
        <v>938518.28824041388</v>
      </c>
    </row>
    <row r="364" spans="1:10" x14ac:dyDescent="0.3">
      <c r="A364" s="174" t="s">
        <v>656</v>
      </c>
    </row>
    <row r="366" spans="1:10" x14ac:dyDescent="0.3">
      <c r="A366" t="s">
        <v>626</v>
      </c>
    </row>
    <row r="368" spans="1:10" x14ac:dyDescent="0.3">
      <c r="A368" t="s">
        <v>573</v>
      </c>
      <c r="B368" s="1">
        <v>26529.338327091136</v>
      </c>
      <c r="C368" s="1">
        <v>139165.32905296949</v>
      </c>
      <c r="D368" s="1">
        <v>141948.63563402888</v>
      </c>
      <c r="E368" s="1">
        <v>144787.60834670949</v>
      </c>
      <c r="F368" s="1">
        <v>147683.36051364365</v>
      </c>
      <c r="G368" s="1">
        <v>75318.513861958272</v>
      </c>
      <c r="I368" s="68">
        <f>SUM(B368:H368)</f>
        <v>675432.78573640098</v>
      </c>
      <c r="J368" t="s">
        <v>777</v>
      </c>
    </row>
    <row r="369" spans="1:10" x14ac:dyDescent="0.3">
      <c r="A369" t="s">
        <v>627</v>
      </c>
      <c r="B369" s="1">
        <v>88282.504012841076</v>
      </c>
      <c r="C369" s="1">
        <v>0</v>
      </c>
      <c r="D369" s="1">
        <v>0</v>
      </c>
      <c r="E369" s="1">
        <v>0</v>
      </c>
      <c r="F369" s="1">
        <v>0</v>
      </c>
      <c r="G369" s="1">
        <v>0</v>
      </c>
      <c r="I369" s="68">
        <f>SUM(B369:H369)</f>
        <v>88282.504012841076</v>
      </c>
      <c r="J369" t="s">
        <v>628</v>
      </c>
    </row>
    <row r="370" spans="1:10" x14ac:dyDescent="0.3">
      <c r="A370" t="s">
        <v>629</v>
      </c>
      <c r="B370" s="1">
        <v>5016.0513643659715</v>
      </c>
      <c r="C370" s="1">
        <v>10232.74478330658</v>
      </c>
      <c r="D370" s="1">
        <v>10437.399678972712</v>
      </c>
      <c r="E370" s="1">
        <v>10646.147672552168</v>
      </c>
      <c r="F370" s="1">
        <v>10859.070626003209</v>
      </c>
      <c r="G370" s="1">
        <v>11076.252038523275</v>
      </c>
      <c r="I370" s="68">
        <f>SUM(B370:H370)</f>
        <v>58267.666163723916</v>
      </c>
      <c r="J370" t="s">
        <v>630</v>
      </c>
    </row>
    <row r="371" spans="1:10" x14ac:dyDescent="0.3">
      <c r="A371" t="s">
        <v>631</v>
      </c>
      <c r="B371" s="1">
        <v>10032.102728731943</v>
      </c>
      <c r="C371" s="1">
        <v>20465.48956661316</v>
      </c>
      <c r="D371" s="1">
        <v>20874.799357945423</v>
      </c>
      <c r="E371" s="1">
        <v>21292.295345104336</v>
      </c>
      <c r="F371" s="1">
        <v>21718.141252006419</v>
      </c>
      <c r="G371" s="1">
        <v>22152.504077046549</v>
      </c>
      <c r="I371" s="68">
        <f>SUM(B371:H371)</f>
        <v>116535.33232744783</v>
      </c>
      <c r="J371" t="s">
        <v>632</v>
      </c>
    </row>
    <row r="373" spans="1:10" x14ac:dyDescent="0.3">
      <c r="B373" s="229">
        <f t="shared" ref="B373:I373" si="144">SUM(B368:B372)</f>
        <v>129859.99643303013</v>
      </c>
      <c r="C373" s="229">
        <f t="shared" si="144"/>
        <v>169863.56340288924</v>
      </c>
      <c r="D373" s="229">
        <f t="shared" si="144"/>
        <v>173260.83467094702</v>
      </c>
      <c r="E373" s="229">
        <f t="shared" si="144"/>
        <v>176726.05136436599</v>
      </c>
      <c r="F373" s="229">
        <f t="shared" si="144"/>
        <v>180260.57239165326</v>
      </c>
      <c r="G373" s="229">
        <f t="shared" si="144"/>
        <v>108547.26997752811</v>
      </c>
      <c r="H373" s="229">
        <f t="shared" si="144"/>
        <v>0</v>
      </c>
      <c r="I373" s="229">
        <f t="shared" si="144"/>
        <v>938518.28824041376</v>
      </c>
    </row>
  </sheetData>
  <mergeCells count="49">
    <mergeCell ref="F148:K148"/>
    <mergeCell ref="F47:K47"/>
    <mergeCell ref="F137:K137"/>
    <mergeCell ref="AX17:BC17"/>
    <mergeCell ref="BE17:BJ17"/>
    <mergeCell ref="BE92:BJ92"/>
    <mergeCell ref="AL72:AQ72"/>
    <mergeCell ref="AR72:AW72"/>
    <mergeCell ref="F92:K92"/>
    <mergeCell ref="L92:Q92"/>
    <mergeCell ref="R92:W92"/>
    <mergeCell ref="Y92:AD92"/>
    <mergeCell ref="AE92:AJ92"/>
    <mergeCell ref="AK92:AP92"/>
    <mergeCell ref="AR92:AW92"/>
    <mergeCell ref="F72:K72"/>
    <mergeCell ref="L72:Q72"/>
    <mergeCell ref="S72:X72"/>
    <mergeCell ref="Y72:AD72"/>
    <mergeCell ref="AE72:AJ72"/>
    <mergeCell ref="BQ17:BV17"/>
    <mergeCell ref="BK17:BP17"/>
    <mergeCell ref="F33:K33"/>
    <mergeCell ref="L33:Q33"/>
    <mergeCell ref="R33:W33"/>
    <mergeCell ref="Y33:AD33"/>
    <mergeCell ref="AE33:AJ33"/>
    <mergeCell ref="AR3:AW3"/>
    <mergeCell ref="F17:K17"/>
    <mergeCell ref="L17:Q17"/>
    <mergeCell ref="R17:W17"/>
    <mergeCell ref="Y17:AD17"/>
    <mergeCell ref="AE17:AJ17"/>
    <mergeCell ref="AK17:AP17"/>
    <mergeCell ref="AR17:AW17"/>
    <mergeCell ref="F3:K3"/>
    <mergeCell ref="L3:Q3"/>
    <mergeCell ref="S3:X3"/>
    <mergeCell ref="Y3:AD3"/>
    <mergeCell ref="AE3:AJ3"/>
    <mergeCell ref="AL3:AQ3"/>
    <mergeCell ref="BK92:BP92"/>
    <mergeCell ref="BQ92:BV92"/>
    <mergeCell ref="F116:K116"/>
    <mergeCell ref="L116:Q116"/>
    <mergeCell ref="R116:W116"/>
    <mergeCell ref="Y116:AD116"/>
    <mergeCell ref="AE116:AJ116"/>
    <mergeCell ref="AX92:BC92"/>
  </mergeCells>
  <pageMargins left="0.7" right="0.7" top="0.75" bottom="0.75" header="0.3" footer="0.3"/>
  <pageSetup paperSize="9" orientation="portrait" horizontalDpi="4294967293" verticalDpi="0" r:id="rId1"/>
  <ignoredErrors>
    <ignoredError sqref="B17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37542-3C82-495D-A3DE-C3A6B523FA44}">
  <dimension ref="A1:AF174"/>
  <sheetViews>
    <sheetView tabSelected="1" zoomScale="50" zoomScaleNormal="50" workbookViewId="0">
      <pane xSplit="4" ySplit="2" topLeftCell="E72" activePane="bottomRight" state="frozen"/>
      <selection pane="topRight" activeCell="E1" sqref="E1"/>
      <selection pane="bottomLeft" activeCell="A2" sqref="A2"/>
      <selection pane="bottomRight" activeCell="J171" sqref="J171"/>
    </sheetView>
  </sheetViews>
  <sheetFormatPr defaultColWidth="8.796875" defaultRowHeight="14" x14ac:dyDescent="0.3"/>
  <cols>
    <col min="1" max="1" width="8.796875" style="277"/>
    <col min="2" max="2" width="33.5" style="278" customWidth="1"/>
    <col min="3" max="3" width="12.296875" style="277" bestFit="1" customWidth="1"/>
    <col min="4" max="4" width="23" style="24" customWidth="1"/>
    <col min="5" max="5" width="15.19921875" style="113" customWidth="1"/>
    <col min="6" max="6" width="15.19921875" style="24" customWidth="1"/>
    <col min="7" max="8" width="15.19921875" style="113" customWidth="1"/>
    <col min="9" max="9" width="15.19921875" style="24" customWidth="1"/>
    <col min="10" max="11" width="15.19921875" style="113" customWidth="1"/>
    <col min="12" max="12" width="15.19921875" style="24" customWidth="1"/>
    <col min="13" max="14" width="15.19921875" style="113" customWidth="1"/>
    <col min="15" max="15" width="15.19921875" style="24" customWidth="1"/>
    <col min="16" max="17" width="15.19921875" style="113" customWidth="1"/>
    <col min="18" max="18" width="15.19921875" style="24" customWidth="1"/>
    <col min="19" max="20" width="15.19921875" style="113" customWidth="1"/>
    <col min="21" max="21" width="15.19921875" style="24" customWidth="1"/>
    <col min="22" max="23" width="15.19921875" style="113" customWidth="1"/>
    <col min="24" max="24" width="15.19921875" style="279" customWidth="1"/>
    <col min="25" max="25" width="3" style="279" customWidth="1"/>
    <col min="26" max="26" width="10.796875" bestFit="1" customWidth="1"/>
    <col min="27" max="27" width="10.796875" customWidth="1"/>
    <col min="28" max="28" width="11" bestFit="1" customWidth="1"/>
    <col min="29" max="29" width="10.796875" bestFit="1" customWidth="1"/>
    <col min="30" max="30" width="11" bestFit="1" customWidth="1"/>
    <col min="31" max="31" width="10.796875" bestFit="1" customWidth="1"/>
    <col min="32" max="32" width="12.296875" bestFit="1" customWidth="1"/>
  </cols>
  <sheetData>
    <row r="1" spans="1:32" x14ac:dyDescent="0.3">
      <c r="E1" s="353" t="s">
        <v>379</v>
      </c>
      <c r="F1" s="354"/>
      <c r="G1" s="354"/>
      <c r="H1" s="353" t="s">
        <v>380</v>
      </c>
      <c r="I1" s="354"/>
      <c r="J1" s="355"/>
      <c r="K1" s="353" t="s">
        <v>381</v>
      </c>
      <c r="L1" s="354"/>
      <c r="M1" s="355"/>
      <c r="N1" s="354" t="s">
        <v>382</v>
      </c>
      <c r="O1" s="354"/>
      <c r="P1" s="354"/>
      <c r="Q1" s="353" t="s">
        <v>383</v>
      </c>
      <c r="R1" s="354"/>
      <c r="S1" s="355"/>
      <c r="T1" s="354" t="s">
        <v>457</v>
      </c>
      <c r="U1" s="354"/>
      <c r="V1" s="354"/>
      <c r="W1" s="351" t="s">
        <v>368</v>
      </c>
      <c r="Z1" s="325" t="s">
        <v>671</v>
      </c>
      <c r="AA1" s="326"/>
      <c r="AB1" s="326"/>
      <c r="AC1" s="326"/>
      <c r="AD1" s="326"/>
      <c r="AE1" s="326"/>
      <c r="AF1" s="327"/>
    </row>
    <row r="2" spans="1:32" x14ac:dyDescent="0.3">
      <c r="A2" s="280" t="s">
        <v>6</v>
      </c>
      <c r="B2" s="281" t="s">
        <v>384</v>
      </c>
      <c r="C2" s="280" t="s">
        <v>672</v>
      </c>
      <c r="D2" s="128" t="s">
        <v>673</v>
      </c>
      <c r="E2" s="282" t="s">
        <v>674</v>
      </c>
      <c r="F2" s="29" t="s">
        <v>642</v>
      </c>
      <c r="G2" s="282" t="s">
        <v>368</v>
      </c>
      <c r="H2" s="283" t="s">
        <v>674</v>
      </c>
      <c r="I2" s="29" t="s">
        <v>642</v>
      </c>
      <c r="J2" s="284" t="s">
        <v>368</v>
      </c>
      <c r="K2" s="283" t="s">
        <v>674</v>
      </c>
      <c r="L2" s="29" t="s">
        <v>642</v>
      </c>
      <c r="M2" s="284" t="s">
        <v>368</v>
      </c>
      <c r="N2" s="282" t="s">
        <v>674</v>
      </c>
      <c r="O2" s="29" t="s">
        <v>642</v>
      </c>
      <c r="P2" s="282" t="s">
        <v>368</v>
      </c>
      <c r="Q2" s="283" t="s">
        <v>674</v>
      </c>
      <c r="R2" s="29" t="s">
        <v>642</v>
      </c>
      <c r="S2" s="284" t="s">
        <v>368</v>
      </c>
      <c r="T2" s="282" t="s">
        <v>674</v>
      </c>
      <c r="U2" s="29" t="s">
        <v>642</v>
      </c>
      <c r="V2" s="282" t="s">
        <v>368</v>
      </c>
      <c r="W2" s="352"/>
      <c r="X2" s="29" t="s">
        <v>675</v>
      </c>
      <c r="Y2" s="128"/>
      <c r="Z2" s="31" t="s">
        <v>379</v>
      </c>
      <c r="AA2" s="31" t="s">
        <v>380</v>
      </c>
      <c r="AB2" s="31" t="s">
        <v>381</v>
      </c>
      <c r="AC2" s="31" t="s">
        <v>382</v>
      </c>
      <c r="AD2" s="31" t="s">
        <v>383</v>
      </c>
      <c r="AE2" s="31" t="s">
        <v>457</v>
      </c>
      <c r="AF2" s="31" t="s">
        <v>676</v>
      </c>
    </row>
    <row r="3" spans="1:32" x14ac:dyDescent="0.3">
      <c r="A3" s="346" t="s">
        <v>677</v>
      </c>
      <c r="B3" s="347" t="s">
        <v>27</v>
      </c>
      <c r="C3" s="346" t="s">
        <v>26</v>
      </c>
      <c r="D3" s="24" t="s">
        <v>678</v>
      </c>
      <c r="F3" s="113"/>
      <c r="G3" s="113">
        <f>E3*F3</f>
        <v>0</v>
      </c>
      <c r="H3" s="285">
        <v>917.76350989834134</v>
      </c>
      <c r="I3" s="286">
        <v>261</v>
      </c>
      <c r="J3" s="287">
        <f>H3*I3</f>
        <v>239536.27608346709</v>
      </c>
      <c r="K3" s="285"/>
      <c r="L3" s="286"/>
      <c r="M3" s="287">
        <f>K3*L3</f>
        <v>0</v>
      </c>
      <c r="O3" s="113"/>
      <c r="P3" s="113">
        <f>N3*O3</f>
        <v>0</v>
      </c>
      <c r="Q3" s="285"/>
      <c r="R3" s="286"/>
      <c r="S3" s="287">
        <f>Q3*R3</f>
        <v>0</v>
      </c>
      <c r="U3" s="113"/>
      <c r="V3" s="113">
        <f>T3*U3</f>
        <v>0</v>
      </c>
      <c r="W3" s="303">
        <f>G3+J3+M3+P3+S3+V3</f>
        <v>239536.27608346709</v>
      </c>
      <c r="X3" s="113">
        <f>W3-AF3</f>
        <v>0</v>
      </c>
      <c r="Z3" s="1"/>
      <c r="AA3" s="1">
        <v>239536.27608346709</v>
      </c>
      <c r="AB3" s="1">
        <v>0</v>
      </c>
      <c r="AC3" s="1">
        <v>0</v>
      </c>
      <c r="AD3" s="1">
        <v>0</v>
      </c>
      <c r="AE3" s="1">
        <v>0</v>
      </c>
      <c r="AF3" s="1">
        <f>SUM(Z3:AE3)</f>
        <v>239536.27608346709</v>
      </c>
    </row>
    <row r="4" spans="1:32" x14ac:dyDescent="0.3">
      <c r="A4" s="346"/>
      <c r="B4" s="347"/>
      <c r="C4" s="346"/>
      <c r="D4" s="24" t="s">
        <v>679</v>
      </c>
      <c r="F4" s="113"/>
      <c r="G4" s="113">
        <f t="shared" ref="G4:G120" si="0">E4*F4</f>
        <v>0</v>
      </c>
      <c r="H4" s="285"/>
      <c r="I4" s="286"/>
      <c r="J4" s="287">
        <f t="shared" ref="J4:J120" si="1">H4*I4</f>
        <v>0</v>
      </c>
      <c r="K4" s="285"/>
      <c r="L4" s="286"/>
      <c r="M4" s="287">
        <f t="shared" ref="M4:M116" si="2">K4*L4</f>
        <v>0</v>
      </c>
      <c r="O4" s="113"/>
      <c r="P4" s="113">
        <f t="shared" ref="P4:P116" si="3">N4*O4</f>
        <v>0</v>
      </c>
      <c r="Q4" s="285"/>
      <c r="R4" s="286"/>
      <c r="S4" s="287">
        <f t="shared" ref="S4:S116" si="4">Q4*R4</f>
        <v>0</v>
      </c>
      <c r="U4" s="113"/>
      <c r="V4" s="113">
        <f t="shared" ref="V4:V116" si="5">T4*U4</f>
        <v>0</v>
      </c>
      <c r="W4" s="303">
        <f>AF4</f>
        <v>16452.648475120386</v>
      </c>
      <c r="X4" s="113">
        <f t="shared" ref="X4:X66" si="6">W4-AF4</f>
        <v>0</v>
      </c>
      <c r="Z4" s="1">
        <v>16452.648475120386</v>
      </c>
      <c r="AA4" s="1">
        <v>0</v>
      </c>
      <c r="AB4" s="1">
        <v>0</v>
      </c>
      <c r="AC4" s="1">
        <v>0</v>
      </c>
      <c r="AD4" s="1">
        <v>0</v>
      </c>
      <c r="AE4" s="1">
        <v>0</v>
      </c>
      <c r="AF4" s="1">
        <f t="shared" ref="AF4:AF145" si="7">SUM(Z4:AE4)</f>
        <v>16452.648475120386</v>
      </c>
    </row>
    <row r="5" spans="1:32" x14ac:dyDescent="0.3">
      <c r="A5" s="346"/>
      <c r="B5" s="278" t="s">
        <v>29</v>
      </c>
      <c r="C5" s="277" t="s">
        <v>28</v>
      </c>
      <c r="D5" s="24" t="s">
        <v>680</v>
      </c>
      <c r="E5" s="113">
        <v>2496.8789013732799</v>
      </c>
      <c r="F5" s="113">
        <v>7</v>
      </c>
      <c r="G5" s="113">
        <f t="shared" si="0"/>
        <v>17478.15230961296</v>
      </c>
      <c r="H5" s="285"/>
      <c r="I5" s="286"/>
      <c r="J5" s="287">
        <f t="shared" si="1"/>
        <v>0</v>
      </c>
      <c r="K5" s="285"/>
      <c r="L5" s="286"/>
      <c r="M5" s="287">
        <f t="shared" si="2"/>
        <v>0</v>
      </c>
      <c r="O5" s="113"/>
      <c r="P5" s="113">
        <f t="shared" si="3"/>
        <v>0</v>
      </c>
      <c r="Q5" s="285"/>
      <c r="R5" s="286"/>
      <c r="S5" s="287">
        <f t="shared" si="4"/>
        <v>0</v>
      </c>
      <c r="U5" s="113"/>
      <c r="V5" s="113">
        <f t="shared" si="5"/>
        <v>0</v>
      </c>
      <c r="W5" s="303">
        <f t="shared" ref="W5:W120" si="8">G5+J5+M5+P5+S5+V5</f>
        <v>17478.15230961296</v>
      </c>
      <c r="X5" s="113">
        <f t="shared" si="6"/>
        <v>0</v>
      </c>
      <c r="Z5" s="1">
        <v>17478.152309612982</v>
      </c>
      <c r="AA5" s="1"/>
      <c r="AB5" s="1"/>
      <c r="AC5" s="1"/>
      <c r="AD5" s="1"/>
      <c r="AE5" s="1"/>
      <c r="AF5" s="1">
        <f t="shared" si="7"/>
        <v>17478.152309612982</v>
      </c>
    </row>
    <row r="6" spans="1:32" x14ac:dyDescent="0.3">
      <c r="A6" s="346"/>
      <c r="B6" s="347" t="s">
        <v>31</v>
      </c>
      <c r="C6" s="346" t="s">
        <v>30</v>
      </c>
      <c r="D6" s="24" t="s">
        <v>681</v>
      </c>
      <c r="E6" s="113">
        <v>2051.0076689851971</v>
      </c>
      <c r="F6" s="113">
        <v>30</v>
      </c>
      <c r="G6" s="113">
        <f t="shared" si="0"/>
        <v>61530.230069555917</v>
      </c>
      <c r="H6" s="285"/>
      <c r="I6" s="286"/>
      <c r="J6" s="287">
        <f t="shared" si="1"/>
        <v>0</v>
      </c>
      <c r="K6" s="285"/>
      <c r="L6" s="286"/>
      <c r="M6" s="287">
        <f t="shared" si="2"/>
        <v>0</v>
      </c>
      <c r="O6" s="113"/>
      <c r="P6" s="113">
        <f t="shared" si="3"/>
        <v>0</v>
      </c>
      <c r="Q6" s="285"/>
      <c r="R6" s="286"/>
      <c r="S6" s="287">
        <f t="shared" si="4"/>
        <v>0</v>
      </c>
      <c r="U6" s="113"/>
      <c r="V6" s="113">
        <f t="shared" si="5"/>
        <v>0</v>
      </c>
      <c r="W6" s="303">
        <f t="shared" si="8"/>
        <v>61530.230069555917</v>
      </c>
      <c r="X6" s="113">
        <f t="shared" si="6"/>
        <v>0</v>
      </c>
      <c r="Z6" s="1">
        <f>63804.1733547352-Z7</f>
        <v>61530.230069555961</v>
      </c>
      <c r="AA6" s="1"/>
      <c r="AB6" s="1"/>
      <c r="AC6" s="1"/>
      <c r="AD6" s="1"/>
      <c r="AE6" s="1"/>
      <c r="AF6" s="1">
        <f t="shared" si="7"/>
        <v>61530.230069555961</v>
      </c>
    </row>
    <row r="7" spans="1:32" x14ac:dyDescent="0.3">
      <c r="A7" s="346"/>
      <c r="B7" s="347"/>
      <c r="C7" s="346"/>
      <c r="D7" s="24" t="s">
        <v>682</v>
      </c>
      <c r="F7" s="113"/>
      <c r="G7" s="113">
        <f t="shared" si="0"/>
        <v>0</v>
      </c>
      <c r="H7" s="285"/>
      <c r="I7" s="286"/>
      <c r="J7" s="287">
        <f t="shared" si="1"/>
        <v>0</v>
      </c>
      <c r="K7" s="285"/>
      <c r="L7" s="286"/>
      <c r="M7" s="287">
        <f t="shared" si="2"/>
        <v>0</v>
      </c>
      <c r="O7" s="113"/>
      <c r="P7" s="113">
        <f t="shared" si="3"/>
        <v>0</v>
      </c>
      <c r="Q7" s="285"/>
      <c r="R7" s="286"/>
      <c r="S7" s="287">
        <f t="shared" si="4"/>
        <v>0</v>
      </c>
      <c r="U7" s="113"/>
      <c r="V7" s="113">
        <f t="shared" si="5"/>
        <v>0</v>
      </c>
      <c r="W7" s="303">
        <f>AF7</f>
        <v>2273.9432851792403</v>
      </c>
      <c r="X7" s="113">
        <f t="shared" si="6"/>
        <v>0</v>
      </c>
      <c r="Z7" s="1">
        <v>2273.9432851792403</v>
      </c>
      <c r="AA7" s="1">
        <v>0</v>
      </c>
      <c r="AB7" s="1">
        <v>0</v>
      </c>
      <c r="AC7" s="1">
        <v>0</v>
      </c>
      <c r="AD7" s="1">
        <v>0</v>
      </c>
      <c r="AE7" s="1">
        <v>0</v>
      </c>
      <c r="AF7" s="1">
        <f t="shared" si="7"/>
        <v>2273.9432851792403</v>
      </c>
    </row>
    <row r="8" spans="1:32" ht="29.95" customHeight="1" x14ac:dyDescent="0.3">
      <c r="A8" s="346" t="s">
        <v>683</v>
      </c>
      <c r="B8" s="347" t="s">
        <v>29</v>
      </c>
      <c r="C8" s="346" t="s">
        <v>44</v>
      </c>
      <c r="D8" s="24" t="s">
        <v>684</v>
      </c>
      <c r="E8" s="113">
        <v>2496.8789013732799</v>
      </c>
      <c r="F8" s="113">
        <v>1</v>
      </c>
      <c r="G8" s="113">
        <f t="shared" si="0"/>
        <v>2496.8789013732799</v>
      </c>
      <c r="H8" s="285">
        <f>2546.81647940075</f>
        <v>2546.8164794007498</v>
      </c>
      <c r="I8" s="286">
        <v>1</v>
      </c>
      <c r="J8" s="287">
        <f t="shared" si="1"/>
        <v>2546.8164794007498</v>
      </c>
      <c r="K8" s="285"/>
      <c r="L8" s="286"/>
      <c r="M8" s="287">
        <f t="shared" si="2"/>
        <v>0</v>
      </c>
      <c r="N8" s="113">
        <f>2649.70786516854</f>
        <v>2649.7078651685401</v>
      </c>
      <c r="O8" s="113">
        <v>1</v>
      </c>
      <c r="P8" s="113">
        <f t="shared" si="3"/>
        <v>2649.7078651685401</v>
      </c>
      <c r="Q8" s="285"/>
      <c r="R8" s="286"/>
      <c r="S8" s="287">
        <f t="shared" si="4"/>
        <v>0</v>
      </c>
      <c r="U8" s="113"/>
      <c r="V8" s="113">
        <f t="shared" si="5"/>
        <v>0</v>
      </c>
      <c r="W8" s="303">
        <f t="shared" si="8"/>
        <v>7693.4032459425707</v>
      </c>
      <c r="X8" s="113">
        <f>W8-AF8+W9</f>
        <v>0</v>
      </c>
      <c r="Z8" s="1">
        <v>2496.8789013732835</v>
      </c>
      <c r="AA8" s="1">
        <v>4638.84430176565</v>
      </c>
      <c r="AB8" s="1">
        <v>0</v>
      </c>
      <c r="AC8" s="1">
        <v>4826.2536115569819</v>
      </c>
      <c r="AD8" s="1">
        <v>0</v>
      </c>
      <c r="AE8" s="1">
        <v>0</v>
      </c>
      <c r="AF8" s="1">
        <f t="shared" si="7"/>
        <v>11961.976814695916</v>
      </c>
    </row>
    <row r="9" spans="1:32" x14ac:dyDescent="0.3">
      <c r="A9" s="346"/>
      <c r="B9" s="347"/>
      <c r="C9" s="346"/>
      <c r="D9" s="24" t="s">
        <v>685</v>
      </c>
      <c r="F9" s="113"/>
      <c r="H9" s="285">
        <v>2092.0278223649002</v>
      </c>
      <c r="I9" s="286">
        <v>1</v>
      </c>
      <c r="J9" s="287">
        <f t="shared" si="1"/>
        <v>2092.0278223649002</v>
      </c>
      <c r="K9" s="285"/>
      <c r="L9" s="286"/>
      <c r="M9" s="287">
        <f t="shared" si="2"/>
        <v>0</v>
      </c>
      <c r="N9" s="113">
        <v>2176.54574638844</v>
      </c>
      <c r="O9" s="113">
        <v>1</v>
      </c>
      <c r="P9" s="113">
        <f t="shared" si="3"/>
        <v>2176.54574638844</v>
      </c>
      <c r="Q9" s="285"/>
      <c r="R9" s="286"/>
      <c r="S9" s="287">
        <f t="shared" si="4"/>
        <v>0</v>
      </c>
      <c r="U9" s="113"/>
      <c r="V9" s="113">
        <f t="shared" si="5"/>
        <v>0</v>
      </c>
      <c r="W9" s="303">
        <f t="shared" si="8"/>
        <v>4268.5735687533397</v>
      </c>
      <c r="X9" s="113"/>
      <c r="Z9" s="1"/>
      <c r="AA9" s="1"/>
      <c r="AB9" s="1"/>
      <c r="AC9" s="1"/>
      <c r="AD9" s="1"/>
      <c r="AE9" s="1"/>
      <c r="AF9" s="1"/>
    </row>
    <row r="10" spans="1:32" x14ac:dyDescent="0.3">
      <c r="A10" s="346"/>
      <c r="B10" s="278" t="s">
        <v>27</v>
      </c>
      <c r="C10" s="277" t="s">
        <v>45</v>
      </c>
      <c r="D10" s="24" t="s">
        <v>686</v>
      </c>
      <c r="F10" s="113"/>
      <c r="G10" s="113">
        <f t="shared" si="0"/>
        <v>0</v>
      </c>
      <c r="H10" s="285"/>
      <c r="I10" s="286"/>
      <c r="J10" s="287">
        <f t="shared" si="1"/>
        <v>0</v>
      </c>
      <c r="K10" s="285"/>
      <c r="L10" s="286"/>
      <c r="M10" s="287">
        <f t="shared" si="2"/>
        <v>0</v>
      </c>
      <c r="O10" s="113"/>
      <c r="P10" s="287">
        <f t="shared" si="3"/>
        <v>0</v>
      </c>
      <c r="Q10" s="286"/>
      <c r="R10" s="286"/>
      <c r="S10" s="287">
        <f t="shared" si="4"/>
        <v>0</v>
      </c>
      <c r="U10" s="113"/>
      <c r="V10" s="113">
        <f t="shared" si="5"/>
        <v>0</v>
      </c>
      <c r="W10" s="303">
        <f>AF10</f>
        <v>50533.681946709476</v>
      </c>
      <c r="X10" s="113">
        <f t="shared" si="6"/>
        <v>0</v>
      </c>
      <c r="Z10" s="1">
        <v>16452.648475120386</v>
      </c>
      <c r="AA10" s="1">
        <v>6548.9566613162115</v>
      </c>
      <c r="AB10" s="1">
        <v>6679.9357945425363</v>
      </c>
      <c r="AC10" s="1">
        <v>6813.5345104333883</v>
      </c>
      <c r="AD10" s="1">
        <v>6949.8052006420539</v>
      </c>
      <c r="AE10" s="1">
        <v>7088.8013046548958</v>
      </c>
      <c r="AF10" s="1">
        <f t="shared" si="7"/>
        <v>50533.681946709476</v>
      </c>
    </row>
    <row r="11" spans="1:32" x14ac:dyDescent="0.3">
      <c r="A11" s="346"/>
      <c r="B11" s="347" t="s">
        <v>31</v>
      </c>
      <c r="C11" s="346" t="s">
        <v>46</v>
      </c>
      <c r="D11" s="24" t="s">
        <v>687</v>
      </c>
      <c r="F11" s="113"/>
      <c r="G11" s="113">
        <f t="shared" si="0"/>
        <v>0</v>
      </c>
      <c r="H11" s="285">
        <v>2092.0278223649002</v>
      </c>
      <c r="I11" s="286">
        <v>58</v>
      </c>
      <c r="J11" s="287">
        <f t="shared" si="1"/>
        <v>121337.61369716421</v>
      </c>
      <c r="K11" s="286">
        <v>2133.8683788121998</v>
      </c>
      <c r="L11" s="286">
        <v>29</v>
      </c>
      <c r="M11" s="287">
        <f t="shared" si="2"/>
        <v>61882.182985553794</v>
      </c>
      <c r="N11" s="113">
        <v>2176.54574638844</v>
      </c>
      <c r="O11" s="113">
        <v>58</v>
      </c>
      <c r="P11" s="287">
        <f t="shared" si="3"/>
        <v>126239.65329052952</v>
      </c>
      <c r="Q11" s="286">
        <v>2220.07666131621</v>
      </c>
      <c r="R11" s="286">
        <v>29</v>
      </c>
      <c r="S11" s="287">
        <f t="shared" si="4"/>
        <v>64382.22317817009</v>
      </c>
      <c r="T11" s="113">
        <v>2264.4781945425402</v>
      </c>
      <c r="U11" s="113">
        <v>58</v>
      </c>
      <c r="V11" s="113">
        <f t="shared" si="5"/>
        <v>131339.73528346734</v>
      </c>
      <c r="W11" s="303">
        <f t="shared" si="8"/>
        <v>505181.40843488497</v>
      </c>
      <c r="X11" s="113">
        <f>W11-AF11+W12</f>
        <v>-6.2573235481977463E-10</v>
      </c>
      <c r="Z11" s="1"/>
      <c r="AA11" s="1">
        <f>149170.679507758-AA13</f>
        <v>130615.3023006954</v>
      </c>
      <c r="AB11" s="1">
        <f>90271.9101123595-AB13</f>
        <v>71345.425361155649</v>
      </c>
      <c r="AC11" s="1">
        <f>155197.174959872-AC13</f>
        <v>135892.16051364408</v>
      </c>
      <c r="AD11" s="1">
        <f>93918.8952808989-AD13</f>
        <v>74227.780545746413</v>
      </c>
      <c r="AE11" s="1">
        <f>151424.672313323-AE13</f>
        <v>141382.20379839523</v>
      </c>
      <c r="AF11" s="1">
        <f t="shared" si="7"/>
        <v>553462.87251963676</v>
      </c>
    </row>
    <row r="12" spans="1:32" x14ac:dyDescent="0.3">
      <c r="A12" s="346"/>
      <c r="B12" s="347"/>
      <c r="C12" s="346"/>
      <c r="D12" s="24" t="s">
        <v>688</v>
      </c>
      <c r="F12" s="113"/>
      <c r="G12" s="113">
        <f t="shared" si="0"/>
        <v>0</v>
      </c>
      <c r="H12" s="285">
        <v>1546.2814339218801</v>
      </c>
      <c r="I12" s="286">
        <v>6</v>
      </c>
      <c r="J12" s="287">
        <f t="shared" si="1"/>
        <v>9277.68860353128</v>
      </c>
      <c r="K12" s="286">
        <v>1577.2070626003199</v>
      </c>
      <c r="L12" s="286">
        <v>6</v>
      </c>
      <c r="M12" s="287">
        <f t="shared" si="2"/>
        <v>9463.2423756019198</v>
      </c>
      <c r="N12" s="113">
        <v>1608.75120385233</v>
      </c>
      <c r="O12" s="113">
        <v>6</v>
      </c>
      <c r="P12" s="287">
        <f t="shared" si="3"/>
        <v>9652.5072231139802</v>
      </c>
      <c r="Q12" s="286">
        <v>1640.92622792937</v>
      </c>
      <c r="R12" s="286">
        <v>6</v>
      </c>
      <c r="S12" s="287">
        <f t="shared" si="4"/>
        <v>9845.5573675762207</v>
      </c>
      <c r="T12" s="113">
        <v>1673.7447524879601</v>
      </c>
      <c r="U12" s="113">
        <v>6</v>
      </c>
      <c r="V12" s="113">
        <f t="shared" si="5"/>
        <v>10042.468514927761</v>
      </c>
      <c r="W12" s="303">
        <f t="shared" si="8"/>
        <v>48281.464084751162</v>
      </c>
      <c r="X12" s="113"/>
      <c r="Z12" s="1"/>
      <c r="AA12" s="1"/>
      <c r="AB12" s="1"/>
      <c r="AC12" s="1"/>
      <c r="AD12" s="1"/>
      <c r="AE12" s="1"/>
      <c r="AF12" s="1"/>
    </row>
    <row r="13" spans="1:32" x14ac:dyDescent="0.3">
      <c r="A13" s="346"/>
      <c r="B13" s="347"/>
      <c r="C13" s="346"/>
      <c r="D13" s="24" t="s">
        <v>682</v>
      </c>
      <c r="F13" s="113"/>
      <c r="G13" s="113">
        <f t="shared" si="0"/>
        <v>0</v>
      </c>
      <c r="H13" s="285"/>
      <c r="I13" s="286"/>
      <c r="J13" s="287">
        <f t="shared" si="1"/>
        <v>0</v>
      </c>
      <c r="K13" s="285"/>
      <c r="L13" s="286"/>
      <c r="M13" s="287">
        <f t="shared" si="2"/>
        <v>0</v>
      </c>
      <c r="O13" s="113"/>
      <c r="P13" s="287">
        <f t="shared" si="3"/>
        <v>0</v>
      </c>
      <c r="Q13" s="286"/>
      <c r="R13" s="286"/>
      <c r="S13" s="287">
        <f t="shared" si="4"/>
        <v>0</v>
      </c>
      <c r="U13" s="113"/>
      <c r="V13" s="113">
        <f t="shared" si="5"/>
        <v>0</v>
      </c>
      <c r="W13" s="303">
        <f>AF13</f>
        <v>88794.402939753869</v>
      </c>
      <c r="X13" s="113">
        <f t="shared" si="6"/>
        <v>0</v>
      </c>
      <c r="Z13" s="1">
        <v>2273.9432851792403</v>
      </c>
      <c r="AA13" s="1">
        <v>18555.3772070626</v>
      </c>
      <c r="AB13" s="1">
        <v>18926.48475120385</v>
      </c>
      <c r="AC13" s="1">
        <v>19305.014446227931</v>
      </c>
      <c r="AD13" s="1">
        <v>19691.114735152489</v>
      </c>
      <c r="AE13" s="1">
        <v>10042.46851492777</v>
      </c>
      <c r="AF13" s="1">
        <f t="shared" si="7"/>
        <v>88794.402939753869</v>
      </c>
    </row>
    <row r="14" spans="1:32" x14ac:dyDescent="0.3">
      <c r="A14" s="348" t="s">
        <v>689</v>
      </c>
      <c r="B14" s="278" t="s">
        <v>27</v>
      </c>
      <c r="C14" s="277" t="s">
        <v>59</v>
      </c>
      <c r="D14" s="24" t="s">
        <v>686</v>
      </c>
      <c r="F14" s="113"/>
      <c r="G14" s="113">
        <f t="shared" si="0"/>
        <v>0</v>
      </c>
      <c r="H14" s="285"/>
      <c r="I14" s="286"/>
      <c r="J14" s="287">
        <f t="shared" si="1"/>
        <v>0</v>
      </c>
      <c r="K14" s="285"/>
      <c r="L14" s="286"/>
      <c r="M14" s="287">
        <f t="shared" si="2"/>
        <v>0</v>
      </c>
      <c r="O14" s="113"/>
      <c r="P14" s="287">
        <f t="shared" si="3"/>
        <v>0</v>
      </c>
      <c r="Q14" s="286"/>
      <c r="R14" s="286"/>
      <c r="S14" s="287">
        <f t="shared" si="4"/>
        <v>0</v>
      </c>
      <c r="U14" s="113"/>
      <c r="V14" s="113">
        <f t="shared" si="5"/>
        <v>0</v>
      </c>
      <c r="W14" s="303">
        <f>AF14</f>
        <v>23987.147961348313</v>
      </c>
      <c r="X14" s="113">
        <f t="shared" si="6"/>
        <v>0</v>
      </c>
      <c r="Z14" s="1">
        <v>10077.247191011236</v>
      </c>
      <c r="AA14" s="1">
        <v>3724.7191011235955</v>
      </c>
      <c r="AB14" s="1">
        <v>3799.2134831460671</v>
      </c>
      <c r="AC14" s="1">
        <v>2086.6449438202249</v>
      </c>
      <c r="AD14" s="1">
        <v>2128.3778426966287</v>
      </c>
      <c r="AE14" s="1">
        <v>2170.9453995505614</v>
      </c>
      <c r="AF14" s="1">
        <f t="shared" si="7"/>
        <v>23987.147961348313</v>
      </c>
    </row>
    <row r="15" spans="1:32" x14ac:dyDescent="0.3">
      <c r="A15" s="348"/>
      <c r="B15" s="278" t="s">
        <v>31</v>
      </c>
      <c r="C15" s="277" t="s">
        <v>60</v>
      </c>
      <c r="D15" s="24" t="s">
        <v>682</v>
      </c>
      <c r="F15" s="113"/>
      <c r="G15" s="113">
        <f t="shared" si="0"/>
        <v>0</v>
      </c>
      <c r="H15" s="285"/>
      <c r="I15" s="286"/>
      <c r="J15" s="287">
        <f t="shared" si="1"/>
        <v>0</v>
      </c>
      <c r="K15" s="285"/>
      <c r="L15" s="286"/>
      <c r="M15" s="287">
        <f t="shared" si="2"/>
        <v>0</v>
      </c>
      <c r="O15" s="113"/>
      <c r="P15" s="113">
        <f t="shared" si="3"/>
        <v>0</v>
      </c>
      <c r="Q15" s="285"/>
      <c r="R15" s="286"/>
      <c r="S15" s="287">
        <f t="shared" si="4"/>
        <v>0</v>
      </c>
      <c r="U15" s="113"/>
      <c r="V15" s="113">
        <f t="shared" si="5"/>
        <v>0</v>
      </c>
      <c r="W15" s="303">
        <f>AF15</f>
        <v>37728.669795430716</v>
      </c>
      <c r="X15" s="113">
        <f t="shared" si="6"/>
        <v>0</v>
      </c>
      <c r="Z15" s="1">
        <v>1392.7902621722847</v>
      </c>
      <c r="AA15" s="1">
        <v>10553.370786516854</v>
      </c>
      <c r="AB15" s="1">
        <v>10764.438202247189</v>
      </c>
      <c r="AC15" s="1">
        <v>5912.1606741573032</v>
      </c>
      <c r="AD15" s="1">
        <v>6030.4038876404484</v>
      </c>
      <c r="AE15" s="1">
        <v>3075.505982696629</v>
      </c>
      <c r="AF15" s="1">
        <f t="shared" si="7"/>
        <v>37728.669795430716</v>
      </c>
    </row>
    <row r="16" spans="1:32" ht="29.95" customHeight="1" x14ac:dyDescent="0.3">
      <c r="A16" s="348"/>
      <c r="B16" s="347" t="s">
        <v>29</v>
      </c>
      <c r="C16" s="346" t="s">
        <v>61</v>
      </c>
      <c r="D16" s="24" t="s">
        <v>690</v>
      </c>
      <c r="E16" s="113">
        <v>2496.8789013732799</v>
      </c>
      <c r="F16" s="113">
        <v>1</v>
      </c>
      <c r="G16" s="113">
        <f t="shared" si="0"/>
        <v>2496.8789013732799</v>
      </c>
      <c r="H16" s="285"/>
      <c r="I16" s="286"/>
      <c r="J16" s="287">
        <f t="shared" si="1"/>
        <v>0</v>
      </c>
      <c r="K16" s="285"/>
      <c r="L16" s="286"/>
      <c r="M16" s="287">
        <f t="shared" si="2"/>
        <v>0</v>
      </c>
      <c r="O16" s="113"/>
      <c r="P16" s="113">
        <f t="shared" si="3"/>
        <v>0</v>
      </c>
      <c r="Q16" s="285"/>
      <c r="R16" s="286"/>
      <c r="S16" s="287">
        <f t="shared" si="4"/>
        <v>0</v>
      </c>
      <c r="U16" s="113"/>
      <c r="V16" s="113">
        <f t="shared" si="5"/>
        <v>0</v>
      </c>
      <c r="W16" s="303">
        <f t="shared" si="8"/>
        <v>2496.8789013732799</v>
      </c>
      <c r="X16" s="113">
        <f>W16-AF16+W19+W17+W18</f>
        <v>0</v>
      </c>
      <c r="Z16" s="1">
        <v>13037.274835027645</v>
      </c>
      <c r="AA16" s="1">
        <v>3219.903691813804</v>
      </c>
      <c r="AB16" s="1">
        <v>3284.3017656500801</v>
      </c>
      <c r="AC16" s="1">
        <v>19248.234991974317</v>
      </c>
      <c r="AD16" s="1">
        <v>3416.9875569823434</v>
      </c>
      <c r="AE16" s="1">
        <v>3485.3273081219904</v>
      </c>
      <c r="AF16" s="1">
        <f t="shared" si="7"/>
        <v>45692.030149570179</v>
      </c>
    </row>
    <row r="17" spans="1:32" ht="29.95" customHeight="1" x14ac:dyDescent="0.3">
      <c r="A17" s="348"/>
      <c r="B17" s="347"/>
      <c r="C17" s="346"/>
      <c r="D17" s="24" t="s">
        <v>691</v>
      </c>
      <c r="E17" s="113">
        <v>2496.8789013732799</v>
      </c>
      <c r="F17" s="113">
        <f>6*50%</f>
        <v>3</v>
      </c>
      <c r="G17" s="113">
        <f t="shared" si="0"/>
        <v>7490.6367041198391</v>
      </c>
      <c r="H17" s="285"/>
      <c r="I17" s="286"/>
      <c r="J17" s="287">
        <f t="shared" si="1"/>
        <v>0</v>
      </c>
      <c r="K17" s="285"/>
      <c r="L17" s="286"/>
      <c r="M17" s="287">
        <f t="shared" si="2"/>
        <v>0</v>
      </c>
      <c r="N17" s="113">
        <f>2649.70786516854</f>
        <v>2649.7078651685401</v>
      </c>
      <c r="O17" s="113">
        <v>6</v>
      </c>
      <c r="P17" s="113">
        <f t="shared" si="3"/>
        <v>15898.24719101124</v>
      </c>
      <c r="Q17" s="285"/>
      <c r="R17" s="286"/>
      <c r="S17" s="287">
        <f t="shared" si="4"/>
        <v>0</v>
      </c>
      <c r="U17" s="113"/>
      <c r="V17" s="113">
        <f t="shared" si="5"/>
        <v>0</v>
      </c>
      <c r="W17" s="303">
        <f t="shared" si="8"/>
        <v>23388.883895131079</v>
      </c>
      <c r="X17" s="113"/>
      <c r="Z17" s="1"/>
      <c r="AA17" s="1"/>
      <c r="AB17" s="1"/>
      <c r="AC17" s="1"/>
      <c r="AD17" s="1"/>
      <c r="AE17" s="1"/>
      <c r="AF17" s="1"/>
    </row>
    <row r="18" spans="1:32" ht="29.95" customHeight="1" x14ac:dyDescent="0.3">
      <c r="A18" s="348"/>
      <c r="B18" s="347"/>
      <c r="C18" s="346"/>
      <c r="D18" s="24" t="s">
        <v>692</v>
      </c>
      <c r="E18" s="113">
        <v>2942.7501337613699</v>
      </c>
      <c r="F18" s="113">
        <v>1</v>
      </c>
      <c r="G18" s="113">
        <f t="shared" si="0"/>
        <v>2942.7501337613699</v>
      </c>
      <c r="H18" s="285">
        <v>3001.6051364365971</v>
      </c>
      <c r="I18" s="286">
        <v>1</v>
      </c>
      <c r="J18" s="287">
        <f t="shared" si="1"/>
        <v>3001.6051364365971</v>
      </c>
      <c r="K18" s="285">
        <v>3061.637239165329</v>
      </c>
      <c r="L18" s="286">
        <v>1</v>
      </c>
      <c r="M18" s="287">
        <f t="shared" si="2"/>
        <v>3061.637239165329</v>
      </c>
      <c r="N18" s="113">
        <v>3122.8699839486358</v>
      </c>
      <c r="O18" s="113">
        <v>1</v>
      </c>
      <c r="P18" s="113">
        <f t="shared" si="3"/>
        <v>3122.8699839486358</v>
      </c>
      <c r="Q18" s="285">
        <v>3185.3273836276085</v>
      </c>
      <c r="R18" s="286">
        <v>1</v>
      </c>
      <c r="S18" s="287">
        <f t="shared" si="4"/>
        <v>3185.3273836276085</v>
      </c>
      <c r="T18" s="113">
        <v>3249.0339313001605</v>
      </c>
      <c r="U18" s="113">
        <v>1</v>
      </c>
      <c r="V18" s="113">
        <f t="shared" si="5"/>
        <v>3249.0339313001605</v>
      </c>
      <c r="W18" s="303">
        <f t="shared" si="8"/>
        <v>18563.223808239702</v>
      </c>
      <c r="X18" s="113"/>
      <c r="Z18" s="1"/>
      <c r="AA18" s="1"/>
      <c r="AB18" s="1"/>
      <c r="AC18" s="1"/>
      <c r="AD18" s="1"/>
      <c r="AE18" s="1"/>
      <c r="AF18" s="1"/>
    </row>
    <row r="19" spans="1:32" x14ac:dyDescent="0.3">
      <c r="A19" s="348"/>
      <c r="B19" s="347"/>
      <c r="C19" s="346"/>
      <c r="D19" s="24" t="s">
        <v>693</v>
      </c>
      <c r="E19" s="113">
        <v>8.9174246477617256</v>
      </c>
      <c r="F19" s="113">
        <v>12</v>
      </c>
      <c r="G19" s="113">
        <f t="shared" si="0"/>
        <v>107.0090957731407</v>
      </c>
      <c r="H19" s="285">
        <v>9.0957731407169611</v>
      </c>
      <c r="I19" s="286">
        <v>24</v>
      </c>
      <c r="J19" s="287">
        <f t="shared" si="1"/>
        <v>218.29855537720707</v>
      </c>
      <c r="K19" s="285">
        <v>9.2776886035313009</v>
      </c>
      <c r="L19" s="286">
        <v>24</v>
      </c>
      <c r="M19" s="287">
        <f t="shared" si="2"/>
        <v>222.66452648475121</v>
      </c>
      <c r="N19" s="113">
        <v>9.4632423756019275</v>
      </c>
      <c r="O19" s="113">
        <v>24</v>
      </c>
      <c r="P19" s="113">
        <f t="shared" si="3"/>
        <v>227.11781701444625</v>
      </c>
      <c r="Q19" s="285">
        <v>9.6525072231139646</v>
      </c>
      <c r="R19" s="286">
        <v>24</v>
      </c>
      <c r="S19" s="287">
        <f t="shared" si="4"/>
        <v>231.66017335473515</v>
      </c>
      <c r="T19" s="113">
        <v>9.8455573675762444</v>
      </c>
      <c r="U19" s="113">
        <v>24</v>
      </c>
      <c r="V19" s="113">
        <f t="shared" si="5"/>
        <v>236.29337682182987</v>
      </c>
      <c r="W19" s="303">
        <f t="shared" si="8"/>
        <v>1243.0435448261103</v>
      </c>
      <c r="X19" s="113"/>
      <c r="Z19" s="1"/>
      <c r="AA19" s="1"/>
      <c r="AB19" s="1"/>
      <c r="AC19" s="1"/>
      <c r="AD19" s="1"/>
      <c r="AE19" s="1"/>
      <c r="AF19" s="1"/>
    </row>
    <row r="20" spans="1:32" x14ac:dyDescent="0.3">
      <c r="A20" s="346" t="s">
        <v>694</v>
      </c>
      <c r="B20" s="278" t="s">
        <v>27</v>
      </c>
      <c r="C20" s="277" t="s">
        <v>72</v>
      </c>
      <c r="D20" s="24" t="s">
        <v>686</v>
      </c>
      <c r="F20" s="113"/>
      <c r="G20" s="113">
        <f t="shared" si="0"/>
        <v>0</v>
      </c>
      <c r="H20" s="285"/>
      <c r="I20" s="286"/>
      <c r="J20" s="287">
        <f t="shared" si="1"/>
        <v>0</v>
      </c>
      <c r="K20" s="285"/>
      <c r="L20" s="286"/>
      <c r="M20" s="287">
        <f t="shared" si="2"/>
        <v>0</v>
      </c>
      <c r="O20" s="113"/>
      <c r="P20" s="113">
        <f t="shared" si="3"/>
        <v>0</v>
      </c>
      <c r="Q20" s="285"/>
      <c r="R20" s="286"/>
      <c r="S20" s="287">
        <f t="shared" si="4"/>
        <v>0</v>
      </c>
      <c r="U20" s="113"/>
      <c r="V20" s="113">
        <f t="shared" si="5"/>
        <v>0</v>
      </c>
      <c r="W20" s="303">
        <f>AF20</f>
        <v>14111.327466067416</v>
      </c>
      <c r="X20" s="113">
        <f t="shared" si="6"/>
        <v>0</v>
      </c>
      <c r="Z20" s="1">
        <v>8637.6404494382023</v>
      </c>
      <c r="AA20" s="1">
        <v>0</v>
      </c>
      <c r="AB20" s="1">
        <v>0</v>
      </c>
      <c r="AC20" s="1">
        <v>1788.5528089887641</v>
      </c>
      <c r="AD20" s="1">
        <v>1824.3238651685392</v>
      </c>
      <c r="AE20" s="1">
        <v>1860.81034247191</v>
      </c>
      <c r="AF20" s="1">
        <f t="shared" si="7"/>
        <v>14111.327466067416</v>
      </c>
    </row>
    <row r="21" spans="1:32" x14ac:dyDescent="0.3">
      <c r="A21" s="346"/>
      <c r="B21" s="278" t="s">
        <v>29</v>
      </c>
      <c r="C21" s="277" t="s">
        <v>73</v>
      </c>
      <c r="D21" s="24" t="s">
        <v>684</v>
      </c>
      <c r="E21" s="113">
        <v>2496.8789013732799</v>
      </c>
      <c r="F21" s="113">
        <v>3</v>
      </c>
      <c r="G21" s="113">
        <f t="shared" si="0"/>
        <v>7490.6367041198391</v>
      </c>
      <c r="H21" s="285"/>
      <c r="I21" s="286"/>
      <c r="J21" s="287">
        <f t="shared" si="1"/>
        <v>0</v>
      </c>
      <c r="K21" s="285"/>
      <c r="L21" s="286"/>
      <c r="M21" s="287">
        <f t="shared" si="2"/>
        <v>0</v>
      </c>
      <c r="N21" s="113">
        <v>2649.7078651685401</v>
      </c>
      <c r="O21" s="113">
        <v>3</v>
      </c>
      <c r="P21" s="113">
        <f t="shared" si="3"/>
        <v>7949.12359550562</v>
      </c>
      <c r="Q21" s="285"/>
      <c r="R21" s="286"/>
      <c r="S21" s="287">
        <f t="shared" si="4"/>
        <v>0</v>
      </c>
      <c r="U21" s="113"/>
      <c r="V21" s="113">
        <f t="shared" si="5"/>
        <v>0</v>
      </c>
      <c r="W21" s="303">
        <f t="shared" si="8"/>
        <v>15439.760299625459</v>
      </c>
      <c r="X21" s="113">
        <f t="shared" si="6"/>
        <v>0</v>
      </c>
      <c r="Z21" s="1">
        <v>7490.63670411985</v>
      </c>
      <c r="AA21" s="1">
        <v>0</v>
      </c>
      <c r="AB21" s="1">
        <v>0</v>
      </c>
      <c r="AC21" s="1">
        <v>7949.1235955056181</v>
      </c>
      <c r="AD21" s="1">
        <v>0</v>
      </c>
      <c r="AE21" s="1">
        <v>0</v>
      </c>
      <c r="AF21" s="1">
        <f t="shared" si="7"/>
        <v>15439.760299625468</v>
      </c>
    </row>
    <row r="22" spans="1:32" x14ac:dyDescent="0.3">
      <c r="A22" s="346"/>
      <c r="B22" s="347" t="s">
        <v>31</v>
      </c>
      <c r="C22" s="346" t="s">
        <v>74</v>
      </c>
      <c r="D22" s="24" t="s">
        <v>687</v>
      </c>
      <c r="E22" s="113">
        <v>2051.0076689851971</v>
      </c>
      <c r="F22" s="113">
        <v>7</v>
      </c>
      <c r="G22" s="113">
        <f t="shared" si="0"/>
        <v>14357.05368289638</v>
      </c>
      <c r="H22" s="285">
        <v>2092.0278223649002</v>
      </c>
      <c r="I22" s="286">
        <v>15</v>
      </c>
      <c r="J22" s="287">
        <f t="shared" si="1"/>
        <v>31380.417335473503</v>
      </c>
      <c r="K22" s="285">
        <v>2133.8683788121998</v>
      </c>
      <c r="L22" s="286">
        <v>7</v>
      </c>
      <c r="M22" s="287">
        <f t="shared" si="2"/>
        <v>14937.078651685399</v>
      </c>
      <c r="O22" s="113"/>
      <c r="P22" s="113">
        <f t="shared" si="3"/>
        <v>0</v>
      </c>
      <c r="Q22" s="285"/>
      <c r="R22" s="286"/>
      <c r="S22" s="287">
        <f t="shared" si="4"/>
        <v>0</v>
      </c>
      <c r="U22" s="113"/>
      <c r="V22" s="113">
        <f t="shared" si="5"/>
        <v>0</v>
      </c>
      <c r="W22" s="303">
        <f t="shared" si="8"/>
        <v>60674.549670055283</v>
      </c>
      <c r="X22" s="113">
        <f t="shared" si="6"/>
        <v>-0.20510076692153234</v>
      </c>
      <c r="Z22" s="1">
        <f>16063.6258248618-Z23</f>
        <v>14869.805600142699</v>
      </c>
      <c r="AA22" s="1">
        <v>30334.403424291064</v>
      </c>
      <c r="AB22" s="1">
        <v>15470.545746388443</v>
      </c>
      <c r="AC22" s="1"/>
      <c r="AD22" s="1"/>
      <c r="AE22" s="1"/>
      <c r="AF22" s="1">
        <f t="shared" si="7"/>
        <v>60674.754770822205</v>
      </c>
    </row>
    <row r="23" spans="1:32" x14ac:dyDescent="0.3">
      <c r="A23" s="346"/>
      <c r="B23" s="347"/>
      <c r="C23" s="346"/>
      <c r="D23" s="24" t="s">
        <v>682</v>
      </c>
      <c r="F23" s="113"/>
      <c r="G23" s="113">
        <f t="shared" si="0"/>
        <v>0</v>
      </c>
      <c r="H23" s="285"/>
      <c r="I23" s="286"/>
      <c r="J23" s="287">
        <f t="shared" si="1"/>
        <v>0</v>
      </c>
      <c r="K23" s="285"/>
      <c r="L23" s="286"/>
      <c r="M23" s="287">
        <f t="shared" si="2"/>
        <v>0</v>
      </c>
      <c r="O23" s="113"/>
      <c r="P23" s="113">
        <f t="shared" si="3"/>
        <v>0</v>
      </c>
      <c r="Q23" s="285"/>
      <c r="R23" s="286"/>
      <c r="S23" s="287">
        <f t="shared" si="4"/>
        <v>0</v>
      </c>
      <c r="U23" s="113"/>
      <c r="V23" s="113">
        <f t="shared" si="5"/>
        <v>0</v>
      </c>
      <c r="W23" s="303">
        <f>AF23</f>
        <v>14066.452119999998</v>
      </c>
      <c r="X23" s="113">
        <f t="shared" si="6"/>
        <v>0</v>
      </c>
      <c r="Z23" s="1">
        <v>1193.8202247191011</v>
      </c>
      <c r="AA23" s="1">
        <v>0</v>
      </c>
      <c r="AB23" s="1">
        <v>0</v>
      </c>
      <c r="AC23" s="1">
        <v>5067.5662921348312</v>
      </c>
      <c r="AD23" s="1">
        <v>5168.9176179775277</v>
      </c>
      <c r="AE23" s="1">
        <v>2636.147985168539</v>
      </c>
      <c r="AF23" s="1">
        <f t="shared" si="7"/>
        <v>14066.452119999998</v>
      </c>
    </row>
    <row r="24" spans="1:32" x14ac:dyDescent="0.3">
      <c r="A24" s="346" t="s">
        <v>695</v>
      </c>
      <c r="B24" s="278" t="s">
        <v>27</v>
      </c>
      <c r="C24" s="277" t="s">
        <v>84</v>
      </c>
      <c r="D24" s="24" t="s">
        <v>686</v>
      </c>
      <c r="F24" s="113"/>
      <c r="G24" s="113">
        <f t="shared" si="0"/>
        <v>0</v>
      </c>
      <c r="H24" s="285"/>
      <c r="I24" s="286"/>
      <c r="J24" s="287">
        <f t="shared" si="1"/>
        <v>0</v>
      </c>
      <c r="K24" s="285"/>
      <c r="L24" s="286"/>
      <c r="M24" s="287">
        <f t="shared" si="2"/>
        <v>0</v>
      </c>
      <c r="O24" s="113"/>
      <c r="P24" s="113">
        <f t="shared" si="3"/>
        <v>0</v>
      </c>
      <c r="Q24" s="285"/>
      <c r="R24" s="286"/>
      <c r="S24" s="287">
        <f t="shared" si="4"/>
        <v>0</v>
      </c>
      <c r="U24" s="113"/>
      <c r="V24" s="113">
        <f t="shared" si="5"/>
        <v>0</v>
      </c>
      <c r="W24" s="303">
        <f>AF24</f>
        <v>20514.563691685395</v>
      </c>
      <c r="X24" s="113">
        <f t="shared" si="6"/>
        <v>0</v>
      </c>
      <c r="Z24" s="1">
        <v>10077.247191011236</v>
      </c>
      <c r="AA24" s="1">
        <v>2005.6179775280898</v>
      </c>
      <c r="AB24" s="1">
        <v>2045.7303370786515</v>
      </c>
      <c r="AC24" s="1">
        <v>2086.6449438202249</v>
      </c>
      <c r="AD24" s="1">
        <v>2128.3778426966287</v>
      </c>
      <c r="AE24" s="1">
        <v>2170.9453995505614</v>
      </c>
      <c r="AF24" s="1">
        <f t="shared" si="7"/>
        <v>20514.563691685395</v>
      </c>
    </row>
    <row r="25" spans="1:32" x14ac:dyDescent="0.3">
      <c r="A25" s="346"/>
      <c r="B25" s="278" t="s">
        <v>29</v>
      </c>
      <c r="C25" s="277" t="s">
        <v>85</v>
      </c>
      <c r="D25" s="24" t="s">
        <v>685</v>
      </c>
      <c r="E25" s="113">
        <v>2051.0076689851971</v>
      </c>
      <c r="F25" s="113">
        <v>29</v>
      </c>
      <c r="G25" s="113">
        <f t="shared" si="0"/>
        <v>59479.222400570718</v>
      </c>
      <c r="H25" s="285"/>
      <c r="I25" s="286"/>
      <c r="J25" s="287">
        <f t="shared" si="1"/>
        <v>0</v>
      </c>
      <c r="K25" s="285"/>
      <c r="L25" s="286"/>
      <c r="M25" s="287">
        <f t="shared" si="2"/>
        <v>0</v>
      </c>
      <c r="O25" s="113"/>
      <c r="P25" s="113">
        <f t="shared" si="3"/>
        <v>0</v>
      </c>
      <c r="Q25" s="286">
        <v>2220.07666131621</v>
      </c>
      <c r="R25" s="286">
        <f>29/2</f>
        <v>14.5</v>
      </c>
      <c r="S25" s="287">
        <f t="shared" si="4"/>
        <v>32191.111589085045</v>
      </c>
      <c r="T25" s="113">
        <v>2264.4781945425402</v>
      </c>
      <c r="U25" s="286">
        <f>29/2</f>
        <v>14.5</v>
      </c>
      <c r="V25" s="113">
        <f t="shared" si="5"/>
        <v>32834.933820866834</v>
      </c>
      <c r="W25" s="303">
        <f t="shared" si="8"/>
        <v>124505.26781052259</v>
      </c>
      <c r="X25" s="113">
        <f t="shared" si="6"/>
        <v>0</v>
      </c>
      <c r="Z25" s="1">
        <v>59479.222400570718</v>
      </c>
      <c r="AA25" s="1">
        <v>0</v>
      </c>
      <c r="AB25" s="1">
        <v>0</v>
      </c>
      <c r="AC25" s="1">
        <v>0</v>
      </c>
      <c r="AD25" s="1">
        <v>32191.111589085071</v>
      </c>
      <c r="AE25" s="1">
        <v>32834.933820866769</v>
      </c>
      <c r="AF25" s="1">
        <f t="shared" si="7"/>
        <v>124505.26781052255</v>
      </c>
    </row>
    <row r="26" spans="1:32" x14ac:dyDescent="0.3">
      <c r="A26" s="346"/>
      <c r="B26" s="347" t="s">
        <v>31</v>
      </c>
      <c r="C26" s="346" t="s">
        <v>86</v>
      </c>
      <c r="D26" s="24" t="s">
        <v>681</v>
      </c>
      <c r="E26" s="113">
        <v>2051.0076689851971</v>
      </c>
      <c r="F26" s="113">
        <v>29</v>
      </c>
      <c r="G26" s="113">
        <f t="shared" si="0"/>
        <v>59479.222400570718</v>
      </c>
      <c r="H26" s="285"/>
      <c r="I26" s="286"/>
      <c r="J26" s="287">
        <f t="shared" si="1"/>
        <v>0</v>
      </c>
      <c r="K26" s="285"/>
      <c r="L26" s="286"/>
      <c r="M26" s="287">
        <f t="shared" si="2"/>
        <v>0</v>
      </c>
      <c r="O26" s="113"/>
      <c r="P26" s="113">
        <f t="shared" si="3"/>
        <v>0</v>
      </c>
      <c r="Q26" s="285"/>
      <c r="R26" s="286"/>
      <c r="S26" s="287">
        <f t="shared" si="4"/>
        <v>0</v>
      </c>
      <c r="U26" s="113"/>
      <c r="V26" s="113">
        <f t="shared" si="5"/>
        <v>0</v>
      </c>
      <c r="W26" s="303">
        <f t="shared" si="8"/>
        <v>59479.222400570718</v>
      </c>
      <c r="X26" s="113">
        <f t="shared" si="6"/>
        <v>0</v>
      </c>
      <c r="Z26" s="1">
        <f>60872.012662743-Z27</f>
        <v>59479.222400570718</v>
      </c>
      <c r="AA26" s="1"/>
      <c r="AB26" s="1"/>
      <c r="AC26" s="1"/>
      <c r="AD26" s="1"/>
      <c r="AE26" s="1"/>
      <c r="AF26" s="1">
        <f t="shared" si="7"/>
        <v>59479.222400570718</v>
      </c>
    </row>
    <row r="27" spans="1:32" x14ac:dyDescent="0.3">
      <c r="A27" s="346"/>
      <c r="B27" s="347"/>
      <c r="C27" s="346"/>
      <c r="D27" s="24" t="s">
        <v>682</v>
      </c>
      <c r="F27" s="113"/>
      <c r="G27" s="113">
        <f t="shared" si="0"/>
        <v>0</v>
      </c>
      <c r="H27" s="285"/>
      <c r="I27" s="286"/>
      <c r="J27" s="287">
        <f t="shared" si="1"/>
        <v>0</v>
      </c>
      <c r="K27" s="285"/>
      <c r="L27" s="286"/>
      <c r="M27" s="287">
        <f t="shared" si="2"/>
        <v>0</v>
      </c>
      <c r="O27" s="113"/>
      <c r="P27" s="113">
        <f t="shared" si="3"/>
        <v>0</v>
      </c>
      <c r="Q27" s="285"/>
      <c r="R27" s="286"/>
      <c r="S27" s="287">
        <f t="shared" si="4"/>
        <v>0</v>
      </c>
      <c r="U27" s="113"/>
      <c r="V27" s="113">
        <f t="shared" si="5"/>
        <v>0</v>
      </c>
      <c r="W27" s="303">
        <f>AF27</f>
        <v>27889.681031385764</v>
      </c>
      <c r="X27" s="113">
        <f t="shared" si="6"/>
        <v>0</v>
      </c>
      <c r="Z27" s="1">
        <v>1392.7902621722847</v>
      </c>
      <c r="AA27" s="1">
        <v>5682.5842696629215</v>
      </c>
      <c r="AB27" s="1">
        <v>5796.2359550561787</v>
      </c>
      <c r="AC27" s="1">
        <v>5912.1606741573032</v>
      </c>
      <c r="AD27" s="1">
        <v>6030.4038876404484</v>
      </c>
      <c r="AE27" s="1">
        <v>3075.505982696629</v>
      </c>
      <c r="AF27" s="1">
        <f t="shared" si="7"/>
        <v>27889.681031385764</v>
      </c>
    </row>
    <row r="28" spans="1:32" x14ac:dyDescent="0.3">
      <c r="A28" s="346" t="s">
        <v>696</v>
      </c>
      <c r="B28" s="347" t="s">
        <v>27</v>
      </c>
      <c r="C28" s="346" t="s">
        <v>99</v>
      </c>
      <c r="D28" s="24" t="s">
        <v>697</v>
      </c>
      <c r="F28" s="113"/>
      <c r="G28" s="113">
        <f t="shared" si="0"/>
        <v>0</v>
      </c>
      <c r="H28" s="285">
        <v>6242.1972534332099</v>
      </c>
      <c r="I28" s="286">
        <f>261*0.25</f>
        <v>65.25</v>
      </c>
      <c r="J28" s="287">
        <f t="shared" si="1"/>
        <v>407303.37078651693</v>
      </c>
      <c r="K28" s="285">
        <v>6242.1972534332099</v>
      </c>
      <c r="L28" s="286">
        <f>261*0.25</f>
        <v>65.25</v>
      </c>
      <c r="M28" s="287">
        <f t="shared" si="2"/>
        <v>407303.37078651693</v>
      </c>
      <c r="N28" s="113">
        <v>6242.1972534332099</v>
      </c>
      <c r="O28" s="113">
        <f>261*0.25</f>
        <v>65.25</v>
      </c>
      <c r="P28" s="113">
        <f t="shared" si="3"/>
        <v>407303.37078651693</v>
      </c>
      <c r="Q28" s="285">
        <v>6242.1972534332099</v>
      </c>
      <c r="R28" s="286">
        <f>261*0.25</f>
        <v>65.25</v>
      </c>
      <c r="S28" s="287">
        <f t="shared" si="4"/>
        <v>407303.37078651693</v>
      </c>
      <c r="U28" s="113"/>
      <c r="V28" s="113">
        <f t="shared" si="5"/>
        <v>0</v>
      </c>
      <c r="W28" s="303">
        <f t="shared" si="8"/>
        <v>1629213.4831460677</v>
      </c>
      <c r="X28" s="113">
        <f>W28-AF28+W29</f>
        <v>-9.3132257461547852E-10</v>
      </c>
      <c r="Z28" s="1"/>
      <c r="AA28" s="1">
        <f>423175.494917068-AA30</f>
        <v>422766.1851257357</v>
      </c>
      <c r="AB28" s="1">
        <f>415421.348314607-AB30</f>
        <v>411246.3884430179</v>
      </c>
      <c r="AC28" s="288">
        <f>411751.09470305-AC30</f>
        <v>411325.24879614788</v>
      </c>
      <c r="AD28" s="1">
        <f>415749.314606742-AD30</f>
        <v>411405.68635634071</v>
      </c>
      <c r="AE28" s="1">
        <f>8614.86269662921-AE30</f>
        <v>4184.3618812199002</v>
      </c>
      <c r="AF28" s="1">
        <f t="shared" si="7"/>
        <v>1660927.8706024624</v>
      </c>
    </row>
    <row r="29" spans="1:32" x14ac:dyDescent="0.3">
      <c r="A29" s="346"/>
      <c r="B29" s="347"/>
      <c r="C29" s="346"/>
      <c r="D29" s="24" t="s">
        <v>698</v>
      </c>
      <c r="F29" s="113"/>
      <c r="H29" s="285">
        <v>773.14071696094197</v>
      </c>
      <c r="I29" s="286">
        <v>20</v>
      </c>
      <c r="J29" s="287">
        <f t="shared" si="1"/>
        <v>15462.814339218839</v>
      </c>
      <c r="K29" s="285">
        <v>788.60353130016097</v>
      </c>
      <c r="L29" s="286">
        <v>5</v>
      </c>
      <c r="M29" s="287">
        <f t="shared" si="2"/>
        <v>3943.0176565008051</v>
      </c>
      <c r="N29" s="113">
        <v>804.37560192616399</v>
      </c>
      <c r="O29" s="113">
        <v>5</v>
      </c>
      <c r="P29" s="113">
        <f t="shared" si="3"/>
        <v>4021.8780096308201</v>
      </c>
      <c r="Q29" s="285">
        <v>820.46311396468695</v>
      </c>
      <c r="R29" s="286">
        <v>5</v>
      </c>
      <c r="S29" s="287">
        <f t="shared" si="4"/>
        <v>4102.315569823435</v>
      </c>
      <c r="T29" s="113">
        <v>836.87237624398097</v>
      </c>
      <c r="U29" s="113">
        <v>5</v>
      </c>
      <c r="V29" s="113">
        <f t="shared" si="5"/>
        <v>4184.3618812199047</v>
      </c>
      <c r="W29" s="303">
        <f t="shared" si="8"/>
        <v>31714.387456393801</v>
      </c>
      <c r="X29" s="113"/>
      <c r="Z29" s="1"/>
      <c r="AA29" s="1"/>
      <c r="AB29" s="1"/>
      <c r="AC29" s="288"/>
      <c r="AD29" s="1"/>
      <c r="AE29" s="1"/>
      <c r="AF29" s="1"/>
    </row>
    <row r="30" spans="1:32" x14ac:dyDescent="0.3">
      <c r="A30" s="346"/>
      <c r="B30" s="347"/>
      <c r="C30" s="346"/>
      <c r="D30" s="24" t="s">
        <v>679</v>
      </c>
      <c r="F30" s="113"/>
      <c r="G30" s="113">
        <f t="shared" si="0"/>
        <v>0</v>
      </c>
      <c r="H30" s="285"/>
      <c r="I30" s="286"/>
      <c r="J30" s="287">
        <f t="shared" si="1"/>
        <v>0</v>
      </c>
      <c r="K30" s="285"/>
      <c r="L30" s="286"/>
      <c r="M30" s="287">
        <f t="shared" si="2"/>
        <v>0</v>
      </c>
      <c r="O30" s="113"/>
      <c r="P30" s="113">
        <f t="shared" si="3"/>
        <v>0</v>
      </c>
      <c r="Q30" s="285"/>
      <c r="R30" s="286"/>
      <c r="S30" s="287">
        <f t="shared" si="4"/>
        <v>0</v>
      </c>
      <c r="U30" s="113"/>
      <c r="V30" s="113">
        <f t="shared" si="5"/>
        <v>0</v>
      </c>
      <c r="W30" s="303">
        <f>AF30</f>
        <v>15840.825695024078</v>
      </c>
      <c r="X30" s="113">
        <f t="shared" si="6"/>
        <v>0</v>
      </c>
      <c r="Z30" s="1">
        <v>2056.5810593900483</v>
      </c>
      <c r="AA30" s="1">
        <v>409.30979133226322</v>
      </c>
      <c r="AB30" s="1">
        <v>4174.9598715890852</v>
      </c>
      <c r="AC30" s="1">
        <v>425.84590690208677</v>
      </c>
      <c r="AD30" s="1">
        <v>4343.6282504012834</v>
      </c>
      <c r="AE30" s="1">
        <v>4430.5008154093102</v>
      </c>
      <c r="AF30" s="1">
        <f t="shared" si="7"/>
        <v>15840.825695024078</v>
      </c>
    </row>
    <row r="31" spans="1:32" ht="29.95" customHeight="1" x14ac:dyDescent="0.3">
      <c r="A31" s="346"/>
      <c r="B31" s="347" t="s">
        <v>29</v>
      </c>
      <c r="C31" s="346" t="s">
        <v>100</v>
      </c>
      <c r="D31" s="24" t="s">
        <v>699</v>
      </c>
      <c r="E31" s="113">
        <v>8.9174246477617256</v>
      </c>
      <c r="F31" s="113">
        <f>20*6</f>
        <v>120</v>
      </c>
      <c r="G31" s="113">
        <f t="shared" si="0"/>
        <v>1070.0909577314071</v>
      </c>
      <c r="H31" s="285">
        <v>9.0957731407169611</v>
      </c>
      <c r="I31" s="286">
        <f>20*12</f>
        <v>240</v>
      </c>
      <c r="J31" s="287">
        <f t="shared" si="1"/>
        <v>2182.9855537720705</v>
      </c>
      <c r="K31" s="285">
        <v>9.2776886035313009</v>
      </c>
      <c r="L31" s="286">
        <f>20*12</f>
        <v>240</v>
      </c>
      <c r="M31" s="287">
        <f t="shared" si="2"/>
        <v>2226.6452648475124</v>
      </c>
      <c r="N31" s="113">
        <v>9.4632423756019275</v>
      </c>
      <c r="O31" s="286">
        <f>20*12</f>
        <v>240</v>
      </c>
      <c r="P31" s="113">
        <f t="shared" si="3"/>
        <v>2271.1781701444625</v>
      </c>
      <c r="Q31" s="285">
        <v>9.6525072231139646</v>
      </c>
      <c r="R31" s="286">
        <f>20*12</f>
        <v>240</v>
      </c>
      <c r="S31" s="287">
        <f t="shared" si="4"/>
        <v>2316.6017335473516</v>
      </c>
      <c r="T31" s="113">
        <v>9.8455573675762444</v>
      </c>
      <c r="U31" s="286">
        <f>20*12</f>
        <v>240</v>
      </c>
      <c r="V31" s="113">
        <f t="shared" si="5"/>
        <v>2362.9337682182986</v>
      </c>
      <c r="W31" s="303">
        <f t="shared" si="8"/>
        <v>12430.435448261102</v>
      </c>
      <c r="X31" s="113">
        <f>W31-AF31+W32</f>
        <v>0</v>
      </c>
      <c r="Z31" s="1">
        <v>1070.0909577314071</v>
      </c>
      <c r="AA31" s="1">
        <v>62851.7924023542</v>
      </c>
      <c r="AB31" s="1">
        <v>2226.645264847512</v>
      </c>
      <c r="AC31" s="1">
        <v>2271.1781701444625</v>
      </c>
      <c r="AD31" s="1">
        <v>2316.6017335473516</v>
      </c>
      <c r="AE31" s="1">
        <v>2362.9337682182986</v>
      </c>
      <c r="AF31" s="1">
        <f t="shared" si="7"/>
        <v>73099.242296843237</v>
      </c>
    </row>
    <row r="32" spans="1:32" x14ac:dyDescent="0.3">
      <c r="A32" s="346"/>
      <c r="B32" s="347"/>
      <c r="C32" s="346"/>
      <c r="D32" s="24" t="s">
        <v>700</v>
      </c>
      <c r="F32" s="113"/>
      <c r="H32" s="285">
        <v>29</v>
      </c>
      <c r="I32" s="286">
        <v>2092.0278223649002</v>
      </c>
      <c r="J32" s="287">
        <f t="shared" si="1"/>
        <v>60668.806848582106</v>
      </c>
      <c r="K32" s="285"/>
      <c r="L32" s="286"/>
      <c r="M32" s="287"/>
      <c r="O32" s="286"/>
      <c r="Q32" s="285"/>
      <c r="R32" s="286"/>
      <c r="S32" s="287"/>
      <c r="U32" s="286"/>
      <c r="W32" s="303">
        <f t="shared" si="8"/>
        <v>60668.806848582106</v>
      </c>
      <c r="X32" s="113"/>
      <c r="Z32" s="1"/>
      <c r="AA32" s="1"/>
      <c r="AB32" s="1"/>
      <c r="AC32" s="1"/>
      <c r="AD32" s="1"/>
      <c r="AE32" s="1"/>
      <c r="AF32" s="1"/>
    </row>
    <row r="33" spans="1:32" x14ac:dyDescent="0.3">
      <c r="A33" s="346"/>
      <c r="B33" s="278" t="s">
        <v>31</v>
      </c>
      <c r="C33" s="277" t="s">
        <v>101</v>
      </c>
      <c r="D33" s="24" t="s">
        <v>682</v>
      </c>
      <c r="F33" s="113"/>
      <c r="G33" s="113">
        <f t="shared" si="0"/>
        <v>0</v>
      </c>
      <c r="H33" s="285"/>
      <c r="I33" s="286"/>
      <c r="J33" s="287">
        <f t="shared" si="1"/>
        <v>0</v>
      </c>
      <c r="K33" s="285"/>
      <c r="L33" s="286"/>
      <c r="M33" s="287">
        <f t="shared" si="2"/>
        <v>0</v>
      </c>
      <c r="O33" s="113"/>
      <c r="P33" s="113">
        <f t="shared" si="3"/>
        <v>0</v>
      </c>
      <c r="Q33" s="285"/>
      <c r="R33" s="286"/>
      <c r="S33" s="287">
        <f t="shared" si="4"/>
        <v>0</v>
      </c>
      <c r="U33" s="113"/>
      <c r="V33" s="113">
        <f t="shared" si="5"/>
        <v>0</v>
      </c>
      <c r="W33" s="303">
        <f>AF33</f>
        <v>33063.059889780634</v>
      </c>
      <c r="X33" s="113">
        <f t="shared" si="6"/>
        <v>0</v>
      </c>
      <c r="Z33" s="1">
        <v>284.24291064740504</v>
      </c>
      <c r="AA33" s="1">
        <v>1159.7110754414125</v>
      </c>
      <c r="AB33" s="1">
        <v>11829.052969502407</v>
      </c>
      <c r="AC33" s="1">
        <v>1206.5634028892457</v>
      </c>
      <c r="AD33" s="1">
        <v>12306.946709470307</v>
      </c>
      <c r="AE33" s="1">
        <v>6276.5428218298557</v>
      </c>
      <c r="AF33" s="1">
        <f t="shared" si="7"/>
        <v>33063.059889780634</v>
      </c>
    </row>
    <row r="34" spans="1:32" x14ac:dyDescent="0.3">
      <c r="A34" s="346" t="s">
        <v>701</v>
      </c>
      <c r="B34" s="278" t="s">
        <v>27</v>
      </c>
      <c r="C34" s="277" t="s">
        <v>113</v>
      </c>
      <c r="D34" s="24" t="s">
        <v>686</v>
      </c>
      <c r="F34" s="113"/>
      <c r="G34" s="113">
        <f t="shared" si="0"/>
        <v>0</v>
      </c>
      <c r="H34" s="285"/>
      <c r="I34" s="286"/>
      <c r="J34" s="287">
        <f t="shared" si="1"/>
        <v>0</v>
      </c>
      <c r="K34" s="285"/>
      <c r="L34" s="286"/>
      <c r="M34" s="287">
        <f t="shared" si="2"/>
        <v>0</v>
      </c>
      <c r="O34" s="113"/>
      <c r="P34" s="113">
        <f t="shared" si="3"/>
        <v>0</v>
      </c>
      <c r="Q34" s="285"/>
      <c r="R34" s="286"/>
      <c r="S34" s="287">
        <f t="shared" si="4"/>
        <v>0</v>
      </c>
      <c r="U34" s="113"/>
      <c r="V34" s="113">
        <f t="shared" si="5"/>
        <v>0</v>
      </c>
      <c r="W34" s="303">
        <f>AF34</f>
        <v>26025.630818619582</v>
      </c>
      <c r="X34" s="113">
        <f t="shared" si="6"/>
        <v>0</v>
      </c>
      <c r="Z34" s="1">
        <v>18509.229534510432</v>
      </c>
      <c r="AA34" s="1">
        <v>3683.7881219903693</v>
      </c>
      <c r="AB34" s="1">
        <v>0</v>
      </c>
      <c r="AC34" s="1">
        <v>3832.6131621187806</v>
      </c>
      <c r="AD34" s="1">
        <v>0</v>
      </c>
      <c r="AE34" s="1">
        <v>0</v>
      </c>
      <c r="AF34" s="1">
        <f t="shared" si="7"/>
        <v>26025.630818619582</v>
      </c>
    </row>
    <row r="35" spans="1:32" x14ac:dyDescent="0.3">
      <c r="A35" s="346"/>
      <c r="B35" s="278" t="s">
        <v>31</v>
      </c>
      <c r="C35" s="277" t="s">
        <v>114</v>
      </c>
      <c r="D35" s="24" t="s">
        <v>702</v>
      </c>
      <c r="F35" s="113"/>
      <c r="G35" s="113">
        <f t="shared" si="0"/>
        <v>0</v>
      </c>
      <c r="H35" s="285"/>
      <c r="I35" s="286"/>
      <c r="J35" s="287">
        <f t="shared" si="1"/>
        <v>0</v>
      </c>
      <c r="K35" s="285"/>
      <c r="L35" s="286"/>
      <c r="M35" s="287">
        <f t="shared" si="2"/>
        <v>0</v>
      </c>
      <c r="O35" s="113"/>
      <c r="P35" s="113">
        <f t="shared" si="3"/>
        <v>0</v>
      </c>
      <c r="Q35" s="285"/>
      <c r="R35" s="286"/>
      <c r="S35" s="287">
        <f t="shared" si="4"/>
        <v>0</v>
      </c>
      <c r="U35" s="113"/>
      <c r="V35" s="113">
        <f t="shared" si="5"/>
        <v>0</v>
      </c>
      <c r="W35" s="303">
        <f>AF35</f>
        <v>23854.656500802572</v>
      </c>
      <c r="X35" s="113">
        <f t="shared" si="6"/>
        <v>0</v>
      </c>
      <c r="Z35" s="1">
        <v>2558.1861958266454</v>
      </c>
      <c r="AA35" s="1">
        <v>10437.399678972713</v>
      </c>
      <c r="AB35" s="1">
        <v>0</v>
      </c>
      <c r="AC35" s="1">
        <v>10859.070626003211</v>
      </c>
      <c r="AD35" s="1">
        <v>0</v>
      </c>
      <c r="AE35" s="1">
        <v>0</v>
      </c>
      <c r="AF35" s="1">
        <f t="shared" si="7"/>
        <v>23854.656500802572</v>
      </c>
    </row>
    <row r="36" spans="1:32" ht="29.95" customHeight="1" x14ac:dyDescent="0.3">
      <c r="A36" s="346"/>
      <c r="B36" s="347" t="s">
        <v>29</v>
      </c>
      <c r="C36" s="350" t="s">
        <v>115</v>
      </c>
      <c r="D36" s="314" t="s">
        <v>690</v>
      </c>
      <c r="E36" s="319">
        <v>2496.8789013732835</v>
      </c>
      <c r="F36" s="319">
        <v>1</v>
      </c>
      <c r="G36" s="319">
        <f t="shared" si="0"/>
        <v>2496.8789013732835</v>
      </c>
      <c r="H36" s="320">
        <v>2546.8164794007489</v>
      </c>
      <c r="I36" s="321">
        <v>1</v>
      </c>
      <c r="J36" s="322">
        <f t="shared" si="1"/>
        <v>2546.8164794007489</v>
      </c>
      <c r="K36" s="320"/>
      <c r="L36" s="321"/>
      <c r="M36" s="322">
        <f t="shared" si="2"/>
        <v>0</v>
      </c>
      <c r="N36" s="319">
        <v>2649.7078651685392</v>
      </c>
      <c r="O36" s="319">
        <v>1</v>
      </c>
      <c r="P36" s="319">
        <f t="shared" si="3"/>
        <v>2649.7078651685392</v>
      </c>
      <c r="Q36" s="320"/>
      <c r="R36" s="321"/>
      <c r="S36" s="322">
        <f t="shared" si="4"/>
        <v>0</v>
      </c>
      <c r="T36" s="319"/>
      <c r="U36" s="319"/>
      <c r="V36" s="319">
        <f t="shared" si="5"/>
        <v>0</v>
      </c>
      <c r="W36" s="303">
        <f t="shared" si="8"/>
        <v>7693.4032459425707</v>
      </c>
      <c r="X36" s="113">
        <f>W36-AF36+W38+W37</f>
        <v>0</v>
      </c>
      <c r="Z36" s="1">
        <v>17478.152309612982</v>
      </c>
      <c r="AA36" s="1">
        <v>32881.21990369181</v>
      </c>
      <c r="AB36" s="1">
        <v>0</v>
      </c>
      <c r="AC36" s="1">
        <v>50107.8683788122</v>
      </c>
      <c r="AD36" s="1">
        <v>0</v>
      </c>
      <c r="AE36" s="1">
        <v>0</v>
      </c>
      <c r="AF36" s="1">
        <f t="shared" si="7"/>
        <v>100467.24059211698</v>
      </c>
    </row>
    <row r="37" spans="1:32" ht="29.95" customHeight="1" x14ac:dyDescent="0.3">
      <c r="A37" s="346"/>
      <c r="B37" s="347"/>
      <c r="C37" s="350"/>
      <c r="D37" s="24" t="s">
        <v>691</v>
      </c>
      <c r="E37" s="113">
        <v>2496.8789013732835</v>
      </c>
      <c r="F37" s="113">
        <v>6</v>
      </c>
      <c r="G37" s="113">
        <f t="shared" si="0"/>
        <v>14981.2734082397</v>
      </c>
      <c r="H37" s="285"/>
      <c r="I37" s="286"/>
      <c r="J37" s="287">
        <f t="shared" si="1"/>
        <v>0</v>
      </c>
      <c r="K37" s="285"/>
      <c r="L37" s="286"/>
      <c r="M37" s="287">
        <f t="shared" si="2"/>
        <v>0</v>
      </c>
      <c r="N37" s="113">
        <v>2649.7078651685392</v>
      </c>
      <c r="O37" s="113">
        <v>6</v>
      </c>
      <c r="P37" s="113">
        <f t="shared" si="3"/>
        <v>15898.247191011236</v>
      </c>
      <c r="Q37" s="285"/>
      <c r="R37" s="286"/>
      <c r="S37" s="287">
        <f t="shared" si="4"/>
        <v>0</v>
      </c>
      <c r="U37" s="113"/>
      <c r="V37" s="113">
        <f t="shared" si="5"/>
        <v>0</v>
      </c>
      <c r="W37" s="303">
        <f t="shared" si="8"/>
        <v>30879.520599250936</v>
      </c>
      <c r="X37" s="113"/>
      <c r="Z37" s="1"/>
      <c r="AA37" s="1"/>
      <c r="AB37" s="1"/>
      <c r="AC37" s="1"/>
      <c r="AD37" s="1"/>
      <c r="AE37" s="1"/>
      <c r="AF37" s="1"/>
    </row>
    <row r="38" spans="1:32" ht="29.95" customHeight="1" x14ac:dyDescent="0.3">
      <c r="A38" s="346"/>
      <c r="B38" s="347"/>
      <c r="C38" s="350"/>
      <c r="D38" s="24" t="s">
        <v>685</v>
      </c>
      <c r="F38" s="113"/>
      <c r="G38" s="113">
        <f t="shared" si="0"/>
        <v>0</v>
      </c>
      <c r="H38" s="285">
        <v>2092.0278223649011</v>
      </c>
      <c r="I38" s="286">
        <f>29/2</f>
        <v>14.5</v>
      </c>
      <c r="J38" s="287">
        <f t="shared" si="1"/>
        <v>30334.403424291067</v>
      </c>
      <c r="K38" s="285"/>
      <c r="L38" s="286"/>
      <c r="M38" s="287">
        <f t="shared" si="2"/>
        <v>0</v>
      </c>
      <c r="N38" s="113">
        <v>2176.5457463884431</v>
      </c>
      <c r="O38" s="286">
        <f>29/2</f>
        <v>14.5</v>
      </c>
      <c r="P38" s="113">
        <f t="shared" si="3"/>
        <v>31559.913322632427</v>
      </c>
      <c r="Q38" s="285"/>
      <c r="R38" s="286"/>
      <c r="S38" s="287">
        <f t="shared" si="4"/>
        <v>0</v>
      </c>
      <c r="U38" s="113"/>
      <c r="V38" s="113">
        <f t="shared" si="5"/>
        <v>0</v>
      </c>
      <c r="W38" s="303">
        <f t="shared" si="8"/>
        <v>61894.31674692349</v>
      </c>
      <c r="X38" s="113"/>
      <c r="Z38" s="1"/>
      <c r="AA38" s="1"/>
      <c r="AB38" s="1"/>
      <c r="AC38" s="1"/>
      <c r="AD38" s="1"/>
      <c r="AE38" s="1"/>
      <c r="AF38" s="1"/>
    </row>
    <row r="39" spans="1:32" x14ac:dyDescent="0.3">
      <c r="A39" s="346" t="s">
        <v>703</v>
      </c>
      <c r="B39" s="347" t="s">
        <v>27</v>
      </c>
      <c r="C39" s="350" t="s">
        <v>132</v>
      </c>
      <c r="D39" s="24" t="s">
        <v>704</v>
      </c>
      <c r="F39" s="113"/>
      <c r="G39" s="113">
        <f t="shared" si="0"/>
        <v>0</v>
      </c>
      <c r="H39" s="285"/>
      <c r="I39" s="286"/>
      <c r="J39" s="287">
        <f t="shared" si="1"/>
        <v>0</v>
      </c>
      <c r="K39" s="285">
        <v>9829.7110754414134</v>
      </c>
      <c r="L39" s="286">
        <f>9.66666666666667*0.6</f>
        <v>5.8000000000000016</v>
      </c>
      <c r="M39" s="287">
        <f t="shared" si="2"/>
        <v>57012.324237560213</v>
      </c>
      <c r="N39" s="113">
        <v>10026.305296950242</v>
      </c>
      <c r="O39" s="286">
        <f>9.66666666666667*0.6</f>
        <v>5.8000000000000016</v>
      </c>
      <c r="P39" s="113">
        <f t="shared" si="3"/>
        <v>58152.570722311422</v>
      </c>
      <c r="Q39" s="285">
        <v>10226.831402889247</v>
      </c>
      <c r="R39" s="286">
        <f>9.66666666666667*0.6</f>
        <v>5.8000000000000016</v>
      </c>
      <c r="S39" s="287">
        <f t="shared" si="4"/>
        <v>59315.622136757651</v>
      </c>
      <c r="U39" s="113"/>
      <c r="V39" s="113">
        <f t="shared" si="5"/>
        <v>0</v>
      </c>
      <c r="W39" s="303">
        <f t="shared" si="8"/>
        <v>174480.51709662928</v>
      </c>
      <c r="X39" s="113">
        <f>W39-AF39+W40+W41+W42+W43</f>
        <v>4.3536605371627957E-2</v>
      </c>
      <c r="Z39" s="1"/>
      <c r="AA39" s="1"/>
      <c r="AB39" s="1">
        <f>676086.893793472-AB44</f>
        <v>674625.65783841582</v>
      </c>
      <c r="AC39" s="1">
        <f>689608.631669342-AC44</f>
        <v>688118.1709951848</v>
      </c>
      <c r="AD39" s="1">
        <f>703400.804302729-AD44</f>
        <v>701880.53441508848</v>
      </c>
      <c r="AE39" s="1"/>
      <c r="AF39" s="1">
        <f t="shared" si="7"/>
        <v>2064624.3632486891</v>
      </c>
    </row>
    <row r="40" spans="1:32" x14ac:dyDescent="0.3">
      <c r="A40" s="346"/>
      <c r="B40" s="347"/>
      <c r="C40" s="350"/>
      <c r="D40" s="24" t="s">
        <v>705</v>
      </c>
      <c r="F40" s="113"/>
      <c r="G40" s="113">
        <f t="shared" si="0"/>
        <v>0</v>
      </c>
      <c r="H40" s="285"/>
      <c r="I40" s="286"/>
      <c r="J40" s="287">
        <f t="shared" si="1"/>
        <v>0</v>
      </c>
      <c r="K40" s="285">
        <v>4169.8056001426794</v>
      </c>
      <c r="L40" s="286">
        <f>87*0.6</f>
        <v>52.199999999999996</v>
      </c>
      <c r="M40" s="287">
        <f t="shared" si="2"/>
        <v>217663.85232744785</v>
      </c>
      <c r="N40" s="113">
        <v>4253.2017121455328</v>
      </c>
      <c r="O40" s="286">
        <f>87*0.6</f>
        <v>52.199999999999996</v>
      </c>
      <c r="P40" s="113">
        <f t="shared" si="3"/>
        <v>222017.12937399681</v>
      </c>
      <c r="Q40" s="285">
        <v>4338.2657463884434</v>
      </c>
      <c r="R40" s="286">
        <f>87*0.6</f>
        <v>52.199999999999996</v>
      </c>
      <c r="S40" s="287">
        <f t="shared" si="4"/>
        <v>226457.47196147672</v>
      </c>
      <c r="U40" s="113"/>
      <c r="V40" s="113">
        <f t="shared" si="5"/>
        <v>0</v>
      </c>
      <c r="W40" s="303">
        <f t="shared" si="8"/>
        <v>666138.45366292144</v>
      </c>
      <c r="X40" s="113"/>
      <c r="Z40" s="1"/>
      <c r="AA40" s="1"/>
      <c r="AB40" s="1"/>
      <c r="AC40" s="1"/>
      <c r="AD40" s="1"/>
      <c r="AE40" s="1"/>
      <c r="AF40" s="1"/>
    </row>
    <row r="41" spans="1:32" x14ac:dyDescent="0.3">
      <c r="A41" s="346"/>
      <c r="B41" s="347"/>
      <c r="C41" s="350"/>
      <c r="D41" s="24" t="s">
        <v>706</v>
      </c>
      <c r="F41" s="113"/>
      <c r="G41" s="113">
        <f t="shared" si="0"/>
        <v>0</v>
      </c>
      <c r="H41" s="285"/>
      <c r="I41" s="286"/>
      <c r="J41" s="287">
        <f t="shared" si="1"/>
        <v>0</v>
      </c>
      <c r="K41" s="285">
        <v>4687.5521669341888</v>
      </c>
      <c r="L41" s="286">
        <f>87*0.9</f>
        <v>78.3</v>
      </c>
      <c r="M41" s="287">
        <f t="shared" si="2"/>
        <v>367035.33467094699</v>
      </c>
      <c r="N41" s="113">
        <v>4781.303210272873</v>
      </c>
      <c r="O41" s="286">
        <f>87*0.9</f>
        <v>78.3</v>
      </c>
      <c r="P41" s="113">
        <f t="shared" si="3"/>
        <v>374376.04136436596</v>
      </c>
      <c r="Q41" s="285">
        <v>4876.9292744783306</v>
      </c>
      <c r="R41" s="286">
        <f>87*0.9</f>
        <v>78.3</v>
      </c>
      <c r="S41" s="287">
        <f t="shared" si="4"/>
        <v>381863.5621916533</v>
      </c>
      <c r="U41" s="113"/>
      <c r="V41" s="113">
        <f t="shared" si="5"/>
        <v>0</v>
      </c>
      <c r="W41" s="303">
        <f t="shared" si="8"/>
        <v>1123274.9382269662</v>
      </c>
      <c r="X41" s="113"/>
      <c r="Z41" s="1"/>
      <c r="AA41" s="1"/>
      <c r="AB41" s="1"/>
      <c r="AC41" s="1"/>
      <c r="AD41" s="1"/>
      <c r="AE41" s="1"/>
      <c r="AF41" s="1"/>
    </row>
    <row r="42" spans="1:32" x14ac:dyDescent="0.3">
      <c r="A42" s="346"/>
      <c r="B42" s="347"/>
      <c r="C42" s="350"/>
      <c r="D42" s="24" t="s">
        <v>707</v>
      </c>
      <c r="F42" s="113"/>
      <c r="G42" s="113">
        <f t="shared" si="0"/>
        <v>0</v>
      </c>
      <c r="H42" s="285"/>
      <c r="I42" s="286"/>
      <c r="J42" s="287">
        <f t="shared" si="1"/>
        <v>0</v>
      </c>
      <c r="K42" s="285">
        <v>46.388443017656499</v>
      </c>
      <c r="L42" s="286">
        <f>5*87*20%</f>
        <v>87</v>
      </c>
      <c r="M42" s="287">
        <f t="shared" si="2"/>
        <v>4035.7945425361154</v>
      </c>
      <c r="N42" s="113">
        <v>47.316211878009632</v>
      </c>
      <c r="O42" s="286">
        <f>5*87*20%</f>
        <v>87</v>
      </c>
      <c r="P42" s="113">
        <f t="shared" si="3"/>
        <v>4116.5104333868376</v>
      </c>
      <c r="Q42" s="285">
        <v>48.262536115569823</v>
      </c>
      <c r="R42" s="286">
        <f>5*87*20%</f>
        <v>87</v>
      </c>
      <c r="S42" s="287">
        <f t="shared" si="4"/>
        <v>4198.8406420545743</v>
      </c>
      <c r="U42" s="113"/>
      <c r="V42" s="113">
        <f t="shared" si="5"/>
        <v>0</v>
      </c>
      <c r="W42" s="303">
        <f t="shared" si="8"/>
        <v>12351.145617977527</v>
      </c>
      <c r="X42" s="113"/>
      <c r="Z42" s="1"/>
      <c r="AA42" s="1"/>
      <c r="AB42" s="1"/>
      <c r="AC42" s="1"/>
      <c r="AD42" s="1"/>
      <c r="AE42" s="1"/>
      <c r="AF42" s="1"/>
    </row>
    <row r="43" spans="1:32" x14ac:dyDescent="0.3">
      <c r="A43" s="346"/>
      <c r="B43" s="347"/>
      <c r="C43" s="350"/>
      <c r="D43" s="24" t="s">
        <v>708</v>
      </c>
      <c r="F43" s="113"/>
      <c r="G43" s="113">
        <f t="shared" si="0"/>
        <v>0</v>
      </c>
      <c r="H43" s="285"/>
      <c r="I43" s="286"/>
      <c r="J43" s="287">
        <f t="shared" si="1"/>
        <v>0</v>
      </c>
      <c r="K43" s="285">
        <v>2133.8683788121989</v>
      </c>
      <c r="L43" s="286">
        <f>67.6667*20%</f>
        <v>13.533340000000003</v>
      </c>
      <c r="M43" s="287">
        <f t="shared" si="2"/>
        <v>28878.366285714288</v>
      </c>
      <c r="N43" s="113">
        <v>2176.54574638844</v>
      </c>
      <c r="O43" s="286">
        <f>67.6667*20%</f>
        <v>13.533340000000003</v>
      </c>
      <c r="P43" s="113">
        <f t="shared" si="3"/>
        <v>29455.933611428536</v>
      </c>
      <c r="Q43" s="285">
        <v>2220.07666131621</v>
      </c>
      <c r="R43" s="286">
        <f>67.6667*20%</f>
        <v>13.533340000000003</v>
      </c>
      <c r="S43" s="287">
        <f t="shared" si="4"/>
        <v>30045.052283657122</v>
      </c>
      <c r="U43" s="113"/>
      <c r="V43" s="113">
        <f t="shared" si="5"/>
        <v>0</v>
      </c>
      <c r="W43" s="303">
        <f t="shared" si="8"/>
        <v>88379.35218079995</v>
      </c>
      <c r="X43" s="113"/>
      <c r="Z43" s="1"/>
      <c r="AA43" s="1"/>
      <c r="AB43" s="1"/>
      <c r="AC43" s="1"/>
      <c r="AD43" s="1"/>
      <c r="AE43" s="1"/>
      <c r="AF43" s="1"/>
    </row>
    <row r="44" spans="1:32" x14ac:dyDescent="0.3">
      <c r="A44" s="346"/>
      <c r="B44" s="347"/>
      <c r="C44" s="350"/>
      <c r="D44" s="24" t="s">
        <v>679</v>
      </c>
      <c r="F44" s="113"/>
      <c r="G44" s="113">
        <f t="shared" si="0"/>
        <v>0</v>
      </c>
      <c r="H44" s="285"/>
      <c r="I44" s="286"/>
      <c r="J44" s="287">
        <f t="shared" si="1"/>
        <v>0</v>
      </c>
      <c r="K44" s="285"/>
      <c r="L44" s="286"/>
      <c r="M44" s="287">
        <f t="shared" si="2"/>
        <v>0</v>
      </c>
      <c r="O44" s="113"/>
      <c r="P44" s="113">
        <f t="shared" si="3"/>
        <v>0</v>
      </c>
      <c r="Q44" s="285"/>
      <c r="R44" s="286"/>
      <c r="S44" s="287">
        <f t="shared" si="4"/>
        <v>0</v>
      </c>
      <c r="U44" s="113"/>
      <c r="V44" s="113">
        <f t="shared" si="5"/>
        <v>0</v>
      </c>
      <c r="W44" s="303">
        <f>AF44</f>
        <v>9561.9676449438193</v>
      </c>
      <c r="X44" s="113">
        <f t="shared" si="6"/>
        <v>0</v>
      </c>
      <c r="Z44" s="1">
        <v>2106.7415730337075</v>
      </c>
      <c r="AA44" s="1">
        <v>1432.5842696629213</v>
      </c>
      <c r="AB44" s="1">
        <v>1461.2359550561798</v>
      </c>
      <c r="AC44" s="1">
        <v>1490.4606741573034</v>
      </c>
      <c r="AD44" s="1">
        <v>1520.2698876404493</v>
      </c>
      <c r="AE44" s="1">
        <v>1550.6752853932583</v>
      </c>
      <c r="AF44" s="1">
        <f t="shared" si="7"/>
        <v>9561.9676449438193</v>
      </c>
    </row>
    <row r="45" spans="1:32" ht="29.95" customHeight="1" x14ac:dyDescent="0.3">
      <c r="A45" s="346"/>
      <c r="B45" s="347" t="s">
        <v>29</v>
      </c>
      <c r="C45" s="350" t="s">
        <v>133</v>
      </c>
      <c r="D45" s="24" t="s">
        <v>685</v>
      </c>
      <c r="G45" s="113">
        <f t="shared" si="0"/>
        <v>0</v>
      </c>
      <c r="H45" s="285">
        <v>482.07597645799899</v>
      </c>
      <c r="I45" s="24">
        <f>261/3/2*33%</f>
        <v>14.355</v>
      </c>
      <c r="J45" s="287">
        <f t="shared" si="1"/>
        <v>6920.2006420545758</v>
      </c>
      <c r="K45" s="285">
        <v>491.717495987159</v>
      </c>
      <c r="L45" s="24">
        <f>261/3/2*33%</f>
        <v>14.355</v>
      </c>
      <c r="M45" s="287">
        <f t="shared" si="2"/>
        <v>7058.6046548956674</v>
      </c>
      <c r="N45" s="113">
        <v>501.55184590690197</v>
      </c>
      <c r="O45" s="24">
        <f>261/3/2*33%</f>
        <v>14.355</v>
      </c>
      <c r="P45" s="113">
        <f t="shared" si="3"/>
        <v>7199.7767479935783</v>
      </c>
      <c r="Q45" s="285">
        <v>511.58288282503997</v>
      </c>
      <c r="R45" s="24">
        <f>261/3/2*33%</f>
        <v>14.355</v>
      </c>
      <c r="S45" s="287">
        <f t="shared" si="4"/>
        <v>7343.7722829534487</v>
      </c>
      <c r="T45" s="113">
        <v>521.81454048154103</v>
      </c>
      <c r="U45" s="24">
        <f>261/3/2*33%</f>
        <v>14.355</v>
      </c>
      <c r="V45" s="113">
        <f t="shared" si="5"/>
        <v>7490.6477286125219</v>
      </c>
      <c r="W45" s="303">
        <f t="shared" si="8"/>
        <v>36013.002056509795</v>
      </c>
      <c r="X45" s="113">
        <f>W45-AF45+W46+W47+W48+W49</f>
        <v>0</v>
      </c>
      <c r="Z45" s="1">
        <v>7490.63670411985</v>
      </c>
      <c r="AA45" s="288">
        <v>38588.317281968964</v>
      </c>
      <c r="AB45" s="1">
        <v>21175.813964687</v>
      </c>
      <c r="AC45" s="1">
        <v>21599.330243980745</v>
      </c>
      <c r="AD45" s="1">
        <v>22031.316848860355</v>
      </c>
      <c r="AE45" s="1">
        <v>22471.943185837568</v>
      </c>
      <c r="AF45" s="1">
        <f t="shared" si="7"/>
        <v>133357.35822945449</v>
      </c>
    </row>
    <row r="46" spans="1:32" x14ac:dyDescent="0.3">
      <c r="A46" s="346"/>
      <c r="B46" s="347"/>
      <c r="C46" s="350"/>
      <c r="D46" s="24" t="s">
        <v>709</v>
      </c>
      <c r="E46" s="113">
        <v>2496.8789013732799</v>
      </c>
      <c r="F46" s="24">
        <v>2</v>
      </c>
      <c r="G46" s="113">
        <f t="shared" si="0"/>
        <v>4993.7578027465597</v>
      </c>
      <c r="H46" s="285"/>
      <c r="J46" s="287">
        <f t="shared" si="1"/>
        <v>0</v>
      </c>
      <c r="K46" s="285"/>
      <c r="M46" s="287">
        <f t="shared" si="2"/>
        <v>0</v>
      </c>
      <c r="P46" s="113">
        <f t="shared" si="3"/>
        <v>0</v>
      </c>
      <c r="Q46" s="285"/>
      <c r="S46" s="287">
        <f t="shared" si="4"/>
        <v>0</v>
      </c>
      <c r="V46" s="113">
        <f t="shared" si="5"/>
        <v>0</v>
      </c>
      <c r="W46" s="303">
        <f t="shared" si="8"/>
        <v>4993.7578027465597</v>
      </c>
      <c r="X46" s="113"/>
      <c r="Z46" s="1"/>
      <c r="AA46" s="288"/>
      <c r="AB46" s="1"/>
      <c r="AC46" s="1"/>
      <c r="AD46" s="1"/>
      <c r="AE46" s="1"/>
      <c r="AF46" s="1"/>
    </row>
    <row r="47" spans="1:32" x14ac:dyDescent="0.3">
      <c r="A47" s="346"/>
      <c r="B47" s="347"/>
      <c r="C47" s="350"/>
      <c r="D47" s="24" t="s">
        <v>710</v>
      </c>
      <c r="E47" s="113">
        <v>2496.8789013732799</v>
      </c>
      <c r="F47" s="24">
        <v>1</v>
      </c>
      <c r="G47" s="113">
        <f t="shared" si="0"/>
        <v>2496.8789013732799</v>
      </c>
      <c r="H47" s="285">
        <v>2546.8164794007498</v>
      </c>
      <c r="I47" s="24">
        <v>1</v>
      </c>
      <c r="J47" s="287">
        <f t="shared" si="1"/>
        <v>2546.8164794007498</v>
      </c>
      <c r="K47" s="285"/>
      <c r="M47" s="287">
        <f t="shared" si="2"/>
        <v>0</v>
      </c>
      <c r="P47" s="113">
        <f t="shared" si="3"/>
        <v>0</v>
      </c>
      <c r="Q47" s="285"/>
      <c r="S47" s="287">
        <f t="shared" si="4"/>
        <v>0</v>
      </c>
      <c r="V47" s="113">
        <f t="shared" si="5"/>
        <v>0</v>
      </c>
      <c r="W47" s="303">
        <f t="shared" si="8"/>
        <v>5043.6953807740301</v>
      </c>
      <c r="X47" s="113"/>
      <c r="Z47" s="1"/>
      <c r="AA47" s="288"/>
      <c r="AB47" s="1"/>
      <c r="AC47" s="1"/>
      <c r="AD47" s="1"/>
      <c r="AE47" s="1"/>
      <c r="AF47" s="1"/>
    </row>
    <row r="48" spans="1:32" ht="27.95" x14ac:dyDescent="0.3">
      <c r="A48" s="346"/>
      <c r="B48" s="347"/>
      <c r="C48" s="350"/>
      <c r="D48" s="24" t="s">
        <v>691</v>
      </c>
      <c r="G48" s="113">
        <f t="shared" si="0"/>
        <v>0</v>
      </c>
      <c r="H48" s="285">
        <v>2546.8164794007498</v>
      </c>
      <c r="I48" s="24">
        <v>6</v>
      </c>
      <c r="J48" s="287">
        <f t="shared" si="1"/>
        <v>15280.898876404499</v>
      </c>
      <c r="K48" s="285"/>
      <c r="M48" s="287">
        <f t="shared" si="2"/>
        <v>0</v>
      </c>
      <c r="P48" s="113">
        <f t="shared" si="3"/>
        <v>0</v>
      </c>
      <c r="Q48" s="285"/>
      <c r="S48" s="287">
        <f t="shared" si="4"/>
        <v>0</v>
      </c>
      <c r="V48" s="113">
        <f t="shared" si="5"/>
        <v>0</v>
      </c>
      <c r="W48" s="303">
        <f t="shared" si="8"/>
        <v>15280.898876404499</v>
      </c>
      <c r="X48" s="113"/>
      <c r="Z48" s="1"/>
      <c r="AA48" s="288"/>
      <c r="AB48" s="1"/>
      <c r="AC48" s="1"/>
      <c r="AD48" s="1"/>
      <c r="AE48" s="1"/>
      <c r="AF48" s="1"/>
    </row>
    <row r="49" spans="1:32" ht="27.95" x14ac:dyDescent="0.3">
      <c r="A49" s="346"/>
      <c r="B49" s="347"/>
      <c r="C49" s="350"/>
      <c r="D49" s="24" t="s">
        <v>711</v>
      </c>
      <c r="G49" s="113">
        <f t="shared" si="0"/>
        <v>0</v>
      </c>
      <c r="H49" s="285">
        <v>482.07597645799899</v>
      </c>
      <c r="I49" s="24">
        <f>87*33%</f>
        <v>28.71</v>
      </c>
      <c r="J49" s="287">
        <f t="shared" si="1"/>
        <v>13840.401284109152</v>
      </c>
      <c r="K49" s="285">
        <v>491.717495987159</v>
      </c>
      <c r="L49" s="24">
        <f>87*33%</f>
        <v>28.71</v>
      </c>
      <c r="M49" s="287">
        <f t="shared" si="2"/>
        <v>14117.209309791335</v>
      </c>
      <c r="N49" s="113">
        <v>501.55184590690197</v>
      </c>
      <c r="O49" s="24">
        <f>87*33%</f>
        <v>28.71</v>
      </c>
      <c r="P49" s="113">
        <f t="shared" si="3"/>
        <v>14399.553495987157</v>
      </c>
      <c r="Q49" s="285">
        <v>511.58288282503997</v>
      </c>
      <c r="R49" s="24">
        <f>87*33%</f>
        <v>28.71</v>
      </c>
      <c r="S49" s="287">
        <f t="shared" si="4"/>
        <v>14687.544565906897</v>
      </c>
      <c r="T49" s="113">
        <v>521.81454048154103</v>
      </c>
      <c r="U49" s="24">
        <f>87*33%</f>
        <v>28.71</v>
      </c>
      <c r="V49" s="113">
        <f t="shared" si="5"/>
        <v>14981.295457225044</v>
      </c>
      <c r="W49" s="303">
        <f t="shared" si="8"/>
        <v>72026.00411301959</v>
      </c>
      <c r="X49" s="113"/>
      <c r="Z49" s="1"/>
      <c r="AA49" s="288"/>
      <c r="AB49" s="1"/>
      <c r="AC49" s="1"/>
      <c r="AD49" s="1"/>
      <c r="AE49" s="1"/>
      <c r="AF49" s="1"/>
    </row>
    <row r="50" spans="1:32" x14ac:dyDescent="0.3">
      <c r="A50" s="346"/>
      <c r="B50" s="347" t="s">
        <v>31</v>
      </c>
      <c r="C50" s="350" t="s">
        <v>134</v>
      </c>
      <c r="D50" s="24" t="s">
        <v>687</v>
      </c>
      <c r="G50" s="113">
        <f t="shared" si="0"/>
        <v>0</v>
      </c>
      <c r="H50" s="285">
        <v>2092.0278223649002</v>
      </c>
      <c r="I50" s="24">
        <f>29*33%*2</f>
        <v>19.14</v>
      </c>
      <c r="J50" s="287">
        <f t="shared" si="1"/>
        <v>40041.412520064194</v>
      </c>
      <c r="K50" s="285">
        <v>2133.8683788121998</v>
      </c>
      <c r="L50" s="24">
        <f>29*33%+29*2*15%+29*15%*2+29*15%*2</f>
        <v>35.67</v>
      </c>
      <c r="M50" s="287">
        <f t="shared" si="2"/>
        <v>76115.085072231173</v>
      </c>
      <c r="N50" s="113">
        <v>2176.54574638844</v>
      </c>
      <c r="O50" s="24">
        <f>29*33%*2+29*15%+29*15%+29*15%</f>
        <v>32.190000000000005</v>
      </c>
      <c r="P50" s="113">
        <f t="shared" si="3"/>
        <v>70063.007576243894</v>
      </c>
      <c r="Q50" s="285">
        <v>2220.07666131621</v>
      </c>
      <c r="R50" s="24">
        <f>29*33%+29*2*15%+29*15%*2+29*15%*2</f>
        <v>35.67</v>
      </c>
      <c r="S50" s="287">
        <f t="shared" si="4"/>
        <v>79190.134509149211</v>
      </c>
      <c r="T50" s="113">
        <v>2264.4781945425402</v>
      </c>
      <c r="U50" s="24">
        <f>29*33%*2+29*15%+29*15%+29*15%</f>
        <v>32.190000000000005</v>
      </c>
      <c r="V50" s="113">
        <f t="shared" si="5"/>
        <v>72893.553082324375</v>
      </c>
      <c r="W50" s="303">
        <f t="shared" si="8"/>
        <v>338303.19276001287</v>
      </c>
      <c r="X50" s="113">
        <f>W50-AF50+W51+W52</f>
        <v>4.3655745685100555E-11</v>
      </c>
      <c r="Z50" s="288"/>
      <c r="AA50" s="1">
        <f>48159.3900481541-AA53</f>
        <v>40041.412520064208</v>
      </c>
      <c r="AB50" s="1">
        <f>93295.0449438202-AB53</f>
        <v>85014.707865168515</v>
      </c>
      <c r="AC50" s="1">
        <f>87586.5666452649-AC53</f>
        <v>79140.622825040191</v>
      </c>
      <c r="AD50" s="1">
        <f>97064.1647595505-AD53</f>
        <v>88449.302062921299</v>
      </c>
      <c r="AE50" s="1">
        <f>81806.2438893226-AE53</f>
        <v>77412.66391404171</v>
      </c>
      <c r="AF50" s="1">
        <f t="shared" si="7"/>
        <v>370058.70918723592</v>
      </c>
    </row>
    <row r="51" spans="1:32" x14ac:dyDescent="0.3">
      <c r="A51" s="346"/>
      <c r="B51" s="347"/>
      <c r="C51" s="350"/>
      <c r="D51" s="24" t="s">
        <v>688</v>
      </c>
      <c r="G51" s="113">
        <f t="shared" si="0"/>
        <v>0</v>
      </c>
      <c r="H51" s="285"/>
      <c r="J51" s="287">
        <f t="shared" si="1"/>
        <v>0</v>
      </c>
      <c r="K51" s="285">
        <v>1577.2070626003199</v>
      </c>
      <c r="L51" s="24">
        <f>6*15%+6*15%+6*15%</f>
        <v>2.6999999999999997</v>
      </c>
      <c r="M51" s="287">
        <f t="shared" si="2"/>
        <v>4258.4590690208634</v>
      </c>
      <c r="N51" s="285">
        <v>1608.75120385233</v>
      </c>
      <c r="O51" s="24">
        <f>6*15%+6*15%+6*15%</f>
        <v>2.6999999999999997</v>
      </c>
      <c r="P51" s="113">
        <f t="shared" si="3"/>
        <v>4343.6282504012906</v>
      </c>
      <c r="Q51" s="113">
        <v>1640.92622792937</v>
      </c>
      <c r="R51" s="24">
        <f>6*15%+6*15%+6*15%</f>
        <v>2.6999999999999997</v>
      </c>
      <c r="S51" s="287">
        <f t="shared" si="4"/>
        <v>4430.5008154092984</v>
      </c>
      <c r="T51" s="285">
        <v>1673.7447524879601</v>
      </c>
      <c r="U51" s="24">
        <f>6*15%+6*15%+6*15%</f>
        <v>2.6999999999999997</v>
      </c>
      <c r="V51" s="113">
        <f t="shared" si="5"/>
        <v>4519.1108317174921</v>
      </c>
      <c r="W51" s="303">
        <f t="shared" si="8"/>
        <v>17551.698966548942</v>
      </c>
      <c r="X51" s="113"/>
      <c r="Z51" s="288"/>
      <c r="AA51" s="1"/>
      <c r="AB51" s="1"/>
      <c r="AC51" s="1"/>
      <c r="AD51" s="1"/>
      <c r="AE51" s="1"/>
      <c r="AF51" s="1"/>
    </row>
    <row r="52" spans="1:32" x14ac:dyDescent="0.3">
      <c r="A52" s="346"/>
      <c r="B52" s="347"/>
      <c r="C52" s="350"/>
      <c r="D52" s="24" t="s">
        <v>712</v>
      </c>
      <c r="G52" s="113">
        <f t="shared" si="0"/>
        <v>0</v>
      </c>
      <c r="H52" s="285"/>
      <c r="J52" s="287">
        <f t="shared" si="1"/>
        <v>0</v>
      </c>
      <c r="K52" s="285">
        <v>2133.8683788121998</v>
      </c>
      <c r="L52" s="24">
        <f>14.5*15%</f>
        <v>2.1749999999999998</v>
      </c>
      <c r="M52" s="287">
        <f t="shared" si="2"/>
        <v>4641.1637239165339</v>
      </c>
      <c r="N52" s="113">
        <v>2176.54574638844</v>
      </c>
      <c r="O52" s="24">
        <f>14.5*15%</f>
        <v>2.1749999999999998</v>
      </c>
      <c r="P52" s="113">
        <f t="shared" si="3"/>
        <v>4733.9869983948565</v>
      </c>
      <c r="Q52" s="285">
        <v>2220.07666131621</v>
      </c>
      <c r="R52" s="24">
        <f>14.5*15%</f>
        <v>2.1749999999999998</v>
      </c>
      <c r="S52" s="287">
        <f t="shared" si="4"/>
        <v>4828.6667383627564</v>
      </c>
      <c r="V52" s="113">
        <f t="shared" si="5"/>
        <v>0</v>
      </c>
      <c r="W52" s="303">
        <f t="shared" si="8"/>
        <v>14203.817460674149</v>
      </c>
      <c r="X52" s="113"/>
      <c r="Z52" s="288"/>
      <c r="AA52" s="1"/>
      <c r="AB52" s="1"/>
      <c r="AC52" s="1"/>
      <c r="AD52" s="1"/>
      <c r="AE52" s="1"/>
      <c r="AF52" s="1"/>
    </row>
    <row r="53" spans="1:32" x14ac:dyDescent="0.3">
      <c r="A53" s="346"/>
      <c r="B53" s="347"/>
      <c r="C53" s="350"/>
      <c r="D53" s="24" t="s">
        <v>682</v>
      </c>
      <c r="G53" s="113">
        <f t="shared" si="0"/>
        <v>0</v>
      </c>
      <c r="H53" s="285"/>
      <c r="J53" s="287">
        <f t="shared" si="1"/>
        <v>0</v>
      </c>
      <c r="K53" s="285"/>
      <c r="M53" s="287">
        <f t="shared" si="2"/>
        <v>0</v>
      </c>
      <c r="P53" s="113">
        <f t="shared" si="3"/>
        <v>0</v>
      </c>
      <c r="Q53" s="285"/>
      <c r="S53" s="287">
        <f t="shared" si="4"/>
        <v>0</v>
      </c>
      <c r="V53" s="113">
        <f t="shared" si="5"/>
        <v>0</v>
      </c>
      <c r="W53" s="303">
        <f>AF53</f>
        <v>39179.168015230956</v>
      </c>
      <c r="X53" s="113">
        <f t="shared" si="6"/>
        <v>0</v>
      </c>
      <c r="Z53" s="1">
        <v>1326.4669163545568</v>
      </c>
      <c r="AA53" s="1">
        <v>8117.9775280898875</v>
      </c>
      <c r="AB53" s="1">
        <v>8280.3370786516844</v>
      </c>
      <c r="AC53" s="1">
        <v>8445.9438202247184</v>
      </c>
      <c r="AD53" s="1">
        <v>8614.8626966292122</v>
      </c>
      <c r="AE53" s="1">
        <v>4393.5799752808989</v>
      </c>
      <c r="AF53" s="1">
        <f t="shared" si="7"/>
        <v>39179.168015230956</v>
      </c>
    </row>
    <row r="54" spans="1:32" x14ac:dyDescent="0.3">
      <c r="A54" s="346" t="s">
        <v>713</v>
      </c>
      <c r="B54" s="347" t="s">
        <v>27</v>
      </c>
      <c r="C54" s="350" t="s">
        <v>147</v>
      </c>
      <c r="D54" s="24" t="s">
        <v>714</v>
      </c>
      <c r="G54" s="113">
        <f t="shared" si="0"/>
        <v>0</v>
      </c>
      <c r="H54" s="285"/>
      <c r="J54" s="287">
        <f t="shared" si="1"/>
        <v>0</v>
      </c>
      <c r="K54" s="285">
        <v>2319.422150882825</v>
      </c>
      <c r="L54" s="286">
        <f>9.66666666666667*1</f>
        <v>9.6666666666666696</v>
      </c>
      <c r="M54" s="287">
        <f t="shared" si="2"/>
        <v>22421.080791867316</v>
      </c>
      <c r="N54" s="113">
        <v>2365.8105939004813</v>
      </c>
      <c r="O54" s="286">
        <f>9.66666666666667*1</f>
        <v>9.6666666666666696</v>
      </c>
      <c r="P54" s="113">
        <f t="shared" si="3"/>
        <v>22869.502407704658</v>
      </c>
      <c r="Q54" s="285">
        <v>2413.126805778491</v>
      </c>
      <c r="R54" s="286">
        <f>9.66666666666667*1</f>
        <v>9.6666666666666696</v>
      </c>
      <c r="S54" s="287">
        <f t="shared" si="4"/>
        <v>23326.892455858753</v>
      </c>
      <c r="V54" s="113">
        <f t="shared" si="5"/>
        <v>0</v>
      </c>
      <c r="W54" s="303">
        <f t="shared" si="8"/>
        <v>68617.475655430724</v>
      </c>
      <c r="X54" s="113">
        <f>W54-AF54+W55+W57+W56</f>
        <v>-7.9307937994599342E-10</v>
      </c>
      <c r="Z54" s="1"/>
      <c r="AA54" s="1"/>
      <c r="AB54" s="1">
        <f>124630.283574104-AB58</f>
        <v>124212.78758694509</v>
      </c>
      <c r="AC54" s="1">
        <f>127122.889245586-AC58</f>
        <v>126697.04333868391</v>
      </c>
      <c r="AD54" s="1">
        <f>129665.347030498-AD58</f>
        <v>129230.98420545788</v>
      </c>
      <c r="AE54" s="1"/>
      <c r="AF54" s="1">
        <f t="shared" si="7"/>
        <v>380140.81513108686</v>
      </c>
    </row>
    <row r="55" spans="1:32" x14ac:dyDescent="0.3">
      <c r="A55" s="346"/>
      <c r="B55" s="347"/>
      <c r="C55" s="350"/>
      <c r="D55" s="24" t="s">
        <v>715</v>
      </c>
      <c r="G55" s="113">
        <f t="shared" si="0"/>
        <v>0</v>
      </c>
      <c r="H55" s="285"/>
      <c r="J55" s="287">
        <f t="shared" si="1"/>
        <v>0</v>
      </c>
      <c r="K55" s="285">
        <v>417.49598715890852</v>
      </c>
      <c r="L55" s="24">
        <f>261/2</f>
        <v>130.5</v>
      </c>
      <c r="M55" s="287">
        <f t="shared" si="2"/>
        <v>54483.226324237563</v>
      </c>
      <c r="N55" s="113">
        <v>425.84590690208665</v>
      </c>
      <c r="O55" s="24">
        <f>261/2</f>
        <v>130.5</v>
      </c>
      <c r="P55" s="113">
        <f t="shared" si="3"/>
        <v>55572.89085072231</v>
      </c>
      <c r="Q55" s="285">
        <v>434.36282504012843</v>
      </c>
      <c r="R55" s="24">
        <f>261/2</f>
        <v>130.5</v>
      </c>
      <c r="S55" s="287">
        <f t="shared" si="4"/>
        <v>56684.348667736762</v>
      </c>
      <c r="V55" s="113">
        <f t="shared" si="5"/>
        <v>0</v>
      </c>
      <c r="W55" s="303">
        <f t="shared" si="8"/>
        <v>166740.46584269663</v>
      </c>
      <c r="X55" s="113"/>
      <c r="Z55" s="1"/>
      <c r="AA55" s="1"/>
      <c r="AB55" s="1"/>
      <c r="AC55" s="1"/>
      <c r="AD55" s="1"/>
      <c r="AE55" s="1"/>
      <c r="AF55" s="1"/>
    </row>
    <row r="56" spans="1:32" x14ac:dyDescent="0.3">
      <c r="A56" s="346"/>
      <c r="B56" s="347"/>
      <c r="C56" s="350"/>
      <c r="D56" s="24" t="s">
        <v>715</v>
      </c>
      <c r="H56" s="285"/>
      <c r="J56" s="287">
        <f t="shared" si="1"/>
        <v>0</v>
      </c>
      <c r="K56" s="285">
        <v>46.388443017656499</v>
      </c>
      <c r="L56" s="24">
        <f>261/2</f>
        <v>130.5</v>
      </c>
      <c r="M56" s="287">
        <f t="shared" si="2"/>
        <v>6053.6918138041729</v>
      </c>
      <c r="N56" s="113">
        <v>47.316211878009632</v>
      </c>
      <c r="O56" s="24">
        <f>261/2</f>
        <v>130.5</v>
      </c>
      <c r="P56" s="113">
        <f t="shared" si="3"/>
        <v>6174.7656500802568</v>
      </c>
      <c r="Q56" s="285">
        <v>48.262536115569823</v>
      </c>
      <c r="R56" s="24">
        <f>261/2</f>
        <v>130.5</v>
      </c>
      <c r="S56" s="287">
        <f t="shared" si="4"/>
        <v>6298.2609630818615</v>
      </c>
      <c r="W56" s="303">
        <f t="shared" si="8"/>
        <v>18526.71842696629</v>
      </c>
      <c r="X56" s="113"/>
      <c r="Z56" s="1"/>
      <c r="AA56" s="1"/>
      <c r="AB56" s="1"/>
      <c r="AC56" s="1"/>
      <c r="AD56" s="1"/>
      <c r="AE56" s="1"/>
      <c r="AF56" s="1"/>
    </row>
    <row r="57" spans="1:32" x14ac:dyDescent="0.3">
      <c r="A57" s="346"/>
      <c r="B57" s="347"/>
      <c r="C57" s="350"/>
      <c r="D57" s="24" t="s">
        <v>708</v>
      </c>
      <c r="G57" s="113">
        <f t="shared" si="0"/>
        <v>0</v>
      </c>
      <c r="H57" s="285"/>
      <c r="J57" s="287">
        <f t="shared" si="1"/>
        <v>0</v>
      </c>
      <c r="K57" s="285">
        <v>2133.8683788121989</v>
      </c>
      <c r="L57" s="24">
        <f>9.66666666666667*2</f>
        <v>19.333333333333339</v>
      </c>
      <c r="M57" s="287">
        <f t="shared" si="2"/>
        <v>41254.788657035861</v>
      </c>
      <c r="N57" s="113">
        <v>2176.54574638844</v>
      </c>
      <c r="O57" s="24">
        <f>9.66666666666667*2</f>
        <v>19.333333333333339</v>
      </c>
      <c r="P57" s="113">
        <f t="shared" si="3"/>
        <v>42079.88443017652</v>
      </c>
      <c r="Q57" s="285">
        <v>2220.07666131621</v>
      </c>
      <c r="R57" s="24">
        <f>9.66666666666667*2</f>
        <v>19.333333333333339</v>
      </c>
      <c r="S57" s="287">
        <f t="shared" si="4"/>
        <v>42921.48211878007</v>
      </c>
      <c r="V57" s="113">
        <f t="shared" si="5"/>
        <v>0</v>
      </c>
      <c r="W57" s="303">
        <f t="shared" si="8"/>
        <v>126256.15520599244</v>
      </c>
      <c r="X57" s="113"/>
      <c r="Z57" s="1"/>
      <c r="AA57" s="1"/>
      <c r="AB57" s="1"/>
      <c r="AC57" s="1"/>
      <c r="AD57" s="1"/>
      <c r="AE57" s="1"/>
      <c r="AF57" s="1"/>
    </row>
    <row r="58" spans="1:32" x14ac:dyDescent="0.3">
      <c r="A58" s="346"/>
      <c r="B58" s="347"/>
      <c r="C58" s="350"/>
      <c r="D58" s="24" t="s">
        <v>686</v>
      </c>
      <c r="G58" s="113">
        <f t="shared" si="0"/>
        <v>0</v>
      </c>
      <c r="H58" s="285"/>
      <c r="J58" s="287">
        <f t="shared" si="1"/>
        <v>0</v>
      </c>
      <c r="K58" s="285"/>
      <c r="M58" s="287">
        <f t="shared" si="2"/>
        <v>0</v>
      </c>
      <c r="P58" s="113">
        <f t="shared" si="3"/>
        <v>0</v>
      </c>
      <c r="Q58" s="285"/>
      <c r="S58" s="287">
        <f t="shared" si="4"/>
        <v>0</v>
      </c>
      <c r="V58" s="113">
        <f t="shared" si="5"/>
        <v>0</v>
      </c>
      <c r="W58" s="303">
        <f>AF58</f>
        <v>2731.9907556982344</v>
      </c>
      <c r="X58" s="113">
        <f t="shared" si="6"/>
        <v>0</v>
      </c>
      <c r="Z58" s="1">
        <v>601.92616372391649</v>
      </c>
      <c r="AA58" s="1">
        <v>409.30979133226322</v>
      </c>
      <c r="AB58" s="1">
        <v>417.49598715890852</v>
      </c>
      <c r="AC58" s="1">
        <v>425.84590690208677</v>
      </c>
      <c r="AD58" s="1">
        <v>434.36282504012837</v>
      </c>
      <c r="AE58" s="1">
        <v>443.05008154093099</v>
      </c>
      <c r="AF58" s="1">
        <f t="shared" si="7"/>
        <v>2731.9907556982344</v>
      </c>
    </row>
    <row r="59" spans="1:32" x14ac:dyDescent="0.3">
      <c r="A59" s="346"/>
      <c r="B59" s="347" t="s">
        <v>29</v>
      </c>
      <c r="C59" s="346" t="s">
        <v>148</v>
      </c>
      <c r="D59" s="24" t="s">
        <v>685</v>
      </c>
      <c r="G59" s="113">
        <f t="shared" si="0"/>
        <v>0</v>
      </c>
      <c r="H59" s="285">
        <v>482.07597645799899</v>
      </c>
      <c r="I59" s="24">
        <f>87*33%</f>
        <v>28.71</v>
      </c>
      <c r="J59" s="287">
        <f t="shared" si="1"/>
        <v>13840.401284109152</v>
      </c>
      <c r="K59" s="285">
        <v>491.717495987159</v>
      </c>
      <c r="L59" s="24">
        <f>87*33%</f>
        <v>28.71</v>
      </c>
      <c r="M59" s="287">
        <f t="shared" si="2"/>
        <v>14117.209309791335</v>
      </c>
      <c r="N59" s="113">
        <v>501.55184590690197</v>
      </c>
      <c r="O59" s="24">
        <f>87*33%</f>
        <v>28.71</v>
      </c>
      <c r="P59" s="113">
        <f t="shared" si="3"/>
        <v>14399.553495987157</v>
      </c>
      <c r="Q59" s="285">
        <v>511.58288282503997</v>
      </c>
      <c r="R59" s="24">
        <f>87*33%</f>
        <v>28.71</v>
      </c>
      <c r="S59" s="287">
        <f t="shared" si="4"/>
        <v>14687.544565906897</v>
      </c>
      <c r="T59" s="113">
        <v>521.81454048154103</v>
      </c>
      <c r="U59" s="24">
        <f>87*33%</f>
        <v>28.71</v>
      </c>
      <c r="V59" s="113">
        <f t="shared" si="5"/>
        <v>14981.295457225044</v>
      </c>
      <c r="W59" s="303">
        <f t="shared" si="8"/>
        <v>72026.00411301959</v>
      </c>
      <c r="X59" s="113">
        <f>W59-AF59+W60+W61+W62+W63</f>
        <v>1.8189894035458565E-12</v>
      </c>
      <c r="Z59" s="1">
        <v>2496.8789013732835</v>
      </c>
      <c r="AA59" s="1">
        <v>31668.116639914391</v>
      </c>
      <c r="AB59" s="1">
        <v>14117.209309791333</v>
      </c>
      <c r="AC59" s="1">
        <v>14399.553495987162</v>
      </c>
      <c r="AD59" s="1">
        <v>14687.544565906905</v>
      </c>
      <c r="AE59" s="1">
        <v>14981.295457225046</v>
      </c>
      <c r="AF59" s="1">
        <f t="shared" si="7"/>
        <v>92350.598370198117</v>
      </c>
    </row>
    <row r="60" spans="1:32" x14ac:dyDescent="0.3">
      <c r="A60" s="346"/>
      <c r="B60" s="347"/>
      <c r="C60" s="346"/>
      <c r="D60" s="24" t="s">
        <v>709</v>
      </c>
      <c r="H60" s="285"/>
      <c r="J60" s="287"/>
      <c r="K60" s="285"/>
      <c r="M60" s="287"/>
      <c r="Q60" s="285"/>
      <c r="S60" s="287"/>
      <c r="W60" s="303">
        <f t="shared" si="8"/>
        <v>0</v>
      </c>
      <c r="X60" s="113"/>
      <c r="Z60" s="1"/>
      <c r="AA60" s="1"/>
      <c r="AB60" s="1"/>
      <c r="AC60" s="1"/>
      <c r="AD60" s="1"/>
      <c r="AE60" s="1"/>
      <c r="AF60" s="1"/>
    </row>
    <row r="61" spans="1:32" x14ac:dyDescent="0.3">
      <c r="A61" s="346"/>
      <c r="B61" s="347"/>
      <c r="C61" s="346"/>
      <c r="D61" s="24" t="s">
        <v>710</v>
      </c>
      <c r="E61" s="113">
        <v>2496.8789013732799</v>
      </c>
      <c r="F61" s="24">
        <v>1</v>
      </c>
      <c r="G61" s="113">
        <f t="shared" ref="G61" si="9">E61*F61</f>
        <v>2496.8789013732799</v>
      </c>
      <c r="H61" s="285">
        <v>2546.8164794007498</v>
      </c>
      <c r="I61" s="24">
        <v>1</v>
      </c>
      <c r="J61" s="287">
        <f t="shared" ref="J61:J62" si="10">H61*I61</f>
        <v>2546.8164794007498</v>
      </c>
      <c r="K61" s="285"/>
      <c r="M61" s="287"/>
      <c r="Q61" s="285"/>
      <c r="S61" s="287"/>
      <c r="W61" s="303">
        <f t="shared" si="8"/>
        <v>5043.6953807740301</v>
      </c>
      <c r="X61" s="113"/>
      <c r="Z61" s="1"/>
      <c r="AA61" s="1"/>
      <c r="AB61" s="1"/>
      <c r="AC61" s="1"/>
      <c r="AD61" s="1"/>
      <c r="AE61" s="1"/>
      <c r="AF61" s="1"/>
    </row>
    <row r="62" spans="1:32" ht="27.95" x14ac:dyDescent="0.3">
      <c r="A62" s="346"/>
      <c r="B62" s="347"/>
      <c r="C62" s="346"/>
      <c r="D62" s="24" t="s">
        <v>691</v>
      </c>
      <c r="H62" s="285">
        <v>2546.8164794007498</v>
      </c>
      <c r="I62" s="24">
        <v>6</v>
      </c>
      <c r="J62" s="287">
        <f t="shared" si="10"/>
        <v>15280.898876404499</v>
      </c>
      <c r="K62" s="285"/>
      <c r="M62" s="287"/>
      <c r="Q62" s="285"/>
      <c r="S62" s="287"/>
      <c r="W62" s="303">
        <f t="shared" si="8"/>
        <v>15280.898876404499</v>
      </c>
      <c r="X62" s="113"/>
      <c r="Z62" s="1"/>
      <c r="AA62" s="1"/>
      <c r="AB62" s="1"/>
      <c r="AC62" s="1"/>
      <c r="AD62" s="1"/>
      <c r="AE62" s="1"/>
      <c r="AF62" s="1"/>
    </row>
    <row r="63" spans="1:32" ht="27.95" x14ac:dyDescent="0.3">
      <c r="A63" s="346"/>
      <c r="B63" s="347"/>
      <c r="C63" s="346"/>
      <c r="D63" s="24" t="s">
        <v>711</v>
      </c>
      <c r="H63" s="285"/>
      <c r="J63" s="287"/>
      <c r="K63" s="285"/>
      <c r="M63" s="287"/>
      <c r="Q63" s="285"/>
      <c r="S63" s="287"/>
      <c r="W63" s="303">
        <f t="shared" si="8"/>
        <v>0</v>
      </c>
      <c r="X63" s="113"/>
      <c r="Z63" s="1"/>
      <c r="AA63" s="1"/>
      <c r="AB63" s="1"/>
      <c r="AC63" s="1"/>
      <c r="AD63" s="1"/>
      <c r="AE63" s="1"/>
      <c r="AF63" s="1"/>
    </row>
    <row r="64" spans="1:32" x14ac:dyDescent="0.3">
      <c r="A64" s="346"/>
      <c r="B64" s="347" t="s">
        <v>31</v>
      </c>
      <c r="C64" s="346" t="s">
        <v>149</v>
      </c>
      <c r="D64" s="24" t="s">
        <v>687</v>
      </c>
      <c r="G64" s="113">
        <f t="shared" si="0"/>
        <v>0</v>
      </c>
      <c r="H64" s="285"/>
      <c r="J64" s="287">
        <f t="shared" si="1"/>
        <v>0</v>
      </c>
      <c r="K64" s="285">
        <v>2133.8683788121998</v>
      </c>
      <c r="L64" s="24">
        <f>29*33%*2</f>
        <v>19.14</v>
      </c>
      <c r="M64" s="287">
        <f t="shared" si="2"/>
        <v>40842.240770465505</v>
      </c>
      <c r="N64" s="113">
        <v>2176.54574638844</v>
      </c>
      <c r="O64" s="24">
        <f>29*33%</f>
        <v>9.57</v>
      </c>
      <c r="P64" s="113">
        <f t="shared" si="3"/>
        <v>20829.542792937373</v>
      </c>
      <c r="Q64" s="285">
        <v>2220.07666131621</v>
      </c>
      <c r="R64" s="24">
        <f>29*33%*2</f>
        <v>19.14</v>
      </c>
      <c r="S64" s="287">
        <f t="shared" si="4"/>
        <v>42492.267297592261</v>
      </c>
      <c r="T64" s="113">
        <v>2264.4781945425402</v>
      </c>
      <c r="U64" s="24">
        <f>29*33%</f>
        <v>9.57</v>
      </c>
      <c r="V64" s="113">
        <f t="shared" si="5"/>
        <v>21671.05632177211</v>
      </c>
      <c r="W64" s="303">
        <f t="shared" si="8"/>
        <v>125835.10718276724</v>
      </c>
      <c r="X64" s="113">
        <f t="shared" si="6"/>
        <v>0</v>
      </c>
      <c r="Z64" s="1"/>
      <c r="AA64" s="1"/>
      <c r="AB64" s="1">
        <f>43208.051364366-AB65</f>
        <v>40842.24077046552</v>
      </c>
      <c r="AC64" s="1">
        <f>23242.6695987159-AC65</f>
        <v>20829.542792937409</v>
      </c>
      <c r="AD64" s="1">
        <f>44953.6566394864-AD65</f>
        <v>42492.267297592334</v>
      </c>
      <c r="AE64" s="1">
        <f>22926.364886138-AE65</f>
        <v>21671.056321772026</v>
      </c>
      <c r="AF64" s="1">
        <f t="shared" si="7"/>
        <v>125835.1071827673</v>
      </c>
    </row>
    <row r="65" spans="1:32" x14ac:dyDescent="0.3">
      <c r="A65" s="346"/>
      <c r="B65" s="347"/>
      <c r="C65" s="346"/>
      <c r="D65" s="24" t="s">
        <v>702</v>
      </c>
      <c r="G65" s="113">
        <f t="shared" si="0"/>
        <v>0</v>
      </c>
      <c r="H65" s="285"/>
      <c r="J65" s="287">
        <f t="shared" si="1"/>
        <v>0</v>
      </c>
      <c r="K65" s="285"/>
      <c r="M65" s="287">
        <f t="shared" si="2"/>
        <v>0</v>
      </c>
      <c r="P65" s="113">
        <f t="shared" si="3"/>
        <v>0</v>
      </c>
      <c r="Q65" s="285"/>
      <c r="S65" s="287">
        <f t="shared" si="4"/>
        <v>0</v>
      </c>
      <c r="V65" s="113">
        <f t="shared" si="5"/>
        <v>0</v>
      </c>
      <c r="W65" s="303">
        <f>AF65</f>
        <v>11194.048004351702</v>
      </c>
      <c r="X65" s="113">
        <f t="shared" si="6"/>
        <v>0</v>
      </c>
      <c r="Z65" s="1">
        <v>378.99054752987337</v>
      </c>
      <c r="AA65" s="1">
        <v>2319.422150882825</v>
      </c>
      <c r="AB65" s="1">
        <v>2365.8105939004813</v>
      </c>
      <c r="AC65" s="1">
        <v>2413.1268057784914</v>
      </c>
      <c r="AD65" s="1">
        <v>2461.3893418940611</v>
      </c>
      <c r="AE65" s="1">
        <v>1255.3085643659713</v>
      </c>
      <c r="AF65" s="1">
        <f t="shared" si="7"/>
        <v>11194.048004351702</v>
      </c>
    </row>
    <row r="66" spans="1:32" x14ac:dyDescent="0.3">
      <c r="A66" s="346" t="s">
        <v>716</v>
      </c>
      <c r="B66" s="278" t="s">
        <v>27</v>
      </c>
      <c r="C66" s="277" t="s">
        <v>161</v>
      </c>
      <c r="D66" s="24" t="s">
        <v>686</v>
      </c>
      <c r="G66" s="113">
        <f t="shared" si="0"/>
        <v>0</v>
      </c>
      <c r="H66" s="285"/>
      <c r="J66" s="287">
        <f t="shared" si="1"/>
        <v>0</v>
      </c>
      <c r="K66" s="285"/>
      <c r="M66" s="287">
        <f t="shared" si="2"/>
        <v>0</v>
      </c>
      <c r="P66" s="113">
        <f t="shared" si="3"/>
        <v>0</v>
      </c>
      <c r="Q66" s="285"/>
      <c r="S66" s="287">
        <f t="shared" si="4"/>
        <v>0</v>
      </c>
      <c r="V66" s="113">
        <f t="shared" si="5"/>
        <v>0</v>
      </c>
      <c r="W66" s="303">
        <f>AF66</f>
        <v>1365.9953778491172</v>
      </c>
      <c r="X66" s="113">
        <f t="shared" si="6"/>
        <v>0</v>
      </c>
      <c r="Z66" s="1">
        <v>300.96308186195824</v>
      </c>
      <c r="AA66" s="1">
        <v>204.65489566613161</v>
      </c>
      <c r="AB66" s="1">
        <v>208.74799357945426</v>
      </c>
      <c r="AC66" s="1">
        <v>212.92295345104338</v>
      </c>
      <c r="AD66" s="1">
        <v>217.18141252006419</v>
      </c>
      <c r="AE66" s="1">
        <v>221.52504077046549</v>
      </c>
      <c r="AF66" s="1">
        <f t="shared" si="7"/>
        <v>1365.9953778491172</v>
      </c>
    </row>
    <row r="67" spans="1:32" x14ac:dyDescent="0.3">
      <c r="A67" s="346"/>
      <c r="B67" s="347" t="s">
        <v>29</v>
      </c>
      <c r="C67" s="346" t="s">
        <v>162</v>
      </c>
      <c r="D67" s="24" t="s">
        <v>685</v>
      </c>
      <c r="G67" s="113">
        <f t="shared" si="0"/>
        <v>0</v>
      </c>
      <c r="H67" s="285"/>
      <c r="J67" s="287">
        <f t="shared" si="1"/>
        <v>0</v>
      </c>
      <c r="K67" s="285">
        <v>491.717495987159</v>
      </c>
      <c r="L67" s="24">
        <v>14.355</v>
      </c>
      <c r="M67" s="287">
        <f t="shared" si="2"/>
        <v>7058.6046548956674</v>
      </c>
      <c r="N67" s="113">
        <v>501.55184590690197</v>
      </c>
      <c r="O67" s="24">
        <v>14.355</v>
      </c>
      <c r="P67" s="113">
        <f t="shared" si="3"/>
        <v>7199.7767479935783</v>
      </c>
      <c r="Q67" s="285">
        <v>511.58288282503997</v>
      </c>
      <c r="R67" s="24">
        <v>14.355</v>
      </c>
      <c r="S67" s="287">
        <f t="shared" si="4"/>
        <v>7343.7722829534487</v>
      </c>
      <c r="T67" s="113">
        <v>521.81454048154103</v>
      </c>
      <c r="U67" s="24">
        <v>14.355</v>
      </c>
      <c r="V67" s="113">
        <f t="shared" si="5"/>
        <v>7490.6477286125219</v>
      </c>
      <c r="W67" s="303">
        <f t="shared" si="8"/>
        <v>29092.801414455214</v>
      </c>
      <c r="X67" s="113">
        <f>W67-AF67+W68+W69+W70+W71</f>
        <v>-5.4569682106375694E-12</v>
      </c>
      <c r="Z67" s="1">
        <v>2496.8789013732835</v>
      </c>
      <c r="AA67" s="1">
        <v>17827.715355805241</v>
      </c>
      <c r="AB67" s="1">
        <v>7058.6046548956665</v>
      </c>
      <c r="AC67" s="1">
        <v>7199.776747993581</v>
      </c>
      <c r="AD67" s="1">
        <v>7343.7722829534523</v>
      </c>
      <c r="AE67" s="1">
        <v>7490.6477286125228</v>
      </c>
      <c r="AF67" s="1">
        <f t="shared" si="7"/>
        <v>49417.395671633749</v>
      </c>
    </row>
    <row r="68" spans="1:32" x14ac:dyDescent="0.3">
      <c r="A68" s="346"/>
      <c r="B68" s="347"/>
      <c r="C68" s="346"/>
      <c r="D68" s="24" t="s">
        <v>709</v>
      </c>
      <c r="H68" s="285"/>
      <c r="J68" s="287"/>
      <c r="K68" s="285"/>
      <c r="M68" s="287"/>
      <c r="Q68" s="285"/>
      <c r="S68" s="287"/>
      <c r="W68" s="303">
        <f t="shared" si="8"/>
        <v>0</v>
      </c>
      <c r="X68" s="113"/>
      <c r="Z68" s="1"/>
      <c r="AA68" s="1"/>
      <c r="AB68" s="1"/>
      <c r="AC68" s="1"/>
      <c r="AD68" s="1"/>
      <c r="AE68" s="1"/>
      <c r="AF68" s="1"/>
    </row>
    <row r="69" spans="1:32" x14ac:dyDescent="0.3">
      <c r="A69" s="346"/>
      <c r="B69" s="347"/>
      <c r="C69" s="346"/>
      <c r="D69" s="24" t="s">
        <v>710</v>
      </c>
      <c r="E69" s="113">
        <v>2496.8789013732799</v>
      </c>
      <c r="F69" s="24">
        <v>1</v>
      </c>
      <c r="G69" s="113">
        <f t="shared" ref="G69" si="11">E69*F69</f>
        <v>2496.8789013732799</v>
      </c>
      <c r="H69" s="285">
        <v>2546.8164794007498</v>
      </c>
      <c r="I69" s="24">
        <v>1</v>
      </c>
      <c r="J69" s="287">
        <f t="shared" ref="J69:J70" si="12">H69*I69</f>
        <v>2546.8164794007498</v>
      </c>
      <c r="K69" s="285"/>
      <c r="M69" s="287"/>
      <c r="Q69" s="285"/>
      <c r="S69" s="287"/>
      <c r="W69" s="303">
        <f t="shared" si="8"/>
        <v>5043.6953807740301</v>
      </c>
      <c r="X69" s="113"/>
      <c r="Z69" s="1"/>
      <c r="AA69" s="1"/>
      <c r="AB69" s="1"/>
      <c r="AC69" s="1"/>
      <c r="AD69" s="1"/>
      <c r="AE69" s="1"/>
      <c r="AF69" s="1"/>
    </row>
    <row r="70" spans="1:32" ht="27.95" x14ac:dyDescent="0.3">
      <c r="A70" s="346"/>
      <c r="B70" s="347"/>
      <c r="C70" s="346"/>
      <c r="D70" s="24" t="s">
        <v>691</v>
      </c>
      <c r="H70" s="285">
        <v>2546.8164794007498</v>
      </c>
      <c r="I70" s="24">
        <v>6</v>
      </c>
      <c r="J70" s="287">
        <f t="shared" si="12"/>
        <v>15280.898876404499</v>
      </c>
      <c r="K70" s="285"/>
      <c r="M70" s="287"/>
      <c r="Q70" s="285"/>
      <c r="S70" s="287"/>
      <c r="W70" s="303">
        <f t="shared" si="8"/>
        <v>15280.898876404499</v>
      </c>
      <c r="X70" s="113"/>
      <c r="Z70" s="1"/>
      <c r="AA70" s="1"/>
      <c r="AB70" s="1"/>
      <c r="AC70" s="1"/>
      <c r="AD70" s="1"/>
      <c r="AE70" s="1"/>
      <c r="AF70" s="1"/>
    </row>
    <row r="71" spans="1:32" ht="27.95" x14ac:dyDescent="0.3">
      <c r="A71" s="346"/>
      <c r="B71" s="347"/>
      <c r="C71" s="346"/>
      <c r="D71" s="24" t="s">
        <v>711</v>
      </c>
      <c r="G71" s="113">
        <f t="shared" si="0"/>
        <v>0</v>
      </c>
      <c r="H71" s="285"/>
      <c r="J71" s="287">
        <f t="shared" si="1"/>
        <v>0</v>
      </c>
      <c r="K71" s="285"/>
      <c r="M71" s="287">
        <f t="shared" si="2"/>
        <v>0</v>
      </c>
      <c r="P71" s="113">
        <f t="shared" si="3"/>
        <v>0</v>
      </c>
      <c r="Q71" s="285"/>
      <c r="S71" s="287">
        <f t="shared" si="4"/>
        <v>0</v>
      </c>
      <c r="V71" s="113">
        <f t="shared" si="5"/>
        <v>0</v>
      </c>
      <c r="W71" s="303">
        <f t="shared" si="8"/>
        <v>0</v>
      </c>
      <c r="X71" s="113"/>
      <c r="Z71" s="1"/>
      <c r="AA71" s="1" t="s">
        <v>778</v>
      </c>
      <c r="AB71" s="1"/>
      <c r="AC71" s="1"/>
      <c r="AD71" s="1"/>
      <c r="AE71" s="1"/>
      <c r="AF71" s="1"/>
    </row>
    <row r="72" spans="1:32" x14ac:dyDescent="0.3">
      <c r="A72" s="346"/>
      <c r="B72" s="347" t="s">
        <v>31</v>
      </c>
      <c r="C72" s="346" t="s">
        <v>163</v>
      </c>
      <c r="D72" s="24" t="s">
        <v>687</v>
      </c>
      <c r="G72" s="113">
        <f t="shared" si="0"/>
        <v>0</v>
      </c>
      <c r="H72" s="285"/>
      <c r="J72" s="287">
        <f t="shared" si="1"/>
        <v>0</v>
      </c>
      <c r="K72" s="285">
        <v>2133.8683788121998</v>
      </c>
      <c r="L72" s="24">
        <f>29*33%*2</f>
        <v>19.14</v>
      </c>
      <c r="M72" s="287">
        <f t="shared" si="2"/>
        <v>40842.240770465505</v>
      </c>
      <c r="N72" s="113">
        <v>2176.54574638844</v>
      </c>
      <c r="O72" s="24">
        <f>29*33%</f>
        <v>9.57</v>
      </c>
      <c r="P72" s="113">
        <f t="shared" si="3"/>
        <v>20829.542792937373</v>
      </c>
      <c r="Q72" s="285">
        <v>2220.07666131621</v>
      </c>
      <c r="R72" s="24">
        <f>29*33%*2</f>
        <v>19.14</v>
      </c>
      <c r="S72" s="287">
        <f t="shared" si="4"/>
        <v>42492.267297592261</v>
      </c>
      <c r="T72" s="113">
        <v>2264.4781945425402</v>
      </c>
      <c r="U72" s="24">
        <f>29*33%</f>
        <v>9.57</v>
      </c>
      <c r="V72" s="113">
        <f t="shared" si="5"/>
        <v>21671.05632177211</v>
      </c>
      <c r="W72" s="303">
        <f t="shared" si="8"/>
        <v>125835.10718276724</v>
      </c>
      <c r="X72" s="113">
        <f>W72-AF72+W73</f>
        <v>0</v>
      </c>
      <c r="Z72" s="1">
        <f>9285.2684144819-Z74</f>
        <v>9095.7731407169631</v>
      </c>
      <c r="AA72" s="1"/>
      <c r="AB72" s="1">
        <f>51488.3884430177-AB74</f>
        <v>50305.483146067461</v>
      </c>
      <c r="AC72" s="1">
        <f>31688.6134189406-AC74</f>
        <v>30482.050016051355</v>
      </c>
      <c r="AD72" s="1">
        <f>53568.5193361155-AD74</f>
        <v>52337.824665168475</v>
      </c>
      <c r="AE72" s="1">
        <f>32341.1791188828-AE74</f>
        <v>31713.524836699813</v>
      </c>
      <c r="AF72" s="1">
        <f t="shared" si="7"/>
        <v>173934.65580470406</v>
      </c>
    </row>
    <row r="73" spans="1:32" x14ac:dyDescent="0.3">
      <c r="A73" s="346"/>
      <c r="B73" s="347"/>
      <c r="C73" s="346"/>
      <c r="D73" s="24" t="s">
        <v>688</v>
      </c>
      <c r="E73" s="113">
        <v>1515.9621901194935</v>
      </c>
      <c r="F73" s="24">
        <v>6</v>
      </c>
      <c r="G73" s="113">
        <f t="shared" si="0"/>
        <v>9095.7731407169613</v>
      </c>
      <c r="H73" s="285"/>
      <c r="J73" s="287">
        <f t="shared" si="1"/>
        <v>0</v>
      </c>
      <c r="K73" s="285">
        <v>1577.2070626003199</v>
      </c>
      <c r="L73" s="24">
        <v>6</v>
      </c>
      <c r="M73" s="287">
        <f t="shared" si="2"/>
        <v>9463.2423756019198</v>
      </c>
      <c r="N73" s="285">
        <v>1608.75120385233</v>
      </c>
      <c r="O73" s="24">
        <v>6</v>
      </c>
      <c r="P73" s="113">
        <f t="shared" si="3"/>
        <v>9652.5072231139802</v>
      </c>
      <c r="Q73" s="113">
        <v>1640.92622792937</v>
      </c>
      <c r="R73" s="24">
        <v>6</v>
      </c>
      <c r="S73" s="287">
        <f t="shared" si="4"/>
        <v>9845.5573675762207</v>
      </c>
      <c r="T73" s="285">
        <v>1673.7447524879601</v>
      </c>
      <c r="U73" s="24">
        <v>6</v>
      </c>
      <c r="V73" s="113">
        <f t="shared" si="5"/>
        <v>10042.468514927761</v>
      </c>
      <c r="W73" s="303">
        <f t="shared" si="8"/>
        <v>48099.548621936847</v>
      </c>
      <c r="X73" s="113"/>
      <c r="Z73" s="1"/>
      <c r="AA73" s="1"/>
      <c r="AB73" s="1"/>
      <c r="AC73" s="1"/>
      <c r="AD73" s="1"/>
      <c r="AE73" s="1"/>
      <c r="AF73" s="1"/>
    </row>
    <row r="74" spans="1:32" x14ac:dyDescent="0.3">
      <c r="A74" s="346"/>
      <c r="B74" s="347"/>
      <c r="C74" s="346"/>
      <c r="D74" s="24" t="s">
        <v>702</v>
      </c>
      <c r="G74" s="113">
        <f t="shared" si="0"/>
        <v>0</v>
      </c>
      <c r="H74" s="285"/>
      <c r="J74" s="287">
        <f t="shared" si="1"/>
        <v>0</v>
      </c>
      <c r="K74" s="285"/>
      <c r="M74" s="287">
        <f t="shared" si="2"/>
        <v>0</v>
      </c>
      <c r="P74" s="113">
        <f t="shared" si="3"/>
        <v>0</v>
      </c>
      <c r="Q74" s="285"/>
      <c r="S74" s="287">
        <f t="shared" si="4"/>
        <v>0</v>
      </c>
      <c r="V74" s="113">
        <f t="shared" si="5"/>
        <v>0</v>
      </c>
      <c r="W74" s="303">
        <f>AF74</f>
        <v>5597.0240021758509</v>
      </c>
      <c r="X74" s="113">
        <f>W74-AF74</f>
        <v>0</v>
      </c>
      <c r="Z74" s="1">
        <v>189.49527376493668</v>
      </c>
      <c r="AA74" s="1">
        <v>1159.7110754414125</v>
      </c>
      <c r="AB74" s="1">
        <v>1182.9052969502407</v>
      </c>
      <c r="AC74" s="1">
        <v>1206.5634028892457</v>
      </c>
      <c r="AD74" s="1">
        <v>1230.6946709470305</v>
      </c>
      <c r="AE74" s="1">
        <v>627.65428218298564</v>
      </c>
      <c r="AF74" s="1">
        <f t="shared" si="7"/>
        <v>5597.0240021758509</v>
      </c>
    </row>
    <row r="75" spans="1:32" x14ac:dyDescent="0.3">
      <c r="A75" s="346" t="s">
        <v>717</v>
      </c>
      <c r="B75" s="347" t="s">
        <v>27</v>
      </c>
      <c r="C75" s="346" t="s">
        <v>177</v>
      </c>
      <c r="D75" s="24" t="s">
        <v>686</v>
      </c>
      <c r="G75" s="113">
        <f t="shared" si="0"/>
        <v>0</v>
      </c>
      <c r="H75" s="285"/>
      <c r="J75" s="287">
        <f t="shared" si="1"/>
        <v>0</v>
      </c>
      <c r="K75" s="285"/>
      <c r="M75" s="287">
        <f t="shared" si="2"/>
        <v>0</v>
      </c>
      <c r="P75" s="113">
        <f t="shared" si="3"/>
        <v>0</v>
      </c>
      <c r="Q75" s="285"/>
      <c r="S75" s="287">
        <f t="shared" si="4"/>
        <v>0</v>
      </c>
      <c r="V75" s="113">
        <f t="shared" si="5"/>
        <v>0</v>
      </c>
      <c r="W75" s="303">
        <f>AF75</f>
        <v>4667.4836871910111</v>
      </c>
      <c r="X75" s="113">
        <f>W75-AF75</f>
        <v>0</v>
      </c>
      <c r="Z75" s="1">
        <v>1685.3932584269662</v>
      </c>
      <c r="AA75" s="1">
        <v>573.03370786516848</v>
      </c>
      <c r="AB75" s="1">
        <v>584.49438202247188</v>
      </c>
      <c r="AC75" s="1">
        <v>596.18426966292145</v>
      </c>
      <c r="AD75" s="1">
        <v>608.10795505617966</v>
      </c>
      <c r="AE75" s="1">
        <v>620.27011415730328</v>
      </c>
      <c r="AF75" s="1">
        <f t="shared" si="7"/>
        <v>4667.4836871910111</v>
      </c>
    </row>
    <row r="76" spans="1:32" x14ac:dyDescent="0.3">
      <c r="A76" s="346"/>
      <c r="B76" s="347"/>
      <c r="C76" s="346"/>
      <c r="D76" s="24" t="s">
        <v>704</v>
      </c>
      <c r="H76" s="285">
        <v>9636.9716425896204</v>
      </c>
      <c r="I76" s="24">
        <f>29/2*20%</f>
        <v>2.9000000000000004</v>
      </c>
      <c r="J76" s="287">
        <f t="shared" si="1"/>
        <v>27947.217763509903</v>
      </c>
      <c r="K76" s="285">
        <v>9829.7110754414134</v>
      </c>
      <c r="L76" s="24">
        <f>29/2*20%</f>
        <v>2.9000000000000004</v>
      </c>
      <c r="M76" s="287">
        <f t="shared" si="2"/>
        <v>28506.162118780103</v>
      </c>
      <c r="Q76" s="285"/>
      <c r="S76" s="287"/>
      <c r="W76" s="303">
        <f t="shared" si="8"/>
        <v>56453.379882290006</v>
      </c>
      <c r="X76" s="113">
        <f>W76-AF76+W77+W78+W79+W80</f>
        <v>2.1464074961841106E-10</v>
      </c>
      <c r="Z76" s="1"/>
      <c r="AA76" s="1">
        <f>322856.616506153-AA75</f>
        <v>322283.58279828785</v>
      </c>
      <c r="AB76" s="1">
        <f>329313.748836276-AB75</f>
        <v>328729.25445425353</v>
      </c>
      <c r="AC76" s="1"/>
      <c r="AD76" s="1">
        <f>255183.816082825-AD75</f>
        <v>254575.70812776883</v>
      </c>
      <c r="AE76" s="1"/>
      <c r="AF76" s="1">
        <f t="shared" si="7"/>
        <v>905588.54538031027</v>
      </c>
    </row>
    <row r="77" spans="1:32" x14ac:dyDescent="0.3">
      <c r="A77" s="346"/>
      <c r="B77" s="347"/>
      <c r="C77" s="346"/>
      <c r="D77" s="24" t="s">
        <v>705</v>
      </c>
      <c r="H77" s="285">
        <v>4088.0447060222345</v>
      </c>
      <c r="I77" s="24">
        <f>261/2*20%</f>
        <v>26.1</v>
      </c>
      <c r="J77" s="287">
        <f t="shared" si="1"/>
        <v>106697.96682718032</v>
      </c>
      <c r="K77" s="285">
        <v>4169.8056001426794</v>
      </c>
      <c r="L77" s="24">
        <f t="shared" ref="L77" si="13">261/2*20%</f>
        <v>26.1</v>
      </c>
      <c r="M77" s="287">
        <f t="shared" si="2"/>
        <v>108831.92616372394</v>
      </c>
      <c r="Q77" s="285"/>
      <c r="S77" s="287"/>
      <c r="W77" s="303">
        <f t="shared" si="8"/>
        <v>215529.89299090428</v>
      </c>
      <c r="X77" s="113"/>
      <c r="Z77" s="1"/>
      <c r="AA77" s="1"/>
      <c r="AB77" s="1"/>
      <c r="AC77" s="1"/>
      <c r="AD77" s="1"/>
      <c r="AE77" s="1"/>
      <c r="AF77" s="1">
        <f t="shared" si="7"/>
        <v>0</v>
      </c>
    </row>
    <row r="78" spans="1:32" x14ac:dyDescent="0.3">
      <c r="A78" s="346"/>
      <c r="B78" s="347"/>
      <c r="C78" s="346"/>
      <c r="D78" s="24" t="s">
        <v>706</v>
      </c>
      <c r="G78" s="113">
        <f t="shared" si="0"/>
        <v>0</v>
      </c>
      <c r="H78" s="285">
        <v>4595.6393793472444</v>
      </c>
      <c r="I78" s="24">
        <f>261/2*29%</f>
        <v>37.844999999999999</v>
      </c>
      <c r="J78" s="287">
        <f t="shared" si="1"/>
        <v>173921.97231139647</v>
      </c>
      <c r="K78" s="285">
        <v>4687.5521669341888</v>
      </c>
      <c r="L78" s="24">
        <f>261/2*29%</f>
        <v>37.844999999999999</v>
      </c>
      <c r="M78" s="287">
        <f t="shared" si="2"/>
        <v>177400.41175762436</v>
      </c>
      <c r="P78" s="113">
        <f t="shared" si="3"/>
        <v>0</v>
      </c>
      <c r="Q78" s="285">
        <v>4876.9292744783306</v>
      </c>
      <c r="R78" s="24">
        <f>261/2*40%</f>
        <v>52.2</v>
      </c>
      <c r="S78" s="287">
        <f t="shared" si="4"/>
        <v>254575.70812776888</v>
      </c>
      <c r="V78" s="113">
        <f t="shared" si="5"/>
        <v>0</v>
      </c>
      <c r="W78" s="303">
        <f t="shared" si="8"/>
        <v>605898.0921967898</v>
      </c>
      <c r="X78" s="113"/>
      <c r="Z78" s="1"/>
      <c r="AA78" s="1"/>
      <c r="AB78" s="1"/>
      <c r="AC78" s="1"/>
      <c r="AD78" s="1"/>
      <c r="AE78" s="1"/>
      <c r="AF78" s="1">
        <f t="shared" si="7"/>
        <v>0</v>
      </c>
    </row>
    <row r="79" spans="1:32" x14ac:dyDescent="0.3">
      <c r="A79" s="346"/>
      <c r="B79" s="347"/>
      <c r="C79" s="346"/>
      <c r="D79" s="24" t="s">
        <v>707</v>
      </c>
      <c r="H79" s="285">
        <v>45.478865703584802</v>
      </c>
      <c r="I79" s="24">
        <f>87*40%</f>
        <v>34.800000000000004</v>
      </c>
      <c r="J79" s="287">
        <f t="shared" si="1"/>
        <v>1582.6645264847514</v>
      </c>
      <c r="K79" s="285">
        <v>46.388443017656499</v>
      </c>
      <c r="L79" s="24">
        <f>87*40%</f>
        <v>34.800000000000004</v>
      </c>
      <c r="M79" s="287">
        <f t="shared" si="2"/>
        <v>1614.3178170144463</v>
      </c>
      <c r="Q79" s="285"/>
      <c r="S79" s="287"/>
      <c r="W79" s="303">
        <f t="shared" si="8"/>
        <v>3196.9823434991977</v>
      </c>
      <c r="X79" s="113"/>
      <c r="Z79" s="1"/>
      <c r="AA79" s="1"/>
      <c r="AB79" s="1"/>
      <c r="AC79" s="1"/>
      <c r="AD79" s="1"/>
      <c r="AE79" s="1"/>
      <c r="AF79" s="1"/>
    </row>
    <row r="80" spans="1:32" x14ac:dyDescent="0.3">
      <c r="A80" s="346"/>
      <c r="B80" s="347"/>
      <c r="C80" s="346"/>
      <c r="D80" s="24" t="s">
        <v>708</v>
      </c>
      <c r="H80" s="285">
        <v>2092.0278223649002</v>
      </c>
      <c r="I80" s="24">
        <f>29/2*40%</f>
        <v>5.8000000000000007</v>
      </c>
      <c r="J80" s="287">
        <f t="shared" si="1"/>
        <v>12133.761369716423</v>
      </c>
      <c r="K80" s="285">
        <v>2133.8683788121989</v>
      </c>
      <c r="L80" s="24">
        <f>29/2*40%</f>
        <v>5.8000000000000007</v>
      </c>
      <c r="M80" s="287">
        <f t="shared" si="2"/>
        <v>12376.436597110755</v>
      </c>
      <c r="Q80" s="285"/>
      <c r="S80" s="287"/>
      <c r="W80" s="303">
        <f t="shared" si="8"/>
        <v>24510.197966827178</v>
      </c>
      <c r="X80" s="113"/>
      <c r="Z80" s="1"/>
      <c r="AA80" s="1"/>
      <c r="AB80" s="1"/>
      <c r="AC80" s="1"/>
      <c r="AD80" s="1"/>
      <c r="AE80" s="1"/>
      <c r="AF80" s="1"/>
    </row>
    <row r="81" spans="1:32" x14ac:dyDescent="0.3">
      <c r="A81" s="346"/>
      <c r="B81" s="347" t="s">
        <v>29</v>
      </c>
      <c r="C81" s="346" t="s">
        <v>178</v>
      </c>
      <c r="D81" s="24" t="s">
        <v>685</v>
      </c>
      <c r="G81" s="113">
        <f t="shared" si="0"/>
        <v>0</v>
      </c>
      <c r="H81" s="285">
        <v>482.07597645799899</v>
      </c>
      <c r="I81" s="24">
        <f>87*33%</f>
        <v>28.71</v>
      </c>
      <c r="J81" s="287">
        <f t="shared" si="1"/>
        <v>13840.401284109152</v>
      </c>
      <c r="K81" s="285">
        <v>491.717495987159</v>
      </c>
      <c r="L81" s="24">
        <f>87*33%</f>
        <v>28.71</v>
      </c>
      <c r="M81" s="287">
        <f t="shared" si="2"/>
        <v>14117.209309791335</v>
      </c>
      <c r="N81" s="113">
        <v>501.55184590690197</v>
      </c>
      <c r="O81" s="24">
        <f>87*33%</f>
        <v>28.71</v>
      </c>
      <c r="P81" s="113">
        <f t="shared" si="3"/>
        <v>14399.553495987157</v>
      </c>
      <c r="Q81" s="285">
        <v>511.58288282503997</v>
      </c>
      <c r="R81" s="24">
        <f>87*33%</f>
        <v>28.71</v>
      </c>
      <c r="S81" s="287">
        <f t="shared" si="4"/>
        <v>14687.544565906897</v>
      </c>
      <c r="T81" s="113">
        <v>521.81454048154103</v>
      </c>
      <c r="U81" s="24">
        <f>87*33%</f>
        <v>28.71</v>
      </c>
      <c r="V81" s="113">
        <f t="shared" si="5"/>
        <v>14981.295457225044</v>
      </c>
      <c r="W81" s="303">
        <f t="shared" si="8"/>
        <v>72026.00411301959</v>
      </c>
      <c r="X81" s="113">
        <f>W81-AF81+W82+W83+W84</f>
        <v>0</v>
      </c>
      <c r="Z81" s="1">
        <v>2496.8789013732835</v>
      </c>
      <c r="AA81" s="1">
        <v>31668.116639914391</v>
      </c>
      <c r="AB81" s="1">
        <v>14117.209309791333</v>
      </c>
      <c r="AC81" s="1">
        <v>14399.553495987162</v>
      </c>
      <c r="AD81" s="1">
        <v>14687.544565906905</v>
      </c>
      <c r="AE81" s="1">
        <v>14981.295457225046</v>
      </c>
      <c r="AF81" s="1">
        <f t="shared" si="7"/>
        <v>92350.598370198117</v>
      </c>
    </row>
    <row r="82" spans="1:32" x14ac:dyDescent="0.3">
      <c r="A82" s="346"/>
      <c r="B82" s="347"/>
      <c r="C82" s="346"/>
      <c r="D82" s="24" t="s">
        <v>709</v>
      </c>
      <c r="H82" s="285"/>
      <c r="J82" s="287"/>
      <c r="K82" s="285"/>
      <c r="M82" s="287">
        <f t="shared" si="2"/>
        <v>0</v>
      </c>
      <c r="P82" s="113">
        <f t="shared" si="3"/>
        <v>0</v>
      </c>
      <c r="Q82" s="285"/>
      <c r="S82" s="287"/>
      <c r="W82" s="303">
        <f t="shared" si="8"/>
        <v>0</v>
      </c>
      <c r="X82" s="113"/>
      <c r="Z82" s="1"/>
      <c r="AA82" s="1"/>
      <c r="AB82" s="1"/>
      <c r="AC82" s="1"/>
      <c r="AD82" s="1"/>
      <c r="AE82" s="1"/>
      <c r="AF82" s="1"/>
    </row>
    <row r="83" spans="1:32" x14ac:dyDescent="0.3">
      <c r="A83" s="346"/>
      <c r="B83" s="347"/>
      <c r="C83" s="346"/>
      <c r="D83" s="24" t="s">
        <v>710</v>
      </c>
      <c r="E83" s="113">
        <v>2496.8789013732799</v>
      </c>
      <c r="F83" s="24">
        <v>1</v>
      </c>
      <c r="G83" s="113">
        <f t="shared" ref="G83" si="14">E83*F83</f>
        <v>2496.8789013732799</v>
      </c>
      <c r="H83" s="285">
        <v>2546.8164794007498</v>
      </c>
      <c r="I83" s="24">
        <v>1</v>
      </c>
      <c r="J83" s="287">
        <f t="shared" ref="J83:J84" si="15">H83*I83</f>
        <v>2546.8164794007498</v>
      </c>
      <c r="K83" s="285"/>
      <c r="M83" s="287">
        <f t="shared" si="2"/>
        <v>0</v>
      </c>
      <c r="P83" s="113">
        <f t="shared" si="3"/>
        <v>0</v>
      </c>
      <c r="Q83" s="285"/>
      <c r="S83" s="287"/>
      <c r="W83" s="303">
        <f t="shared" si="8"/>
        <v>5043.6953807740301</v>
      </c>
      <c r="X83" s="113"/>
      <c r="Z83" s="1"/>
      <c r="AA83" s="1"/>
      <c r="AB83" s="1"/>
      <c r="AC83" s="1"/>
      <c r="AD83" s="1"/>
      <c r="AE83" s="1"/>
      <c r="AF83" s="1"/>
    </row>
    <row r="84" spans="1:32" ht="27.95" x14ac:dyDescent="0.3">
      <c r="A84" s="346"/>
      <c r="B84" s="347"/>
      <c r="C84" s="346"/>
      <c r="D84" s="24" t="s">
        <v>691</v>
      </c>
      <c r="H84" s="285">
        <v>2546.8164794007498</v>
      </c>
      <c r="I84" s="24">
        <v>6</v>
      </c>
      <c r="J84" s="287">
        <f t="shared" si="15"/>
        <v>15280.898876404499</v>
      </c>
      <c r="K84" s="285"/>
      <c r="M84" s="287">
        <f t="shared" si="2"/>
        <v>0</v>
      </c>
      <c r="P84" s="113">
        <f t="shared" si="3"/>
        <v>0</v>
      </c>
      <c r="Q84" s="285"/>
      <c r="S84" s="287"/>
      <c r="W84" s="303">
        <f t="shared" si="8"/>
        <v>15280.898876404499</v>
      </c>
      <c r="X84" s="113"/>
      <c r="Z84" s="1"/>
      <c r="AA84" s="1"/>
      <c r="AB84" s="1"/>
      <c r="AC84" s="1"/>
      <c r="AD84" s="1"/>
      <c r="AE84" s="1"/>
      <c r="AF84" s="1"/>
    </row>
    <row r="85" spans="1:32" x14ac:dyDescent="0.3">
      <c r="A85" s="346"/>
      <c r="B85" s="349" t="s">
        <v>31</v>
      </c>
      <c r="C85" s="346" t="s">
        <v>179</v>
      </c>
      <c r="D85" s="24" t="s">
        <v>687</v>
      </c>
      <c r="G85" s="113">
        <f t="shared" si="0"/>
        <v>0</v>
      </c>
      <c r="H85" s="285">
        <v>2092.0278223649002</v>
      </c>
      <c r="I85" s="24">
        <f>29*15%*2+29*33%*2</f>
        <v>27.84</v>
      </c>
      <c r="J85" s="287">
        <f t="shared" si="1"/>
        <v>58242.054574638823</v>
      </c>
      <c r="K85" s="285">
        <v>2133.8683788121998</v>
      </c>
      <c r="L85" s="24">
        <f>29*1*33%+29*15%*1</f>
        <v>13.92</v>
      </c>
      <c r="M85" s="287">
        <f t="shared" si="2"/>
        <v>29703.44783306582</v>
      </c>
      <c r="N85" s="113">
        <v>2176.54574638844</v>
      </c>
      <c r="O85" s="24">
        <f>29*15%*2+29*33%*2</f>
        <v>27.84</v>
      </c>
      <c r="P85" s="113">
        <f t="shared" si="3"/>
        <v>60595.033579454168</v>
      </c>
      <c r="Q85" s="285">
        <v>2220.07666131621</v>
      </c>
      <c r="R85" s="24">
        <f>29*1*33%+29*15%*1</f>
        <v>13.92</v>
      </c>
      <c r="S85" s="287">
        <f t="shared" si="4"/>
        <v>30903.467125521642</v>
      </c>
      <c r="T85" s="113">
        <v>2264.4781945425402</v>
      </c>
      <c r="U85" s="24">
        <f>29*15%*2+29*33%*2</f>
        <v>27.84</v>
      </c>
      <c r="V85" s="113">
        <f t="shared" si="5"/>
        <v>63043.072936064316</v>
      </c>
      <c r="W85" s="303">
        <f t="shared" si="8"/>
        <v>242487.07604874478</v>
      </c>
      <c r="X85" s="113">
        <f>W85-AF85+W86</f>
        <v>0</v>
      </c>
      <c r="Z85" s="1">
        <f>10156.9466738006-Z87</f>
        <v>9095.773140716954</v>
      </c>
      <c r="AA85" s="1">
        <f>72158.5874799358-AA87</f>
        <v>68911.396468699837</v>
      </c>
      <c r="AB85" s="1">
        <f>43898.3113964687-AB87</f>
        <v>40586.176565008027</v>
      </c>
      <c r="AC85" s="1">
        <f>75073.7944141252-AC87</f>
        <v>71695.416886035309</v>
      </c>
      <c r="AD85" s="1">
        <f>45671.803176886-AD87</f>
        <v>42225.858098234319</v>
      </c>
      <c r="AE85" s="1">
        <f>76349.3437183435-AE87</f>
        <v>74591.911728231149</v>
      </c>
      <c r="AF85" s="1">
        <f t="shared" si="7"/>
        <v>307106.53288692556</v>
      </c>
    </row>
    <row r="86" spans="1:32" x14ac:dyDescent="0.3">
      <c r="A86" s="346"/>
      <c r="B86" s="349"/>
      <c r="C86" s="346"/>
      <c r="D86" s="24" t="s">
        <v>688</v>
      </c>
      <c r="E86" s="113">
        <v>1515.9621901194935</v>
      </c>
      <c r="F86" s="24">
        <v>6</v>
      </c>
      <c r="G86" s="113">
        <f t="shared" si="0"/>
        <v>9095.7731407169613</v>
      </c>
      <c r="H86" s="285">
        <v>1546.2814339218833</v>
      </c>
      <c r="I86" s="24">
        <f>6+6*15%</f>
        <v>6.9</v>
      </c>
      <c r="J86" s="287">
        <f t="shared" si="1"/>
        <v>10669.341894060995</v>
      </c>
      <c r="K86" s="285">
        <v>1577.2070626003199</v>
      </c>
      <c r="L86" s="24">
        <f>6+6*15%</f>
        <v>6.9</v>
      </c>
      <c r="M86" s="287">
        <f t="shared" si="2"/>
        <v>10882.728731942208</v>
      </c>
      <c r="N86" s="285">
        <v>1608.75120385233</v>
      </c>
      <c r="O86" s="24">
        <f>6+6*15%</f>
        <v>6.9</v>
      </c>
      <c r="P86" s="113">
        <f t="shared" si="3"/>
        <v>11100.383306581078</v>
      </c>
      <c r="Q86" s="113">
        <v>1640.92622792937</v>
      </c>
      <c r="R86" s="24">
        <f>6+6*15%</f>
        <v>6.9</v>
      </c>
      <c r="S86" s="287">
        <f t="shared" si="4"/>
        <v>11322.390972712654</v>
      </c>
      <c r="T86" s="285">
        <v>1673.7447524879601</v>
      </c>
      <c r="U86" s="24">
        <f>6+6*15%</f>
        <v>6.9</v>
      </c>
      <c r="V86" s="113">
        <f t="shared" si="5"/>
        <v>11548.838792166925</v>
      </c>
      <c r="W86" s="303">
        <f t="shared" si="8"/>
        <v>64619.45683818082</v>
      </c>
      <c r="X86" s="113"/>
      <c r="Z86" s="1"/>
      <c r="AA86" s="1"/>
      <c r="AB86" s="1"/>
      <c r="AC86" s="1"/>
      <c r="AD86" s="1"/>
      <c r="AE86" s="1"/>
      <c r="AF86" s="1"/>
    </row>
    <row r="87" spans="1:32" x14ac:dyDescent="0.3">
      <c r="A87" s="346"/>
      <c r="B87" s="349"/>
      <c r="C87" s="346"/>
      <c r="D87" s="24" t="s">
        <v>702</v>
      </c>
      <c r="G87" s="113">
        <f t="shared" si="0"/>
        <v>0</v>
      </c>
      <c r="H87" s="285"/>
      <c r="J87" s="287">
        <f t="shared" si="1"/>
        <v>0</v>
      </c>
      <c r="K87" s="285"/>
      <c r="M87" s="287">
        <f t="shared" si="2"/>
        <v>0</v>
      </c>
      <c r="P87" s="113">
        <f t="shared" si="3"/>
        <v>0</v>
      </c>
      <c r="Q87" s="285"/>
      <c r="S87" s="287">
        <f t="shared" si="4"/>
        <v>0</v>
      </c>
      <c r="V87" s="113">
        <f t="shared" si="5"/>
        <v>0</v>
      </c>
      <c r="W87" s="303">
        <f>AF87</f>
        <v>16202.253972634206</v>
      </c>
      <c r="X87" s="113">
        <f t="shared" ref="X87:X167" si="16">W87-AF87</f>
        <v>0</v>
      </c>
      <c r="Z87" s="1">
        <v>1061.1735330836455</v>
      </c>
      <c r="AA87" s="1">
        <v>3247.1910112359551</v>
      </c>
      <c r="AB87" s="1">
        <v>3312.1348314606739</v>
      </c>
      <c r="AC87" s="1">
        <v>3378.3775280898881</v>
      </c>
      <c r="AD87" s="1">
        <v>3445.945078651685</v>
      </c>
      <c r="AE87" s="1">
        <v>1757.4319901123597</v>
      </c>
      <c r="AF87" s="1">
        <f t="shared" si="7"/>
        <v>16202.253972634206</v>
      </c>
    </row>
    <row r="88" spans="1:32" x14ac:dyDescent="0.3">
      <c r="A88" s="346" t="s">
        <v>718</v>
      </c>
      <c r="B88" s="349" t="s">
        <v>27</v>
      </c>
      <c r="C88" s="346" t="s">
        <v>190</v>
      </c>
      <c r="D88" s="24" t="s">
        <v>704</v>
      </c>
      <c r="G88" s="113">
        <f t="shared" si="0"/>
        <v>0</v>
      </c>
      <c r="H88" s="285">
        <v>9636.9716425896204</v>
      </c>
      <c r="I88" s="24">
        <f>29/2*20%</f>
        <v>2.9000000000000004</v>
      </c>
      <c r="J88" s="287">
        <f t="shared" si="1"/>
        <v>27947.217763509903</v>
      </c>
      <c r="K88" s="285">
        <v>9829.7110754414134</v>
      </c>
      <c r="L88" s="24">
        <f>29/2*20%</f>
        <v>2.9000000000000004</v>
      </c>
      <c r="M88" s="287">
        <f t="shared" si="2"/>
        <v>28506.162118780103</v>
      </c>
      <c r="P88" s="113">
        <f t="shared" si="3"/>
        <v>0</v>
      </c>
      <c r="Q88" s="285"/>
      <c r="S88" s="287">
        <f t="shared" si="4"/>
        <v>0</v>
      </c>
      <c r="V88" s="113">
        <f t="shared" si="5"/>
        <v>0</v>
      </c>
      <c r="W88" s="303">
        <f t="shared" si="8"/>
        <v>56453.379882290006</v>
      </c>
      <c r="X88" s="113">
        <f>W88-AF88+W89+W90+W91+W92</f>
        <v>1.1459633242338896E-9</v>
      </c>
      <c r="Z88" s="1">
        <v>0</v>
      </c>
      <c r="AA88" s="1">
        <f>323429.650214018-AA93</f>
        <v>322283.58279828768</v>
      </c>
      <c r="AB88" s="1">
        <f>329898.243218298-AB93</f>
        <v>328729.25445425307</v>
      </c>
      <c r="AC88" s="1"/>
      <c r="AD88" s="1">
        <f>255791.924037881-AD93</f>
        <v>254575.70812776862</v>
      </c>
      <c r="AE88" s="1"/>
      <c r="AF88" s="1">
        <f t="shared" si="7"/>
        <v>905588.54538030934</v>
      </c>
    </row>
    <row r="89" spans="1:32" x14ac:dyDescent="0.3">
      <c r="A89" s="346"/>
      <c r="B89" s="349"/>
      <c r="C89" s="346"/>
      <c r="D89" s="24" t="s">
        <v>705</v>
      </c>
      <c r="G89" s="113">
        <f t="shared" si="0"/>
        <v>0</v>
      </c>
      <c r="H89" s="285">
        <v>4088.0447060222345</v>
      </c>
      <c r="I89" s="24">
        <f t="shared" ref="I89" si="17">261/2*20%</f>
        <v>26.1</v>
      </c>
      <c r="J89" s="287">
        <f t="shared" si="1"/>
        <v>106697.96682718032</v>
      </c>
      <c r="K89" s="285">
        <v>4169.8056001426794</v>
      </c>
      <c r="L89" s="24">
        <f t="shared" ref="L89" si="18">261/2*20%</f>
        <v>26.1</v>
      </c>
      <c r="M89" s="287">
        <f t="shared" si="2"/>
        <v>108831.92616372394</v>
      </c>
      <c r="P89" s="113">
        <f t="shared" si="3"/>
        <v>0</v>
      </c>
      <c r="Q89" s="285"/>
      <c r="S89" s="287">
        <f t="shared" si="4"/>
        <v>0</v>
      </c>
      <c r="W89" s="303">
        <f t="shared" si="8"/>
        <v>215529.89299090428</v>
      </c>
      <c r="X89" s="113"/>
      <c r="Z89" s="1"/>
      <c r="AA89" s="1"/>
      <c r="AB89" s="1"/>
      <c r="AC89" s="1"/>
      <c r="AD89" s="1"/>
      <c r="AE89" s="1"/>
      <c r="AF89" s="1">
        <f t="shared" si="7"/>
        <v>0</v>
      </c>
    </row>
    <row r="90" spans="1:32" x14ac:dyDescent="0.3">
      <c r="A90" s="346"/>
      <c r="B90" s="349"/>
      <c r="C90" s="346"/>
      <c r="D90" s="24" t="s">
        <v>706</v>
      </c>
      <c r="G90" s="113">
        <f t="shared" si="0"/>
        <v>0</v>
      </c>
      <c r="H90" s="285">
        <v>4595.6393793472444</v>
      </c>
      <c r="I90" s="24">
        <f>261/2*29%</f>
        <v>37.844999999999999</v>
      </c>
      <c r="J90" s="287">
        <f t="shared" si="1"/>
        <v>173921.97231139647</v>
      </c>
      <c r="K90" s="285">
        <v>4687.5521669341888</v>
      </c>
      <c r="L90" s="24">
        <f>261/2*29%</f>
        <v>37.844999999999999</v>
      </c>
      <c r="M90" s="287">
        <f t="shared" si="2"/>
        <v>177400.41175762436</v>
      </c>
      <c r="P90" s="113">
        <f t="shared" si="3"/>
        <v>0</v>
      </c>
      <c r="Q90" s="285">
        <v>4876.9292744783306</v>
      </c>
      <c r="R90" s="24">
        <f>261/2*40%</f>
        <v>52.2</v>
      </c>
      <c r="S90" s="287">
        <f t="shared" si="4"/>
        <v>254575.70812776888</v>
      </c>
      <c r="W90" s="303">
        <f t="shared" si="8"/>
        <v>605898.0921967898</v>
      </c>
      <c r="X90" s="113"/>
      <c r="Z90" s="1"/>
      <c r="AA90" s="1"/>
      <c r="AB90" s="1"/>
      <c r="AC90" s="1"/>
      <c r="AD90" s="1"/>
      <c r="AE90" s="1"/>
      <c r="AF90" s="1">
        <f t="shared" si="7"/>
        <v>0</v>
      </c>
    </row>
    <row r="91" spans="1:32" x14ac:dyDescent="0.3">
      <c r="A91" s="346"/>
      <c r="B91" s="349"/>
      <c r="C91" s="346"/>
      <c r="D91" s="24" t="s">
        <v>707</v>
      </c>
      <c r="G91" s="113">
        <f t="shared" si="0"/>
        <v>0</v>
      </c>
      <c r="H91" s="285">
        <v>45.478865703584802</v>
      </c>
      <c r="I91" s="24">
        <f>87*40%</f>
        <v>34.800000000000004</v>
      </c>
      <c r="J91" s="287">
        <f t="shared" si="1"/>
        <v>1582.6645264847514</v>
      </c>
      <c r="K91" s="285">
        <v>46.388443017656499</v>
      </c>
      <c r="L91" s="24">
        <f>87*40%</f>
        <v>34.800000000000004</v>
      </c>
      <c r="M91" s="287">
        <f t="shared" si="2"/>
        <v>1614.3178170144463</v>
      </c>
      <c r="P91" s="113">
        <f t="shared" si="3"/>
        <v>0</v>
      </c>
      <c r="Q91" s="285"/>
      <c r="S91" s="287">
        <f t="shared" si="4"/>
        <v>0</v>
      </c>
      <c r="V91" s="113">
        <f t="shared" ref="V91:V96" si="19">T91*U91</f>
        <v>0</v>
      </c>
      <c r="W91" s="303">
        <f t="shared" si="8"/>
        <v>3196.9823434991977</v>
      </c>
      <c r="X91" s="113"/>
      <c r="Z91" s="1"/>
      <c r="AA91" s="1"/>
      <c r="AB91" s="1"/>
      <c r="AC91" s="1"/>
      <c r="AD91" s="1"/>
      <c r="AE91" s="1"/>
      <c r="AF91" s="1">
        <f t="shared" si="7"/>
        <v>0</v>
      </c>
    </row>
    <row r="92" spans="1:32" x14ac:dyDescent="0.3">
      <c r="A92" s="346"/>
      <c r="B92" s="349"/>
      <c r="C92" s="346"/>
      <c r="D92" s="24" t="s">
        <v>708</v>
      </c>
      <c r="H92" s="285">
        <v>2092.0278223649002</v>
      </c>
      <c r="I92" s="24">
        <f>29/2*40%</f>
        <v>5.8000000000000007</v>
      </c>
      <c r="J92" s="287">
        <f t="shared" si="1"/>
        <v>12133.761369716423</v>
      </c>
      <c r="K92" s="285">
        <v>2133.8683788121989</v>
      </c>
      <c r="L92" s="24">
        <f>29/2*40%</f>
        <v>5.8000000000000007</v>
      </c>
      <c r="M92" s="287">
        <f t="shared" si="2"/>
        <v>12376.436597110755</v>
      </c>
      <c r="P92" s="113">
        <f t="shared" si="3"/>
        <v>0</v>
      </c>
      <c r="Q92" s="285"/>
      <c r="S92" s="287">
        <f t="shared" si="4"/>
        <v>0</v>
      </c>
      <c r="W92" s="303">
        <f t="shared" si="8"/>
        <v>24510.197966827178</v>
      </c>
      <c r="X92" s="113"/>
      <c r="Z92" s="1"/>
      <c r="AA92" s="1"/>
      <c r="AB92" s="1"/>
      <c r="AC92" s="1"/>
      <c r="AD92" s="1"/>
      <c r="AE92" s="1"/>
      <c r="AF92" s="1"/>
    </row>
    <row r="93" spans="1:32" x14ac:dyDescent="0.3">
      <c r="A93" s="346"/>
      <c r="B93" s="349"/>
      <c r="C93" s="346"/>
      <c r="D93" s="24" t="s">
        <v>686</v>
      </c>
      <c r="G93" s="113">
        <f t="shared" si="0"/>
        <v>0</v>
      </c>
      <c r="H93" s="285"/>
      <c r="J93" s="287">
        <f t="shared" si="1"/>
        <v>0</v>
      </c>
      <c r="K93" s="285"/>
      <c r="M93" s="287">
        <f t="shared" si="2"/>
        <v>0</v>
      </c>
      <c r="P93" s="113">
        <f t="shared" si="3"/>
        <v>0</v>
      </c>
      <c r="Q93" s="285"/>
      <c r="S93" s="287">
        <f t="shared" si="4"/>
        <v>0</v>
      </c>
      <c r="V93" s="113">
        <f t="shared" si="19"/>
        <v>0</v>
      </c>
      <c r="W93" s="303">
        <f>AF93</f>
        <v>5964.1808575280902</v>
      </c>
      <c r="X93" s="113">
        <f>AF93-W93</f>
        <v>0</v>
      </c>
      <c r="Z93" s="1">
        <v>0</v>
      </c>
      <c r="AA93" s="1">
        <v>1146.067415730337</v>
      </c>
      <c r="AB93" s="1">
        <v>1168.9887640449438</v>
      </c>
      <c r="AC93" s="1">
        <v>1192.3685393258429</v>
      </c>
      <c r="AD93" s="1">
        <v>1216.2159101123593</v>
      </c>
      <c r="AE93" s="1">
        <v>1240.5402283146066</v>
      </c>
      <c r="AF93" s="1">
        <f t="shared" si="7"/>
        <v>5964.1808575280902</v>
      </c>
    </row>
    <row r="94" spans="1:32" x14ac:dyDescent="0.3">
      <c r="A94" s="346"/>
      <c r="B94" s="349" t="s">
        <v>31</v>
      </c>
      <c r="C94" s="346" t="s">
        <v>191</v>
      </c>
      <c r="D94" s="24" t="s">
        <v>687</v>
      </c>
      <c r="G94" s="113">
        <f t="shared" si="0"/>
        <v>0</v>
      </c>
      <c r="H94" s="285">
        <v>2092.0278223649002</v>
      </c>
      <c r="I94" s="24">
        <f>29*2*15%</f>
        <v>8.6999999999999993</v>
      </c>
      <c r="J94" s="287">
        <f t="shared" si="1"/>
        <v>18200.64205457463</v>
      </c>
      <c r="K94" s="285">
        <v>2133.8683788121998</v>
      </c>
      <c r="L94" s="24">
        <f>29*15%</f>
        <v>4.3499999999999996</v>
      </c>
      <c r="M94" s="287">
        <f t="shared" si="2"/>
        <v>9282.3274478330677</v>
      </c>
      <c r="N94" s="113">
        <v>2176.54574638844</v>
      </c>
      <c r="O94" s="24">
        <f>29*2*15%</f>
        <v>8.6999999999999993</v>
      </c>
      <c r="P94" s="113">
        <f t="shared" si="3"/>
        <v>18935.947993579426</v>
      </c>
      <c r="Q94" s="285">
        <v>2220.07666131621</v>
      </c>
      <c r="R94" s="24">
        <f>29*15%</f>
        <v>4.3499999999999996</v>
      </c>
      <c r="S94" s="287">
        <f t="shared" si="4"/>
        <v>9657.3334767255128</v>
      </c>
      <c r="T94" s="113">
        <v>2264.4781945425402</v>
      </c>
      <c r="U94" s="24">
        <f>29*2*15%</f>
        <v>8.6999999999999993</v>
      </c>
      <c r="V94" s="113">
        <f t="shared" si="19"/>
        <v>19700.9602925201</v>
      </c>
      <c r="W94" s="303">
        <f t="shared" si="8"/>
        <v>75777.211265232734</v>
      </c>
      <c r="X94" s="113">
        <f>W94-AF94+W95</f>
        <v>1.4006218407303095E-10</v>
      </c>
      <c r="Z94" s="1">
        <v>0</v>
      </c>
      <c r="AA94" s="1">
        <f>26086.6773675762-AA96</f>
        <v>19592.295345104292</v>
      </c>
      <c r="AB94" s="1">
        <f>17326.0834670947-AB96</f>
        <v>10701.813804173353</v>
      </c>
      <c r="AC94" s="1">
        <f>27140.5791332263-AC96</f>
        <v>20383.824077046524</v>
      </c>
      <c r="AD94" s="1">
        <f>18026.0572391653-AD96</f>
        <v>11134.167081861931</v>
      </c>
      <c r="AE94" s="1">
        <f>24722.1945499839-AE96</f>
        <v>21207.330569759179</v>
      </c>
      <c r="AF94" s="1">
        <f t="shared" si="7"/>
        <v>83019.430877945269</v>
      </c>
    </row>
    <row r="95" spans="1:32" x14ac:dyDescent="0.3">
      <c r="A95" s="346"/>
      <c r="B95" s="349"/>
      <c r="C95" s="346"/>
      <c r="D95" s="24" t="s">
        <v>688</v>
      </c>
      <c r="G95" s="113">
        <f t="shared" si="0"/>
        <v>0</v>
      </c>
      <c r="H95" s="285">
        <v>1546.2814339218833</v>
      </c>
      <c r="I95" s="24">
        <f>6*15%</f>
        <v>0.89999999999999991</v>
      </c>
      <c r="J95" s="287">
        <f t="shared" si="1"/>
        <v>1391.6532905296947</v>
      </c>
      <c r="K95" s="285">
        <v>1577.2070626003199</v>
      </c>
      <c r="L95" s="24">
        <f>6*15%</f>
        <v>0.89999999999999991</v>
      </c>
      <c r="M95" s="287">
        <f t="shared" si="2"/>
        <v>1419.4863563402878</v>
      </c>
      <c r="N95" s="285">
        <v>1608.75120385233</v>
      </c>
      <c r="O95" s="24">
        <f>6*15%</f>
        <v>0.89999999999999991</v>
      </c>
      <c r="P95" s="113">
        <f t="shared" si="3"/>
        <v>1447.8760834670968</v>
      </c>
      <c r="Q95" s="113">
        <v>1640.92622792937</v>
      </c>
      <c r="R95" s="24">
        <f>6*15%</f>
        <v>0.89999999999999991</v>
      </c>
      <c r="S95" s="287">
        <f t="shared" si="4"/>
        <v>1476.8336051364329</v>
      </c>
      <c r="T95" s="285">
        <v>1673.7447524879601</v>
      </c>
      <c r="U95" s="24">
        <f>6*15%</f>
        <v>0.89999999999999991</v>
      </c>
      <c r="V95" s="113">
        <f t="shared" si="19"/>
        <v>1506.3702772391639</v>
      </c>
      <c r="W95" s="303">
        <f t="shared" si="8"/>
        <v>7242.2196127126754</v>
      </c>
      <c r="X95" s="113"/>
      <c r="Z95" s="1"/>
      <c r="AA95" s="1"/>
      <c r="AB95" s="1"/>
      <c r="AC95" s="1"/>
      <c r="AD95" s="1"/>
      <c r="AE95" s="1"/>
      <c r="AF95" s="1">
        <f t="shared" si="7"/>
        <v>0</v>
      </c>
    </row>
    <row r="96" spans="1:32" x14ac:dyDescent="0.3">
      <c r="A96" s="346"/>
      <c r="B96" s="349"/>
      <c r="C96" s="346"/>
      <c r="D96" s="24" t="s">
        <v>702</v>
      </c>
      <c r="G96" s="113">
        <f t="shared" si="0"/>
        <v>0</v>
      </c>
      <c r="H96" s="285"/>
      <c r="J96" s="287">
        <f t="shared" si="1"/>
        <v>0</v>
      </c>
      <c r="K96" s="285"/>
      <c r="M96" s="287">
        <f t="shared" si="2"/>
        <v>0</v>
      </c>
      <c r="P96" s="113">
        <f t="shared" si="3"/>
        <v>0</v>
      </c>
      <c r="Q96" s="285"/>
      <c r="S96" s="287">
        <f t="shared" si="4"/>
        <v>0</v>
      </c>
      <c r="V96" s="113">
        <f t="shared" si="19"/>
        <v>0</v>
      </c>
      <c r="W96" s="303">
        <f>AF96</f>
        <v>30282.160879101124</v>
      </c>
      <c r="X96" s="113">
        <f t="shared" si="16"/>
        <v>0</v>
      </c>
      <c r="Z96" s="1">
        <v>0</v>
      </c>
      <c r="AA96" s="1">
        <v>6494.3820224719102</v>
      </c>
      <c r="AB96" s="1">
        <v>6624.2696629213478</v>
      </c>
      <c r="AC96" s="1">
        <v>6756.7550561797761</v>
      </c>
      <c r="AD96" s="1">
        <v>6891.89015730337</v>
      </c>
      <c r="AE96" s="1">
        <v>3514.8639802247194</v>
      </c>
      <c r="AF96" s="1">
        <f t="shared" si="7"/>
        <v>30282.160879101124</v>
      </c>
    </row>
    <row r="97" spans="1:32" x14ac:dyDescent="0.3">
      <c r="A97" s="348" t="s">
        <v>719</v>
      </c>
      <c r="B97" s="347" t="s">
        <v>27</v>
      </c>
      <c r="C97" s="346" t="s">
        <v>203</v>
      </c>
      <c r="D97" s="24" t="s">
        <v>720</v>
      </c>
      <c r="E97" s="113">
        <v>2496.8789013732835</v>
      </c>
      <c r="F97" s="24">
        <f>58/2</f>
        <v>29</v>
      </c>
      <c r="G97" s="113">
        <f t="shared" si="0"/>
        <v>72409.488139825218</v>
      </c>
      <c r="H97" s="285">
        <v>2546.8164794007489</v>
      </c>
      <c r="I97" s="24">
        <f>58/2</f>
        <v>29</v>
      </c>
      <c r="J97" s="287">
        <f t="shared" si="1"/>
        <v>73857.677902621712</v>
      </c>
      <c r="K97" s="285"/>
      <c r="M97" s="287">
        <f t="shared" si="2"/>
        <v>0</v>
      </c>
      <c r="P97" s="113">
        <f t="shared" si="3"/>
        <v>0</v>
      </c>
      <c r="Q97" s="285"/>
      <c r="S97" s="287">
        <f t="shared" si="4"/>
        <v>0</v>
      </c>
      <c r="V97" s="113">
        <f t="shared" si="5"/>
        <v>0</v>
      </c>
      <c r="W97" s="303">
        <f t="shared" si="8"/>
        <v>146267.16604244692</v>
      </c>
      <c r="X97" s="113">
        <f>W97-AF97+W98</f>
        <v>0</v>
      </c>
      <c r="Z97" s="1">
        <f>74937.5780274657-Z99</f>
        <v>72409.488139825247</v>
      </c>
      <c r="AA97" s="1">
        <f>75003.7453183521-AA99</f>
        <v>73857.677902621755</v>
      </c>
      <c r="AB97" s="1">
        <f>61631.1699661138-AB99</f>
        <v>60462.181202068852</v>
      </c>
      <c r="AC97" s="1">
        <f>62863.7933654361-AC99</f>
        <v>61671.424826110255</v>
      </c>
      <c r="AD97" s="1">
        <f>1216.21591011236-AD99</f>
        <v>0</v>
      </c>
      <c r="AE97" s="1">
        <f>1240.54022831461-AE99</f>
        <v>3.4106051316484809E-12</v>
      </c>
      <c r="AF97" s="1">
        <f t="shared" si="7"/>
        <v>268400.77207062609</v>
      </c>
    </row>
    <row r="98" spans="1:32" x14ac:dyDescent="0.3">
      <c r="A98" s="348"/>
      <c r="B98" s="347"/>
      <c r="C98" s="346"/>
      <c r="D98" s="24" t="s">
        <v>721</v>
      </c>
      <c r="G98" s="113">
        <f t="shared" si="0"/>
        <v>0</v>
      </c>
      <c r="H98" s="285"/>
      <c r="J98" s="287">
        <f t="shared" si="1"/>
        <v>0</v>
      </c>
      <c r="K98" s="285">
        <v>4169.8056001426794</v>
      </c>
      <c r="L98" s="24">
        <f>29/2</f>
        <v>14.5</v>
      </c>
      <c r="M98" s="287">
        <f t="shared" si="2"/>
        <v>60462.181202068852</v>
      </c>
      <c r="N98" s="113">
        <v>4253.2017121455328</v>
      </c>
      <c r="O98" s="24">
        <f>29/2</f>
        <v>14.5</v>
      </c>
      <c r="P98" s="113">
        <f t="shared" si="3"/>
        <v>61671.424826110226</v>
      </c>
      <c r="Q98" s="285"/>
      <c r="S98" s="287">
        <f t="shared" si="4"/>
        <v>0</v>
      </c>
      <c r="V98" s="113">
        <f t="shared" si="5"/>
        <v>0</v>
      </c>
      <c r="W98" s="303">
        <f t="shared" si="8"/>
        <v>122133.60602817909</v>
      </c>
      <c r="X98" s="113"/>
      <c r="Z98" s="1"/>
      <c r="AA98" s="1"/>
      <c r="AB98" s="1"/>
      <c r="AC98" s="1"/>
      <c r="AD98" s="1"/>
      <c r="AE98" s="1"/>
      <c r="AF98" s="1"/>
    </row>
    <row r="99" spans="1:32" x14ac:dyDescent="0.3">
      <c r="A99" s="348"/>
      <c r="B99" s="347"/>
      <c r="C99" s="346"/>
      <c r="D99" s="24" t="s">
        <v>686</v>
      </c>
      <c r="G99" s="113">
        <f t="shared" si="0"/>
        <v>0</v>
      </c>
      <c r="H99" s="285"/>
      <c r="J99" s="287">
        <f t="shared" si="1"/>
        <v>0</v>
      </c>
      <c r="K99" s="285"/>
      <c r="M99" s="287">
        <f t="shared" si="2"/>
        <v>0</v>
      </c>
      <c r="P99" s="113">
        <f t="shared" si="3"/>
        <v>0</v>
      </c>
      <c r="Q99" s="285"/>
      <c r="S99" s="287">
        <f t="shared" si="4"/>
        <v>0</v>
      </c>
      <c r="V99" s="113">
        <f t="shared" si="5"/>
        <v>0</v>
      </c>
      <c r="W99" s="303">
        <f>AF99</f>
        <v>8492.2707451685383</v>
      </c>
      <c r="X99" s="113">
        <f t="shared" si="16"/>
        <v>0</v>
      </c>
      <c r="Z99" s="1">
        <v>2528.0898876404494</v>
      </c>
      <c r="AA99" s="1">
        <v>1146.067415730337</v>
      </c>
      <c r="AB99" s="1">
        <v>1168.9887640449438</v>
      </c>
      <c r="AC99" s="1">
        <v>1192.3685393258429</v>
      </c>
      <c r="AD99" s="1">
        <v>1216.2159101123593</v>
      </c>
      <c r="AE99" s="1">
        <v>1240.5402283146066</v>
      </c>
      <c r="AF99" s="1">
        <f t="shared" si="7"/>
        <v>8492.2707451685383</v>
      </c>
    </row>
    <row r="100" spans="1:32" x14ac:dyDescent="0.3">
      <c r="A100" s="348"/>
      <c r="B100" s="347" t="s">
        <v>29</v>
      </c>
      <c r="C100" s="346" t="s">
        <v>204</v>
      </c>
      <c r="D100" s="24" t="s">
        <v>685</v>
      </c>
      <c r="G100" s="113">
        <f t="shared" si="0"/>
        <v>0</v>
      </c>
      <c r="H100" s="285"/>
      <c r="J100" s="287">
        <f t="shared" si="1"/>
        <v>0</v>
      </c>
      <c r="K100" s="285">
        <v>491.717495987159</v>
      </c>
      <c r="L100" s="24">
        <f>141*33%</f>
        <v>46.53</v>
      </c>
      <c r="M100" s="287">
        <f t="shared" si="2"/>
        <v>22879.61508828251</v>
      </c>
      <c r="N100" s="113">
        <v>501.55184590690197</v>
      </c>
      <c r="O100" s="24">
        <f>141*33%</f>
        <v>46.53</v>
      </c>
      <c r="P100" s="113">
        <f t="shared" si="3"/>
        <v>23337.207390048148</v>
      </c>
      <c r="Q100" s="285">
        <v>511.58288282503997</v>
      </c>
      <c r="R100" s="24">
        <f>141*33%</f>
        <v>46.53</v>
      </c>
      <c r="S100" s="287">
        <f t="shared" si="4"/>
        <v>23803.951537849112</v>
      </c>
      <c r="T100" s="113">
        <v>521.81454048154103</v>
      </c>
      <c r="U100" s="24">
        <f>141*33%</f>
        <v>46.53</v>
      </c>
      <c r="V100" s="113">
        <f t="shared" si="5"/>
        <v>24280.030568606104</v>
      </c>
      <c r="W100" s="303">
        <f t="shared" si="8"/>
        <v>94300.804584785874</v>
      </c>
      <c r="X100" s="113">
        <f>W100-AF100+W101</f>
        <v>0</v>
      </c>
      <c r="Z100" s="1">
        <v>0</v>
      </c>
      <c r="AA100" s="1">
        <v>0</v>
      </c>
      <c r="AB100" s="1">
        <v>38466.131942215092</v>
      </c>
      <c r="AC100" s="1">
        <v>23337.207390048156</v>
      </c>
      <c r="AD100" s="1">
        <v>23803.951537849123</v>
      </c>
      <c r="AE100" s="1">
        <v>24280.030568606104</v>
      </c>
      <c r="AF100" s="1">
        <f t="shared" si="7"/>
        <v>109887.32143871847</v>
      </c>
    </row>
    <row r="101" spans="1:32" ht="27.95" x14ac:dyDescent="0.3">
      <c r="A101" s="348"/>
      <c r="B101" s="347"/>
      <c r="C101" s="346"/>
      <c r="D101" s="24" t="s">
        <v>691</v>
      </c>
      <c r="G101" s="113">
        <f t="shared" si="0"/>
        <v>0</v>
      </c>
      <c r="H101" s="285"/>
      <c r="J101" s="287">
        <f t="shared" si="1"/>
        <v>0</v>
      </c>
      <c r="K101" s="285">
        <v>2597.7528089887642</v>
      </c>
      <c r="L101" s="24">
        <v>6</v>
      </c>
      <c r="M101" s="287">
        <f t="shared" si="2"/>
        <v>15586.516853932586</v>
      </c>
      <c r="P101" s="113">
        <f t="shared" si="3"/>
        <v>0</v>
      </c>
      <c r="Q101" s="285"/>
      <c r="S101" s="287"/>
      <c r="V101" s="113">
        <f t="shared" si="5"/>
        <v>0</v>
      </c>
      <c r="W101" s="303">
        <f t="shared" si="8"/>
        <v>15586.516853932586</v>
      </c>
      <c r="X101" s="113"/>
      <c r="Z101" s="1"/>
      <c r="AA101" s="1"/>
      <c r="AB101" s="1"/>
      <c r="AC101" s="1"/>
      <c r="AD101" s="1"/>
      <c r="AE101" s="1"/>
      <c r="AF101" s="1"/>
    </row>
    <row r="102" spans="1:32" x14ac:dyDescent="0.3">
      <c r="A102" s="348"/>
      <c r="B102" s="347" t="s">
        <v>31</v>
      </c>
      <c r="C102" s="346" t="s">
        <v>205</v>
      </c>
      <c r="D102" s="24" t="s">
        <v>687</v>
      </c>
      <c r="G102" s="113">
        <f t="shared" si="0"/>
        <v>0</v>
      </c>
      <c r="H102" s="285"/>
      <c r="J102" s="287">
        <f t="shared" si="1"/>
        <v>0</v>
      </c>
      <c r="K102" s="285">
        <v>2133.8683788121998</v>
      </c>
      <c r="L102" s="24">
        <f>29*2*33%</f>
        <v>19.14</v>
      </c>
      <c r="M102" s="287">
        <f t="shared" si="2"/>
        <v>40842.240770465505</v>
      </c>
      <c r="N102" s="113">
        <v>2176.54574638844</v>
      </c>
      <c r="O102" s="24">
        <f>29*33%</f>
        <v>9.57</v>
      </c>
      <c r="P102" s="113">
        <f t="shared" si="3"/>
        <v>20829.542792937373</v>
      </c>
      <c r="Q102" s="285">
        <v>2220.07666131621</v>
      </c>
      <c r="R102" s="24">
        <f>29*2*33%</f>
        <v>19.14</v>
      </c>
      <c r="S102" s="287">
        <f t="shared" si="4"/>
        <v>42492.267297592261</v>
      </c>
      <c r="T102" s="113">
        <v>2264.4781945425402</v>
      </c>
      <c r="U102" s="24">
        <f>29*33%</f>
        <v>9.57</v>
      </c>
      <c r="V102" s="113">
        <f t="shared" si="5"/>
        <v>21671.05632177211</v>
      </c>
      <c r="W102" s="303">
        <f t="shared" si="8"/>
        <v>125835.10718276724</v>
      </c>
      <c r="X102" s="113">
        <f t="shared" ref="X102" si="20">W102-AF102+W103</f>
        <v>-7.2759576141834259E-11</v>
      </c>
      <c r="Z102" s="1"/>
      <c r="AA102" s="1"/>
      <c r="AB102" s="1">
        <f>56929.7528089888-AB104</f>
        <v>50305.483146067454</v>
      </c>
      <c r="AC102" s="1">
        <f>37238.8050722311-AC104</f>
        <v>30482.050016051326</v>
      </c>
      <c r="AD102" s="1">
        <f>59229.7148224719-AD104</f>
        <v>52337.824665168526</v>
      </c>
      <c r="AE102" s="1">
        <f>35228.3888169246-AE104</f>
        <v>31713.524836699879</v>
      </c>
      <c r="AF102" s="1">
        <f t="shared" si="7"/>
        <v>164838.8826639872</v>
      </c>
    </row>
    <row r="103" spans="1:32" x14ac:dyDescent="0.3">
      <c r="A103" s="348"/>
      <c r="B103" s="347"/>
      <c r="C103" s="346"/>
      <c r="D103" s="24" t="s">
        <v>688</v>
      </c>
      <c r="G103" s="113">
        <f t="shared" si="0"/>
        <v>0</v>
      </c>
      <c r="H103" s="285"/>
      <c r="J103" s="287">
        <f t="shared" si="1"/>
        <v>0</v>
      </c>
      <c r="K103" s="285">
        <v>1577.2070626003199</v>
      </c>
      <c r="L103" s="24">
        <v>6</v>
      </c>
      <c r="M103" s="287">
        <f t="shared" si="2"/>
        <v>9463.2423756019198</v>
      </c>
      <c r="N103" s="285">
        <v>1608.75120385233</v>
      </c>
      <c r="O103" s="24">
        <v>6</v>
      </c>
      <c r="P103" s="113">
        <f t="shared" si="3"/>
        <v>9652.5072231139802</v>
      </c>
      <c r="Q103" s="113">
        <v>1640.92622792937</v>
      </c>
      <c r="R103" s="24">
        <v>6</v>
      </c>
      <c r="S103" s="287">
        <f t="shared" si="4"/>
        <v>9845.5573675762207</v>
      </c>
      <c r="T103" s="285">
        <v>1673.7447524879601</v>
      </c>
      <c r="U103" s="24">
        <v>6</v>
      </c>
      <c r="V103" s="113">
        <f t="shared" si="5"/>
        <v>10042.468514927761</v>
      </c>
      <c r="W103" s="303">
        <f t="shared" si="8"/>
        <v>39003.775481219884</v>
      </c>
      <c r="X103" s="113"/>
      <c r="Z103" s="1"/>
      <c r="AA103" s="1"/>
      <c r="AB103" s="1"/>
      <c r="AC103" s="1"/>
      <c r="AD103" s="1"/>
      <c r="AE103" s="1"/>
      <c r="AF103" s="1"/>
    </row>
    <row r="104" spans="1:32" x14ac:dyDescent="0.3">
      <c r="A104" s="348"/>
      <c r="B104" s="347"/>
      <c r="C104" s="346"/>
      <c r="D104" s="24" t="s">
        <v>702</v>
      </c>
      <c r="G104" s="113">
        <f t="shared" si="0"/>
        <v>0</v>
      </c>
      <c r="H104" s="285"/>
      <c r="J104" s="287">
        <f t="shared" si="1"/>
        <v>0</v>
      </c>
      <c r="K104" s="285"/>
      <c r="M104" s="287">
        <f t="shared" si="2"/>
        <v>0</v>
      </c>
      <c r="P104" s="113">
        <f t="shared" si="3"/>
        <v>0</v>
      </c>
      <c r="Q104" s="285"/>
      <c r="S104" s="287">
        <f t="shared" si="4"/>
        <v>0</v>
      </c>
      <c r="V104" s="113">
        <f t="shared" si="5"/>
        <v>0</v>
      </c>
      <c r="W104" s="303">
        <f>AF104</f>
        <v>31873.921178726592</v>
      </c>
      <c r="X104" s="113">
        <f t="shared" si="16"/>
        <v>0</v>
      </c>
      <c r="Z104" s="1">
        <v>1591.7602996254682</v>
      </c>
      <c r="AA104" s="1">
        <v>6494.3820224719102</v>
      </c>
      <c r="AB104" s="1">
        <v>6624.2696629213478</v>
      </c>
      <c r="AC104" s="1">
        <v>6756.7550561797761</v>
      </c>
      <c r="AD104" s="1">
        <v>6891.89015730337</v>
      </c>
      <c r="AE104" s="1">
        <v>3514.8639802247194</v>
      </c>
      <c r="AF104" s="1">
        <f t="shared" si="7"/>
        <v>31873.921178726592</v>
      </c>
    </row>
    <row r="105" spans="1:32" x14ac:dyDescent="0.3">
      <c r="A105" s="346" t="s">
        <v>722</v>
      </c>
      <c r="B105" s="278" t="s">
        <v>27</v>
      </c>
      <c r="C105" s="277" t="s">
        <v>218</v>
      </c>
      <c r="D105" s="24" t="s">
        <v>686</v>
      </c>
      <c r="G105" s="113">
        <f t="shared" si="0"/>
        <v>0</v>
      </c>
      <c r="H105" s="285"/>
      <c r="J105" s="287">
        <f t="shared" si="1"/>
        <v>0</v>
      </c>
      <c r="K105" s="285"/>
      <c r="M105" s="287">
        <f t="shared" si="2"/>
        <v>0</v>
      </c>
      <c r="P105" s="113">
        <f t="shared" si="3"/>
        <v>0</v>
      </c>
      <c r="Q105" s="285"/>
      <c r="S105" s="287">
        <f t="shared" si="4"/>
        <v>0</v>
      </c>
      <c r="V105" s="113">
        <f t="shared" si="5"/>
        <v>0</v>
      </c>
      <c r="W105" s="303">
        <f>AF105</f>
        <v>4097.9861335473515</v>
      </c>
      <c r="X105" s="113">
        <f t="shared" si="16"/>
        <v>0</v>
      </c>
      <c r="Z105" s="1">
        <v>902.88924558587485</v>
      </c>
      <c r="AA105" s="1">
        <v>613.96468699839488</v>
      </c>
      <c r="AB105" s="1">
        <v>626.24398073836278</v>
      </c>
      <c r="AC105" s="1">
        <v>638.76886035313009</v>
      </c>
      <c r="AD105" s="1">
        <v>651.54423756019253</v>
      </c>
      <c r="AE105" s="1">
        <v>664.5751223113964</v>
      </c>
      <c r="AF105" s="1">
        <f t="shared" si="7"/>
        <v>4097.9861335473515</v>
      </c>
    </row>
    <row r="106" spans="1:32" x14ac:dyDescent="0.3">
      <c r="A106" s="346"/>
      <c r="B106" s="347" t="s">
        <v>29</v>
      </c>
      <c r="C106" s="346" t="s">
        <v>219</v>
      </c>
      <c r="D106" s="24" t="s">
        <v>685</v>
      </c>
      <c r="G106" s="113">
        <f t="shared" si="0"/>
        <v>0</v>
      </c>
      <c r="H106" s="285">
        <v>482.07597645799899</v>
      </c>
      <c r="I106" s="24">
        <f>87*33%</f>
        <v>28.71</v>
      </c>
      <c r="J106" s="287">
        <f t="shared" si="1"/>
        <v>13840.401284109152</v>
      </c>
      <c r="K106" s="285">
        <v>491.717495987159</v>
      </c>
      <c r="L106" s="24">
        <f>87*33%</f>
        <v>28.71</v>
      </c>
      <c r="M106" s="287">
        <f t="shared" si="2"/>
        <v>14117.209309791335</v>
      </c>
      <c r="N106" s="113">
        <v>501.55184590690197</v>
      </c>
      <c r="O106" s="24">
        <f>87*33%</f>
        <v>28.71</v>
      </c>
      <c r="P106" s="113">
        <f t="shared" si="3"/>
        <v>14399.553495987157</v>
      </c>
      <c r="Q106" s="285">
        <v>511.58288282503997</v>
      </c>
      <c r="R106" s="24">
        <f>87*33%</f>
        <v>28.71</v>
      </c>
      <c r="S106" s="287">
        <f t="shared" si="4"/>
        <v>14687.544565906897</v>
      </c>
      <c r="T106" s="113">
        <v>521.81454048154103</v>
      </c>
      <c r="U106" s="24">
        <f>87*33%</f>
        <v>28.71</v>
      </c>
      <c r="V106" s="113">
        <f t="shared" si="5"/>
        <v>14981.295457225044</v>
      </c>
      <c r="W106" s="303">
        <f t="shared" si="8"/>
        <v>72026.00411301959</v>
      </c>
      <c r="X106" s="113">
        <f>W106-AF106+W107+W108</f>
        <v>0</v>
      </c>
      <c r="Z106" s="1">
        <v>2496.8789013732835</v>
      </c>
      <c r="AA106" s="1">
        <v>31668.116639914391</v>
      </c>
      <c r="AB106" s="1">
        <v>14117.209309791333</v>
      </c>
      <c r="AC106" s="1">
        <v>14399.553495987162</v>
      </c>
      <c r="AD106" s="1">
        <v>30903.756700738362</v>
      </c>
      <c r="AE106" s="1">
        <v>14981.295457225046</v>
      </c>
      <c r="AF106" s="1">
        <f t="shared" si="7"/>
        <v>108566.81050502957</v>
      </c>
    </row>
    <row r="107" spans="1:32" x14ac:dyDescent="0.3">
      <c r="A107" s="346"/>
      <c r="B107" s="347"/>
      <c r="C107" s="346"/>
      <c r="D107" s="24" t="s">
        <v>710</v>
      </c>
      <c r="E107" s="113">
        <v>2496.8789013732799</v>
      </c>
      <c r="F107" s="24">
        <v>1</v>
      </c>
      <c r="G107" s="113">
        <f t="shared" si="0"/>
        <v>2496.8789013732799</v>
      </c>
      <c r="H107" s="285">
        <v>2546.8164794007498</v>
      </c>
      <c r="I107" s="24">
        <v>1</v>
      </c>
      <c r="J107" s="287">
        <f t="shared" si="1"/>
        <v>2546.8164794007498</v>
      </c>
      <c r="K107" s="285"/>
      <c r="M107" s="287">
        <f t="shared" si="2"/>
        <v>0</v>
      </c>
      <c r="P107" s="113">
        <f t="shared" si="3"/>
        <v>0</v>
      </c>
      <c r="Q107" s="285"/>
      <c r="S107" s="287">
        <f t="shared" si="4"/>
        <v>0</v>
      </c>
      <c r="V107" s="113">
        <f t="shared" si="5"/>
        <v>0</v>
      </c>
      <c r="W107" s="303">
        <f t="shared" si="8"/>
        <v>5043.6953807740301</v>
      </c>
      <c r="X107" s="113"/>
      <c r="Z107" s="1"/>
      <c r="AA107" s="1"/>
      <c r="AB107" s="1"/>
      <c r="AC107" s="1"/>
      <c r="AD107" s="1"/>
      <c r="AE107" s="1"/>
      <c r="AF107" s="1"/>
    </row>
    <row r="108" spans="1:32" ht="27.95" x14ac:dyDescent="0.3">
      <c r="A108" s="346"/>
      <c r="B108" s="347"/>
      <c r="C108" s="346"/>
      <c r="D108" s="24" t="s">
        <v>691</v>
      </c>
      <c r="H108" s="285">
        <v>2546.8164794007498</v>
      </c>
      <c r="I108" s="24">
        <v>6</v>
      </c>
      <c r="J108" s="287">
        <f t="shared" si="1"/>
        <v>15280.898876404499</v>
      </c>
      <c r="K108" s="285"/>
      <c r="M108" s="287">
        <f t="shared" si="2"/>
        <v>0</v>
      </c>
      <c r="P108" s="113">
        <f t="shared" si="3"/>
        <v>0</v>
      </c>
      <c r="Q108" s="285">
        <v>2702.7020224719099</v>
      </c>
      <c r="R108" s="24">
        <v>6</v>
      </c>
      <c r="S108" s="287">
        <f t="shared" si="4"/>
        <v>16216.212134831459</v>
      </c>
      <c r="V108" s="113">
        <f t="shared" si="5"/>
        <v>0</v>
      </c>
      <c r="W108" s="303">
        <f t="shared" si="8"/>
        <v>31497.11101123596</v>
      </c>
      <c r="X108" s="113"/>
      <c r="Z108" s="1"/>
      <c r="AA108" s="1"/>
      <c r="AB108" s="1"/>
      <c r="AC108" s="1"/>
      <c r="AD108" s="1"/>
      <c r="AE108" s="1"/>
      <c r="AF108" s="1"/>
    </row>
    <row r="109" spans="1:32" x14ac:dyDescent="0.3">
      <c r="A109" s="346"/>
      <c r="B109" s="347" t="s">
        <v>31</v>
      </c>
      <c r="C109" s="346" t="s">
        <v>220</v>
      </c>
      <c r="D109" s="24" t="s">
        <v>687</v>
      </c>
      <c r="G109" s="113">
        <f t="shared" si="0"/>
        <v>0</v>
      </c>
      <c r="H109" s="285">
        <v>2092.0278223649002</v>
      </c>
      <c r="I109" s="24">
        <f>29*2*33%</f>
        <v>19.14</v>
      </c>
      <c r="J109" s="287">
        <f t="shared" si="1"/>
        <v>40041.412520064194</v>
      </c>
      <c r="K109" s="285">
        <v>2133.8683788121998</v>
      </c>
      <c r="L109" s="24">
        <f>29*33%</f>
        <v>9.57</v>
      </c>
      <c r="M109" s="287">
        <f t="shared" si="2"/>
        <v>20421.120385232753</v>
      </c>
      <c r="N109" s="113">
        <v>2176.54574638844</v>
      </c>
      <c r="O109" s="24">
        <f>29*2*33%</f>
        <v>19.14</v>
      </c>
      <c r="P109" s="113">
        <f t="shared" si="3"/>
        <v>41659.085585874745</v>
      </c>
      <c r="Q109" s="285">
        <v>2220.07666131621</v>
      </c>
      <c r="R109" s="24">
        <f>29*33%</f>
        <v>9.57</v>
      </c>
      <c r="S109" s="287">
        <f t="shared" si="4"/>
        <v>21246.133648796131</v>
      </c>
      <c r="T109" s="113">
        <v>2264.4781945425402</v>
      </c>
      <c r="U109" s="24">
        <f>29*2*33%</f>
        <v>19.14</v>
      </c>
      <c r="V109" s="113">
        <f t="shared" si="5"/>
        <v>43342.11264354422</v>
      </c>
      <c r="W109" s="303">
        <f t="shared" si="8"/>
        <v>166709.86478351202</v>
      </c>
      <c r="X109" s="113">
        <f>W109-AF109+W110</f>
        <v>0</v>
      </c>
      <c r="Z109" s="1"/>
      <c r="AA109" s="1">
        <f>52798.2343499197-AA111</f>
        <v>49319.101123595465</v>
      </c>
      <c r="AB109" s="1">
        <f>33433.0786516854-AB111</f>
        <v>29884.362760834676</v>
      </c>
      <c r="AC109" s="1">
        <f>54931.2830176565-AC111</f>
        <v>51311.59280898876</v>
      </c>
      <c r="AD109" s="1">
        <f>34783.7750292135-AD111</f>
        <v>31091.69101637241</v>
      </c>
      <c r="AE109" s="1">
        <f>55267.5440050209-AE111</f>
        <v>53384.581158471941</v>
      </c>
      <c r="AF109" s="1">
        <f t="shared" si="7"/>
        <v>214991.32886826323</v>
      </c>
    </row>
    <row r="110" spans="1:32" x14ac:dyDescent="0.3">
      <c r="A110" s="346"/>
      <c r="B110" s="347"/>
      <c r="C110" s="346"/>
      <c r="D110" s="24" t="s">
        <v>688</v>
      </c>
      <c r="G110" s="113">
        <f t="shared" si="0"/>
        <v>0</v>
      </c>
      <c r="H110" s="285">
        <v>1546.2814339218833</v>
      </c>
      <c r="I110" s="24">
        <v>6</v>
      </c>
      <c r="J110" s="287">
        <f t="shared" si="1"/>
        <v>9277.6886035313</v>
      </c>
      <c r="K110" s="285">
        <v>1577.2070626003199</v>
      </c>
      <c r="L110" s="24">
        <v>6</v>
      </c>
      <c r="M110" s="287">
        <f t="shared" si="2"/>
        <v>9463.2423756019198</v>
      </c>
      <c r="N110" s="285">
        <v>1608.75120385233</v>
      </c>
      <c r="O110" s="24">
        <v>6</v>
      </c>
      <c r="P110" s="113">
        <f t="shared" si="3"/>
        <v>9652.5072231139802</v>
      </c>
      <c r="Q110" s="113">
        <v>1640.92622792937</v>
      </c>
      <c r="R110" s="24">
        <v>6</v>
      </c>
      <c r="S110" s="287">
        <f t="shared" si="4"/>
        <v>9845.5573675762207</v>
      </c>
      <c r="T110" s="285">
        <v>1673.7447524879601</v>
      </c>
      <c r="U110" s="24">
        <v>6</v>
      </c>
      <c r="V110" s="113">
        <f t="shared" si="5"/>
        <v>10042.468514927761</v>
      </c>
      <c r="W110" s="303">
        <f t="shared" si="8"/>
        <v>48281.464084751176</v>
      </c>
      <c r="X110" s="113"/>
      <c r="Z110" s="1"/>
      <c r="AA110" s="1"/>
      <c r="AB110" s="1"/>
      <c r="AC110" s="1"/>
      <c r="AD110" s="1"/>
      <c r="AE110" s="1"/>
      <c r="AF110" s="1"/>
    </row>
    <row r="111" spans="1:32" x14ac:dyDescent="0.3">
      <c r="A111" s="346"/>
      <c r="B111" s="347"/>
      <c r="C111" s="346"/>
      <c r="D111" s="24" t="s">
        <v>702</v>
      </c>
      <c r="G111" s="113">
        <f t="shared" si="0"/>
        <v>0</v>
      </c>
      <c r="H111" s="285"/>
      <c r="J111" s="287">
        <f t="shared" si="1"/>
        <v>0</v>
      </c>
      <c r="K111" s="285"/>
      <c r="M111" s="287">
        <f t="shared" si="2"/>
        <v>0</v>
      </c>
      <c r="P111" s="113">
        <f t="shared" si="3"/>
        <v>0</v>
      </c>
      <c r="Q111" s="285"/>
      <c r="S111" s="287">
        <f t="shared" si="4"/>
        <v>0</v>
      </c>
      <c r="V111" s="113">
        <f t="shared" si="5"/>
        <v>0</v>
      </c>
      <c r="W111" s="303">
        <f>AF111</f>
        <v>16791.072006527556</v>
      </c>
      <c r="X111" s="113">
        <f t="shared" si="16"/>
        <v>0</v>
      </c>
      <c r="Z111" s="1">
        <v>568.48582129481008</v>
      </c>
      <c r="AA111" s="1">
        <v>3479.1332263242375</v>
      </c>
      <c r="AB111" s="1">
        <v>3548.7158908507222</v>
      </c>
      <c r="AC111" s="1">
        <v>3619.6902086677374</v>
      </c>
      <c r="AD111" s="1">
        <v>3692.0840128410914</v>
      </c>
      <c r="AE111" s="1">
        <v>1882.9628465489568</v>
      </c>
      <c r="AF111" s="1">
        <f t="shared" si="7"/>
        <v>16791.072006527556</v>
      </c>
    </row>
    <row r="112" spans="1:32" x14ac:dyDescent="0.3">
      <c r="A112" s="346" t="s">
        <v>723</v>
      </c>
      <c r="B112" s="347" t="s">
        <v>27</v>
      </c>
      <c r="C112" s="346" t="s">
        <v>226</v>
      </c>
      <c r="D112" s="24" t="s">
        <v>724</v>
      </c>
      <c r="G112" s="113">
        <f t="shared" si="0"/>
        <v>0</v>
      </c>
      <c r="H112" s="285">
        <v>154.62814339218835</v>
      </c>
      <c r="I112" s="24">
        <f>29*3</f>
        <v>87</v>
      </c>
      <c r="J112" s="287">
        <f t="shared" si="1"/>
        <v>13452.648475120386</v>
      </c>
      <c r="K112" s="285"/>
      <c r="M112" s="287">
        <f t="shared" si="2"/>
        <v>0</v>
      </c>
      <c r="P112" s="113">
        <f t="shared" si="3"/>
        <v>0</v>
      </c>
      <c r="Q112" s="285"/>
      <c r="S112" s="287">
        <f t="shared" si="4"/>
        <v>0</v>
      </c>
      <c r="V112" s="113">
        <f t="shared" si="5"/>
        <v>0</v>
      </c>
      <c r="W112" s="303">
        <f t="shared" si="8"/>
        <v>13452.648475120386</v>
      </c>
      <c r="X112" s="113">
        <f>W112-AF112+W113+W114+W115</f>
        <v>0</v>
      </c>
      <c r="Z112" s="1">
        <f>2708.66773675762-Z116</f>
        <v>-4.5474735088646412E-12</v>
      </c>
      <c r="AA112" s="1">
        <f>42199.8394863563-AA116</f>
        <v>40357.945425361118</v>
      </c>
      <c r="AB112" s="1">
        <f>116829.293739968-AB116</f>
        <v>114950.5617977529</v>
      </c>
      <c r="AC112" s="1">
        <f>1916.30658105939-AC116</f>
        <v>0</v>
      </c>
      <c r="AD112" s="1">
        <f>1954.63271268058-AD116</f>
        <v>2.2737367544323206E-12</v>
      </c>
      <c r="AE112" s="1">
        <f>1993.72536693419-AE116</f>
        <v>0</v>
      </c>
      <c r="AF112" s="1">
        <f t="shared" si="7"/>
        <v>155308.50722311402</v>
      </c>
    </row>
    <row r="113" spans="1:32" x14ac:dyDescent="0.3">
      <c r="A113" s="346"/>
      <c r="B113" s="347"/>
      <c r="C113" s="346"/>
      <c r="D113" s="24" t="s">
        <v>725</v>
      </c>
      <c r="H113" s="285">
        <v>309.2562867843767</v>
      </c>
      <c r="I113" s="24">
        <f>29*3</f>
        <v>87</v>
      </c>
      <c r="J113" s="287">
        <f t="shared" si="1"/>
        <v>26905.296950240772</v>
      </c>
      <c r="K113" s="285"/>
      <c r="M113" s="287">
        <f t="shared" si="2"/>
        <v>0</v>
      </c>
      <c r="Q113" s="285"/>
      <c r="S113" s="287"/>
      <c r="V113" s="113">
        <f t="shared" si="5"/>
        <v>0</v>
      </c>
      <c r="W113" s="303">
        <f t="shared" si="8"/>
        <v>26905.296950240772</v>
      </c>
      <c r="X113" s="113"/>
      <c r="Z113" s="1"/>
      <c r="AA113" s="1"/>
      <c r="AB113" s="1"/>
      <c r="AC113" s="1"/>
      <c r="AD113" s="1"/>
      <c r="AE113" s="1"/>
      <c r="AF113" s="1"/>
    </row>
    <row r="114" spans="1:32" x14ac:dyDescent="0.3">
      <c r="A114" s="346"/>
      <c r="B114" s="347"/>
      <c r="C114" s="346"/>
      <c r="D114" s="24" t="s">
        <v>726</v>
      </c>
      <c r="H114" s="285"/>
      <c r="J114" s="287"/>
      <c r="K114" s="285">
        <v>9741.5730337078658</v>
      </c>
      <c r="L114" s="24">
        <v>6</v>
      </c>
      <c r="M114" s="287">
        <f t="shared" si="2"/>
        <v>58449.438202247198</v>
      </c>
      <c r="Q114" s="285"/>
      <c r="S114" s="287"/>
      <c r="V114" s="113">
        <f t="shared" si="5"/>
        <v>0</v>
      </c>
      <c r="W114" s="303">
        <f t="shared" si="8"/>
        <v>58449.438202247198</v>
      </c>
      <c r="X114" s="113"/>
      <c r="Z114" s="1"/>
      <c r="AA114" s="1"/>
      <c r="AB114" s="1"/>
      <c r="AC114" s="1"/>
      <c r="AD114" s="1"/>
      <c r="AE114" s="1"/>
      <c r="AF114" s="1"/>
    </row>
    <row r="115" spans="1:32" x14ac:dyDescent="0.3">
      <c r="A115" s="346"/>
      <c r="B115" s="347"/>
      <c r="C115" s="346"/>
      <c r="D115" s="24" t="s">
        <v>727</v>
      </c>
      <c r="H115" s="285"/>
      <c r="J115" s="287"/>
      <c r="K115" s="285">
        <v>1948.314606741573</v>
      </c>
      <c r="L115" s="24">
        <v>29</v>
      </c>
      <c r="M115" s="287">
        <f t="shared" si="2"/>
        <v>56501.123595505618</v>
      </c>
      <c r="Q115" s="285"/>
      <c r="S115" s="287"/>
      <c r="V115" s="113">
        <f t="shared" si="5"/>
        <v>0</v>
      </c>
      <c r="W115" s="303">
        <f t="shared" si="8"/>
        <v>56501.123595505618</v>
      </c>
      <c r="X115" s="113"/>
      <c r="Z115" s="1"/>
      <c r="AA115" s="1"/>
      <c r="AB115" s="1"/>
      <c r="AC115" s="1"/>
      <c r="AD115" s="1"/>
      <c r="AE115" s="1"/>
      <c r="AF115" s="1"/>
    </row>
    <row r="116" spans="1:32" x14ac:dyDescent="0.3">
      <c r="A116" s="346"/>
      <c r="B116" s="347"/>
      <c r="C116" s="346"/>
      <c r="D116" s="24" t="s">
        <v>686</v>
      </c>
      <c r="G116" s="113">
        <f t="shared" si="0"/>
        <v>0</v>
      </c>
      <c r="H116" s="285"/>
      <c r="J116" s="287">
        <f t="shared" si="1"/>
        <v>0</v>
      </c>
      <c r="K116" s="285"/>
      <c r="M116" s="287">
        <f t="shared" si="2"/>
        <v>0</v>
      </c>
      <c r="P116" s="113">
        <f t="shared" si="3"/>
        <v>0</v>
      </c>
      <c r="Q116" s="285"/>
      <c r="S116" s="287">
        <f t="shared" si="4"/>
        <v>0</v>
      </c>
      <c r="V116" s="113">
        <f t="shared" si="5"/>
        <v>0</v>
      </c>
      <c r="W116" s="303">
        <f>AF116</f>
        <v>12293.958400642055</v>
      </c>
      <c r="X116" s="113">
        <f t="shared" si="16"/>
        <v>0</v>
      </c>
      <c r="Z116" s="1">
        <v>2708.6677367576244</v>
      </c>
      <c r="AA116" s="1">
        <v>1841.8940609951846</v>
      </c>
      <c r="AB116" s="1">
        <v>1878.7319422150883</v>
      </c>
      <c r="AC116" s="1">
        <v>1916.3065810593903</v>
      </c>
      <c r="AD116" s="1">
        <v>1954.6327126805777</v>
      </c>
      <c r="AE116" s="1">
        <v>1993.7253669341894</v>
      </c>
      <c r="AF116" s="1">
        <f t="shared" si="7"/>
        <v>12293.958400642055</v>
      </c>
    </row>
    <row r="117" spans="1:32" x14ac:dyDescent="0.3">
      <c r="A117" s="346"/>
      <c r="B117" s="347" t="s">
        <v>29</v>
      </c>
      <c r="C117" s="346" t="s">
        <v>227</v>
      </c>
      <c r="D117" s="24" t="s">
        <v>685</v>
      </c>
      <c r="G117" s="113">
        <f t="shared" si="0"/>
        <v>0</v>
      </c>
      <c r="H117" s="285">
        <v>482.07597645799899</v>
      </c>
      <c r="I117" s="24">
        <f>87*33%</f>
        <v>28.71</v>
      </c>
      <c r="J117" s="287">
        <f t="shared" si="1"/>
        <v>13840.401284109152</v>
      </c>
      <c r="K117" s="285">
        <v>491.717495987159</v>
      </c>
      <c r="L117" s="24">
        <f>87*33%</f>
        <v>28.71</v>
      </c>
      <c r="M117" s="287">
        <f t="shared" ref="M117:M167" si="21">K117*L117</f>
        <v>14117.209309791335</v>
      </c>
      <c r="N117" s="113">
        <v>501.55184590690197</v>
      </c>
      <c r="O117" s="24">
        <f>87*33%</f>
        <v>28.71</v>
      </c>
      <c r="P117" s="113">
        <f t="shared" ref="P117" si="22">N117*O117</f>
        <v>14399.553495987157</v>
      </c>
      <c r="Q117" s="285">
        <v>511.58288282503997</v>
      </c>
      <c r="R117" s="24">
        <f>87*33%</f>
        <v>28.71</v>
      </c>
      <c r="S117" s="287">
        <f t="shared" ref="S117:S168" si="23">Q117*R117</f>
        <v>14687.544565906897</v>
      </c>
      <c r="T117" s="113">
        <v>521.81454048154103</v>
      </c>
      <c r="U117" s="24">
        <f>87*33%</f>
        <v>28.71</v>
      </c>
      <c r="V117" s="113">
        <f t="shared" ref="V117" si="24">T117*U117</f>
        <v>14981.295457225044</v>
      </c>
      <c r="W117" s="303">
        <f t="shared" si="8"/>
        <v>72026.00411301959</v>
      </c>
      <c r="X117" s="113">
        <f>W117-AF117+W118</f>
        <v>0</v>
      </c>
      <c r="Z117" s="1">
        <v>0</v>
      </c>
      <c r="AA117" s="1">
        <v>18390.561797752809</v>
      </c>
      <c r="AB117" s="1">
        <v>18758.373033707867</v>
      </c>
      <c r="AC117" s="1">
        <v>14399.553495987162</v>
      </c>
      <c r="AD117" s="1">
        <v>14687.544565906905</v>
      </c>
      <c r="AE117" s="1">
        <v>14981.295457225046</v>
      </c>
      <c r="AF117" s="1">
        <f t="shared" si="7"/>
        <v>81217.328350579788</v>
      </c>
    </row>
    <row r="118" spans="1:32" x14ac:dyDescent="0.3">
      <c r="A118" s="346"/>
      <c r="B118" s="347"/>
      <c r="C118" s="346"/>
      <c r="D118" s="24" t="s">
        <v>728</v>
      </c>
      <c r="H118" s="285">
        <v>2092.0278223649002</v>
      </c>
      <c r="I118" s="24">
        <f>29/2*15%</f>
        <v>2.1749999999999998</v>
      </c>
      <c r="J118" s="287">
        <f t="shared" si="1"/>
        <v>4550.1605136436574</v>
      </c>
      <c r="K118" s="285">
        <v>2133.8683788121998</v>
      </c>
      <c r="L118" s="24">
        <f>29/2*15%</f>
        <v>2.1749999999999998</v>
      </c>
      <c r="M118" s="287">
        <f t="shared" si="21"/>
        <v>4641.1637239165339</v>
      </c>
      <c r="Q118" s="285"/>
      <c r="S118" s="287"/>
      <c r="W118" s="303">
        <f t="shared" si="8"/>
        <v>9191.3242375601912</v>
      </c>
      <c r="X118" s="113"/>
      <c r="Z118" s="1"/>
      <c r="AA118" s="1"/>
      <c r="AB118" s="1"/>
      <c r="AC118" s="1"/>
      <c r="AD118" s="1"/>
      <c r="AE118" s="1"/>
      <c r="AF118" s="1"/>
    </row>
    <row r="119" spans="1:32" x14ac:dyDescent="0.3">
      <c r="A119" s="346"/>
      <c r="B119" s="347" t="s">
        <v>31</v>
      </c>
      <c r="C119" s="346" t="s">
        <v>228</v>
      </c>
      <c r="D119" s="24" t="s">
        <v>687</v>
      </c>
      <c r="G119" s="113">
        <f t="shared" si="0"/>
        <v>0</v>
      </c>
      <c r="H119" s="285">
        <v>2092.0278223649002</v>
      </c>
      <c r="I119" s="24">
        <f>29*2*15%</f>
        <v>8.6999999999999993</v>
      </c>
      <c r="J119" s="287">
        <f t="shared" si="1"/>
        <v>18200.64205457463</v>
      </c>
      <c r="K119" s="285">
        <v>2133.8683788121998</v>
      </c>
      <c r="L119" s="24">
        <f>29*15%</f>
        <v>4.3499999999999996</v>
      </c>
      <c r="M119" s="287">
        <f t="shared" si="21"/>
        <v>9282.3274478330677</v>
      </c>
      <c r="N119" s="113">
        <v>2176.54574638844</v>
      </c>
      <c r="O119" s="24">
        <f>29*2*15%</f>
        <v>8.6999999999999993</v>
      </c>
      <c r="P119" s="113">
        <f t="shared" ref="P119:P167" si="25">N119*O119</f>
        <v>18935.947993579426</v>
      </c>
      <c r="Q119" s="285">
        <v>2220.07666131621</v>
      </c>
      <c r="R119" s="24">
        <f>29*15%</f>
        <v>4.3499999999999996</v>
      </c>
      <c r="S119" s="287">
        <f t="shared" si="23"/>
        <v>9657.3334767255128</v>
      </c>
      <c r="T119" s="113">
        <v>2264.4781945425402</v>
      </c>
      <c r="U119" s="24">
        <f>29*2*15%</f>
        <v>8.6999999999999993</v>
      </c>
      <c r="V119" s="113">
        <f t="shared" ref="V119:V168" si="26">T119*U119</f>
        <v>19700.9602925201</v>
      </c>
      <c r="W119" s="303">
        <f t="shared" si="8"/>
        <v>75777.211265232734</v>
      </c>
      <c r="X119" s="113">
        <f>W119-AF119+W120</f>
        <v>5.2750692702829838E-11</v>
      </c>
      <c r="Z119" s="1"/>
      <c r="AA119" s="1">
        <f>30029.695024077-AA121</f>
        <v>19592.295345104285</v>
      </c>
      <c r="AB119" s="1">
        <f>21347.9614767255-AB121</f>
        <v>10701.813804173335</v>
      </c>
      <c r="AC119" s="1">
        <f>31242.8947030498-AC121</f>
        <v>20383.824077046585</v>
      </c>
      <c r="AD119" s="1">
        <f>22210.4191203852-AD121</f>
        <v>11134.167081861926</v>
      </c>
      <c r="AE119" s="1">
        <f>26856.2191094061-AE121</f>
        <v>21207.33056975923</v>
      </c>
      <c r="AF119" s="1">
        <f t="shared" si="7"/>
        <v>83019.430877945357</v>
      </c>
    </row>
    <row r="120" spans="1:32" x14ac:dyDescent="0.3">
      <c r="A120" s="346"/>
      <c r="B120" s="347"/>
      <c r="C120" s="346"/>
      <c r="D120" s="24" t="s">
        <v>688</v>
      </c>
      <c r="G120" s="113">
        <f t="shared" si="0"/>
        <v>0</v>
      </c>
      <c r="H120" s="285">
        <v>1546.2814339218833</v>
      </c>
      <c r="I120" s="24">
        <f>6*15%</f>
        <v>0.89999999999999991</v>
      </c>
      <c r="J120" s="287">
        <f t="shared" si="1"/>
        <v>1391.6532905296947</v>
      </c>
      <c r="K120" s="285">
        <v>1577.2070626003199</v>
      </c>
      <c r="L120" s="24">
        <f>6*15%</f>
        <v>0.89999999999999991</v>
      </c>
      <c r="M120" s="287">
        <f t="shared" si="21"/>
        <v>1419.4863563402878</v>
      </c>
      <c r="N120" s="285">
        <v>1608.75120385233</v>
      </c>
      <c r="O120" s="24">
        <f>6*15%</f>
        <v>0.89999999999999991</v>
      </c>
      <c r="P120" s="113">
        <f t="shared" si="25"/>
        <v>1447.8760834670968</v>
      </c>
      <c r="Q120" s="113">
        <v>1640.92622792937</v>
      </c>
      <c r="R120" s="24">
        <f>6*15%</f>
        <v>0.89999999999999991</v>
      </c>
      <c r="S120" s="287">
        <f t="shared" si="23"/>
        <v>1476.8336051364329</v>
      </c>
      <c r="T120" s="285">
        <v>1673.7447524879601</v>
      </c>
      <c r="U120" s="24">
        <f>6*15%</f>
        <v>0.89999999999999991</v>
      </c>
      <c r="V120" s="113">
        <f t="shared" si="26"/>
        <v>1506.3702772391639</v>
      </c>
      <c r="W120" s="303">
        <f t="shared" si="8"/>
        <v>7242.2196127126754</v>
      </c>
      <c r="X120" s="113"/>
      <c r="Z120" s="1"/>
      <c r="AA120" s="1"/>
      <c r="AB120" s="1"/>
      <c r="AC120" s="1"/>
      <c r="AD120" s="1"/>
      <c r="AE120" s="1"/>
      <c r="AF120" s="1"/>
    </row>
    <row r="121" spans="1:32" x14ac:dyDescent="0.3">
      <c r="A121" s="346"/>
      <c r="B121" s="347"/>
      <c r="C121" s="346"/>
      <c r="D121" s="24" t="s">
        <v>702</v>
      </c>
      <c r="G121" s="113">
        <f t="shared" ref="G121:G167" si="27">E121*F121</f>
        <v>0</v>
      </c>
      <c r="H121" s="285"/>
      <c r="J121" s="287">
        <f t="shared" ref="J121:J167" si="28">H121*I121</f>
        <v>0</v>
      </c>
      <c r="K121" s="285"/>
      <c r="M121" s="287">
        <f t="shared" si="21"/>
        <v>0</v>
      </c>
      <c r="P121" s="113">
        <f t="shared" si="25"/>
        <v>0</v>
      </c>
      <c r="Q121" s="285"/>
      <c r="S121" s="287">
        <f t="shared" si="23"/>
        <v>0</v>
      </c>
      <c r="V121" s="113">
        <f t="shared" si="26"/>
        <v>0</v>
      </c>
      <c r="W121" s="303">
        <f>AF121</f>
        <v>50373.216019582658</v>
      </c>
      <c r="X121" s="113">
        <f t="shared" si="16"/>
        <v>0</v>
      </c>
      <c r="Z121" s="1">
        <v>1705.4574638844301</v>
      </c>
      <c r="AA121" s="1">
        <v>10437.399678972713</v>
      </c>
      <c r="AB121" s="1">
        <v>10646.147672552166</v>
      </c>
      <c r="AC121" s="1">
        <v>10859.070626003211</v>
      </c>
      <c r="AD121" s="1">
        <v>11076.252038523273</v>
      </c>
      <c r="AE121" s="1">
        <v>5648.8885396468704</v>
      </c>
      <c r="AF121" s="1">
        <f t="shared" si="7"/>
        <v>50373.216019582658</v>
      </c>
    </row>
    <row r="122" spans="1:32" x14ac:dyDescent="0.3">
      <c r="A122" s="346" t="s">
        <v>729</v>
      </c>
      <c r="B122" s="347" t="s">
        <v>27</v>
      </c>
      <c r="C122" s="346" t="s">
        <v>237</v>
      </c>
      <c r="D122" s="24" t="s">
        <v>730</v>
      </c>
      <c r="G122" s="113">
        <f t="shared" si="27"/>
        <v>0</v>
      </c>
      <c r="H122" s="285"/>
      <c r="J122" s="287">
        <f t="shared" si="28"/>
        <v>0</v>
      </c>
      <c r="K122" s="285">
        <v>5204.7833065810592</v>
      </c>
      <c r="L122" s="24">
        <v>261</v>
      </c>
      <c r="M122" s="287">
        <f t="shared" si="21"/>
        <v>1358448.4430176564</v>
      </c>
      <c r="P122" s="113">
        <f t="shared" si="25"/>
        <v>0</v>
      </c>
      <c r="Q122" s="285"/>
      <c r="S122" s="287">
        <f t="shared" si="23"/>
        <v>0</v>
      </c>
      <c r="V122" s="113">
        <f t="shared" si="26"/>
        <v>0</v>
      </c>
      <c r="W122" s="303">
        <f t="shared" ref="W122:W133" si="29">G122+J122+M122+P122+S122+V122</f>
        <v>1358448.4430176564</v>
      </c>
      <c r="X122" s="113">
        <f>W122-AF122+W123+W124+W125</f>
        <v>-1.7462298274040222E-9</v>
      </c>
      <c r="Z122" s="1"/>
      <c r="AA122" s="1"/>
      <c r="AB122" s="1">
        <f>1781497.12680578-AB126</f>
        <v>1781330.1284109165</v>
      </c>
      <c r="AC122" s="1">
        <f>152410.250080257-AC126</f>
        <v>152239.91171749617</v>
      </c>
      <c r="AD122" s="1">
        <f>155458.455081862-AD126</f>
        <v>155284.70995184593</v>
      </c>
      <c r="AE122" s="1"/>
      <c r="AF122" s="1">
        <f t="shared" si="7"/>
        <v>2088854.7500802586</v>
      </c>
    </row>
    <row r="123" spans="1:32" x14ac:dyDescent="0.3">
      <c r="A123" s="346"/>
      <c r="B123" s="347"/>
      <c r="C123" s="346"/>
      <c r="D123" s="24" t="s">
        <v>731</v>
      </c>
      <c r="H123" s="285"/>
      <c r="J123" s="287"/>
      <c r="K123" s="285">
        <v>1048.3788121990369</v>
      </c>
      <c r="L123" s="24">
        <v>261</v>
      </c>
      <c r="M123" s="287">
        <f t="shared" si="21"/>
        <v>273626.86998394865</v>
      </c>
      <c r="P123" s="113">
        <f t="shared" si="25"/>
        <v>0</v>
      </c>
      <c r="Q123" s="285"/>
      <c r="S123" s="287">
        <f t="shared" si="23"/>
        <v>0</v>
      </c>
      <c r="W123" s="303">
        <f t="shared" si="29"/>
        <v>273626.86998394865</v>
      </c>
      <c r="X123" s="113"/>
      <c r="Z123" s="1"/>
      <c r="AA123" s="1"/>
      <c r="AB123" s="1"/>
      <c r="AC123" s="1"/>
      <c r="AD123" s="1"/>
      <c r="AE123" s="1"/>
      <c r="AF123" s="1">
        <f t="shared" si="7"/>
        <v>0</v>
      </c>
    </row>
    <row r="124" spans="1:32" x14ac:dyDescent="0.3">
      <c r="A124" s="346"/>
      <c r="B124" s="347"/>
      <c r="C124" s="346"/>
      <c r="D124" s="24" t="s">
        <v>732</v>
      </c>
      <c r="H124" s="285"/>
      <c r="J124" s="287"/>
      <c r="K124" s="285">
        <v>6262.4398073836273</v>
      </c>
      <c r="L124" s="24">
        <f>29/2</f>
        <v>14.5</v>
      </c>
      <c r="M124" s="287">
        <f t="shared" si="21"/>
        <v>90805.3772070626</v>
      </c>
      <c r="N124" s="113">
        <v>6387.6886035313</v>
      </c>
      <c r="O124" s="24">
        <f>29/2</f>
        <v>14.5</v>
      </c>
      <c r="P124" s="113">
        <f t="shared" si="25"/>
        <v>92621.484751203854</v>
      </c>
      <c r="Q124" s="285">
        <v>6515.442375601926</v>
      </c>
      <c r="R124" s="24">
        <f>29/2</f>
        <v>14.5</v>
      </c>
      <c r="S124" s="287">
        <f t="shared" si="23"/>
        <v>94473.914446227922</v>
      </c>
      <c r="W124" s="303">
        <f t="shared" si="29"/>
        <v>277900.77640449442</v>
      </c>
      <c r="X124" s="113"/>
      <c r="Z124" s="1"/>
      <c r="AA124" s="1"/>
      <c r="AB124" s="1"/>
      <c r="AC124" s="1"/>
      <c r="AD124" s="1"/>
      <c r="AE124" s="1"/>
      <c r="AF124" s="1">
        <f t="shared" si="7"/>
        <v>0</v>
      </c>
    </row>
    <row r="125" spans="1:32" x14ac:dyDescent="0.3">
      <c r="A125" s="346"/>
      <c r="B125" s="347"/>
      <c r="C125" s="346"/>
      <c r="D125" s="24" t="s">
        <v>733</v>
      </c>
      <c r="H125" s="285"/>
      <c r="J125" s="287"/>
      <c r="K125" s="285">
        <v>19483.146067415732</v>
      </c>
      <c r="L125" s="24">
        <f>6/2</f>
        <v>3</v>
      </c>
      <c r="M125" s="287">
        <f t="shared" si="21"/>
        <v>58449.438202247198</v>
      </c>
      <c r="N125" s="113">
        <v>19872.808988764042</v>
      </c>
      <c r="O125" s="24">
        <f>6/2</f>
        <v>3</v>
      </c>
      <c r="P125" s="113">
        <f t="shared" si="25"/>
        <v>59618.426966292129</v>
      </c>
      <c r="Q125" s="285">
        <v>20270.265168539325</v>
      </c>
      <c r="R125" s="24">
        <f>6/2</f>
        <v>3</v>
      </c>
      <c r="S125" s="287">
        <f t="shared" si="23"/>
        <v>60810.795505617978</v>
      </c>
      <c r="W125" s="303">
        <f t="shared" si="29"/>
        <v>178878.66067415732</v>
      </c>
      <c r="X125" s="113"/>
      <c r="Z125" s="1"/>
      <c r="AA125" s="1"/>
      <c r="AB125" s="1"/>
      <c r="AC125" s="1"/>
      <c r="AD125" s="1"/>
      <c r="AE125" s="1"/>
      <c r="AF125" s="1">
        <f t="shared" si="7"/>
        <v>0</v>
      </c>
    </row>
    <row r="126" spans="1:32" x14ac:dyDescent="0.3">
      <c r="A126" s="346"/>
      <c r="B126" s="347"/>
      <c r="C126" s="346"/>
      <c r="D126" s="24" t="s">
        <v>686</v>
      </c>
      <c r="G126" s="113">
        <f t="shared" si="27"/>
        <v>0</v>
      </c>
      <c r="H126" s="285"/>
      <c r="J126" s="287">
        <f t="shared" si="28"/>
        <v>0</v>
      </c>
      <c r="K126" s="285"/>
      <c r="M126" s="287">
        <f t="shared" si="21"/>
        <v>0</v>
      </c>
      <c r="P126" s="113">
        <f t="shared" si="25"/>
        <v>0</v>
      </c>
      <c r="Q126" s="285"/>
      <c r="S126" s="287">
        <f t="shared" si="23"/>
        <v>0</v>
      </c>
      <c r="V126" s="113">
        <f t="shared" si="26"/>
        <v>0</v>
      </c>
      <c r="W126" s="303">
        <f>AF126</f>
        <v>1092.7963022792937</v>
      </c>
      <c r="X126" s="113">
        <f t="shared" si="16"/>
        <v>0</v>
      </c>
      <c r="Z126" s="1">
        <v>240.77046548956662</v>
      </c>
      <c r="AA126" s="1">
        <v>163.72391653290529</v>
      </c>
      <c r="AB126" s="1">
        <v>166.99839486356342</v>
      </c>
      <c r="AC126" s="1">
        <v>170.33836276083468</v>
      </c>
      <c r="AD126" s="1">
        <v>173.74513001605135</v>
      </c>
      <c r="AE126" s="1">
        <v>177.22003261637244</v>
      </c>
      <c r="AF126" s="1">
        <f t="shared" si="7"/>
        <v>1092.7963022792937</v>
      </c>
    </row>
    <row r="127" spans="1:32" x14ac:dyDescent="0.3">
      <c r="A127" s="346"/>
      <c r="B127" s="347" t="s">
        <v>29</v>
      </c>
      <c r="C127" s="346" t="s">
        <v>242</v>
      </c>
      <c r="D127" s="24" t="s">
        <v>685</v>
      </c>
      <c r="G127" s="113">
        <f t="shared" si="27"/>
        <v>0</v>
      </c>
      <c r="H127" s="285">
        <v>482.07597645799899</v>
      </c>
      <c r="I127" s="24">
        <f>261/2*33%</f>
        <v>43.065000000000005</v>
      </c>
      <c r="J127" s="287">
        <f t="shared" si="28"/>
        <v>20760.60192616373</v>
      </c>
      <c r="K127" s="285">
        <v>491.717495987159</v>
      </c>
      <c r="L127" s="24">
        <f>261/2*33%</f>
        <v>43.065000000000005</v>
      </c>
      <c r="M127" s="287">
        <f t="shared" si="21"/>
        <v>21175.813964687004</v>
      </c>
      <c r="N127" s="113">
        <v>501.55184590690197</v>
      </c>
      <c r="O127" s="24">
        <f>261/2*33%</f>
        <v>43.065000000000005</v>
      </c>
      <c r="P127" s="113">
        <f t="shared" si="25"/>
        <v>21599.330243980738</v>
      </c>
      <c r="Q127" s="285">
        <v>511.58288282503997</v>
      </c>
      <c r="R127" s="24">
        <f>261/2*33%</f>
        <v>43.065000000000005</v>
      </c>
      <c r="S127" s="287">
        <f t="shared" si="23"/>
        <v>22031.316848860348</v>
      </c>
      <c r="T127" s="113">
        <v>521.81454048154103</v>
      </c>
      <c r="U127" s="24">
        <f>261/2*33%</f>
        <v>43.065000000000005</v>
      </c>
      <c r="V127" s="113">
        <f t="shared" si="26"/>
        <v>22471.943185837568</v>
      </c>
      <c r="W127" s="303">
        <f t="shared" si="29"/>
        <v>108039.0061695294</v>
      </c>
      <c r="X127" s="113">
        <f>W127-AF127+W128+W129</f>
        <v>0</v>
      </c>
      <c r="Z127" s="1">
        <v>0</v>
      </c>
      <c r="AA127" s="1">
        <v>20760.601926163723</v>
      </c>
      <c r="AB127" s="1">
        <v>21175.813964687</v>
      </c>
      <c r="AC127" s="1">
        <v>40147.285300160518</v>
      </c>
      <c r="AD127" s="1">
        <v>40950.231006163725</v>
      </c>
      <c r="AE127" s="1">
        <v>22471.943185837561</v>
      </c>
      <c r="AF127" s="1">
        <f t="shared" si="7"/>
        <v>145505.87538301252</v>
      </c>
    </row>
    <row r="128" spans="1:32" x14ac:dyDescent="0.3">
      <c r="A128" s="346"/>
      <c r="B128" s="347"/>
      <c r="C128" s="346"/>
      <c r="D128" s="24" t="s">
        <v>728</v>
      </c>
      <c r="H128" s="285"/>
      <c r="J128" s="287">
        <f t="shared" si="28"/>
        <v>0</v>
      </c>
      <c r="K128" s="285"/>
      <c r="M128" s="287">
        <f t="shared" si="21"/>
        <v>0</v>
      </c>
      <c r="N128" s="113">
        <v>2649.7078651685392</v>
      </c>
      <c r="O128" s="24">
        <v>1</v>
      </c>
      <c r="P128" s="113">
        <f t="shared" si="25"/>
        <v>2649.7078651685392</v>
      </c>
      <c r="Q128" s="285">
        <v>2702.7020224719099</v>
      </c>
      <c r="R128" s="24">
        <v>1</v>
      </c>
      <c r="S128" s="287">
        <f t="shared" si="23"/>
        <v>2702.7020224719099</v>
      </c>
      <c r="V128" s="113">
        <f t="shared" si="26"/>
        <v>0</v>
      </c>
      <c r="W128" s="303">
        <f t="shared" si="29"/>
        <v>5352.4098876404496</v>
      </c>
      <c r="X128" s="113"/>
      <c r="Z128" s="1"/>
      <c r="AA128" s="1"/>
      <c r="AB128" s="1"/>
      <c r="AC128" s="1"/>
      <c r="AD128" s="1"/>
      <c r="AE128" s="1"/>
      <c r="AF128" s="1"/>
    </row>
    <row r="129" spans="1:32" ht="27.95" x14ac:dyDescent="0.3">
      <c r="A129" s="346"/>
      <c r="B129" s="347"/>
      <c r="C129" s="346"/>
      <c r="D129" s="24" t="s">
        <v>691</v>
      </c>
      <c r="H129" s="285"/>
      <c r="J129" s="287">
        <f t="shared" si="28"/>
        <v>0</v>
      </c>
      <c r="K129" s="285"/>
      <c r="M129" s="287">
        <f t="shared" si="21"/>
        <v>0</v>
      </c>
      <c r="N129" s="113">
        <v>2649.7078651685392</v>
      </c>
      <c r="O129" s="24">
        <v>6</v>
      </c>
      <c r="P129" s="113">
        <f t="shared" si="25"/>
        <v>15898.247191011236</v>
      </c>
      <c r="Q129" s="285">
        <v>2702.7020224719099</v>
      </c>
      <c r="R129" s="24">
        <v>6</v>
      </c>
      <c r="S129" s="287">
        <f t="shared" si="23"/>
        <v>16216.212134831459</v>
      </c>
      <c r="V129" s="113">
        <f t="shared" si="26"/>
        <v>0</v>
      </c>
      <c r="W129" s="303">
        <f t="shared" si="29"/>
        <v>32114.459325842698</v>
      </c>
      <c r="X129" s="113"/>
      <c r="Z129" s="1"/>
      <c r="AA129" s="1"/>
      <c r="AB129" s="1"/>
      <c r="AC129" s="1"/>
      <c r="AD129" s="1"/>
      <c r="AE129" s="1"/>
      <c r="AF129" s="1"/>
    </row>
    <row r="130" spans="1:32" x14ac:dyDescent="0.3">
      <c r="A130" s="346"/>
      <c r="B130" s="347" t="s">
        <v>31</v>
      </c>
      <c r="C130" s="346" t="s">
        <v>243</v>
      </c>
      <c r="D130" s="24" t="s">
        <v>687</v>
      </c>
      <c r="G130" s="113">
        <f t="shared" si="27"/>
        <v>0</v>
      </c>
      <c r="H130" s="285">
        <v>2092.0278223649002</v>
      </c>
      <c r="I130" s="24">
        <f>29*2*33%</f>
        <v>19.14</v>
      </c>
      <c r="J130" s="287">
        <f t="shared" si="28"/>
        <v>40041.412520064194</v>
      </c>
      <c r="K130" s="285">
        <v>2133.8683788121998</v>
      </c>
      <c r="L130" s="24">
        <f>29*33%</f>
        <v>9.57</v>
      </c>
      <c r="M130" s="287">
        <f t="shared" si="21"/>
        <v>20421.120385232753</v>
      </c>
      <c r="N130" s="113">
        <v>2176.54574638844</v>
      </c>
      <c r="O130" s="24">
        <f>29*2*33%</f>
        <v>19.14</v>
      </c>
      <c r="P130" s="113">
        <f t="shared" si="25"/>
        <v>41659.085585874745</v>
      </c>
      <c r="Q130" s="285">
        <v>2220.07666131621</v>
      </c>
      <c r="R130" s="24">
        <f>29*33%</f>
        <v>9.57</v>
      </c>
      <c r="S130" s="287">
        <f t="shared" si="23"/>
        <v>21246.133648796131</v>
      </c>
      <c r="T130" s="113">
        <v>2264.4781945425402</v>
      </c>
      <c r="U130" s="24">
        <f>29*2*33%</f>
        <v>19.14</v>
      </c>
      <c r="V130" s="113">
        <f t="shared" si="26"/>
        <v>43342.11264354422</v>
      </c>
      <c r="W130" s="303">
        <f t="shared" si="29"/>
        <v>166709.86478351202</v>
      </c>
      <c r="X130" s="113">
        <f>W130-AF130+W131</f>
        <v>-7.2759576141834259E-11</v>
      </c>
      <c r="Z130" s="1"/>
      <c r="AA130" s="1">
        <f>50246.8699839486-AA132</f>
        <v>49319.101123595472</v>
      </c>
      <c r="AB130" s="1">
        <f>30830.6869983949-AB132</f>
        <v>29884.362760834709</v>
      </c>
      <c r="AC130" s="1">
        <f>52276.8435313002-AC132</f>
        <v>51311.592808988804</v>
      </c>
      <c r="AD130" s="1">
        <f>27153.4680693419-AD132</f>
        <v>26168.912332584274</v>
      </c>
      <c r="AE130" s="1">
        <f>53886.7045842183-AE132</f>
        <v>53384.581158471912</v>
      </c>
      <c r="AF130" s="1">
        <f t="shared" si="7"/>
        <v>210068.55018447517</v>
      </c>
    </row>
    <row r="131" spans="1:32" x14ac:dyDescent="0.3">
      <c r="A131" s="346"/>
      <c r="B131" s="347"/>
      <c r="C131" s="346"/>
      <c r="D131" s="24" t="s">
        <v>688</v>
      </c>
      <c r="H131" s="285">
        <v>1546.2814339218833</v>
      </c>
      <c r="I131" s="24">
        <v>6</v>
      </c>
      <c r="J131" s="287">
        <f t="shared" si="28"/>
        <v>9277.6886035313</v>
      </c>
      <c r="K131" s="285">
        <v>1577.2070626003199</v>
      </c>
      <c r="L131" s="24">
        <v>6</v>
      </c>
      <c r="M131" s="287">
        <f t="shared" si="21"/>
        <v>9463.2423756019198</v>
      </c>
      <c r="N131" s="285">
        <v>1608.75120385233</v>
      </c>
      <c r="O131" s="24">
        <v>6</v>
      </c>
      <c r="P131" s="113">
        <f t="shared" si="25"/>
        <v>9652.5072231139802</v>
      </c>
      <c r="Q131" s="113">
        <v>1640.92622792937</v>
      </c>
      <c r="R131" s="24">
        <v>3</v>
      </c>
      <c r="S131" s="287">
        <f t="shared" si="23"/>
        <v>4922.7786837881104</v>
      </c>
      <c r="T131" s="285">
        <v>1673.7447524879601</v>
      </c>
      <c r="U131" s="24">
        <v>6</v>
      </c>
      <c r="V131" s="113">
        <f t="shared" si="26"/>
        <v>10042.468514927761</v>
      </c>
      <c r="W131" s="303">
        <f t="shared" si="29"/>
        <v>43358.685400963077</v>
      </c>
      <c r="X131" s="113"/>
      <c r="Z131" s="1"/>
      <c r="AA131" s="1"/>
      <c r="AB131" s="1"/>
      <c r="AC131" s="1"/>
      <c r="AD131" s="1"/>
      <c r="AE131" s="1"/>
      <c r="AF131" s="1"/>
    </row>
    <row r="132" spans="1:32" x14ac:dyDescent="0.3">
      <c r="A132" s="346"/>
      <c r="B132" s="347"/>
      <c r="C132" s="346"/>
      <c r="D132" s="24" t="s">
        <v>702</v>
      </c>
      <c r="G132" s="113">
        <f t="shared" si="27"/>
        <v>0</v>
      </c>
      <c r="H132" s="285"/>
      <c r="J132" s="287">
        <f t="shared" si="28"/>
        <v>0</v>
      </c>
      <c r="K132" s="285"/>
      <c r="M132" s="287">
        <f t="shared" si="21"/>
        <v>0</v>
      </c>
      <c r="P132" s="113">
        <f t="shared" si="25"/>
        <v>0</v>
      </c>
      <c r="Q132" s="285"/>
      <c r="S132" s="287">
        <f t="shared" si="23"/>
        <v>0</v>
      </c>
      <c r="V132" s="113">
        <f t="shared" si="26"/>
        <v>0</v>
      </c>
      <c r="W132" s="303">
        <f>AF132</f>
        <v>4477.6192017406811</v>
      </c>
      <c r="X132" s="113">
        <f t="shared" si="16"/>
        <v>0</v>
      </c>
      <c r="Z132" s="1">
        <v>151.59621901194936</v>
      </c>
      <c r="AA132" s="1">
        <v>927.76886035312998</v>
      </c>
      <c r="AB132" s="1">
        <v>946.32423756019261</v>
      </c>
      <c r="AC132" s="1">
        <v>965.25072231139654</v>
      </c>
      <c r="AD132" s="1">
        <v>984.55573675762446</v>
      </c>
      <c r="AE132" s="1">
        <v>502.12342574638853</v>
      </c>
      <c r="AF132" s="1">
        <f t="shared" si="7"/>
        <v>4477.6192017406811</v>
      </c>
    </row>
    <row r="133" spans="1:32" x14ac:dyDescent="0.3">
      <c r="A133" s="346" t="s">
        <v>734</v>
      </c>
      <c r="B133" s="347" t="s">
        <v>27</v>
      </c>
      <c r="C133" s="346" t="s">
        <v>253</v>
      </c>
      <c r="D133" s="24" t="s">
        <v>735</v>
      </c>
      <c r="G133" s="113">
        <f t="shared" si="27"/>
        <v>0</v>
      </c>
      <c r="H133" s="285">
        <v>6776.3509898341363</v>
      </c>
      <c r="I133" s="24">
        <v>261</v>
      </c>
      <c r="J133" s="287">
        <f t="shared" si="28"/>
        <v>1768627.6083467095</v>
      </c>
      <c r="K133" s="285"/>
      <c r="M133" s="287">
        <f t="shared" si="21"/>
        <v>0</v>
      </c>
      <c r="P133" s="113">
        <f t="shared" si="25"/>
        <v>0</v>
      </c>
      <c r="Q133" s="285"/>
      <c r="S133" s="287">
        <f t="shared" si="23"/>
        <v>0</v>
      </c>
      <c r="V133" s="113">
        <f t="shared" si="26"/>
        <v>0</v>
      </c>
      <c r="W133" s="303">
        <f t="shared" si="29"/>
        <v>1768627.6083467095</v>
      </c>
      <c r="X133" s="113">
        <f t="shared" si="16"/>
        <v>2.5611370801925659E-9</v>
      </c>
      <c r="Z133" s="1"/>
      <c r="AA133" s="1">
        <f>1768668.53932584-AA134</f>
        <v>1768627.608346707</v>
      </c>
      <c r="AB133" s="1"/>
      <c r="AC133" s="1"/>
      <c r="AD133" s="1"/>
      <c r="AE133" s="1"/>
      <c r="AF133" s="1">
        <f t="shared" si="7"/>
        <v>1768627.608346707</v>
      </c>
    </row>
    <row r="134" spans="1:32" x14ac:dyDescent="0.3">
      <c r="A134" s="346"/>
      <c r="B134" s="347"/>
      <c r="C134" s="346"/>
      <c r="D134" s="24" t="s">
        <v>686</v>
      </c>
      <c r="G134" s="113">
        <f t="shared" si="27"/>
        <v>0</v>
      </c>
      <c r="H134" s="285"/>
      <c r="J134" s="287">
        <f t="shared" si="28"/>
        <v>0</v>
      </c>
      <c r="K134" s="285"/>
      <c r="M134" s="287">
        <f t="shared" si="21"/>
        <v>0</v>
      </c>
      <c r="P134" s="113">
        <f t="shared" si="25"/>
        <v>0</v>
      </c>
      <c r="Q134" s="285"/>
      <c r="S134" s="287">
        <f t="shared" si="23"/>
        <v>0</v>
      </c>
      <c r="V134" s="113">
        <f t="shared" si="26"/>
        <v>0</v>
      </c>
      <c r="W134" s="303">
        <f>AF134</f>
        <v>273.19907556982344</v>
      </c>
      <c r="X134" s="113">
        <f t="shared" si="16"/>
        <v>0</v>
      </c>
      <c r="Z134" s="1">
        <v>60.192616372391655</v>
      </c>
      <c r="AA134" s="1">
        <v>40.930979133226323</v>
      </c>
      <c r="AB134" s="1">
        <v>41.749598715890855</v>
      </c>
      <c r="AC134" s="1">
        <v>42.584590690208671</v>
      </c>
      <c r="AD134" s="1">
        <v>43.436282504012837</v>
      </c>
      <c r="AE134" s="1">
        <v>44.305008154093109</v>
      </c>
      <c r="AF134" s="1">
        <f t="shared" si="7"/>
        <v>273.19907556982344</v>
      </c>
    </row>
    <row r="135" spans="1:32" x14ac:dyDescent="0.3">
      <c r="A135" s="346"/>
      <c r="B135" s="278" t="s">
        <v>29</v>
      </c>
      <c r="C135" s="277" t="s">
        <v>257</v>
      </c>
      <c r="D135" s="24" t="s">
        <v>685</v>
      </c>
      <c r="G135" s="113">
        <f t="shared" si="27"/>
        <v>0</v>
      </c>
      <c r="H135" s="285">
        <v>482.07597645799899</v>
      </c>
      <c r="I135" s="24">
        <f>87*33%</f>
        <v>28.71</v>
      </c>
      <c r="J135" s="287">
        <f t="shared" si="28"/>
        <v>13840.401284109152</v>
      </c>
      <c r="K135" s="285">
        <v>491.717495987159</v>
      </c>
      <c r="L135" s="24">
        <f>87*33%</f>
        <v>28.71</v>
      </c>
      <c r="M135" s="287">
        <f t="shared" si="21"/>
        <v>14117.209309791335</v>
      </c>
      <c r="P135" s="113">
        <f t="shared" si="25"/>
        <v>0</v>
      </c>
      <c r="Q135" s="285">
        <v>511.58288282503997</v>
      </c>
      <c r="R135" s="24">
        <f>87*33%</f>
        <v>28.71</v>
      </c>
      <c r="S135" s="287">
        <f t="shared" si="23"/>
        <v>14687.544565906897</v>
      </c>
      <c r="V135" s="113">
        <f t="shared" si="26"/>
        <v>0</v>
      </c>
      <c r="W135" s="303">
        <f t="shared" ref="W135:W167" si="30">G135+J135+M135+P135+S135+V135</f>
        <v>42645.155159807386</v>
      </c>
      <c r="X135" s="113">
        <f t="shared" si="16"/>
        <v>0</v>
      </c>
      <c r="Z135" s="1">
        <v>0</v>
      </c>
      <c r="AA135" s="1">
        <v>13840.40128410915</v>
      </c>
      <c r="AB135" s="1">
        <v>14117.209309791333</v>
      </c>
      <c r="AC135" s="1">
        <v>0</v>
      </c>
      <c r="AD135" s="1">
        <v>14687.544565906905</v>
      </c>
      <c r="AE135" s="1">
        <v>0</v>
      </c>
      <c r="AF135" s="1">
        <f t="shared" si="7"/>
        <v>42645.155159807386</v>
      </c>
    </row>
    <row r="136" spans="1:32" x14ac:dyDescent="0.3">
      <c r="A136" s="346"/>
      <c r="B136" s="278" t="s">
        <v>31</v>
      </c>
      <c r="C136" s="277" t="s">
        <v>254</v>
      </c>
      <c r="D136" s="24" t="s">
        <v>702</v>
      </c>
      <c r="G136" s="113">
        <f t="shared" si="27"/>
        <v>0</v>
      </c>
      <c r="H136" s="285"/>
      <c r="J136" s="287">
        <f t="shared" si="28"/>
        <v>0</v>
      </c>
      <c r="K136" s="285"/>
      <c r="M136" s="287">
        <f t="shared" si="21"/>
        <v>0</v>
      </c>
      <c r="P136" s="113">
        <f t="shared" si="25"/>
        <v>0</v>
      </c>
      <c r="Q136" s="285"/>
      <c r="S136" s="287">
        <f t="shared" si="23"/>
        <v>0</v>
      </c>
      <c r="V136" s="113">
        <f t="shared" si="26"/>
        <v>0</v>
      </c>
      <c r="W136" s="303">
        <f>AF136</f>
        <v>1119.4048004351703</v>
      </c>
      <c r="X136" s="113">
        <f t="shared" si="16"/>
        <v>0</v>
      </c>
      <c r="Z136" s="1">
        <v>37.89905475298734</v>
      </c>
      <c r="AA136" s="1">
        <v>231.9422150882825</v>
      </c>
      <c r="AB136" s="1">
        <v>236.58105939004815</v>
      </c>
      <c r="AC136" s="1">
        <v>241.31268057784914</v>
      </c>
      <c r="AD136" s="1">
        <v>246.13893418940611</v>
      </c>
      <c r="AE136" s="1">
        <v>125.53085643659713</v>
      </c>
      <c r="AF136" s="1">
        <f t="shared" si="7"/>
        <v>1119.4048004351703</v>
      </c>
    </row>
    <row r="137" spans="1:32" x14ac:dyDescent="0.3">
      <c r="A137" s="346" t="s">
        <v>736</v>
      </c>
      <c r="B137" s="278" t="s">
        <v>27</v>
      </c>
      <c r="C137" s="277" t="s">
        <v>266</v>
      </c>
      <c r="D137" s="24" t="s">
        <v>686</v>
      </c>
      <c r="G137" s="113">
        <f t="shared" si="27"/>
        <v>0</v>
      </c>
      <c r="H137" s="285"/>
      <c r="J137" s="287">
        <f t="shared" si="28"/>
        <v>0</v>
      </c>
      <c r="K137" s="285"/>
      <c r="M137" s="287">
        <f t="shared" si="21"/>
        <v>0</v>
      </c>
      <c r="P137" s="113">
        <f t="shared" si="25"/>
        <v>0</v>
      </c>
      <c r="Q137" s="285"/>
      <c r="S137" s="287">
        <f t="shared" si="23"/>
        <v>0</v>
      </c>
      <c r="V137" s="113">
        <f t="shared" si="26"/>
        <v>0</v>
      </c>
      <c r="W137" s="303">
        <f>AF137</f>
        <v>4097.9861335473524</v>
      </c>
      <c r="X137" s="113">
        <f t="shared" si="16"/>
        <v>0</v>
      </c>
      <c r="Z137" s="1">
        <v>902.88924558587485</v>
      </c>
      <c r="AA137" s="1">
        <v>613.96468699839488</v>
      </c>
      <c r="AB137" s="1">
        <v>626.24398073836278</v>
      </c>
      <c r="AC137" s="1">
        <v>638.76886035313009</v>
      </c>
      <c r="AD137" s="1">
        <v>651.54423756019253</v>
      </c>
      <c r="AE137" s="1">
        <v>664.57512231139663</v>
      </c>
      <c r="AF137" s="1">
        <f t="shared" si="7"/>
        <v>4097.9861335473524</v>
      </c>
    </row>
    <row r="138" spans="1:32" x14ac:dyDescent="0.3">
      <c r="A138" s="346"/>
      <c r="B138" s="347" t="s">
        <v>29</v>
      </c>
      <c r="C138" s="346" t="s">
        <v>268</v>
      </c>
      <c r="D138" s="24" t="s">
        <v>685</v>
      </c>
      <c r="G138" s="113">
        <f t="shared" si="27"/>
        <v>0</v>
      </c>
      <c r="H138" s="285"/>
      <c r="J138" s="287">
        <f t="shared" si="28"/>
        <v>0</v>
      </c>
      <c r="K138" s="285">
        <v>491.717495987159</v>
      </c>
      <c r="L138" s="24">
        <f>87*33%</f>
        <v>28.71</v>
      </c>
      <c r="M138" s="287">
        <f t="shared" si="21"/>
        <v>14117.209309791335</v>
      </c>
      <c r="N138" s="113">
        <v>501.55184590690197</v>
      </c>
      <c r="O138" s="24">
        <f>87*33%</f>
        <v>28.71</v>
      </c>
      <c r="P138" s="113">
        <f t="shared" si="25"/>
        <v>14399.553495987157</v>
      </c>
      <c r="Q138" s="285">
        <v>511.58288282503997</v>
      </c>
      <c r="R138" s="24">
        <f>87*33%</f>
        <v>28.71</v>
      </c>
      <c r="S138" s="287">
        <f t="shared" si="23"/>
        <v>14687.544565906897</v>
      </c>
      <c r="T138" s="113">
        <v>521.81454048154103</v>
      </c>
      <c r="U138" s="24">
        <f>87*33%</f>
        <v>28.71</v>
      </c>
      <c r="V138" s="113">
        <f t="shared" si="26"/>
        <v>14981.295457225044</v>
      </c>
      <c r="W138" s="303">
        <f t="shared" si="30"/>
        <v>58185.602828910429</v>
      </c>
      <c r="X138" s="113">
        <f>W138-AF138+W139+W140</f>
        <v>-2.9103830456733704E-11</v>
      </c>
      <c r="Z138" s="1">
        <v>3426.5204209024432</v>
      </c>
      <c r="AA138" s="1">
        <v>9536.9181380417322</v>
      </c>
      <c r="AB138" s="1">
        <v>23844.865810593903</v>
      </c>
      <c r="AC138" s="1">
        <v>24321.763126805785</v>
      </c>
      <c r="AD138" s="1">
        <v>24808.198389341895</v>
      </c>
      <c r="AE138" s="1">
        <v>25304.362357128739</v>
      </c>
      <c r="AF138" s="1">
        <f t="shared" si="7"/>
        <v>111242.62824281451</v>
      </c>
    </row>
    <row r="139" spans="1:32" ht="27.95" x14ac:dyDescent="0.3">
      <c r="A139" s="346"/>
      <c r="B139" s="347"/>
      <c r="C139" s="346"/>
      <c r="D139" s="24" t="s">
        <v>737</v>
      </c>
      <c r="E139" s="113">
        <v>472.62350633137152</v>
      </c>
      <c r="F139" s="24">
        <f>29*25%</f>
        <v>7.25</v>
      </c>
      <c r="G139" s="113">
        <f t="shared" si="27"/>
        <v>3426.5204209024437</v>
      </c>
      <c r="H139" s="285">
        <v>482.07597645799899</v>
      </c>
      <c r="I139" s="24">
        <f>29/2</f>
        <v>14.5</v>
      </c>
      <c r="J139" s="287">
        <f t="shared" si="28"/>
        <v>6990.1016586409851</v>
      </c>
      <c r="K139" s="285">
        <v>491.717495987159</v>
      </c>
      <c r="L139" s="24">
        <f>29/2</f>
        <v>14.5</v>
      </c>
      <c r="M139" s="287">
        <f t="shared" si="21"/>
        <v>7129.9036918138054</v>
      </c>
      <c r="N139" s="113">
        <v>501.55184590690197</v>
      </c>
      <c r="O139" s="24">
        <f>29/2</f>
        <v>14.5</v>
      </c>
      <c r="P139" s="113">
        <f t="shared" si="25"/>
        <v>7272.5017656500786</v>
      </c>
      <c r="Q139" s="285">
        <v>511.58288282503997</v>
      </c>
      <c r="R139" s="24">
        <f>29/2</f>
        <v>14.5</v>
      </c>
      <c r="S139" s="287">
        <f t="shared" si="23"/>
        <v>7417.9518009630792</v>
      </c>
      <c r="T139" s="113">
        <v>521.81454048154103</v>
      </c>
      <c r="U139" s="24">
        <f>29/2</f>
        <v>14.5</v>
      </c>
      <c r="V139" s="113">
        <f t="shared" si="26"/>
        <v>7566.3108369823449</v>
      </c>
      <c r="W139" s="303">
        <f t="shared" si="30"/>
        <v>39803.290174952737</v>
      </c>
      <c r="X139" s="113"/>
      <c r="Z139" s="1"/>
      <c r="AA139" s="1"/>
      <c r="AB139" s="1"/>
      <c r="AC139" s="1"/>
      <c r="AD139" s="1"/>
      <c r="AE139" s="1"/>
      <c r="AF139" s="1">
        <f t="shared" si="7"/>
        <v>0</v>
      </c>
    </row>
    <row r="140" spans="1:32" x14ac:dyDescent="0.3">
      <c r="A140" s="346"/>
      <c r="B140" s="347"/>
      <c r="C140" s="346"/>
      <c r="D140" s="24" t="s">
        <v>738</v>
      </c>
      <c r="G140" s="113">
        <f t="shared" si="27"/>
        <v>0</v>
      </c>
      <c r="H140" s="285">
        <v>2546.8164794007498</v>
      </c>
      <c r="I140" s="24">
        <v>1</v>
      </c>
      <c r="J140" s="287">
        <f t="shared" si="28"/>
        <v>2546.8164794007498</v>
      </c>
      <c r="K140" s="285">
        <v>2597.7528089887642</v>
      </c>
      <c r="L140" s="24">
        <v>1</v>
      </c>
      <c r="M140" s="287">
        <f t="shared" si="21"/>
        <v>2597.7528089887642</v>
      </c>
      <c r="N140" s="113">
        <v>2649.7078651685392</v>
      </c>
      <c r="O140" s="24">
        <v>1</v>
      </c>
      <c r="P140" s="113">
        <f t="shared" si="25"/>
        <v>2649.7078651685392</v>
      </c>
      <c r="Q140" s="285">
        <v>2702.7020224719099</v>
      </c>
      <c r="R140" s="24">
        <v>1</v>
      </c>
      <c r="S140" s="287">
        <f t="shared" si="23"/>
        <v>2702.7020224719099</v>
      </c>
      <c r="T140" s="113">
        <v>2756.7560629213485</v>
      </c>
      <c r="U140" s="24">
        <v>1</v>
      </c>
      <c r="V140" s="113">
        <f t="shared" si="26"/>
        <v>2756.7560629213485</v>
      </c>
      <c r="W140" s="303">
        <f t="shared" si="30"/>
        <v>13253.735238951311</v>
      </c>
      <c r="X140" s="113"/>
      <c r="Z140" s="1"/>
      <c r="AA140" s="1"/>
      <c r="AB140" s="1"/>
      <c r="AC140" s="1"/>
      <c r="AD140" s="1"/>
      <c r="AE140" s="1"/>
      <c r="AF140" s="1">
        <f t="shared" si="7"/>
        <v>0</v>
      </c>
    </row>
    <row r="141" spans="1:32" x14ac:dyDescent="0.3">
      <c r="A141" s="346"/>
      <c r="B141" s="278" t="s">
        <v>31</v>
      </c>
      <c r="C141" s="277" t="s">
        <v>267</v>
      </c>
      <c r="D141" s="24" t="s">
        <v>702</v>
      </c>
      <c r="G141" s="113">
        <f t="shared" si="27"/>
        <v>0</v>
      </c>
      <c r="H141" s="285"/>
      <c r="J141" s="287">
        <f t="shared" si="28"/>
        <v>0</v>
      </c>
      <c r="K141" s="285"/>
      <c r="M141" s="287">
        <f t="shared" si="21"/>
        <v>0</v>
      </c>
      <c r="P141" s="113">
        <f t="shared" si="25"/>
        <v>0</v>
      </c>
      <c r="Q141" s="285"/>
      <c r="S141" s="287">
        <f t="shared" si="23"/>
        <v>0</v>
      </c>
      <c r="V141" s="113">
        <f t="shared" si="26"/>
        <v>0</v>
      </c>
      <c r="W141" s="303">
        <f>AF141</f>
        <v>16791.072006527556</v>
      </c>
      <c r="X141" s="113">
        <f t="shared" si="16"/>
        <v>0</v>
      </c>
      <c r="Z141" s="1">
        <v>568.48582129481008</v>
      </c>
      <c r="AA141" s="1">
        <v>3479.1332263242375</v>
      </c>
      <c r="AB141" s="1">
        <v>3548.7158908507222</v>
      </c>
      <c r="AC141" s="1">
        <v>3619.6902086677374</v>
      </c>
      <c r="AD141" s="1">
        <v>3692.0840128410914</v>
      </c>
      <c r="AE141" s="1">
        <v>1882.962846548957</v>
      </c>
      <c r="AF141" s="1">
        <f t="shared" si="7"/>
        <v>16791.072006527556</v>
      </c>
    </row>
    <row r="142" spans="1:32" x14ac:dyDescent="0.3">
      <c r="A142" s="346" t="s">
        <v>739</v>
      </c>
      <c r="B142" s="278" t="s">
        <v>27</v>
      </c>
      <c r="C142" s="277" t="s">
        <v>285</v>
      </c>
      <c r="D142" s="24" t="s">
        <v>686</v>
      </c>
      <c r="G142" s="113">
        <f t="shared" si="27"/>
        <v>0</v>
      </c>
      <c r="H142" s="285"/>
      <c r="J142" s="287">
        <f t="shared" si="28"/>
        <v>0</v>
      </c>
      <c r="K142" s="285"/>
      <c r="M142" s="287">
        <f t="shared" si="21"/>
        <v>0</v>
      </c>
      <c r="P142" s="113">
        <f t="shared" si="25"/>
        <v>0</v>
      </c>
      <c r="Q142" s="285"/>
      <c r="S142" s="287">
        <f t="shared" si="23"/>
        <v>0</v>
      </c>
      <c r="V142" s="113">
        <f t="shared" si="26"/>
        <v>0</v>
      </c>
      <c r="W142" s="303">
        <f>AF142</f>
        <v>7991.0729604173357</v>
      </c>
      <c r="X142" s="113">
        <f t="shared" si="16"/>
        <v>0</v>
      </c>
      <c r="Z142" s="1">
        <v>1760.6340288924559</v>
      </c>
      <c r="AA142" s="1">
        <v>1197.2311396468699</v>
      </c>
      <c r="AB142" s="1">
        <v>1221.1757624398074</v>
      </c>
      <c r="AC142" s="1">
        <v>1245.5992776886035</v>
      </c>
      <c r="AD142" s="1">
        <v>1270.5112632423752</v>
      </c>
      <c r="AE142" s="1">
        <v>1295.9214885072231</v>
      </c>
      <c r="AF142" s="1">
        <f t="shared" si="7"/>
        <v>7991.0729604173357</v>
      </c>
    </row>
    <row r="143" spans="1:32" x14ac:dyDescent="0.3">
      <c r="A143" s="346"/>
      <c r="B143" s="347" t="s">
        <v>31</v>
      </c>
      <c r="C143" s="346" t="s">
        <v>286</v>
      </c>
      <c r="D143" s="24" t="s">
        <v>740</v>
      </c>
      <c r="G143" s="113">
        <f t="shared" si="27"/>
        <v>0</v>
      </c>
      <c r="H143" s="285">
        <v>1546.2814339218833</v>
      </c>
      <c r="I143" s="24">
        <v>12</v>
      </c>
      <c r="J143" s="287">
        <f t="shared" si="28"/>
        <v>18555.3772070626</v>
      </c>
      <c r="K143" s="285">
        <v>1577.2070626003199</v>
      </c>
      <c r="L143" s="24">
        <v>12</v>
      </c>
      <c r="M143" s="287">
        <f t="shared" si="21"/>
        <v>18926.48475120384</v>
      </c>
      <c r="N143" s="285">
        <v>1608.75120385233</v>
      </c>
      <c r="O143" s="24">
        <v>12</v>
      </c>
      <c r="P143" s="113">
        <f t="shared" si="25"/>
        <v>19305.01444622796</v>
      </c>
      <c r="Q143" s="113">
        <v>1640.92622792937</v>
      </c>
      <c r="R143" s="24">
        <v>12</v>
      </c>
      <c r="S143" s="287">
        <f t="shared" si="23"/>
        <v>19691.114735152441</v>
      </c>
      <c r="T143" s="285">
        <v>1673.7447524879601</v>
      </c>
      <c r="U143" s="24">
        <v>12</v>
      </c>
      <c r="V143" s="113">
        <f t="shared" si="26"/>
        <v>20084.937029855522</v>
      </c>
      <c r="W143" s="303">
        <f t="shared" si="30"/>
        <v>96562.928169502353</v>
      </c>
      <c r="X143" s="113">
        <f t="shared" si="16"/>
        <v>0</v>
      </c>
      <c r="Z143" s="1"/>
      <c r="AA143" s="1">
        <f>27601.1235955056-AA144</f>
        <v>18555.377207062582</v>
      </c>
      <c r="AB143" s="1">
        <f>28153.1460674157-AB144</f>
        <v>18926.484751203818</v>
      </c>
      <c r="AC143" s="1">
        <f>28716.208988764-AC144</f>
        <v>19305.014446227884</v>
      </c>
      <c r="AD143" s="1">
        <f>29290.5331685393-AD144</f>
        <v>19691.114735152463</v>
      </c>
      <c r="AE143" s="1">
        <f>24980.6404308828-AE144</f>
        <v>20084.937029855511</v>
      </c>
      <c r="AF143" s="1">
        <f t="shared" si="7"/>
        <v>96562.928169502251</v>
      </c>
    </row>
    <row r="144" spans="1:32" x14ac:dyDescent="0.3">
      <c r="A144" s="346"/>
      <c r="B144" s="347"/>
      <c r="C144" s="346"/>
      <c r="D144" s="24" t="s">
        <v>702</v>
      </c>
      <c r="G144" s="113">
        <f t="shared" si="27"/>
        <v>0</v>
      </c>
      <c r="H144" s="285"/>
      <c r="J144" s="287">
        <f t="shared" si="28"/>
        <v>0</v>
      </c>
      <c r="K144" s="285"/>
      <c r="M144" s="287">
        <f t="shared" si="21"/>
        <v>0</v>
      </c>
      <c r="P144" s="113">
        <f t="shared" si="25"/>
        <v>0</v>
      </c>
      <c r="Q144" s="285"/>
      <c r="S144" s="287">
        <f t="shared" si="23"/>
        <v>0</v>
      </c>
      <c r="V144" s="113">
        <f t="shared" si="26"/>
        <v>0</v>
      </c>
      <c r="W144" s="303">
        <f>AF144</f>
        <v>43656.78721697165</v>
      </c>
      <c r="X144" s="113">
        <f t="shared" si="16"/>
        <v>0</v>
      </c>
      <c r="Z144" s="1">
        <v>1478.0631353665062</v>
      </c>
      <c r="AA144" s="1">
        <v>9045.7463884430181</v>
      </c>
      <c r="AB144" s="1">
        <v>9226.6613162118792</v>
      </c>
      <c r="AC144" s="1">
        <v>9411.1945425361173</v>
      </c>
      <c r="AD144" s="1">
        <v>9599.4184333868379</v>
      </c>
      <c r="AE144" s="1">
        <v>4895.7034010272882</v>
      </c>
      <c r="AF144" s="1">
        <f t="shared" si="7"/>
        <v>43656.78721697165</v>
      </c>
    </row>
    <row r="145" spans="1:32" ht="29.95" customHeight="1" x14ac:dyDescent="0.3">
      <c r="A145" s="346"/>
      <c r="B145" s="347" t="s">
        <v>29</v>
      </c>
      <c r="C145" s="346" t="s">
        <v>287</v>
      </c>
      <c r="D145" s="314" t="s">
        <v>741</v>
      </c>
      <c r="E145" s="319">
        <v>2496.8789013732835</v>
      </c>
      <c r="F145" s="314">
        <v>6</v>
      </c>
      <c r="G145" s="319">
        <f t="shared" si="27"/>
        <v>14981.2734082397</v>
      </c>
      <c r="H145" s="320">
        <v>2546.8164794007498</v>
      </c>
      <c r="I145" s="314">
        <v>6</v>
      </c>
      <c r="J145" s="322">
        <f t="shared" si="28"/>
        <v>15280.898876404499</v>
      </c>
      <c r="K145" s="320"/>
      <c r="L145" s="314"/>
      <c r="M145" s="322">
        <f t="shared" si="21"/>
        <v>0</v>
      </c>
      <c r="N145" s="319">
        <v>2649.7078651685392</v>
      </c>
      <c r="O145" s="314">
        <v>6</v>
      </c>
      <c r="P145" s="319">
        <f t="shared" si="25"/>
        <v>15898.247191011236</v>
      </c>
      <c r="Q145" s="320"/>
      <c r="R145" s="314"/>
      <c r="S145" s="322">
        <f t="shared" si="23"/>
        <v>0</v>
      </c>
      <c r="T145" s="319">
        <v>2756.7560629213485</v>
      </c>
      <c r="U145" s="314">
        <v>6</v>
      </c>
      <c r="V145" s="319">
        <f t="shared" si="26"/>
        <v>16540.536377528093</v>
      </c>
      <c r="W145" s="303">
        <f t="shared" si="30"/>
        <v>62700.955853183528</v>
      </c>
      <c r="X145" s="113">
        <f>W145-AF145+W146+W147+W148</f>
        <v>0</v>
      </c>
      <c r="Z145" s="1">
        <v>14981.2734082397</v>
      </c>
      <c r="AA145" s="1">
        <v>33108.614232209737</v>
      </c>
      <c r="AB145" s="1">
        <v>18184.26966292135</v>
      </c>
      <c r="AC145" s="1">
        <v>50344.449438202253</v>
      </c>
      <c r="AD145" s="1">
        <v>35135.126292134832</v>
      </c>
      <c r="AE145" s="1">
        <v>35837.828817977526</v>
      </c>
      <c r="AF145" s="1">
        <f t="shared" si="7"/>
        <v>187591.5618516854</v>
      </c>
    </row>
    <row r="146" spans="1:32" x14ac:dyDescent="0.3">
      <c r="A146" s="346"/>
      <c r="B146" s="347"/>
      <c r="C146" s="346"/>
      <c r="D146" s="24" t="s">
        <v>742</v>
      </c>
      <c r="G146" s="113">
        <f t="shared" si="27"/>
        <v>0</v>
      </c>
      <c r="H146" s="285">
        <v>2546.8164794007498</v>
      </c>
      <c r="I146" s="24">
        <v>6</v>
      </c>
      <c r="J146" s="287">
        <f t="shared" si="28"/>
        <v>15280.898876404499</v>
      </c>
      <c r="K146" s="285">
        <v>2597.7528089887642</v>
      </c>
      <c r="L146" s="24">
        <v>6</v>
      </c>
      <c r="M146" s="287">
        <f t="shared" si="21"/>
        <v>15586.516853932586</v>
      </c>
      <c r="N146" s="113">
        <v>2649.7078651685392</v>
      </c>
      <c r="O146" s="24">
        <v>6</v>
      </c>
      <c r="P146" s="113">
        <f t="shared" si="25"/>
        <v>15898.247191011236</v>
      </c>
      <c r="Q146" s="285">
        <v>2702.7020224719099</v>
      </c>
      <c r="R146" s="24">
        <v>6</v>
      </c>
      <c r="S146" s="287">
        <f t="shared" si="23"/>
        <v>16216.212134831459</v>
      </c>
      <c r="T146" s="113">
        <v>2756.7560629213485</v>
      </c>
      <c r="U146" s="24">
        <v>6</v>
      </c>
      <c r="V146" s="113">
        <f t="shared" si="26"/>
        <v>16540.536377528093</v>
      </c>
      <c r="W146" s="303">
        <f t="shared" si="30"/>
        <v>79522.411433707879</v>
      </c>
      <c r="X146" s="113"/>
      <c r="Z146" s="1"/>
      <c r="AA146" s="1"/>
      <c r="AB146" s="1"/>
      <c r="AC146" s="1"/>
      <c r="AD146" s="1"/>
      <c r="AE146" s="1"/>
      <c r="AF146" s="1"/>
    </row>
    <row r="147" spans="1:32" x14ac:dyDescent="0.3">
      <c r="A147" s="346"/>
      <c r="B147" s="347"/>
      <c r="C147" s="346"/>
      <c r="D147" s="24" t="s">
        <v>743</v>
      </c>
      <c r="G147" s="113">
        <f t="shared" si="27"/>
        <v>0</v>
      </c>
      <c r="H147" s="285">
        <v>2546.8164794007498</v>
      </c>
      <c r="I147" s="24">
        <v>1</v>
      </c>
      <c r="J147" s="287">
        <f t="shared" si="28"/>
        <v>2546.8164794007498</v>
      </c>
      <c r="K147" s="285">
        <v>2597.7528089887642</v>
      </c>
      <c r="L147" s="24">
        <v>1</v>
      </c>
      <c r="M147" s="287">
        <f t="shared" si="21"/>
        <v>2597.7528089887642</v>
      </c>
      <c r="N147" s="113">
        <v>2649.7078651685392</v>
      </c>
      <c r="O147" s="24">
        <v>1</v>
      </c>
      <c r="P147" s="113">
        <f t="shared" si="25"/>
        <v>2649.7078651685392</v>
      </c>
      <c r="Q147" s="285">
        <v>2702.7020224719099</v>
      </c>
      <c r="R147" s="24">
        <v>1</v>
      </c>
      <c r="S147" s="287">
        <f t="shared" si="23"/>
        <v>2702.7020224719099</v>
      </c>
      <c r="T147" s="113">
        <v>2756.7560629213485</v>
      </c>
      <c r="U147" s="24">
        <v>1</v>
      </c>
      <c r="V147" s="113">
        <f t="shared" si="26"/>
        <v>2756.7560629213485</v>
      </c>
      <c r="W147" s="303">
        <f t="shared" si="30"/>
        <v>13253.735238951311</v>
      </c>
      <c r="X147" s="113"/>
      <c r="Z147" s="1"/>
      <c r="AA147" s="1"/>
      <c r="AB147" s="1"/>
      <c r="AC147" s="1"/>
      <c r="AD147" s="1"/>
      <c r="AE147" s="1"/>
      <c r="AF147" s="1"/>
    </row>
    <row r="148" spans="1:32" x14ac:dyDescent="0.3">
      <c r="A148" s="346"/>
      <c r="B148" s="347"/>
      <c r="C148" s="346"/>
      <c r="D148" s="24" t="s">
        <v>744</v>
      </c>
      <c r="G148" s="113">
        <f t="shared" si="27"/>
        <v>0</v>
      </c>
      <c r="H148" s="285"/>
      <c r="J148" s="287">
        <f t="shared" si="28"/>
        <v>0</v>
      </c>
      <c r="K148" s="285"/>
      <c r="M148" s="287">
        <f t="shared" si="21"/>
        <v>0</v>
      </c>
      <c r="N148" s="113">
        <v>2649.7078651685392</v>
      </c>
      <c r="O148" s="24">
        <v>6</v>
      </c>
      <c r="P148" s="113">
        <f t="shared" si="25"/>
        <v>15898.247191011236</v>
      </c>
      <c r="Q148" s="285">
        <v>2702.7020224719099</v>
      </c>
      <c r="R148" s="24">
        <v>6</v>
      </c>
      <c r="S148" s="287">
        <f t="shared" si="23"/>
        <v>16216.212134831459</v>
      </c>
      <c r="V148" s="113">
        <f t="shared" si="26"/>
        <v>0</v>
      </c>
      <c r="W148" s="303">
        <f t="shared" si="30"/>
        <v>32114.459325842698</v>
      </c>
      <c r="X148" s="113"/>
      <c r="Z148" s="1"/>
      <c r="AA148" s="1"/>
      <c r="AB148" s="1"/>
      <c r="AC148" s="1"/>
      <c r="AD148" s="1"/>
      <c r="AE148" s="1"/>
      <c r="AF148" s="1"/>
    </row>
    <row r="149" spans="1:32" x14ac:dyDescent="0.3">
      <c r="A149" s="346" t="s">
        <v>745</v>
      </c>
      <c r="B149" s="347" t="s">
        <v>27</v>
      </c>
      <c r="C149" s="346" t="s">
        <v>295</v>
      </c>
      <c r="D149" s="24" t="s">
        <v>746</v>
      </c>
      <c r="G149" s="113">
        <f t="shared" si="27"/>
        <v>0</v>
      </c>
      <c r="H149" s="285">
        <v>14052.969502407705</v>
      </c>
      <c r="I149" s="24">
        <v>20</v>
      </c>
      <c r="J149" s="287">
        <f t="shared" si="28"/>
        <v>281059.39004815411</v>
      </c>
      <c r="K149" s="285"/>
      <c r="M149" s="287">
        <f t="shared" si="21"/>
        <v>0</v>
      </c>
      <c r="P149" s="113">
        <f t="shared" si="25"/>
        <v>0</v>
      </c>
      <c r="Q149" s="285"/>
      <c r="S149" s="287">
        <f t="shared" si="23"/>
        <v>0</v>
      </c>
      <c r="V149" s="113">
        <f t="shared" si="26"/>
        <v>0</v>
      </c>
      <c r="W149" s="303">
        <f t="shared" si="30"/>
        <v>281059.39004815411</v>
      </c>
      <c r="X149" s="113">
        <f>W149-AF149+W150+W151</f>
        <v>-3.7834979593753815E-10</v>
      </c>
      <c r="Z149" s="1"/>
      <c r="AA149" s="1">
        <f>552106.243980738-AA152</f>
        <v>551461.58105938963</v>
      </c>
      <c r="AB149" s="1">
        <f>104732.625842697-AB152</f>
        <v>104075.06966292173</v>
      </c>
      <c r="AC149" s="1">
        <f>106827.278359551-AC152</f>
        <v>106156.57105618021</v>
      </c>
      <c r="AD149" s="1">
        <f>108963.823926742-AD152</f>
        <v>108279.7024773038</v>
      </c>
      <c r="AE149" s="1">
        <f>111143.100405276-AE152</f>
        <v>110445.29652684904</v>
      </c>
      <c r="AF149" s="1">
        <f t="shared" ref="AF149:AF167" si="31">SUM(Z149:AE149)</f>
        <v>980418.22078264435</v>
      </c>
    </row>
    <row r="150" spans="1:32" x14ac:dyDescent="0.3">
      <c r="A150" s="346"/>
      <c r="B150" s="347"/>
      <c r="C150" s="346"/>
      <c r="D150" s="24" t="s">
        <v>747</v>
      </c>
      <c r="G150" s="113">
        <f t="shared" si="27"/>
        <v>0</v>
      </c>
      <c r="H150" s="285">
        <v>293.20224719101122</v>
      </c>
      <c r="I150" s="24">
        <f>29*9</f>
        <v>261</v>
      </c>
      <c r="J150" s="287">
        <f t="shared" si="28"/>
        <v>76525.786516853928</v>
      </c>
      <c r="K150" s="285">
        <v>299.06629213483143</v>
      </c>
      <c r="L150" s="24">
        <f>29*12</f>
        <v>348</v>
      </c>
      <c r="M150" s="287">
        <f t="shared" si="21"/>
        <v>104075.06966292133</v>
      </c>
      <c r="N150" s="113">
        <v>305.04761797752803</v>
      </c>
      <c r="O150" s="24">
        <f>29*12</f>
        <v>348</v>
      </c>
      <c r="P150" s="113">
        <f t="shared" si="25"/>
        <v>106156.57105617976</v>
      </c>
      <c r="Q150" s="285">
        <v>311.14857033707864</v>
      </c>
      <c r="R150" s="24">
        <f>29*12</f>
        <v>348</v>
      </c>
      <c r="S150" s="287">
        <f t="shared" si="23"/>
        <v>108279.70247730336</v>
      </c>
      <c r="T150" s="113">
        <v>317.37154174382022</v>
      </c>
      <c r="U150" s="24">
        <f>29*12</f>
        <v>348</v>
      </c>
      <c r="V150" s="113">
        <f t="shared" si="26"/>
        <v>110445.29652684943</v>
      </c>
      <c r="W150" s="303">
        <f t="shared" si="30"/>
        <v>505482.4262401078</v>
      </c>
      <c r="X150" s="113"/>
      <c r="Z150" s="1"/>
      <c r="AA150" s="1"/>
      <c r="AB150" s="1"/>
      <c r="AC150" s="1"/>
      <c r="AD150" s="1"/>
      <c r="AE150" s="1"/>
      <c r="AF150" s="1"/>
    </row>
    <row r="151" spans="1:32" x14ac:dyDescent="0.3">
      <c r="A151" s="346"/>
      <c r="B151" s="347"/>
      <c r="C151" s="346"/>
      <c r="D151" s="24" t="s">
        <v>748</v>
      </c>
      <c r="G151" s="113">
        <f t="shared" si="27"/>
        <v>0</v>
      </c>
      <c r="H151" s="285">
        <v>6685.393258426966</v>
      </c>
      <c r="I151" s="24">
        <v>29</v>
      </c>
      <c r="J151" s="287">
        <f t="shared" si="28"/>
        <v>193876.404494382</v>
      </c>
      <c r="K151" s="285"/>
      <c r="M151" s="287">
        <f t="shared" si="21"/>
        <v>0</v>
      </c>
      <c r="P151" s="113">
        <f t="shared" si="25"/>
        <v>0</v>
      </c>
      <c r="Q151" s="285"/>
      <c r="S151" s="287">
        <f t="shared" si="23"/>
        <v>0</v>
      </c>
      <c r="V151" s="113">
        <f t="shared" si="26"/>
        <v>0</v>
      </c>
      <c r="W151" s="303">
        <f t="shared" si="30"/>
        <v>193876.404494382</v>
      </c>
      <c r="X151" s="113"/>
      <c r="Z151" s="1"/>
      <c r="AA151" s="1"/>
      <c r="AB151" s="1"/>
      <c r="AC151" s="1"/>
      <c r="AD151" s="1"/>
      <c r="AE151" s="1"/>
      <c r="AF151" s="1"/>
    </row>
    <row r="152" spans="1:32" x14ac:dyDescent="0.3">
      <c r="A152" s="346"/>
      <c r="B152" s="347"/>
      <c r="C152" s="346"/>
      <c r="D152" s="24" t="s">
        <v>686</v>
      </c>
      <c r="G152" s="113">
        <f t="shared" si="27"/>
        <v>0</v>
      </c>
      <c r="H152" s="285"/>
      <c r="J152" s="287">
        <f t="shared" si="28"/>
        <v>0</v>
      </c>
      <c r="K152" s="285"/>
      <c r="M152" s="287">
        <f t="shared" si="21"/>
        <v>0</v>
      </c>
      <c r="P152" s="113">
        <f t="shared" si="25"/>
        <v>0</v>
      </c>
      <c r="Q152" s="285"/>
      <c r="S152" s="287">
        <f t="shared" si="23"/>
        <v>0</v>
      </c>
      <c r="V152" s="113">
        <f t="shared" si="26"/>
        <v>0</v>
      </c>
      <c r="W152" s="303">
        <f>AF152</f>
        <v>4302.8854402247189</v>
      </c>
      <c r="X152" s="113">
        <f t="shared" si="16"/>
        <v>0</v>
      </c>
      <c r="Z152" s="1">
        <v>948.03370786516848</v>
      </c>
      <c r="AA152" s="1">
        <v>644.66292134831463</v>
      </c>
      <c r="AB152" s="1">
        <v>657.55617977528084</v>
      </c>
      <c r="AC152" s="1">
        <v>670.70730337078646</v>
      </c>
      <c r="AD152" s="1">
        <v>684.12144943820203</v>
      </c>
      <c r="AE152" s="1">
        <v>697.80387842696621</v>
      </c>
      <c r="AF152" s="1">
        <f t="shared" si="31"/>
        <v>4302.8854402247189</v>
      </c>
    </row>
    <row r="153" spans="1:32" x14ac:dyDescent="0.3">
      <c r="A153" s="346"/>
      <c r="B153" s="278" t="s">
        <v>29</v>
      </c>
      <c r="C153" s="277" t="s">
        <v>296</v>
      </c>
      <c r="D153" s="24" t="s">
        <v>742</v>
      </c>
      <c r="G153" s="113">
        <f t="shared" si="27"/>
        <v>0</v>
      </c>
      <c r="H153" s="285"/>
      <c r="J153" s="287">
        <f t="shared" si="28"/>
        <v>0</v>
      </c>
      <c r="K153" s="285">
        <v>2597.7528089887642</v>
      </c>
      <c r="L153" s="24">
        <v>6</v>
      </c>
      <c r="M153" s="287">
        <f t="shared" si="21"/>
        <v>15586.516853932586</v>
      </c>
      <c r="N153" s="113">
        <v>2649.7078651685392</v>
      </c>
      <c r="O153" s="24">
        <v>6</v>
      </c>
      <c r="P153" s="113">
        <f t="shared" si="25"/>
        <v>15898.247191011236</v>
      </c>
      <c r="Q153" s="285">
        <v>2702.7020224719099</v>
      </c>
      <c r="R153" s="24">
        <v>6</v>
      </c>
      <c r="S153" s="287">
        <f t="shared" si="23"/>
        <v>16216.212134831459</v>
      </c>
      <c r="T153" s="113">
        <v>2756.7560629213485</v>
      </c>
      <c r="U153" s="24">
        <v>6</v>
      </c>
      <c r="V153" s="113">
        <f t="shared" si="26"/>
        <v>16540.536377528093</v>
      </c>
      <c r="W153" s="303">
        <f t="shared" si="30"/>
        <v>64241.512557303373</v>
      </c>
      <c r="X153" s="113">
        <f t="shared" si="16"/>
        <v>0</v>
      </c>
      <c r="Z153" s="1">
        <v>0</v>
      </c>
      <c r="AA153" s="1">
        <v>0</v>
      </c>
      <c r="AB153" s="1">
        <v>15586.516853932584</v>
      </c>
      <c r="AC153" s="1">
        <v>15898.247191011236</v>
      </c>
      <c r="AD153" s="1">
        <v>16216.212134831459</v>
      </c>
      <c r="AE153" s="1">
        <v>16540.536377528089</v>
      </c>
      <c r="AF153" s="1">
        <f t="shared" si="31"/>
        <v>64241.512557303373</v>
      </c>
    </row>
    <row r="154" spans="1:32" x14ac:dyDescent="0.3">
      <c r="A154" s="346"/>
      <c r="B154" s="278" t="s">
        <v>31</v>
      </c>
      <c r="C154" s="277" t="s">
        <v>297</v>
      </c>
      <c r="D154" s="24" t="s">
        <v>702</v>
      </c>
      <c r="G154" s="113">
        <f t="shared" si="27"/>
        <v>0</v>
      </c>
      <c r="H154" s="285"/>
      <c r="J154" s="287">
        <f t="shared" si="28"/>
        <v>0</v>
      </c>
      <c r="K154" s="285"/>
      <c r="M154" s="287">
        <f t="shared" si="21"/>
        <v>0</v>
      </c>
      <c r="P154" s="113">
        <f t="shared" si="25"/>
        <v>0</v>
      </c>
      <c r="Q154" s="285"/>
      <c r="S154" s="287">
        <f t="shared" si="23"/>
        <v>0</v>
      </c>
      <c r="V154" s="113">
        <f t="shared" si="26"/>
        <v>0</v>
      </c>
      <c r="W154" s="303">
        <f>AF154</f>
        <v>23507.500809138579</v>
      </c>
      <c r="X154" s="113">
        <f t="shared" si="16"/>
        <v>0</v>
      </c>
      <c r="Z154" s="1">
        <v>795.88014981273409</v>
      </c>
      <c r="AA154" s="1">
        <v>4870.7865168539329</v>
      </c>
      <c r="AB154" s="1">
        <v>4968.2022471910104</v>
      </c>
      <c r="AC154" s="1">
        <v>5067.5662921348321</v>
      </c>
      <c r="AD154" s="1">
        <v>5168.9176179775277</v>
      </c>
      <c r="AE154" s="1">
        <v>2636.147985168539</v>
      </c>
      <c r="AF154" s="1">
        <f t="shared" si="31"/>
        <v>23507.500809138579</v>
      </c>
    </row>
    <row r="155" spans="1:32" x14ac:dyDescent="0.3">
      <c r="A155" s="346" t="s">
        <v>749</v>
      </c>
      <c r="B155" s="278" t="s">
        <v>27</v>
      </c>
      <c r="C155" s="277" t="s">
        <v>319</v>
      </c>
      <c r="D155" s="24" t="s">
        <v>686</v>
      </c>
      <c r="G155" s="113">
        <f t="shared" si="27"/>
        <v>0</v>
      </c>
      <c r="H155" s="285"/>
      <c r="J155" s="287">
        <f t="shared" si="28"/>
        <v>0</v>
      </c>
      <c r="K155" s="285"/>
      <c r="M155" s="287">
        <f t="shared" si="21"/>
        <v>0</v>
      </c>
      <c r="P155" s="113">
        <f t="shared" si="25"/>
        <v>0</v>
      </c>
      <c r="Q155" s="285"/>
      <c r="S155" s="287">
        <f t="shared" si="23"/>
        <v>0</v>
      </c>
      <c r="V155" s="113">
        <f t="shared" si="26"/>
        <v>0</v>
      </c>
      <c r="W155" s="303">
        <f>AF155</f>
        <v>15777.246614157304</v>
      </c>
      <c r="X155" s="113">
        <f t="shared" si="16"/>
        <v>0</v>
      </c>
      <c r="Z155" s="1">
        <v>3476.1235955056186</v>
      </c>
      <c r="AA155" s="1">
        <v>2363.7640449438204</v>
      </c>
      <c r="AB155" s="1">
        <v>2411.0393258426966</v>
      </c>
      <c r="AC155" s="1">
        <v>2459.2601123595505</v>
      </c>
      <c r="AD155" s="1">
        <v>2508.4453146067412</v>
      </c>
      <c r="AE155" s="1">
        <v>2558.6142208988763</v>
      </c>
      <c r="AF155" s="1">
        <f t="shared" si="31"/>
        <v>15777.246614157304</v>
      </c>
    </row>
    <row r="156" spans="1:32" ht="27.95" x14ac:dyDescent="0.3">
      <c r="A156" s="346"/>
      <c r="B156" s="347" t="s">
        <v>29</v>
      </c>
      <c r="C156" s="346" t="s">
        <v>320</v>
      </c>
      <c r="D156" s="24" t="s">
        <v>750</v>
      </c>
      <c r="E156" s="113">
        <v>2496.8789013732835</v>
      </c>
      <c r="F156" s="24">
        <v>3</v>
      </c>
      <c r="G156" s="113">
        <f t="shared" si="27"/>
        <v>7490.63670411985</v>
      </c>
      <c r="H156" s="285">
        <v>2546.8164794007498</v>
      </c>
      <c r="I156" s="24">
        <v>3</v>
      </c>
      <c r="J156" s="287">
        <f t="shared" si="28"/>
        <v>7640.4494382022494</v>
      </c>
      <c r="K156" s="285">
        <v>2597.7528089887642</v>
      </c>
      <c r="L156" s="24">
        <v>3</v>
      </c>
      <c r="M156" s="287">
        <f t="shared" si="21"/>
        <v>7793.258426966293</v>
      </c>
      <c r="N156" s="113">
        <v>2649.7078651685392</v>
      </c>
      <c r="O156" s="24">
        <v>3</v>
      </c>
      <c r="P156" s="113">
        <f t="shared" si="25"/>
        <v>7949.1235955056181</v>
      </c>
      <c r="Q156" s="285">
        <v>2702.7020224719099</v>
      </c>
      <c r="R156" s="24">
        <v>3</v>
      </c>
      <c r="S156" s="287">
        <f t="shared" si="23"/>
        <v>8108.1060674157297</v>
      </c>
      <c r="T156" s="113">
        <v>2756.7560629213485</v>
      </c>
      <c r="U156" s="24">
        <v>3</v>
      </c>
      <c r="V156" s="113">
        <f t="shared" si="26"/>
        <v>8270.2681887640465</v>
      </c>
      <c r="W156" s="303">
        <f t="shared" si="30"/>
        <v>47251.842420973786</v>
      </c>
      <c r="X156" s="113">
        <f>W156-AF156+W157+W158</f>
        <v>0</v>
      </c>
      <c r="Z156" s="1">
        <v>7490.63670411985</v>
      </c>
      <c r="AA156" s="1">
        <v>28196.896736222578</v>
      </c>
      <c r="AB156" s="1">
        <v>28760.834670947028</v>
      </c>
      <c r="AC156" s="1">
        <v>29336.051364365972</v>
      </c>
      <c r="AD156" s="1">
        <v>29922.772391653289</v>
      </c>
      <c r="AE156" s="1">
        <v>30521.227839486357</v>
      </c>
      <c r="AF156" s="1">
        <f t="shared" si="31"/>
        <v>154228.41970679507</v>
      </c>
    </row>
    <row r="157" spans="1:32" ht="27.95" x14ac:dyDescent="0.3">
      <c r="A157" s="346"/>
      <c r="B157" s="347"/>
      <c r="C157" s="346"/>
      <c r="D157" s="24" t="s">
        <v>751</v>
      </c>
      <c r="H157" s="285">
        <v>2546.8164794007498</v>
      </c>
      <c r="I157" s="24">
        <v>1</v>
      </c>
      <c r="J157" s="287">
        <f t="shared" si="28"/>
        <v>2546.8164794007498</v>
      </c>
      <c r="K157" s="285">
        <v>2597.7528089887642</v>
      </c>
      <c r="L157" s="24">
        <v>1</v>
      </c>
      <c r="M157" s="287">
        <f t="shared" si="21"/>
        <v>2597.7528089887642</v>
      </c>
      <c r="N157" s="113">
        <v>2649.7078651685392</v>
      </c>
      <c r="O157" s="24">
        <v>1</v>
      </c>
      <c r="P157" s="113">
        <f t="shared" si="25"/>
        <v>2649.7078651685392</v>
      </c>
      <c r="Q157" s="285">
        <v>2702.7020224719099</v>
      </c>
      <c r="R157" s="24">
        <v>1</v>
      </c>
      <c r="S157" s="287">
        <f t="shared" si="23"/>
        <v>2702.7020224719099</v>
      </c>
      <c r="T157" s="113">
        <v>2756.7560629213485</v>
      </c>
      <c r="U157" s="24">
        <v>1</v>
      </c>
      <c r="V157" s="113">
        <f t="shared" si="26"/>
        <v>2756.7560629213485</v>
      </c>
      <c r="W157" s="303">
        <f t="shared" si="30"/>
        <v>13253.735238951311</v>
      </c>
      <c r="X157" s="113"/>
      <c r="Z157" s="1"/>
      <c r="AA157" s="1"/>
      <c r="AB157" s="1"/>
      <c r="AC157" s="1"/>
      <c r="AD157" s="1"/>
      <c r="AE157" s="1"/>
      <c r="AF157" s="1"/>
    </row>
    <row r="158" spans="1:32" ht="27.95" x14ac:dyDescent="0.3">
      <c r="A158" s="346"/>
      <c r="B158" s="347"/>
      <c r="C158" s="346"/>
      <c r="D158" s="24" t="s">
        <v>752</v>
      </c>
      <c r="H158" s="285">
        <v>3001.6051364365971</v>
      </c>
      <c r="I158" s="24">
        <v>6</v>
      </c>
      <c r="J158" s="287">
        <f t="shared" si="28"/>
        <v>18009.630818619582</v>
      </c>
      <c r="K158" s="285">
        <v>3061.637239165329</v>
      </c>
      <c r="L158" s="24">
        <v>6</v>
      </c>
      <c r="M158" s="287">
        <f t="shared" si="21"/>
        <v>18369.823434991973</v>
      </c>
      <c r="N158" s="113">
        <v>3122.8699839486358</v>
      </c>
      <c r="O158" s="24">
        <v>6</v>
      </c>
      <c r="P158" s="113">
        <f t="shared" si="25"/>
        <v>18737.219903691814</v>
      </c>
      <c r="Q158" s="285">
        <v>3185.3273836276085</v>
      </c>
      <c r="R158" s="24">
        <v>6</v>
      </c>
      <c r="S158" s="287">
        <f t="shared" si="23"/>
        <v>19111.964301765649</v>
      </c>
      <c r="T158" s="113">
        <v>3249.0339313001605</v>
      </c>
      <c r="U158" s="24">
        <v>6</v>
      </c>
      <c r="V158" s="113">
        <f t="shared" si="26"/>
        <v>19494.203587800963</v>
      </c>
      <c r="W158" s="303">
        <f t="shared" si="30"/>
        <v>93722.842046869977</v>
      </c>
      <c r="X158" s="113"/>
      <c r="Z158" s="1"/>
      <c r="AA158" s="1"/>
      <c r="AB158" s="1"/>
      <c r="AC158" s="1"/>
      <c r="AD158" s="1"/>
      <c r="AE158" s="1"/>
      <c r="AF158" s="1"/>
    </row>
    <row r="159" spans="1:32" x14ac:dyDescent="0.3">
      <c r="A159" s="346"/>
      <c r="B159" s="347" t="s">
        <v>31</v>
      </c>
      <c r="C159" s="346" t="s">
        <v>321</v>
      </c>
      <c r="D159" s="24" t="s">
        <v>753</v>
      </c>
      <c r="G159" s="113">
        <f t="shared" si="27"/>
        <v>0</v>
      </c>
      <c r="H159" s="285">
        <v>3638.3092562867841</v>
      </c>
      <c r="I159" s="24">
        <v>1</v>
      </c>
      <c r="J159" s="287">
        <f t="shared" si="28"/>
        <v>3638.3092562867841</v>
      </c>
      <c r="K159" s="285">
        <v>3711.0754414125199</v>
      </c>
      <c r="L159" s="24">
        <v>1</v>
      </c>
      <c r="M159" s="287">
        <f t="shared" si="21"/>
        <v>3711.0754414125199</v>
      </c>
      <c r="N159" s="113">
        <v>3785.2969502407705</v>
      </c>
      <c r="O159" s="24">
        <v>1</v>
      </c>
      <c r="P159" s="113">
        <f t="shared" si="25"/>
        <v>3785.2969502407705</v>
      </c>
      <c r="Q159" s="285">
        <v>3861.0028892455857</v>
      </c>
      <c r="R159" s="24">
        <v>1</v>
      </c>
      <c r="S159" s="287">
        <f t="shared" si="23"/>
        <v>3861.0028892455857</v>
      </c>
      <c r="T159" s="113">
        <v>3938.2229470304978</v>
      </c>
      <c r="U159" s="24">
        <v>1</v>
      </c>
      <c r="V159" s="113">
        <f t="shared" si="26"/>
        <v>3938.2229470304978</v>
      </c>
      <c r="W159" s="303">
        <f t="shared" si="30"/>
        <v>18933.907484216161</v>
      </c>
      <c r="X159" s="113">
        <f t="shared" si="16"/>
        <v>-4.3655745685100555E-11</v>
      </c>
      <c r="Z159" s="1"/>
      <c r="AA159" s="1">
        <f>21497.8598180845-AA160</f>
        <v>3638.3092562867459</v>
      </c>
      <c r="AB159" s="1">
        <f>21927.8170144462-AB160</f>
        <v>3711.0754414124931</v>
      </c>
      <c r="AC159" s="1">
        <f>22366.3733547352-AC160</f>
        <v>3785.2969502408123</v>
      </c>
      <c r="AD159" s="1">
        <f>22813.7008218299-AD160</f>
        <v>3861.0028892456321</v>
      </c>
      <c r="AE159" s="1">
        <f>13604.0988926485-AE160</f>
        <v>3938.222947030521</v>
      </c>
      <c r="AF159" s="1">
        <f t="shared" si="31"/>
        <v>18933.907484216204</v>
      </c>
    </row>
    <row r="160" spans="1:32" x14ac:dyDescent="0.3">
      <c r="A160" s="346"/>
      <c r="B160" s="347"/>
      <c r="C160" s="346"/>
      <c r="D160" s="24" t="s">
        <v>702</v>
      </c>
      <c r="G160" s="113">
        <f t="shared" si="27"/>
        <v>0</v>
      </c>
      <c r="H160" s="285"/>
      <c r="J160" s="287">
        <f t="shared" si="28"/>
        <v>0</v>
      </c>
      <c r="K160" s="285"/>
      <c r="M160" s="287">
        <f t="shared" si="21"/>
        <v>0</v>
      </c>
      <c r="P160" s="113">
        <f t="shared" si="25"/>
        <v>0</v>
      </c>
      <c r="Q160" s="285"/>
      <c r="S160" s="287">
        <f t="shared" si="23"/>
        <v>0</v>
      </c>
      <c r="V160" s="113">
        <f t="shared" si="26"/>
        <v>0</v>
      </c>
      <c r="W160" s="303">
        <f>AF160</f>
        <v>86194.169633508121</v>
      </c>
      <c r="X160" s="113">
        <f t="shared" si="16"/>
        <v>0</v>
      </c>
      <c r="Z160" s="1">
        <v>2918.227215980025</v>
      </c>
      <c r="AA160" s="1">
        <v>17859.550561797754</v>
      </c>
      <c r="AB160" s="1">
        <v>18216.741573033705</v>
      </c>
      <c r="AC160" s="1">
        <v>18581.076404494386</v>
      </c>
      <c r="AD160" s="1">
        <v>18952.697932584269</v>
      </c>
      <c r="AE160" s="1">
        <v>9665.8759456179796</v>
      </c>
      <c r="AF160" s="1">
        <f t="shared" si="31"/>
        <v>86194.169633508121</v>
      </c>
    </row>
    <row r="161" spans="1:32" x14ac:dyDescent="0.3">
      <c r="A161" s="346" t="s">
        <v>754</v>
      </c>
      <c r="B161" s="278" t="s">
        <v>27</v>
      </c>
      <c r="C161" s="277" t="s">
        <v>330</v>
      </c>
      <c r="D161" s="24" t="s">
        <v>686</v>
      </c>
      <c r="G161" s="113">
        <f t="shared" si="27"/>
        <v>0</v>
      </c>
      <c r="H161" s="285"/>
      <c r="J161" s="287">
        <f t="shared" si="28"/>
        <v>0</v>
      </c>
      <c r="K161" s="285"/>
      <c r="M161" s="287">
        <f t="shared" si="21"/>
        <v>0</v>
      </c>
      <c r="P161" s="113">
        <f t="shared" si="25"/>
        <v>0</v>
      </c>
      <c r="Q161" s="285"/>
      <c r="S161" s="287">
        <f t="shared" si="23"/>
        <v>0</v>
      </c>
      <c r="V161" s="113">
        <f t="shared" si="26"/>
        <v>0</v>
      </c>
      <c r="W161" s="303">
        <f>AF161</f>
        <v>12908.656320674156</v>
      </c>
      <c r="X161" s="113">
        <f t="shared" si="16"/>
        <v>0</v>
      </c>
      <c r="Z161" s="1">
        <v>2844.1011235955057</v>
      </c>
      <c r="AA161" s="1">
        <v>1933.9887640449435</v>
      </c>
      <c r="AB161" s="1">
        <v>1972.6685393258426</v>
      </c>
      <c r="AC161" s="1">
        <v>2012.1219101123595</v>
      </c>
      <c r="AD161" s="1">
        <v>2052.3643483146061</v>
      </c>
      <c r="AE161" s="1">
        <v>2093.4116352808987</v>
      </c>
      <c r="AF161" s="1">
        <f t="shared" si="31"/>
        <v>12908.656320674156</v>
      </c>
    </row>
    <row r="162" spans="1:32" x14ac:dyDescent="0.3">
      <c r="A162" s="346"/>
      <c r="B162" s="278" t="s">
        <v>31</v>
      </c>
      <c r="C162" s="277" t="s">
        <v>331</v>
      </c>
      <c r="D162" s="24" t="s">
        <v>702</v>
      </c>
      <c r="G162" s="113">
        <f t="shared" si="27"/>
        <v>0</v>
      </c>
      <c r="H162" s="285"/>
      <c r="J162" s="287">
        <f t="shared" si="28"/>
        <v>0</v>
      </c>
      <c r="K162" s="285"/>
      <c r="M162" s="287">
        <f t="shared" si="21"/>
        <v>0</v>
      </c>
      <c r="P162" s="113">
        <f t="shared" si="25"/>
        <v>0</v>
      </c>
      <c r="Q162" s="285"/>
      <c r="S162" s="287">
        <f t="shared" si="23"/>
        <v>0</v>
      </c>
      <c r="V162" s="113">
        <f t="shared" si="26"/>
        <v>0</v>
      </c>
      <c r="W162" s="303">
        <f>AF162</f>
        <v>70522.502427415733</v>
      </c>
      <c r="X162" s="113">
        <f t="shared" si="16"/>
        <v>0</v>
      </c>
      <c r="Z162" s="1">
        <v>2387.6404494382023</v>
      </c>
      <c r="AA162" s="1">
        <v>14612.359550561798</v>
      </c>
      <c r="AB162" s="1">
        <v>14904.606741573032</v>
      </c>
      <c r="AC162" s="1">
        <v>15202.698876404495</v>
      </c>
      <c r="AD162" s="1">
        <v>15506.752853932581</v>
      </c>
      <c r="AE162" s="1">
        <v>7908.4439555056188</v>
      </c>
      <c r="AF162" s="1">
        <f t="shared" si="31"/>
        <v>70522.502427415733</v>
      </c>
    </row>
    <row r="163" spans="1:32" ht="29.95" customHeight="1" x14ac:dyDescent="0.3">
      <c r="A163" s="346"/>
      <c r="B163" s="347" t="s">
        <v>29</v>
      </c>
      <c r="C163" s="346" t="s">
        <v>332</v>
      </c>
      <c r="D163" s="24" t="s">
        <v>755</v>
      </c>
      <c r="E163" s="113">
        <v>2496.8789013732835</v>
      </c>
      <c r="F163" s="24">
        <v>4</v>
      </c>
      <c r="G163" s="113">
        <f t="shared" si="27"/>
        <v>9987.515605493134</v>
      </c>
      <c r="H163" s="285">
        <v>2546.8164794007498</v>
      </c>
      <c r="I163" s="24">
        <v>4</v>
      </c>
      <c r="J163" s="287">
        <f t="shared" si="28"/>
        <v>10187.265917602999</v>
      </c>
      <c r="K163" s="285">
        <v>2597.7528089887642</v>
      </c>
      <c r="L163" s="24">
        <v>4</v>
      </c>
      <c r="M163" s="287">
        <f t="shared" si="21"/>
        <v>10391.011235955057</v>
      </c>
      <c r="N163" s="113">
        <v>2649.7078651685392</v>
      </c>
      <c r="O163" s="24">
        <v>4</v>
      </c>
      <c r="P163" s="113">
        <f t="shared" si="25"/>
        <v>10598.831460674157</v>
      </c>
      <c r="Q163" s="285">
        <v>2702.7020224719099</v>
      </c>
      <c r="R163" s="24">
        <v>4</v>
      </c>
      <c r="S163" s="287">
        <f t="shared" si="23"/>
        <v>10810.80808988764</v>
      </c>
      <c r="T163" s="113">
        <v>2756.7560629213485</v>
      </c>
      <c r="U163" s="24">
        <v>4</v>
      </c>
      <c r="V163" s="113">
        <f t="shared" si="26"/>
        <v>11027.024251685394</v>
      </c>
      <c r="W163" s="303">
        <f t="shared" si="30"/>
        <v>63002.456561298372</v>
      </c>
      <c r="X163" s="113">
        <f>W163-AF163+W164+W165</f>
        <v>0</v>
      </c>
      <c r="Z163" s="1">
        <v>27465.667915106118</v>
      </c>
      <c r="AA163" s="1">
        <v>28014.981273408237</v>
      </c>
      <c r="AB163" s="1">
        <v>28575.280898876408</v>
      </c>
      <c r="AC163" s="1">
        <v>29146.786516853928</v>
      </c>
      <c r="AD163" s="1">
        <v>29729.72224719101</v>
      </c>
      <c r="AE163" s="1">
        <v>30324.316692134835</v>
      </c>
      <c r="AF163" s="1">
        <f t="shared" si="31"/>
        <v>173256.75554357053</v>
      </c>
    </row>
    <row r="164" spans="1:32" ht="27.95" x14ac:dyDescent="0.3">
      <c r="A164" s="346"/>
      <c r="B164" s="347"/>
      <c r="C164" s="346"/>
      <c r="D164" s="24" t="s">
        <v>756</v>
      </c>
      <c r="E164" s="113">
        <v>2496.8789013732835</v>
      </c>
      <c r="F164" s="24">
        <v>3</v>
      </c>
      <c r="G164" s="113">
        <f t="shared" si="27"/>
        <v>7490.63670411985</v>
      </c>
      <c r="H164" s="285">
        <v>2546.8164794007498</v>
      </c>
      <c r="I164" s="24">
        <v>3</v>
      </c>
      <c r="J164" s="287">
        <f t="shared" si="28"/>
        <v>7640.4494382022494</v>
      </c>
      <c r="K164" s="285">
        <v>2597.7528089887642</v>
      </c>
      <c r="L164" s="24">
        <v>3</v>
      </c>
      <c r="M164" s="287">
        <f t="shared" si="21"/>
        <v>7793.258426966293</v>
      </c>
      <c r="N164" s="113">
        <v>2649.7078651685392</v>
      </c>
      <c r="O164" s="24">
        <v>3</v>
      </c>
      <c r="P164" s="113">
        <f t="shared" si="25"/>
        <v>7949.1235955056181</v>
      </c>
      <c r="Q164" s="285">
        <v>2702.7020224719099</v>
      </c>
      <c r="R164" s="24">
        <v>3</v>
      </c>
      <c r="S164" s="287">
        <f t="shared" si="23"/>
        <v>8108.1060674157297</v>
      </c>
      <c r="T164" s="113">
        <v>2756.7560629213485</v>
      </c>
      <c r="U164" s="24">
        <v>3</v>
      </c>
      <c r="V164" s="113">
        <f t="shared" si="26"/>
        <v>8270.2681887640465</v>
      </c>
      <c r="W164" s="303">
        <f t="shared" si="30"/>
        <v>47251.842420973786</v>
      </c>
      <c r="X164" s="113"/>
      <c r="Z164" s="1"/>
      <c r="AA164" s="1"/>
      <c r="AB164" s="1"/>
      <c r="AC164" s="1"/>
      <c r="AD164" s="1"/>
      <c r="AE164" s="1"/>
      <c r="AF164" s="1"/>
    </row>
    <row r="165" spans="1:32" x14ac:dyDescent="0.3">
      <c r="A165" s="346"/>
      <c r="B165" s="347"/>
      <c r="C165" s="346"/>
      <c r="D165" s="24" t="s">
        <v>757</v>
      </c>
      <c r="E165" s="113">
        <v>2496.8789013732835</v>
      </c>
      <c r="F165" s="24">
        <v>4</v>
      </c>
      <c r="G165" s="113">
        <f t="shared" si="27"/>
        <v>9987.515605493134</v>
      </c>
      <c r="H165" s="285">
        <v>2546.8164794007498</v>
      </c>
      <c r="I165" s="24">
        <v>4</v>
      </c>
      <c r="J165" s="287">
        <f t="shared" si="28"/>
        <v>10187.265917602999</v>
      </c>
      <c r="K165" s="285">
        <v>2597.7528089887642</v>
      </c>
      <c r="L165" s="24">
        <v>4</v>
      </c>
      <c r="M165" s="287">
        <f t="shared" si="21"/>
        <v>10391.011235955057</v>
      </c>
      <c r="N165" s="113">
        <v>2649.7078651685392</v>
      </c>
      <c r="O165" s="24">
        <v>4</v>
      </c>
      <c r="P165" s="113">
        <f t="shared" si="25"/>
        <v>10598.831460674157</v>
      </c>
      <c r="Q165" s="285">
        <v>2702.7020224719099</v>
      </c>
      <c r="R165" s="24">
        <v>4</v>
      </c>
      <c r="S165" s="287">
        <f t="shared" si="23"/>
        <v>10810.80808988764</v>
      </c>
      <c r="T165" s="113">
        <v>2756.7560629213485</v>
      </c>
      <c r="U165" s="24">
        <v>4</v>
      </c>
      <c r="V165" s="113">
        <f t="shared" si="26"/>
        <v>11027.024251685394</v>
      </c>
      <c r="W165" s="303">
        <f t="shared" si="30"/>
        <v>63002.456561298372</v>
      </c>
      <c r="X165" s="113"/>
      <c r="Z165" s="1"/>
      <c r="AA165" s="1"/>
      <c r="AB165" s="1"/>
      <c r="AC165" s="1"/>
      <c r="AD165" s="1"/>
      <c r="AE165" s="1"/>
      <c r="AF165" s="1"/>
    </row>
    <row r="166" spans="1:32" x14ac:dyDescent="0.3">
      <c r="A166" s="346" t="s">
        <v>758</v>
      </c>
      <c r="B166" s="278" t="s">
        <v>27</v>
      </c>
      <c r="C166" s="277" t="s">
        <v>351</v>
      </c>
      <c r="D166" s="24" t="s">
        <v>759</v>
      </c>
      <c r="E166" s="113">
        <v>2000</v>
      </c>
      <c r="F166" s="24">
        <v>6</v>
      </c>
      <c r="G166" s="113">
        <f t="shared" si="27"/>
        <v>12000</v>
      </c>
      <c r="H166" s="285"/>
      <c r="J166" s="287">
        <f t="shared" si="28"/>
        <v>0</v>
      </c>
      <c r="K166" s="285"/>
      <c r="M166" s="287">
        <f t="shared" si="21"/>
        <v>0</v>
      </c>
      <c r="N166" s="113">
        <v>2122.4160000000002</v>
      </c>
      <c r="O166" s="24">
        <v>6</v>
      </c>
      <c r="P166" s="113">
        <f t="shared" si="25"/>
        <v>12734.496000000001</v>
      </c>
      <c r="Q166" s="285"/>
      <c r="S166" s="287">
        <f t="shared" si="23"/>
        <v>0</v>
      </c>
      <c r="V166" s="113">
        <f t="shared" si="26"/>
        <v>0</v>
      </c>
      <c r="W166" s="303">
        <f t="shared" si="30"/>
        <v>24734.495999999999</v>
      </c>
      <c r="X166" s="113">
        <f t="shared" si="16"/>
        <v>0</v>
      </c>
      <c r="Z166" s="1">
        <v>12000</v>
      </c>
      <c r="AA166" s="1">
        <v>0</v>
      </c>
      <c r="AB166" s="1">
        <v>0</v>
      </c>
      <c r="AC166" s="1">
        <v>12734.496000000001</v>
      </c>
      <c r="AD166" s="1">
        <v>0</v>
      </c>
      <c r="AE166" s="1">
        <v>0</v>
      </c>
      <c r="AF166" s="1">
        <f t="shared" si="31"/>
        <v>24734.495999999999</v>
      </c>
    </row>
    <row r="167" spans="1:32" ht="27.95" x14ac:dyDescent="0.3">
      <c r="A167" s="346"/>
      <c r="B167" s="278" t="s">
        <v>31</v>
      </c>
      <c r="C167" s="277" t="s">
        <v>354</v>
      </c>
      <c r="D167" s="24" t="s">
        <v>760</v>
      </c>
      <c r="E167" s="113">
        <v>1515.9621901194935</v>
      </c>
      <c r="F167" s="24">
        <v>8</v>
      </c>
      <c r="G167" s="113">
        <f t="shared" si="27"/>
        <v>12127.697520955948</v>
      </c>
      <c r="H167" s="285">
        <v>1546.2814339218833</v>
      </c>
      <c r="I167" s="24">
        <v>8</v>
      </c>
      <c r="J167" s="287">
        <f t="shared" si="28"/>
        <v>12370.251471375066</v>
      </c>
      <c r="K167" s="285">
        <v>1577.207062600321</v>
      </c>
      <c r="L167" s="24">
        <v>8</v>
      </c>
      <c r="M167" s="287">
        <f t="shared" si="21"/>
        <v>12617.656500802568</v>
      </c>
      <c r="N167" s="113">
        <v>1608.7512038523275</v>
      </c>
      <c r="O167" s="24">
        <v>8</v>
      </c>
      <c r="P167" s="113">
        <f t="shared" si="25"/>
        <v>12870.00963081862</v>
      </c>
      <c r="Q167" s="285">
        <v>1640.9262279293741</v>
      </c>
      <c r="R167" s="24">
        <v>8</v>
      </c>
      <c r="S167" s="287">
        <f t="shared" si="23"/>
        <v>13127.409823434993</v>
      </c>
      <c r="T167" s="113">
        <v>1673.7447524879617</v>
      </c>
      <c r="U167" s="24">
        <v>8</v>
      </c>
      <c r="V167" s="113">
        <f t="shared" si="26"/>
        <v>13389.958019903694</v>
      </c>
      <c r="W167" s="303">
        <f t="shared" si="30"/>
        <v>76502.982967290882</v>
      </c>
      <c r="X167" s="113">
        <f t="shared" si="16"/>
        <v>0</v>
      </c>
      <c r="Z167" s="1">
        <v>12127.697520955948</v>
      </c>
      <c r="AA167" s="1">
        <v>12370.251471375066</v>
      </c>
      <c r="AB167" s="1">
        <v>12617.656500802568</v>
      </c>
      <c r="AC167" s="1">
        <v>12870.00963081862</v>
      </c>
      <c r="AD167" s="1">
        <v>13127.409823434993</v>
      </c>
      <c r="AE167" s="1">
        <v>13389.958019903694</v>
      </c>
      <c r="AF167" s="1">
        <f t="shared" si="31"/>
        <v>76502.982967290882</v>
      </c>
    </row>
    <row r="168" spans="1:32" x14ac:dyDescent="0.3">
      <c r="A168" s="2"/>
      <c r="S168" s="287">
        <f t="shared" si="23"/>
        <v>0</v>
      </c>
      <c r="V168" s="113">
        <f t="shared" si="26"/>
        <v>0</v>
      </c>
      <c r="W168" s="113">
        <f>SUM(W3:W167)</f>
        <v>16975791.41357556</v>
      </c>
      <c r="X168" s="113">
        <f>SUM(X3:X167)</f>
        <v>-0.16156416208832525</v>
      </c>
      <c r="Z168" s="1"/>
      <c r="AA168" s="1"/>
      <c r="AB168" s="1"/>
      <c r="AC168" s="1"/>
      <c r="AD168" s="1"/>
      <c r="AE168" s="1"/>
      <c r="AF168" s="1"/>
    </row>
    <row r="169" spans="1:32" ht="14.55" thickBot="1" x14ac:dyDescent="0.35">
      <c r="X169" s="113">
        <f t="shared" ref="X169:X170" si="32">W169-AF169</f>
        <v>0</v>
      </c>
    </row>
    <row r="170" spans="1:32" x14ac:dyDescent="0.3">
      <c r="B170" s="289" t="s">
        <v>761</v>
      </c>
      <c r="C170" s="290"/>
      <c r="E170" s="291"/>
      <c r="X170" s="113">
        <f t="shared" si="32"/>
        <v>0</v>
      </c>
    </row>
    <row r="171" spans="1:32" x14ac:dyDescent="0.3">
      <c r="B171" s="292" t="s">
        <v>27</v>
      </c>
      <c r="C171" s="293">
        <f>SUM(W3:W4,W10,W14,W20,W24,W28:W30,W34,W39:W44,W54:W58,W66,W75:W80,W88:W93,W97:W99,W105,W112:W116,W122:W126,W133:W134,W137,W142,W149:W152,W155,W161,W166)</f>
        <v>11705836.316370293</v>
      </c>
      <c r="D171" s="302">
        <f>C171-'GCF Impl Template'!B316</f>
        <v>4.3536607176065445E-2</v>
      </c>
    </row>
    <row r="172" spans="1:32" x14ac:dyDescent="0.3">
      <c r="B172" s="292" t="s">
        <v>29</v>
      </c>
      <c r="C172" s="293">
        <f>SUM(W5,W8:W9,W16:W19,W21,W25,W31:W32,W36:W38,W45:W49,W59:W63,W67:W71,W81:W84,W100:W101,W106:W108,W117:W118,W127:W129,W135,W138:W140,W145:W148,W153,W156:W158,W163:W165)</f>
        <v>1934502.9896537883</v>
      </c>
      <c r="D172" s="302">
        <f>C172-'GCF Impl Template'!B317</f>
        <v>0</v>
      </c>
    </row>
    <row r="173" spans="1:32" ht="14.55" thickBot="1" x14ac:dyDescent="0.35">
      <c r="B173" s="294" t="s">
        <v>31</v>
      </c>
      <c r="C173" s="295">
        <f>SUM(W6:W7,W11:W13,W15,W22:W23,W26:W27,W33,W50:W53,W64:W65,W72:W74,W85:W87,W94:W96,W102:W104,W109:W111,W119:W121,W130:W132,W136,W141,W143:W144,W154,W159:W160,W162,W167,W35)</f>
        <v>3335452.1075514769</v>
      </c>
      <c r="D173" s="302">
        <f>C173-'GCF Impl Template'!B318</f>
        <v>-0.20510076778009534</v>
      </c>
    </row>
    <row r="174" spans="1:32" x14ac:dyDescent="0.3">
      <c r="C174" s="296">
        <f>SUM(C171:C173)</f>
        <v>16975791.41357556</v>
      </c>
    </row>
  </sheetData>
  <mergeCells count="115">
    <mergeCell ref="Z1:AF1"/>
    <mergeCell ref="A3:A7"/>
    <mergeCell ref="B3:B4"/>
    <mergeCell ref="C3:C4"/>
    <mergeCell ref="B6:B7"/>
    <mergeCell ref="C6:C7"/>
    <mergeCell ref="E1:G1"/>
    <mergeCell ref="H1:J1"/>
    <mergeCell ref="K1:M1"/>
    <mergeCell ref="N1:P1"/>
    <mergeCell ref="Q1:S1"/>
    <mergeCell ref="T1:V1"/>
    <mergeCell ref="A8:A13"/>
    <mergeCell ref="B8:B9"/>
    <mergeCell ref="C8:C9"/>
    <mergeCell ref="B11:B13"/>
    <mergeCell ref="C11:C13"/>
    <mergeCell ref="A14:A19"/>
    <mergeCell ref="B16:B19"/>
    <mergeCell ref="C16:C19"/>
    <mergeCell ref="W1:W2"/>
    <mergeCell ref="A20:A23"/>
    <mergeCell ref="B22:B23"/>
    <mergeCell ref="C22:C23"/>
    <mergeCell ref="A24:A27"/>
    <mergeCell ref="B26:B27"/>
    <mergeCell ref="A28:A33"/>
    <mergeCell ref="B28:B30"/>
    <mergeCell ref="C28:C30"/>
    <mergeCell ref="B31:B32"/>
    <mergeCell ref="C31:C32"/>
    <mergeCell ref="C26:C27"/>
    <mergeCell ref="A54:A65"/>
    <mergeCell ref="B54:B58"/>
    <mergeCell ref="C54:C58"/>
    <mergeCell ref="B59:B63"/>
    <mergeCell ref="C59:C63"/>
    <mergeCell ref="B64:B65"/>
    <mergeCell ref="A34:A38"/>
    <mergeCell ref="B36:B38"/>
    <mergeCell ref="C36:C38"/>
    <mergeCell ref="A39:A53"/>
    <mergeCell ref="B39:B44"/>
    <mergeCell ref="C39:C44"/>
    <mergeCell ref="B45:B49"/>
    <mergeCell ref="C45:C49"/>
    <mergeCell ref="B50:B53"/>
    <mergeCell ref="C50:C53"/>
    <mergeCell ref="C64:C65"/>
    <mergeCell ref="A66:A74"/>
    <mergeCell ref="B67:B71"/>
    <mergeCell ref="C67:C71"/>
    <mergeCell ref="B72:B74"/>
    <mergeCell ref="C72:C74"/>
    <mergeCell ref="A75:A87"/>
    <mergeCell ref="B75:B80"/>
    <mergeCell ref="C75:C80"/>
    <mergeCell ref="B81:B84"/>
    <mergeCell ref="C81:C84"/>
    <mergeCell ref="A97:A104"/>
    <mergeCell ref="B97:B99"/>
    <mergeCell ref="C97:C99"/>
    <mergeCell ref="B100:B101"/>
    <mergeCell ref="C100:C101"/>
    <mergeCell ref="B102:B104"/>
    <mergeCell ref="C102:C104"/>
    <mergeCell ref="B85:B87"/>
    <mergeCell ref="C85:C87"/>
    <mergeCell ref="A88:A96"/>
    <mergeCell ref="B88:B93"/>
    <mergeCell ref="C88:C93"/>
    <mergeCell ref="B94:B96"/>
    <mergeCell ref="C94:C96"/>
    <mergeCell ref="A105:A111"/>
    <mergeCell ref="B106:B108"/>
    <mergeCell ref="C106:C108"/>
    <mergeCell ref="B109:B111"/>
    <mergeCell ref="C109:C111"/>
    <mergeCell ref="A112:A121"/>
    <mergeCell ref="B112:B116"/>
    <mergeCell ref="C112:C116"/>
    <mergeCell ref="B117:B118"/>
    <mergeCell ref="C117:C118"/>
    <mergeCell ref="B119:B121"/>
    <mergeCell ref="C119:C121"/>
    <mergeCell ref="A122:A132"/>
    <mergeCell ref="B122:B126"/>
    <mergeCell ref="C122:C126"/>
    <mergeCell ref="B127:B129"/>
    <mergeCell ref="C127:C129"/>
    <mergeCell ref="B130:B132"/>
    <mergeCell ref="C130:C132"/>
    <mergeCell ref="A142:A148"/>
    <mergeCell ref="B143:B144"/>
    <mergeCell ref="C143:C144"/>
    <mergeCell ref="B145:B148"/>
    <mergeCell ref="C145:C148"/>
    <mergeCell ref="A149:A154"/>
    <mergeCell ref="B149:B152"/>
    <mergeCell ref="C149:C152"/>
    <mergeCell ref="A133:A136"/>
    <mergeCell ref="B133:B134"/>
    <mergeCell ref="C133:C134"/>
    <mergeCell ref="A137:A141"/>
    <mergeCell ref="B138:B140"/>
    <mergeCell ref="C138:C140"/>
    <mergeCell ref="A166:A167"/>
    <mergeCell ref="A155:A160"/>
    <mergeCell ref="B156:B158"/>
    <mergeCell ref="C156:C158"/>
    <mergeCell ref="B159:B160"/>
    <mergeCell ref="C159:C160"/>
    <mergeCell ref="A161:A165"/>
    <mergeCell ref="B163:B165"/>
    <mergeCell ref="C163:C165"/>
  </mergeCells>
  <phoneticPr fontId="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D59625-6ECC-4582-975A-B209CDC7B131}">
  <ds:schemaRefs>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f2844995-cdd3-4b84-8a36-4777d508a2d3"/>
    <ds:schemaRef ds:uri="a4204759-ddd3-4609-89f2-dbd4a466477f"/>
    <ds:schemaRef ds:uri="http://schemas.microsoft.com/sharepoint/v3"/>
    <ds:schemaRef ds:uri="http://www.w3.org/XML/1998/namespace"/>
  </ds:schemaRefs>
</ds:datastoreItem>
</file>

<file path=customXml/itemProps2.xml><?xml version="1.0" encoding="utf-8"?>
<ds:datastoreItem xmlns:ds="http://schemas.openxmlformats.org/officeDocument/2006/customXml" ds:itemID="{557D9E4C-E1DE-46A3-B97B-7BDDC6657DC0}">
  <ds:schemaRefs>
    <ds:schemaRef ds:uri="http://schemas.microsoft.com/sharepoint/v3/contenttype/forms"/>
  </ds:schemaRefs>
</ds:datastoreItem>
</file>

<file path=customXml/itemProps3.xml><?xml version="1.0" encoding="utf-8"?>
<ds:datastoreItem xmlns:ds="http://schemas.openxmlformats.org/officeDocument/2006/customXml" ds:itemID="{78871D22-DB8E-4C0F-8E13-64D9EF298B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GCF Impl Template</vt:lpstr>
      <vt:lpstr>Assumptions Tab</vt:lpstr>
      <vt:lpstr>Staff Activity Breakdown</vt:lpstr>
      <vt:lpstr>TWC, Eq, Travel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Anastasia Mee</dc:creator>
  <cp:keywords/>
  <dc:description/>
  <cp:lastModifiedBy>Grace Eunhye Lee</cp:lastModifiedBy>
  <cp:revision/>
  <dcterms:created xsi:type="dcterms:W3CDTF">2021-08-13T01:37:33Z</dcterms:created>
  <dcterms:modified xsi:type="dcterms:W3CDTF">2022-04-22T03:54:35Z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