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C:\Users\acer\Dropbox\MESI\2021\IFAD\IFADOctober\Minigrids\November\Investor\"/>
    </mc:Choice>
  </mc:AlternateContent>
  <xr:revisionPtr revIDLastSave="0" documentId="13_ncr:1_{76DD1BE8-E337-4B06-92F9-31AA41891B5C}" xr6:coauthVersionLast="47" xr6:coauthVersionMax="47" xr10:uidLastSave="{00000000-0000-0000-0000-000000000000}"/>
  <bookViews>
    <workbookView xWindow="-120" yWindow="-120" windowWidth="20730" windowHeight="11160" firstSheet="3" activeTab="6" xr2:uid="{3B738C3B-5D9C-48C7-8547-50B2D911D36F}"/>
  </bookViews>
  <sheets>
    <sheet name="Summary of Results" sheetId="30" r:id="rId1"/>
    <sheet name="Minigrids - BF" sheetId="2" r:id="rId2"/>
    <sheet name="Minigrids - GH" sheetId="32" r:id="rId3"/>
    <sheet name="Minigrids - CIV" sheetId="33" r:id="rId4"/>
    <sheet name="Minigrids - ML" sheetId="34" r:id="rId5"/>
    <sheet name="Minigrids - SN" sheetId="35" r:id="rId6"/>
    <sheet name="Minigrids - 1 item" sheetId="31" r:id="rId7"/>
    <sheet name="Interventions" sheetId="1" r:id="rId8"/>
    <sheet name="Minigrids - Parity" sheetId="36" r:id="rId9"/>
    <sheet name="Minigrids -20% revenues" sheetId="37" r:id="rId10"/>
    <sheet name="Carbon avoided" sheetId="38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62" i="31" l="1"/>
  <c r="B129" i="31"/>
  <c r="B96" i="31"/>
  <c r="B63" i="31"/>
  <c r="B30" i="31"/>
  <c r="I14" i="1"/>
  <c r="H14" i="1"/>
  <c r="G14" i="1"/>
  <c r="F14" i="1"/>
  <c r="E14" i="1"/>
  <c r="I13" i="1"/>
  <c r="H13" i="1"/>
  <c r="G13" i="1"/>
  <c r="F13" i="1"/>
  <c r="E13" i="1"/>
  <c r="F9" i="38"/>
  <c r="G9" i="38"/>
  <c r="H9" i="38"/>
  <c r="I9" i="38"/>
  <c r="J9" i="38"/>
  <c r="K9" i="38"/>
  <c r="L9" i="38"/>
  <c r="M9" i="38"/>
  <c r="N9" i="38"/>
  <c r="O9" i="38"/>
  <c r="P9" i="38"/>
  <c r="Q9" i="38"/>
  <c r="R9" i="38"/>
  <c r="S9" i="38"/>
  <c r="T9" i="38"/>
  <c r="U9" i="38"/>
  <c r="V9" i="38"/>
  <c r="W9" i="38"/>
  <c r="X9" i="38"/>
  <c r="Y9" i="38"/>
  <c r="Z9" i="38"/>
  <c r="AA9" i="38"/>
  <c r="AB9" i="38"/>
  <c r="AC9" i="38"/>
  <c r="E9" i="38"/>
  <c r="C34" i="2"/>
  <c r="C34" i="32"/>
  <c r="C34" i="33"/>
  <c r="C34" i="34"/>
  <c r="C20" i="31"/>
  <c r="C53" i="31"/>
  <c r="C86" i="31"/>
  <c r="C119" i="31"/>
  <c r="C152" i="31"/>
  <c r="Y5" i="38" l="1"/>
  <c r="Z5" i="38" s="1"/>
  <c r="Y12" i="38"/>
  <c r="X111" i="31" s="1"/>
  <c r="X144" i="31" l="1"/>
  <c r="X12" i="31"/>
  <c r="X78" i="31"/>
  <c r="X45" i="31"/>
  <c r="AA5" i="38"/>
  <c r="Z12" i="38"/>
  <c r="E5" i="38"/>
  <c r="F5" i="38" s="1"/>
  <c r="Y12" i="31" l="1"/>
  <c r="Y144" i="31"/>
  <c r="Y45" i="31"/>
  <c r="Y111" i="31"/>
  <c r="Y78" i="31"/>
  <c r="AA12" i="38"/>
  <c r="AB5" i="38"/>
  <c r="E12" i="38"/>
  <c r="G5" i="38"/>
  <c r="F12" i="38"/>
  <c r="D144" i="31" l="1"/>
  <c r="D78" i="31"/>
  <c r="D12" i="31"/>
  <c r="D111" i="31"/>
  <c r="D45" i="31"/>
  <c r="E144" i="31"/>
  <c r="E78" i="31"/>
  <c r="E12" i="31"/>
  <c r="E111" i="31"/>
  <c r="E45" i="31"/>
  <c r="Z12" i="31"/>
  <c r="Z45" i="31"/>
  <c r="Z78" i="31"/>
  <c r="Z144" i="31"/>
  <c r="Z111" i="31"/>
  <c r="AC5" i="38"/>
  <c r="AC12" i="38" s="1"/>
  <c r="AB12" i="38"/>
  <c r="H5" i="38"/>
  <c r="G12" i="38"/>
  <c r="AB12" i="31" l="1"/>
  <c r="AB111" i="31"/>
  <c r="AB144" i="31"/>
  <c r="AB78" i="31"/>
  <c r="AB45" i="31"/>
  <c r="F45" i="31"/>
  <c r="F12" i="31"/>
  <c r="F111" i="31"/>
  <c r="F144" i="31"/>
  <c r="F78" i="31"/>
  <c r="AA12" i="31"/>
  <c r="AA78" i="31"/>
  <c r="AA45" i="31"/>
  <c r="AA111" i="31"/>
  <c r="AA144" i="31"/>
  <c r="H12" i="38"/>
  <c r="I5" i="38"/>
  <c r="G78" i="31" l="1"/>
  <c r="G45" i="31"/>
  <c r="G12" i="31"/>
  <c r="G111" i="31"/>
  <c r="G144" i="31"/>
  <c r="I12" i="38"/>
  <c r="J5" i="38"/>
  <c r="H111" i="31" l="1"/>
  <c r="H78" i="31"/>
  <c r="H45" i="31"/>
  <c r="H12" i="31"/>
  <c r="H144" i="31"/>
  <c r="K5" i="38"/>
  <c r="J12" i="38"/>
  <c r="I144" i="31" l="1"/>
  <c r="I45" i="31"/>
  <c r="I111" i="31"/>
  <c r="I78" i="31"/>
  <c r="I12" i="31"/>
  <c r="L5" i="38"/>
  <c r="K12" i="38"/>
  <c r="J45" i="31" l="1"/>
  <c r="J12" i="31"/>
  <c r="J78" i="31"/>
  <c r="J144" i="31"/>
  <c r="J111" i="31"/>
  <c r="L12" i="38"/>
  <c r="M5" i="38"/>
  <c r="K78" i="31" l="1"/>
  <c r="K144" i="31"/>
  <c r="K111" i="31"/>
  <c r="K45" i="31"/>
  <c r="K12" i="31"/>
  <c r="M12" i="38"/>
  <c r="N5" i="38"/>
  <c r="L111" i="31" l="1"/>
  <c r="L45" i="31"/>
  <c r="L78" i="31"/>
  <c r="L12" i="31"/>
  <c r="L144" i="31"/>
  <c r="O5" i="38"/>
  <c r="N12" i="38"/>
  <c r="M144" i="31" l="1"/>
  <c r="M78" i="31"/>
  <c r="M12" i="31"/>
  <c r="M111" i="31"/>
  <c r="M45" i="31"/>
  <c r="P5" i="38"/>
  <c r="O12" i="38"/>
  <c r="N45" i="31" l="1"/>
  <c r="N12" i="31"/>
  <c r="N111" i="31"/>
  <c r="N78" i="31"/>
  <c r="N144" i="31"/>
  <c r="P12" i="38"/>
  <c r="Q5" i="38"/>
  <c r="O78" i="31" l="1"/>
  <c r="O12" i="31"/>
  <c r="O111" i="31"/>
  <c r="O45" i="31"/>
  <c r="O144" i="31"/>
  <c r="R5" i="38"/>
  <c r="Q12" i="38"/>
  <c r="P111" i="31" l="1"/>
  <c r="P78" i="31"/>
  <c r="P45" i="31"/>
  <c r="P12" i="31"/>
  <c r="P144" i="31"/>
  <c r="S5" i="38"/>
  <c r="R12" i="38"/>
  <c r="Q144" i="31" l="1"/>
  <c r="Q45" i="31"/>
  <c r="Q111" i="31"/>
  <c r="Q78" i="31"/>
  <c r="Q12" i="31"/>
  <c r="T5" i="38"/>
  <c r="S12" i="38"/>
  <c r="R45" i="31" l="1"/>
  <c r="R12" i="31"/>
  <c r="R78" i="31"/>
  <c r="R144" i="31"/>
  <c r="R111" i="31"/>
  <c r="T12" i="38"/>
  <c r="U5" i="38"/>
  <c r="S78" i="31" l="1"/>
  <c r="S45" i="31"/>
  <c r="S12" i="31"/>
  <c r="S111" i="31"/>
  <c r="S144" i="31"/>
  <c r="U12" i="38"/>
  <c r="V5" i="38"/>
  <c r="T111" i="31" l="1"/>
  <c r="T144" i="31"/>
  <c r="T78" i="31"/>
  <c r="T45" i="31"/>
  <c r="T12" i="31"/>
  <c r="W5" i="38"/>
  <c r="V12" i="38"/>
  <c r="U144" i="31" l="1"/>
  <c r="U78" i="31"/>
  <c r="U12" i="31"/>
  <c r="U111" i="31"/>
  <c r="U45" i="31"/>
  <c r="X5" i="38"/>
  <c r="W12" i="38"/>
  <c r="V45" i="31" l="1"/>
  <c r="V12" i="31"/>
  <c r="V111" i="31"/>
  <c r="V144" i="31"/>
  <c r="V78" i="31"/>
  <c r="X12" i="38"/>
  <c r="W78" i="31" l="1"/>
  <c r="AC78" i="31" s="1"/>
  <c r="W12" i="31"/>
  <c r="AC12" i="31" s="1"/>
  <c r="W45" i="31"/>
  <c r="AC45" i="31" s="1"/>
  <c r="W144" i="31"/>
  <c r="AC144" i="31" s="1"/>
  <c r="W111" i="31"/>
  <c r="AC111" i="31" s="1"/>
  <c r="E48" i="37"/>
  <c r="E38" i="37"/>
  <c r="E28" i="37"/>
  <c r="E18" i="37"/>
  <c r="E8" i="37"/>
  <c r="C7" i="30"/>
  <c r="C6" i="30"/>
  <c r="C5" i="30"/>
  <c r="C4" i="30"/>
  <c r="C3" i="30"/>
  <c r="C3" i="33"/>
  <c r="C3" i="32"/>
  <c r="C3" i="35"/>
  <c r="C3" i="34"/>
  <c r="C3" i="2"/>
  <c r="E145" i="31" l="1"/>
  <c r="F145" i="31"/>
  <c r="G145" i="31"/>
  <c r="AC145" i="31" s="1"/>
  <c r="H145" i="31"/>
  <c r="I145" i="31"/>
  <c r="J145" i="31"/>
  <c r="K145" i="31"/>
  <c r="L145" i="31"/>
  <c r="M145" i="31"/>
  <c r="N145" i="31"/>
  <c r="O145" i="31"/>
  <c r="P145" i="31"/>
  <c r="Q145" i="31"/>
  <c r="R145" i="31"/>
  <c r="S145" i="31"/>
  <c r="T145" i="31"/>
  <c r="U145" i="31"/>
  <c r="V145" i="31"/>
  <c r="W145" i="31"/>
  <c r="X145" i="31"/>
  <c r="Y145" i="31"/>
  <c r="Z145" i="31"/>
  <c r="AA145" i="31"/>
  <c r="AB145" i="31"/>
  <c r="D145" i="31"/>
  <c r="E112" i="31"/>
  <c r="F112" i="31"/>
  <c r="G112" i="31"/>
  <c r="H112" i="31"/>
  <c r="I112" i="31"/>
  <c r="J112" i="31"/>
  <c r="K112" i="31"/>
  <c r="L112" i="31"/>
  <c r="M112" i="31"/>
  <c r="N112" i="31"/>
  <c r="O112" i="31"/>
  <c r="P112" i="31"/>
  <c r="Q112" i="31"/>
  <c r="R112" i="31"/>
  <c r="S112" i="31"/>
  <c r="T112" i="31"/>
  <c r="U112" i="31"/>
  <c r="V112" i="31"/>
  <c r="W112" i="31"/>
  <c r="X112" i="31"/>
  <c r="Y112" i="31"/>
  <c r="Z112" i="31"/>
  <c r="AA112" i="31"/>
  <c r="AB112" i="31"/>
  <c r="D112" i="31"/>
  <c r="AC112" i="31" s="1"/>
  <c r="E79" i="31"/>
  <c r="F79" i="31"/>
  <c r="G79" i="31"/>
  <c r="H79" i="31"/>
  <c r="I79" i="31"/>
  <c r="J79" i="31"/>
  <c r="K79" i="31"/>
  <c r="L79" i="31"/>
  <c r="M79" i="31"/>
  <c r="N79" i="31"/>
  <c r="O79" i="31"/>
  <c r="P79" i="31"/>
  <c r="Q79" i="31"/>
  <c r="R79" i="31"/>
  <c r="S79" i="31"/>
  <c r="T79" i="31"/>
  <c r="U79" i="31"/>
  <c r="V79" i="31"/>
  <c r="W79" i="31"/>
  <c r="X79" i="31"/>
  <c r="Y79" i="31"/>
  <c r="Z79" i="31"/>
  <c r="AA79" i="31"/>
  <c r="AB79" i="31"/>
  <c r="D79" i="31"/>
  <c r="AC79" i="31" s="1"/>
  <c r="E46" i="31"/>
  <c r="F46" i="31"/>
  <c r="G46" i="31"/>
  <c r="H46" i="31"/>
  <c r="AC46" i="31" s="1"/>
  <c r="I46" i="31"/>
  <c r="J46" i="31"/>
  <c r="K46" i="31"/>
  <c r="L46" i="31"/>
  <c r="M46" i="31"/>
  <c r="N46" i="31"/>
  <c r="O46" i="31"/>
  <c r="P46" i="31"/>
  <c r="Q46" i="31"/>
  <c r="R46" i="31"/>
  <c r="S46" i="31"/>
  <c r="T46" i="31"/>
  <c r="U46" i="31"/>
  <c r="V46" i="31"/>
  <c r="W46" i="31"/>
  <c r="X46" i="31"/>
  <c r="Y46" i="31"/>
  <c r="Z46" i="31"/>
  <c r="AA46" i="31"/>
  <c r="AB46" i="31"/>
  <c r="D46" i="31"/>
  <c r="E13" i="31" l="1"/>
  <c r="F13" i="31"/>
  <c r="G13" i="31"/>
  <c r="H13" i="31"/>
  <c r="I13" i="31"/>
  <c r="J13" i="31"/>
  <c r="K13" i="31"/>
  <c r="L13" i="31"/>
  <c r="M13" i="31"/>
  <c r="N13" i="31"/>
  <c r="O13" i="31"/>
  <c r="P13" i="31"/>
  <c r="Q13" i="31"/>
  <c r="R13" i="31"/>
  <c r="S13" i="31"/>
  <c r="T13" i="31"/>
  <c r="U13" i="31"/>
  <c r="V13" i="31"/>
  <c r="W13" i="31"/>
  <c r="X13" i="31"/>
  <c r="Y13" i="31"/>
  <c r="Z13" i="31"/>
  <c r="AA13" i="31"/>
  <c r="AB13" i="31"/>
  <c r="D13" i="31"/>
  <c r="AC13" i="31" s="1"/>
  <c r="F10" i="1"/>
  <c r="G10" i="1"/>
  <c r="H10" i="1"/>
  <c r="I10" i="1"/>
  <c r="E10" i="1"/>
  <c r="C95" i="33"/>
  <c r="I91" i="33"/>
  <c r="J90" i="33"/>
  <c r="H88" i="33"/>
  <c r="I87" i="33"/>
  <c r="J87" i="33" s="1"/>
  <c r="G85" i="33"/>
  <c r="H84" i="33"/>
  <c r="H85" i="33" s="1"/>
  <c r="F82" i="33"/>
  <c r="A82" i="33"/>
  <c r="A85" i="33" s="1"/>
  <c r="A88" i="33" s="1"/>
  <c r="A91" i="33" s="1"/>
  <c r="G81" i="33"/>
  <c r="E79" i="33"/>
  <c r="A79" i="33"/>
  <c r="F78" i="33"/>
  <c r="F79" i="33" s="1"/>
  <c r="D76" i="33"/>
  <c r="F75" i="33"/>
  <c r="E75" i="33"/>
  <c r="E76" i="33" s="1"/>
  <c r="AH72" i="33"/>
  <c r="AG72" i="33"/>
  <c r="AF72" i="33"/>
  <c r="AE72" i="33"/>
  <c r="AD72" i="33"/>
  <c r="AC72" i="33"/>
  <c r="AB72" i="33"/>
  <c r="AA72" i="33"/>
  <c r="Z72" i="33"/>
  <c r="Y72" i="33"/>
  <c r="X72" i="33"/>
  <c r="W72" i="33"/>
  <c r="V72" i="33"/>
  <c r="U72" i="33"/>
  <c r="T72" i="33"/>
  <c r="S72" i="33"/>
  <c r="R72" i="33"/>
  <c r="Q72" i="33"/>
  <c r="P72" i="33"/>
  <c r="O72" i="33"/>
  <c r="N72" i="33"/>
  <c r="M72" i="33"/>
  <c r="L72" i="33"/>
  <c r="K72" i="33"/>
  <c r="J72" i="33"/>
  <c r="I72" i="33"/>
  <c r="C71" i="33"/>
  <c r="C97" i="33" s="1"/>
  <c r="D70" i="33"/>
  <c r="C70" i="33"/>
  <c r="C94" i="33"/>
  <c r="C96" i="33" s="1"/>
  <c r="C98" i="33" s="1"/>
  <c r="C100" i="33" s="1"/>
  <c r="C30" i="33"/>
  <c r="C40" i="33" s="1"/>
  <c r="C25" i="33"/>
  <c r="C16" i="33"/>
  <c r="C15" i="33"/>
  <c r="AH10" i="33"/>
  <c r="AG10" i="33"/>
  <c r="AF10" i="33"/>
  <c r="AE10" i="33"/>
  <c r="AD10" i="33"/>
  <c r="AC10" i="33"/>
  <c r="AB10" i="33"/>
  <c r="AA10" i="33"/>
  <c r="Z10" i="33"/>
  <c r="Y10" i="33"/>
  <c r="X10" i="33"/>
  <c r="W10" i="33"/>
  <c r="V10" i="33"/>
  <c r="U10" i="33"/>
  <c r="T10" i="33"/>
  <c r="S10" i="33"/>
  <c r="R10" i="33"/>
  <c r="Q10" i="33"/>
  <c r="P10" i="33"/>
  <c r="O10" i="33"/>
  <c r="N10" i="33"/>
  <c r="M10" i="33"/>
  <c r="L10" i="33"/>
  <c r="K10" i="33"/>
  <c r="J10" i="33"/>
  <c r="I10" i="33"/>
  <c r="H10" i="33"/>
  <c r="G10" i="33"/>
  <c r="F10" i="33"/>
  <c r="E10" i="33"/>
  <c r="D10" i="33"/>
  <c r="C10" i="33"/>
  <c r="AH8" i="33"/>
  <c r="AG8" i="33"/>
  <c r="AF8" i="33"/>
  <c r="AE8" i="33"/>
  <c r="AD8" i="33"/>
  <c r="AC8" i="33"/>
  <c r="AB8" i="33"/>
  <c r="AA8" i="33"/>
  <c r="Z8" i="33"/>
  <c r="Y8" i="33"/>
  <c r="X8" i="33"/>
  <c r="W8" i="33"/>
  <c r="V8" i="33"/>
  <c r="U8" i="33"/>
  <c r="T8" i="33"/>
  <c r="S8" i="33"/>
  <c r="R8" i="33"/>
  <c r="Q8" i="33"/>
  <c r="P8" i="33"/>
  <c r="O8" i="33"/>
  <c r="N8" i="33"/>
  <c r="M8" i="33"/>
  <c r="L8" i="33"/>
  <c r="K8" i="33"/>
  <c r="J8" i="33"/>
  <c r="I8" i="33"/>
  <c r="H8" i="33"/>
  <c r="G8" i="33"/>
  <c r="F8" i="33"/>
  <c r="E8" i="33"/>
  <c r="D8" i="33"/>
  <c r="C8" i="33"/>
  <c r="C46" i="33" s="1"/>
  <c r="C42" i="33" l="1"/>
  <c r="C24" i="33"/>
  <c r="C72" i="33" s="1"/>
  <c r="E70" i="33"/>
  <c r="C45" i="33"/>
  <c r="C57" i="33" s="1"/>
  <c r="F76" i="33"/>
  <c r="F70" i="33" s="1"/>
  <c r="G75" i="33"/>
  <c r="I88" i="33"/>
  <c r="F77" i="33"/>
  <c r="G77" i="33"/>
  <c r="E77" i="33"/>
  <c r="D77" i="33"/>
  <c r="D71" i="33" s="1"/>
  <c r="D97" i="33" s="1"/>
  <c r="C43" i="33"/>
  <c r="K87" i="33"/>
  <c r="C47" i="33"/>
  <c r="C101" i="33"/>
  <c r="C102" i="33" s="1"/>
  <c r="C53" i="33"/>
  <c r="H81" i="33"/>
  <c r="G82" i="33"/>
  <c r="G78" i="33"/>
  <c r="I84" i="33"/>
  <c r="J91" i="33"/>
  <c r="K90" i="33"/>
  <c r="L87" i="33" l="1"/>
  <c r="H75" i="33"/>
  <c r="G76" i="33"/>
  <c r="H77" i="33" s="1"/>
  <c r="L90" i="33"/>
  <c r="H78" i="33"/>
  <c r="C112" i="33"/>
  <c r="C110" i="33"/>
  <c r="C108" i="33"/>
  <c r="C103" i="33"/>
  <c r="C104" i="33" s="1"/>
  <c r="C48" i="33"/>
  <c r="C55" i="33"/>
  <c r="J84" i="33"/>
  <c r="I81" i="33"/>
  <c r="H76" i="33" l="1"/>
  <c r="I75" i="33"/>
  <c r="I78" i="33"/>
  <c r="M90" i="33"/>
  <c r="M87" i="33"/>
  <c r="J81" i="33"/>
  <c r="K84" i="33"/>
  <c r="L84" i="33" l="1"/>
  <c r="N87" i="33"/>
  <c r="K81" i="33"/>
  <c r="J78" i="33"/>
  <c r="I77" i="33"/>
  <c r="N90" i="33"/>
  <c r="I76" i="33"/>
  <c r="J75" i="33"/>
  <c r="J76" i="33" l="1"/>
  <c r="K77" i="33" s="1"/>
  <c r="K75" i="33"/>
  <c r="K78" i="33"/>
  <c r="O87" i="33"/>
  <c r="M84" i="33"/>
  <c r="L81" i="33"/>
  <c r="J77" i="33"/>
  <c r="O90" i="33"/>
  <c r="N84" i="33" l="1"/>
  <c r="P90" i="33"/>
  <c r="M81" i="33"/>
  <c r="K76" i="33"/>
  <c r="L77" i="33" s="1"/>
  <c r="L75" i="33"/>
  <c r="L78" i="33"/>
  <c r="P87" i="33"/>
  <c r="Q87" i="33" l="1"/>
  <c r="M75" i="33"/>
  <c r="L76" i="33"/>
  <c r="M77" i="33" s="1"/>
  <c r="N81" i="33"/>
  <c r="O84" i="33"/>
  <c r="M78" i="33"/>
  <c r="Q90" i="33"/>
  <c r="R90" i="33" l="1"/>
  <c r="N78" i="33"/>
  <c r="R87" i="33"/>
  <c r="M76" i="33"/>
  <c r="N75" i="33"/>
  <c r="P84" i="33"/>
  <c r="O81" i="33"/>
  <c r="O75" i="33" l="1"/>
  <c r="N76" i="33"/>
  <c r="S87" i="33"/>
  <c r="S90" i="33"/>
  <c r="Q84" i="33"/>
  <c r="N77" i="33"/>
  <c r="P81" i="33"/>
  <c r="O78" i="33"/>
  <c r="O77" i="33" l="1"/>
  <c r="R84" i="33"/>
  <c r="T90" i="33"/>
  <c r="P75" i="33"/>
  <c r="O76" i="33"/>
  <c r="Q81" i="33"/>
  <c r="P78" i="33"/>
  <c r="T87" i="33"/>
  <c r="U90" i="33" l="1"/>
  <c r="U87" i="33"/>
  <c r="Q78" i="33"/>
  <c r="P77" i="33"/>
  <c r="S84" i="33"/>
  <c r="R81" i="33"/>
  <c r="P76" i="33"/>
  <c r="Q75" i="33"/>
  <c r="Q76" i="33" l="1"/>
  <c r="R75" i="33"/>
  <c r="R78" i="33"/>
  <c r="V90" i="33"/>
  <c r="Q77" i="33"/>
  <c r="S81" i="33"/>
  <c r="T84" i="33"/>
  <c r="V87" i="33"/>
  <c r="T81" i="33" l="1"/>
  <c r="U84" i="33"/>
  <c r="S78" i="33"/>
  <c r="W90" i="33"/>
  <c r="R77" i="33"/>
  <c r="W87" i="33"/>
  <c r="S75" i="33"/>
  <c r="R76" i="33"/>
  <c r="U81" i="33" l="1"/>
  <c r="X90" i="33"/>
  <c r="T75" i="33"/>
  <c r="S76" i="33"/>
  <c r="X87" i="33"/>
  <c r="T78" i="33"/>
  <c r="S77" i="33"/>
  <c r="V84" i="33"/>
  <c r="T76" i="33" l="1"/>
  <c r="U75" i="33"/>
  <c r="Y90" i="33"/>
  <c r="W84" i="33"/>
  <c r="V81" i="33"/>
  <c r="U78" i="33"/>
  <c r="Y87" i="33"/>
  <c r="T77" i="33"/>
  <c r="Z87" i="33" l="1"/>
  <c r="U77" i="33"/>
  <c r="W81" i="33"/>
  <c r="V78" i="33"/>
  <c r="Z90" i="33"/>
  <c r="X84" i="33"/>
  <c r="U76" i="33"/>
  <c r="V75" i="33"/>
  <c r="AA90" i="33" l="1"/>
  <c r="Y84" i="33"/>
  <c r="X81" i="33"/>
  <c r="AA87" i="33"/>
  <c r="V76" i="33"/>
  <c r="W75" i="33"/>
  <c r="V77" i="33"/>
  <c r="W78" i="33"/>
  <c r="Z84" i="33" l="1"/>
  <c r="AB90" i="33"/>
  <c r="X75" i="33"/>
  <c r="W76" i="33"/>
  <c r="X78" i="33"/>
  <c r="W77" i="33"/>
  <c r="AB87" i="33"/>
  <c r="Y81" i="33"/>
  <c r="AC87" i="33" l="1"/>
  <c r="Y78" i="33"/>
  <c r="X76" i="33"/>
  <c r="Y75" i="33"/>
  <c r="AC90" i="33"/>
  <c r="Z81" i="33"/>
  <c r="AA84" i="33"/>
  <c r="X77" i="33"/>
  <c r="AB84" i="33" l="1"/>
  <c r="AA81" i="33"/>
  <c r="Z78" i="33"/>
  <c r="Y77" i="33"/>
  <c r="AD87" i="33"/>
  <c r="AD90" i="33"/>
  <c r="Y76" i="33"/>
  <c r="Z75" i="33"/>
  <c r="AE90" i="33" l="1"/>
  <c r="AC84" i="33"/>
  <c r="Z76" i="33"/>
  <c r="AA75" i="33"/>
  <c r="AE87" i="33"/>
  <c r="AA78" i="33"/>
  <c r="Z77" i="33"/>
  <c r="AB81" i="33"/>
  <c r="AA76" i="33" l="1"/>
  <c r="AB75" i="33"/>
  <c r="AF90" i="33"/>
  <c r="AA77" i="33"/>
  <c r="AC81" i="33"/>
  <c r="AB78" i="33"/>
  <c r="AD84" i="33"/>
  <c r="AF87" i="33"/>
  <c r="AG87" i="33" l="1"/>
  <c r="AE84" i="33"/>
  <c r="AD81" i="33"/>
  <c r="AG90" i="33"/>
  <c r="AC78" i="33"/>
  <c r="AC75" i="33"/>
  <c r="AB76" i="33"/>
  <c r="AB77" i="33"/>
  <c r="AE81" i="33" l="1"/>
  <c r="AH87" i="33"/>
  <c r="AC76" i="33"/>
  <c r="AD75" i="33"/>
  <c r="AC77" i="33"/>
  <c r="AD78" i="33"/>
  <c r="AH90" i="33"/>
  <c r="AF84" i="33"/>
  <c r="AE78" i="33" l="1"/>
  <c r="AF81" i="33"/>
  <c r="AE75" i="33"/>
  <c r="AD76" i="33"/>
  <c r="AG84" i="33"/>
  <c r="AD77" i="33"/>
  <c r="AF78" i="33" l="1"/>
  <c r="AG81" i="33"/>
  <c r="AE77" i="33"/>
  <c r="AH84" i="33"/>
  <c r="AF75" i="33"/>
  <c r="AE76" i="33"/>
  <c r="AF77" i="33" l="1"/>
  <c r="AG78" i="33"/>
  <c r="AF76" i="33"/>
  <c r="AG75" i="33"/>
  <c r="AH81" i="33"/>
  <c r="AG77" i="33" l="1"/>
  <c r="AH78" i="33"/>
  <c r="AG76" i="33"/>
  <c r="AH75" i="33"/>
  <c r="AH76" i="33" l="1"/>
  <c r="AH77" i="33"/>
  <c r="C95" i="32" l="1"/>
  <c r="I91" i="32"/>
  <c r="J90" i="32"/>
  <c r="H88" i="32"/>
  <c r="K87" i="32"/>
  <c r="L87" i="32" s="1"/>
  <c r="J87" i="32"/>
  <c r="I87" i="32"/>
  <c r="I88" i="32" s="1"/>
  <c r="H85" i="32"/>
  <c r="G85" i="32"/>
  <c r="J84" i="32"/>
  <c r="I84" i="32"/>
  <c r="H84" i="32"/>
  <c r="F82" i="32"/>
  <c r="A82" i="32"/>
  <c r="A85" i="32" s="1"/>
  <c r="A88" i="32" s="1"/>
  <c r="A91" i="32" s="1"/>
  <c r="H81" i="32"/>
  <c r="G81" i="32"/>
  <c r="G82" i="32" s="1"/>
  <c r="F79" i="32"/>
  <c r="E79" i="32"/>
  <c r="A79" i="32"/>
  <c r="F78" i="32"/>
  <c r="G78" i="32" s="1"/>
  <c r="E76" i="32"/>
  <c r="D76" i="32"/>
  <c r="D70" i="32" s="1"/>
  <c r="H75" i="32"/>
  <c r="G75" i="32"/>
  <c r="E75" i="32"/>
  <c r="F75" i="32" s="1"/>
  <c r="AH72" i="32"/>
  <c r="AG72" i="32"/>
  <c r="AF72" i="32"/>
  <c r="AE72" i="32"/>
  <c r="AD72" i="32"/>
  <c r="AC72" i="32"/>
  <c r="AB72" i="32"/>
  <c r="AA72" i="32"/>
  <c r="Z72" i="32"/>
  <c r="Y72" i="32"/>
  <c r="X72" i="32"/>
  <c r="W72" i="32"/>
  <c r="V72" i="32"/>
  <c r="U72" i="32"/>
  <c r="T72" i="32"/>
  <c r="S72" i="32"/>
  <c r="R72" i="32"/>
  <c r="Q72" i="32"/>
  <c r="P72" i="32"/>
  <c r="O72" i="32"/>
  <c r="N72" i="32"/>
  <c r="M72" i="32"/>
  <c r="L72" i="32"/>
  <c r="K72" i="32"/>
  <c r="J72" i="32"/>
  <c r="I72" i="32"/>
  <c r="C71" i="32"/>
  <c r="C97" i="32" s="1"/>
  <c r="C70" i="32"/>
  <c r="C30" i="32"/>
  <c r="C25" i="32"/>
  <c r="C24" i="32" s="1"/>
  <c r="C72" i="32" s="1"/>
  <c r="C16" i="32"/>
  <c r="C15" i="32"/>
  <c r="AH10" i="32"/>
  <c r="AG10" i="32"/>
  <c r="AF10" i="32"/>
  <c r="AE10" i="32"/>
  <c r="AD10" i="32"/>
  <c r="AC10" i="32"/>
  <c r="AB10" i="32"/>
  <c r="AA10" i="32"/>
  <c r="Z10" i="32"/>
  <c r="Y10" i="32"/>
  <c r="X10" i="32"/>
  <c r="W10" i="32"/>
  <c r="V10" i="32"/>
  <c r="U10" i="32"/>
  <c r="T10" i="32"/>
  <c r="S10" i="32"/>
  <c r="R10" i="32"/>
  <c r="Q10" i="32"/>
  <c r="P10" i="32"/>
  <c r="O10" i="32"/>
  <c r="N10" i="32"/>
  <c r="M10" i="32"/>
  <c r="L10" i="32"/>
  <c r="K10" i="32"/>
  <c r="J10" i="32"/>
  <c r="I10" i="32"/>
  <c r="H10" i="32"/>
  <c r="G10" i="32"/>
  <c r="F10" i="32"/>
  <c r="E10" i="32"/>
  <c r="D10" i="32"/>
  <c r="C10" i="32"/>
  <c r="AH8" i="32"/>
  <c r="AG8" i="32"/>
  <c r="AF8" i="32"/>
  <c r="AE8" i="32"/>
  <c r="AD8" i="32"/>
  <c r="AC8" i="32"/>
  <c r="AB8" i="32"/>
  <c r="AA8" i="32"/>
  <c r="Z8" i="32"/>
  <c r="Y8" i="32"/>
  <c r="X8" i="32"/>
  <c r="W8" i="32"/>
  <c r="V8" i="32"/>
  <c r="U8" i="32"/>
  <c r="T8" i="32"/>
  <c r="S8" i="32"/>
  <c r="R8" i="32"/>
  <c r="Q8" i="32"/>
  <c r="P8" i="32"/>
  <c r="O8" i="32"/>
  <c r="N8" i="32"/>
  <c r="M8" i="32"/>
  <c r="L8" i="32"/>
  <c r="K8" i="32"/>
  <c r="J8" i="32"/>
  <c r="I8" i="32"/>
  <c r="H8" i="32"/>
  <c r="G8" i="32"/>
  <c r="F8" i="32"/>
  <c r="E8" i="32"/>
  <c r="D8" i="32"/>
  <c r="C8" i="32"/>
  <c r="C95" i="35"/>
  <c r="I91" i="35"/>
  <c r="J90" i="35"/>
  <c r="H88" i="35"/>
  <c r="L87" i="35"/>
  <c r="M87" i="35" s="1"/>
  <c r="J87" i="35"/>
  <c r="K87" i="35" s="1"/>
  <c r="I87" i="35"/>
  <c r="I88" i="35" s="1"/>
  <c r="H85" i="35"/>
  <c r="G85" i="35"/>
  <c r="I84" i="35"/>
  <c r="H84" i="35"/>
  <c r="G82" i="35"/>
  <c r="F82" i="35"/>
  <c r="A82" i="35"/>
  <c r="A85" i="35" s="1"/>
  <c r="A88" i="35" s="1"/>
  <c r="A91" i="35" s="1"/>
  <c r="J81" i="35"/>
  <c r="I81" i="35"/>
  <c r="G81" i="35"/>
  <c r="H81" i="35" s="1"/>
  <c r="F79" i="35"/>
  <c r="E79" i="35"/>
  <c r="A79" i="35"/>
  <c r="F78" i="35"/>
  <c r="G78" i="35" s="1"/>
  <c r="E76" i="35"/>
  <c r="D76" i="35"/>
  <c r="D70" i="35" s="1"/>
  <c r="E75" i="35"/>
  <c r="F75" i="35" s="1"/>
  <c r="AH72" i="35"/>
  <c r="AG72" i="35"/>
  <c r="AF72" i="35"/>
  <c r="AE72" i="35"/>
  <c r="AD72" i="35"/>
  <c r="AC72" i="35"/>
  <c r="AB72" i="35"/>
  <c r="AA72" i="35"/>
  <c r="Z72" i="35"/>
  <c r="Y72" i="35"/>
  <c r="X72" i="35"/>
  <c r="W72" i="35"/>
  <c r="V72" i="35"/>
  <c r="U72" i="35"/>
  <c r="T72" i="35"/>
  <c r="S72" i="35"/>
  <c r="R72" i="35"/>
  <c r="Q72" i="35"/>
  <c r="P72" i="35"/>
  <c r="O72" i="35"/>
  <c r="N72" i="35"/>
  <c r="M72" i="35"/>
  <c r="L72" i="35"/>
  <c r="K72" i="35"/>
  <c r="J72" i="35"/>
  <c r="I72" i="35"/>
  <c r="C71" i="35"/>
  <c r="C97" i="35" s="1"/>
  <c r="C70" i="35"/>
  <c r="C34" i="35"/>
  <c r="C94" i="35" s="1"/>
  <c r="C30" i="35"/>
  <c r="C47" i="35" s="1"/>
  <c r="C25" i="35"/>
  <c r="C45" i="35" s="1"/>
  <c r="C16" i="35"/>
  <c r="C15" i="35"/>
  <c r="AH10" i="35"/>
  <c r="AG10" i="35"/>
  <c r="AF10" i="35"/>
  <c r="AE10" i="35"/>
  <c r="AD10" i="35"/>
  <c r="AC10" i="35"/>
  <c r="AB10" i="35"/>
  <c r="AA10" i="35"/>
  <c r="Z10" i="35"/>
  <c r="Y10" i="35"/>
  <c r="X10" i="35"/>
  <c r="W10" i="35"/>
  <c r="V10" i="35"/>
  <c r="U10" i="35"/>
  <c r="T10" i="35"/>
  <c r="S10" i="35"/>
  <c r="R10" i="35"/>
  <c r="Q10" i="35"/>
  <c r="P10" i="35"/>
  <c r="O10" i="35"/>
  <c r="N10" i="35"/>
  <c r="M10" i="35"/>
  <c r="L10" i="35"/>
  <c r="K10" i="35"/>
  <c r="J10" i="35"/>
  <c r="I10" i="35"/>
  <c r="H10" i="35"/>
  <c r="G10" i="35"/>
  <c r="F10" i="35"/>
  <c r="E10" i="35"/>
  <c r="D10" i="35"/>
  <c r="C10" i="35"/>
  <c r="AH8" i="35"/>
  <c r="AG8" i="35"/>
  <c r="AF8" i="35"/>
  <c r="AE8" i="35"/>
  <c r="AD8" i="35"/>
  <c r="AC8" i="35"/>
  <c r="AB8" i="35"/>
  <c r="AA8" i="35"/>
  <c r="Z8" i="35"/>
  <c r="Y8" i="35"/>
  <c r="X8" i="35"/>
  <c r="W8" i="35"/>
  <c r="V8" i="35"/>
  <c r="U8" i="35"/>
  <c r="T8" i="35"/>
  <c r="S8" i="35"/>
  <c r="R8" i="35"/>
  <c r="Q8" i="35"/>
  <c r="P8" i="35"/>
  <c r="O8" i="35"/>
  <c r="N8" i="35"/>
  <c r="M8" i="35"/>
  <c r="L8" i="35"/>
  <c r="K8" i="35"/>
  <c r="J8" i="35"/>
  <c r="I8" i="35"/>
  <c r="H8" i="35"/>
  <c r="G8" i="35"/>
  <c r="F8" i="35"/>
  <c r="E8" i="35"/>
  <c r="D8" i="35"/>
  <c r="C8" i="35"/>
  <c r="C46" i="35" s="1"/>
  <c r="C95" i="34"/>
  <c r="I91" i="34"/>
  <c r="L90" i="34"/>
  <c r="M90" i="34" s="1"/>
  <c r="K90" i="34"/>
  <c r="J90" i="34"/>
  <c r="J91" i="34" s="1"/>
  <c r="H88" i="34"/>
  <c r="K87" i="34"/>
  <c r="J87" i="34"/>
  <c r="I87" i="34"/>
  <c r="I88" i="34" s="1"/>
  <c r="G85" i="34"/>
  <c r="H84" i="34"/>
  <c r="H85" i="34" s="1"/>
  <c r="F82" i="34"/>
  <c r="G81" i="34"/>
  <c r="G82" i="34" s="1"/>
  <c r="E79" i="34"/>
  <c r="A79" i="34"/>
  <c r="A82" i="34" s="1"/>
  <c r="A85" i="34" s="1"/>
  <c r="A88" i="34" s="1"/>
  <c r="A91" i="34" s="1"/>
  <c r="F78" i="34"/>
  <c r="F79" i="34" s="1"/>
  <c r="D76" i="34"/>
  <c r="D70" i="34" s="1"/>
  <c r="G75" i="34"/>
  <c r="F75" i="34"/>
  <c r="E75" i="34"/>
  <c r="E76" i="34" s="1"/>
  <c r="AH72" i="34"/>
  <c r="AG72" i="34"/>
  <c r="AF72" i="34"/>
  <c r="AE72" i="34"/>
  <c r="AD72" i="34"/>
  <c r="AC72" i="34"/>
  <c r="AB72" i="34"/>
  <c r="AA72" i="34"/>
  <c r="Z72" i="34"/>
  <c r="Y72" i="34"/>
  <c r="X72" i="34"/>
  <c r="W72" i="34"/>
  <c r="V72" i="34"/>
  <c r="U72" i="34"/>
  <c r="T72" i="34"/>
  <c r="S72" i="34"/>
  <c r="R72" i="34"/>
  <c r="Q72" i="34"/>
  <c r="P72" i="34"/>
  <c r="O72" i="34"/>
  <c r="N72" i="34"/>
  <c r="M72" i="34"/>
  <c r="L72" i="34"/>
  <c r="K72" i="34"/>
  <c r="J72" i="34"/>
  <c r="I72" i="34"/>
  <c r="C71" i="34"/>
  <c r="C97" i="34" s="1"/>
  <c r="C70" i="34"/>
  <c r="C94" i="34"/>
  <c r="C96" i="34" s="1"/>
  <c r="C98" i="34" s="1"/>
  <c r="C100" i="34" s="1"/>
  <c r="C30" i="34"/>
  <c r="C40" i="34" s="1"/>
  <c r="C25" i="34"/>
  <c r="C24" i="34"/>
  <c r="C72" i="34" s="1"/>
  <c r="C16" i="34"/>
  <c r="C15" i="34"/>
  <c r="AH10" i="34"/>
  <c r="AG10" i="34"/>
  <c r="AF10" i="34"/>
  <c r="AE10" i="34"/>
  <c r="AD10" i="34"/>
  <c r="AC10" i="34"/>
  <c r="AB10" i="34"/>
  <c r="AA10" i="34"/>
  <c r="Z10" i="34"/>
  <c r="Y10" i="34"/>
  <c r="X10" i="34"/>
  <c r="W10" i="34"/>
  <c r="V10" i="34"/>
  <c r="U10" i="34"/>
  <c r="T10" i="34"/>
  <c r="S10" i="34"/>
  <c r="R10" i="34"/>
  <c r="Q10" i="34"/>
  <c r="P10" i="34"/>
  <c r="O10" i="34"/>
  <c r="N10" i="34"/>
  <c r="M10" i="34"/>
  <c r="L10" i="34"/>
  <c r="K10" i="34"/>
  <c r="J10" i="34"/>
  <c r="I10" i="34"/>
  <c r="H10" i="34"/>
  <c r="G10" i="34"/>
  <c r="F10" i="34"/>
  <c r="E10" i="34"/>
  <c r="D10" i="34"/>
  <c r="C10" i="34"/>
  <c r="AH8" i="34"/>
  <c r="AG8" i="34"/>
  <c r="AF8" i="34"/>
  <c r="AE8" i="34"/>
  <c r="AD8" i="34"/>
  <c r="AC8" i="34"/>
  <c r="AB8" i="34"/>
  <c r="AA8" i="34"/>
  <c r="Z8" i="34"/>
  <c r="Y8" i="34"/>
  <c r="X8" i="34"/>
  <c r="W8" i="34"/>
  <c r="V8" i="34"/>
  <c r="U8" i="34"/>
  <c r="T8" i="34"/>
  <c r="S8" i="34"/>
  <c r="R8" i="34"/>
  <c r="Q8" i="34"/>
  <c r="P8" i="34"/>
  <c r="O8" i="34"/>
  <c r="N8" i="34"/>
  <c r="M8" i="34"/>
  <c r="L8" i="34"/>
  <c r="K8" i="34"/>
  <c r="J8" i="34"/>
  <c r="I8" i="34"/>
  <c r="H8" i="34"/>
  <c r="G8" i="34"/>
  <c r="F8" i="34"/>
  <c r="E8" i="34"/>
  <c r="D8" i="34"/>
  <c r="C8" i="34"/>
  <c r="C40" i="35" l="1"/>
  <c r="C24" i="35"/>
  <c r="C72" i="35" s="1"/>
  <c r="C42" i="34"/>
  <c r="C96" i="35"/>
  <c r="C98" i="35" s="1"/>
  <c r="C100" i="35" s="1"/>
  <c r="E70" i="32"/>
  <c r="C45" i="32"/>
  <c r="C47" i="32"/>
  <c r="C40" i="32"/>
  <c r="C42" i="32" s="1"/>
  <c r="C53" i="32"/>
  <c r="C94" i="32"/>
  <c r="C96" i="32" s="1"/>
  <c r="C98" i="32" s="1"/>
  <c r="C100" i="32" s="1"/>
  <c r="C46" i="32"/>
  <c r="C43" i="32"/>
  <c r="D77" i="32"/>
  <c r="D71" i="32" s="1"/>
  <c r="D97" i="32" s="1"/>
  <c r="F77" i="32"/>
  <c r="E77" i="32"/>
  <c r="M87" i="32"/>
  <c r="I75" i="32"/>
  <c r="H78" i="32"/>
  <c r="J91" i="32"/>
  <c r="K90" i="32"/>
  <c r="I81" i="32"/>
  <c r="K84" i="32"/>
  <c r="F76" i="32"/>
  <c r="F70" i="32" s="1"/>
  <c r="G76" i="32"/>
  <c r="E70" i="35"/>
  <c r="C45" i="34"/>
  <c r="E70" i="34"/>
  <c r="E77" i="35"/>
  <c r="D77" i="35"/>
  <c r="D71" i="35" s="1"/>
  <c r="D97" i="35" s="1"/>
  <c r="F77" i="35"/>
  <c r="C43" i="35"/>
  <c r="C55" i="35"/>
  <c r="C48" i="35"/>
  <c r="K81" i="35"/>
  <c r="G75" i="35"/>
  <c r="F76" i="35"/>
  <c r="F70" i="35" s="1"/>
  <c r="C53" i="35"/>
  <c r="H78" i="35"/>
  <c r="C57" i="35"/>
  <c r="C101" i="35"/>
  <c r="C102" i="35" s="1"/>
  <c r="J84" i="35"/>
  <c r="K90" i="35"/>
  <c r="J91" i="35"/>
  <c r="N87" i="35"/>
  <c r="C47" i="34"/>
  <c r="F76" i="34"/>
  <c r="F70" i="34" s="1"/>
  <c r="F77" i="34"/>
  <c r="E77" i="34"/>
  <c r="D77" i="34"/>
  <c r="D71" i="34" s="1"/>
  <c r="D97" i="34" s="1"/>
  <c r="C43" i="34"/>
  <c r="C46" i="34"/>
  <c r="C53" i="34"/>
  <c r="C101" i="34"/>
  <c r="C102" i="34" s="1"/>
  <c r="G76" i="34"/>
  <c r="H75" i="34"/>
  <c r="G78" i="34"/>
  <c r="I84" i="34"/>
  <c r="L87" i="34"/>
  <c r="N90" i="34"/>
  <c r="H81" i="34"/>
  <c r="C42" i="35" l="1"/>
  <c r="G77" i="34"/>
  <c r="C57" i="32"/>
  <c r="J75" i="32"/>
  <c r="C48" i="32"/>
  <c r="C55" i="32"/>
  <c r="J81" i="32"/>
  <c r="I78" i="32"/>
  <c r="N87" i="32"/>
  <c r="G77" i="32"/>
  <c r="H77" i="32"/>
  <c r="L84" i="32"/>
  <c r="L90" i="32"/>
  <c r="H76" i="32"/>
  <c r="C101" i="32"/>
  <c r="C102" i="32" s="1"/>
  <c r="C112" i="35"/>
  <c r="C110" i="35"/>
  <c r="C108" i="35"/>
  <c r="C103" i="35"/>
  <c r="C104" i="35" s="1"/>
  <c r="O87" i="35"/>
  <c r="G76" i="35"/>
  <c r="H75" i="35"/>
  <c r="G77" i="35"/>
  <c r="H77" i="35"/>
  <c r="K84" i="35"/>
  <c r="I78" i="35"/>
  <c r="L81" i="35"/>
  <c r="L90" i="35"/>
  <c r="O90" i="34"/>
  <c r="H78" i="34"/>
  <c r="C57" i="34"/>
  <c r="H77" i="34"/>
  <c r="M87" i="34"/>
  <c r="H76" i="34"/>
  <c r="I75" i="34"/>
  <c r="C112" i="34"/>
  <c r="C110" i="34"/>
  <c r="C108" i="34"/>
  <c r="C103" i="34"/>
  <c r="C104" i="34" s="1"/>
  <c r="C48" i="34"/>
  <c r="C55" i="34"/>
  <c r="I81" i="34"/>
  <c r="J84" i="34"/>
  <c r="C110" i="32" l="1"/>
  <c r="C108" i="32"/>
  <c r="C103" i="32"/>
  <c r="C104" i="32" s="1"/>
  <c r="C112" i="32"/>
  <c r="I76" i="32"/>
  <c r="J77" i="32"/>
  <c r="K75" i="32"/>
  <c r="M90" i="32"/>
  <c r="K81" i="32"/>
  <c r="I77" i="32"/>
  <c r="M84" i="32"/>
  <c r="O87" i="32"/>
  <c r="J78" i="32"/>
  <c r="J78" i="35"/>
  <c r="M90" i="35"/>
  <c r="L84" i="35"/>
  <c r="M81" i="35"/>
  <c r="P87" i="35"/>
  <c r="H76" i="35"/>
  <c r="I75" i="35"/>
  <c r="J81" i="34"/>
  <c r="K84" i="34"/>
  <c r="I77" i="34"/>
  <c r="P90" i="34"/>
  <c r="N87" i="34"/>
  <c r="I78" i="34"/>
  <c r="I76" i="34"/>
  <c r="J75" i="34"/>
  <c r="L75" i="32" l="1"/>
  <c r="K78" i="32"/>
  <c r="N84" i="32"/>
  <c r="L81" i="32"/>
  <c r="N90" i="32"/>
  <c r="P87" i="32"/>
  <c r="J76" i="32"/>
  <c r="I77" i="35"/>
  <c r="K78" i="35"/>
  <c r="J75" i="35"/>
  <c r="I76" i="35"/>
  <c r="Q87" i="35"/>
  <c r="N81" i="35"/>
  <c r="M84" i="35"/>
  <c r="N90" i="35"/>
  <c r="J77" i="34"/>
  <c r="Q90" i="34"/>
  <c r="L84" i="34"/>
  <c r="K81" i="34"/>
  <c r="J76" i="34"/>
  <c r="K75" i="34"/>
  <c r="J78" i="34"/>
  <c r="O87" i="34"/>
  <c r="O90" i="32" l="1"/>
  <c r="K77" i="32"/>
  <c r="Q87" i="32"/>
  <c r="O84" i="32"/>
  <c r="M75" i="32"/>
  <c r="M81" i="32"/>
  <c r="L78" i="32"/>
  <c r="K76" i="32"/>
  <c r="L76" i="32" s="1"/>
  <c r="O90" i="35"/>
  <c r="O81" i="35"/>
  <c r="K75" i="35"/>
  <c r="J76" i="35"/>
  <c r="R87" i="35"/>
  <c r="L78" i="35"/>
  <c r="N84" i="35"/>
  <c r="J77" i="35"/>
  <c r="P87" i="34"/>
  <c r="K77" i="34"/>
  <c r="K76" i="34"/>
  <c r="L77" i="34" s="1"/>
  <c r="L75" i="34"/>
  <c r="R90" i="34"/>
  <c r="M84" i="34"/>
  <c r="K78" i="34"/>
  <c r="L81" i="34"/>
  <c r="L77" i="32" l="1"/>
  <c r="N75" i="32"/>
  <c r="M76" i="32"/>
  <c r="N77" i="32" s="1"/>
  <c r="P90" i="32"/>
  <c r="N81" i="32"/>
  <c r="M77" i="32"/>
  <c r="M78" i="32"/>
  <c r="P84" i="32"/>
  <c r="R87" i="32"/>
  <c r="M78" i="35"/>
  <c r="K76" i="35"/>
  <c r="L77" i="35" s="1"/>
  <c r="L75" i="35"/>
  <c r="P90" i="35"/>
  <c r="S87" i="35"/>
  <c r="P81" i="35"/>
  <c r="O84" i="35"/>
  <c r="K77" i="35"/>
  <c r="M81" i="34"/>
  <c r="N84" i="34"/>
  <c r="L76" i="34"/>
  <c r="M75" i="34"/>
  <c r="L78" i="34"/>
  <c r="S90" i="34"/>
  <c r="Q87" i="34"/>
  <c r="N76" i="32" l="1"/>
  <c r="O75" i="32"/>
  <c r="S87" i="32"/>
  <c r="O81" i="32"/>
  <c r="Q90" i="32"/>
  <c r="N78" i="32"/>
  <c r="Q84" i="32"/>
  <c r="L76" i="35"/>
  <c r="M77" i="35" s="1"/>
  <c r="M75" i="35"/>
  <c r="T87" i="35"/>
  <c r="P84" i="35"/>
  <c r="Q81" i="35"/>
  <c r="Q90" i="35"/>
  <c r="N78" i="35"/>
  <c r="M76" i="34"/>
  <c r="N75" i="34"/>
  <c r="M78" i="34"/>
  <c r="M77" i="34"/>
  <c r="T90" i="34"/>
  <c r="R87" i="34"/>
  <c r="O84" i="34"/>
  <c r="N81" i="34"/>
  <c r="O77" i="32" l="1"/>
  <c r="R90" i="32"/>
  <c r="R84" i="32"/>
  <c r="O78" i="32"/>
  <c r="P81" i="32"/>
  <c r="T87" i="32"/>
  <c r="O76" i="32"/>
  <c r="P75" i="32"/>
  <c r="N75" i="35"/>
  <c r="M76" i="35"/>
  <c r="Q84" i="35"/>
  <c r="U87" i="35"/>
  <c r="O78" i="35"/>
  <c r="R81" i="35"/>
  <c r="R90" i="35"/>
  <c r="N76" i="34"/>
  <c r="O77" i="34" s="1"/>
  <c r="O75" i="34"/>
  <c r="U90" i="34"/>
  <c r="P84" i="34"/>
  <c r="S87" i="34"/>
  <c r="N77" i="34"/>
  <c r="O81" i="34"/>
  <c r="N78" i="34"/>
  <c r="P78" i="32" l="1"/>
  <c r="S84" i="32"/>
  <c r="U87" i="32"/>
  <c r="Q75" i="32"/>
  <c r="P76" i="32"/>
  <c r="Q81" i="32"/>
  <c r="S90" i="32"/>
  <c r="P77" i="32"/>
  <c r="V87" i="35"/>
  <c r="S81" i="35"/>
  <c r="O75" i="35"/>
  <c r="N76" i="35"/>
  <c r="S90" i="35"/>
  <c r="R84" i="35"/>
  <c r="P78" i="35"/>
  <c r="N77" i="35"/>
  <c r="T87" i="34"/>
  <c r="Q84" i="34"/>
  <c r="O76" i="34"/>
  <c r="P75" i="34"/>
  <c r="O78" i="34"/>
  <c r="P81" i="34"/>
  <c r="V90" i="34"/>
  <c r="T90" i="32" l="1"/>
  <c r="Q77" i="32"/>
  <c r="Q78" i="32"/>
  <c r="R75" i="32"/>
  <c r="Q76" i="32"/>
  <c r="V87" i="32"/>
  <c r="R81" i="32"/>
  <c r="T84" i="32"/>
  <c r="W87" i="35"/>
  <c r="Q78" i="35"/>
  <c r="O77" i="35"/>
  <c r="T81" i="35"/>
  <c r="S84" i="35"/>
  <c r="O76" i="35"/>
  <c r="P75" i="35"/>
  <c r="T90" i="35"/>
  <c r="P78" i="34"/>
  <c r="U87" i="34"/>
  <c r="W90" i="34"/>
  <c r="P76" i="34"/>
  <c r="Q75" i="34"/>
  <c r="Q81" i="34"/>
  <c r="P77" i="34"/>
  <c r="R84" i="34"/>
  <c r="R78" i="32" l="1"/>
  <c r="W87" i="32"/>
  <c r="U90" i="32"/>
  <c r="U84" i="32"/>
  <c r="S81" i="32"/>
  <c r="R77" i="32"/>
  <c r="R76" i="32"/>
  <c r="S75" i="32"/>
  <c r="P76" i="35"/>
  <c r="Q75" i="35"/>
  <c r="T84" i="35"/>
  <c r="U81" i="35"/>
  <c r="U90" i="35"/>
  <c r="P77" i="35"/>
  <c r="X87" i="35"/>
  <c r="R78" i="35"/>
  <c r="S84" i="34"/>
  <c r="Q76" i="34"/>
  <c r="R75" i="34"/>
  <c r="Q78" i="34"/>
  <c r="R81" i="34"/>
  <c r="Q77" i="34"/>
  <c r="X90" i="34"/>
  <c r="V87" i="34"/>
  <c r="S77" i="32" l="1"/>
  <c r="S78" i="32"/>
  <c r="S76" i="32"/>
  <c r="T75" i="32"/>
  <c r="V90" i="32"/>
  <c r="X87" i="32"/>
  <c r="T81" i="32"/>
  <c r="V84" i="32"/>
  <c r="S78" i="35"/>
  <c r="Q77" i="35"/>
  <c r="V81" i="35"/>
  <c r="V90" i="35"/>
  <c r="Y87" i="35"/>
  <c r="U84" i="35"/>
  <c r="R75" i="35"/>
  <c r="Q76" i="35"/>
  <c r="R76" i="34"/>
  <c r="S75" i="34"/>
  <c r="T84" i="34"/>
  <c r="R78" i="34"/>
  <c r="R77" i="34"/>
  <c r="Y90" i="34"/>
  <c r="S81" i="34"/>
  <c r="W87" i="34"/>
  <c r="Y87" i="32" l="1"/>
  <c r="T78" i="32"/>
  <c r="W84" i="32"/>
  <c r="W90" i="32"/>
  <c r="U75" i="32"/>
  <c r="T76" i="32"/>
  <c r="U81" i="32"/>
  <c r="T77" i="32"/>
  <c r="W81" i="35"/>
  <c r="R77" i="35"/>
  <c r="V84" i="35"/>
  <c r="Z87" i="35"/>
  <c r="S75" i="35"/>
  <c r="R76" i="35"/>
  <c r="T78" i="35"/>
  <c r="W90" i="35"/>
  <c r="X87" i="34"/>
  <c r="S77" i="34"/>
  <c r="T81" i="34"/>
  <c r="Z90" i="34"/>
  <c r="U84" i="34"/>
  <c r="S78" i="34"/>
  <c r="S76" i="34"/>
  <c r="T75" i="34"/>
  <c r="Z87" i="32" l="1"/>
  <c r="V81" i="32"/>
  <c r="X90" i="32"/>
  <c r="V75" i="32"/>
  <c r="U76" i="32"/>
  <c r="U77" i="32"/>
  <c r="X84" i="32"/>
  <c r="U78" i="32"/>
  <c r="S77" i="35"/>
  <c r="S76" i="35"/>
  <c r="T75" i="35"/>
  <c r="AA87" i="35"/>
  <c r="X81" i="35"/>
  <c r="X90" i="35"/>
  <c r="U78" i="35"/>
  <c r="W84" i="35"/>
  <c r="V84" i="34"/>
  <c r="T76" i="34"/>
  <c r="U75" i="34"/>
  <c r="T77" i="34"/>
  <c r="T78" i="34"/>
  <c r="AA90" i="34"/>
  <c r="Y87" i="34"/>
  <c r="U81" i="34"/>
  <c r="Y90" i="32" l="1"/>
  <c r="Y84" i="32"/>
  <c r="AA87" i="32"/>
  <c r="V78" i="32"/>
  <c r="V77" i="32"/>
  <c r="V76" i="32"/>
  <c r="W75" i="32"/>
  <c r="W81" i="32"/>
  <c r="Y81" i="35"/>
  <c r="Y90" i="35"/>
  <c r="T76" i="35"/>
  <c r="U75" i="35"/>
  <c r="X84" i="35"/>
  <c r="AB87" i="35"/>
  <c r="T77" i="35"/>
  <c r="V78" i="35"/>
  <c r="AB90" i="34"/>
  <c r="V81" i="34"/>
  <c r="Z87" i="34"/>
  <c r="U76" i="34"/>
  <c r="V75" i="34"/>
  <c r="W84" i="34"/>
  <c r="U78" i="34"/>
  <c r="U77" i="34"/>
  <c r="X81" i="32" l="1"/>
  <c r="W76" i="32"/>
  <c r="X75" i="32"/>
  <c r="W78" i="32"/>
  <c r="Z84" i="32"/>
  <c r="W77" i="32"/>
  <c r="AB87" i="32"/>
  <c r="Z90" i="32"/>
  <c r="U77" i="35"/>
  <c r="W78" i="35"/>
  <c r="Y84" i="35"/>
  <c r="Z81" i="35"/>
  <c r="V75" i="35"/>
  <c r="U76" i="35"/>
  <c r="AC87" i="35"/>
  <c r="Z90" i="35"/>
  <c r="V78" i="34"/>
  <c r="V77" i="34"/>
  <c r="W81" i="34"/>
  <c r="AC90" i="34"/>
  <c r="V76" i="34"/>
  <c r="W75" i="34"/>
  <c r="X84" i="34"/>
  <c r="AA87" i="34"/>
  <c r="AC87" i="32" l="1"/>
  <c r="X77" i="32"/>
  <c r="X78" i="32"/>
  <c r="Y81" i="32"/>
  <c r="AA90" i="32"/>
  <c r="AA84" i="32"/>
  <c r="Y75" i="32"/>
  <c r="X76" i="32"/>
  <c r="AA90" i="35"/>
  <c r="V77" i="35"/>
  <c r="AD87" i="35"/>
  <c r="W75" i="35"/>
  <c r="V76" i="35"/>
  <c r="X78" i="35"/>
  <c r="Z84" i="35"/>
  <c r="AA81" i="35"/>
  <c r="W77" i="34"/>
  <c r="AB87" i="34"/>
  <c r="W76" i="34"/>
  <c r="X75" i="34"/>
  <c r="AD90" i="34"/>
  <c r="Y84" i="34"/>
  <c r="X81" i="34"/>
  <c r="W78" i="34"/>
  <c r="Y78" i="32" l="1"/>
  <c r="Y77" i="32"/>
  <c r="AB84" i="32"/>
  <c r="AB90" i="32"/>
  <c r="AD87" i="32"/>
  <c r="Z75" i="32"/>
  <c r="Y76" i="32"/>
  <c r="Z81" i="32"/>
  <c r="W77" i="35"/>
  <c r="W76" i="35"/>
  <c r="X75" i="35"/>
  <c r="AA84" i="35"/>
  <c r="Y78" i="35"/>
  <c r="AE87" i="35"/>
  <c r="AB81" i="35"/>
  <c r="AB90" i="35"/>
  <c r="AE90" i="34"/>
  <c r="X77" i="34"/>
  <c r="X78" i="34"/>
  <c r="Z84" i="34"/>
  <c r="AC87" i="34"/>
  <c r="Y81" i="34"/>
  <c r="X76" i="34"/>
  <c r="Y75" i="34"/>
  <c r="Z76" i="32" l="1"/>
  <c r="AA75" i="32"/>
  <c r="AE87" i="32"/>
  <c r="Z78" i="32"/>
  <c r="AC90" i="32"/>
  <c r="AA81" i="32"/>
  <c r="Z77" i="32"/>
  <c r="AC84" i="32"/>
  <c r="AC90" i="35"/>
  <c r="AC81" i="35"/>
  <c r="AF87" i="35"/>
  <c r="AB84" i="35"/>
  <c r="X76" i="35"/>
  <c r="Y75" i="35"/>
  <c r="Z78" i="35"/>
  <c r="X77" i="35"/>
  <c r="Z81" i="34"/>
  <c r="AD87" i="34"/>
  <c r="Y78" i="34"/>
  <c r="AF90" i="34"/>
  <c r="Y77" i="34"/>
  <c r="Y76" i="34"/>
  <c r="Z75" i="34"/>
  <c r="AA84" i="34"/>
  <c r="AD84" i="32" l="1"/>
  <c r="AF87" i="32"/>
  <c r="AA77" i="32"/>
  <c r="AB81" i="32"/>
  <c r="AA78" i="32"/>
  <c r="AD90" i="32"/>
  <c r="AA76" i="32"/>
  <c r="AB75" i="32"/>
  <c r="AG87" i="35"/>
  <c r="AD90" i="35"/>
  <c r="AA78" i="35"/>
  <c r="Z75" i="35"/>
  <c r="Y76" i="35"/>
  <c r="Y77" i="35"/>
  <c r="AC84" i="35"/>
  <c r="AD81" i="35"/>
  <c r="AB84" i="34"/>
  <c r="Z76" i="34"/>
  <c r="AA75" i="34"/>
  <c r="AA81" i="34"/>
  <c r="Z77" i="34"/>
  <c r="Z78" i="34"/>
  <c r="AE87" i="34"/>
  <c r="AG90" i="34"/>
  <c r="AE90" i="32" l="1"/>
  <c r="AE84" i="32"/>
  <c r="AC75" i="32"/>
  <c r="AB76" i="32"/>
  <c r="AB78" i="32"/>
  <c r="AB77" i="32"/>
  <c r="AC81" i="32"/>
  <c r="AG87" i="32"/>
  <c r="AA75" i="35"/>
  <c r="Z76" i="35"/>
  <c r="AD84" i="35"/>
  <c r="AE81" i="35"/>
  <c r="Z77" i="35"/>
  <c r="AB78" i="35"/>
  <c r="AE90" i="35"/>
  <c r="AH87" i="35"/>
  <c r="AB81" i="34"/>
  <c r="AC84" i="34"/>
  <c r="AH90" i="34"/>
  <c r="AF87" i="34"/>
  <c r="AA78" i="34"/>
  <c r="AA76" i="34"/>
  <c r="AB75" i="34"/>
  <c r="AA77" i="34"/>
  <c r="AC77" i="32" l="1"/>
  <c r="AH87" i="32"/>
  <c r="AF90" i="32"/>
  <c r="AC78" i="32"/>
  <c r="AD75" i="32"/>
  <c r="AC76" i="32"/>
  <c r="AF84" i="32"/>
  <c r="AD81" i="32"/>
  <c r="AF81" i="35"/>
  <c r="AE84" i="35"/>
  <c r="AA77" i="35"/>
  <c r="AA76" i="35"/>
  <c r="AB75" i="35"/>
  <c r="AF90" i="35"/>
  <c r="AC78" i="35"/>
  <c r="AG87" i="34"/>
  <c r="AC81" i="34"/>
  <c r="AB76" i="34"/>
  <c r="AC75" i="34"/>
  <c r="AB78" i="34"/>
  <c r="AD84" i="34"/>
  <c r="AB77" i="34"/>
  <c r="AD77" i="32" l="1"/>
  <c r="AE81" i="32"/>
  <c r="AD76" i="32"/>
  <c r="AE75" i="32"/>
  <c r="AD78" i="32"/>
  <c r="AG84" i="32"/>
  <c r="AG90" i="32"/>
  <c r="AG90" i="35"/>
  <c r="AB76" i="35"/>
  <c r="AC75" i="35"/>
  <c r="AB77" i="35"/>
  <c r="AD78" i="35"/>
  <c r="AF84" i="35"/>
  <c r="AG81" i="35"/>
  <c r="AD81" i="34"/>
  <c r="AE84" i="34"/>
  <c r="AC76" i="34"/>
  <c r="AD75" i="34"/>
  <c r="AC77" i="34"/>
  <c r="AH87" i="34"/>
  <c r="AC78" i="34"/>
  <c r="AH84" i="32" l="1"/>
  <c r="AE78" i="32"/>
  <c r="AE76" i="32"/>
  <c r="AF75" i="32"/>
  <c r="AF81" i="32"/>
  <c r="AH90" i="32"/>
  <c r="AE77" i="32"/>
  <c r="AH81" i="35"/>
  <c r="AE78" i="35"/>
  <c r="AD75" i="35"/>
  <c r="AC76" i="35"/>
  <c r="AG84" i="35"/>
  <c r="AC77" i="35"/>
  <c r="AH90" i="35"/>
  <c r="AD76" i="34"/>
  <c r="AE75" i="34"/>
  <c r="AD77" i="34"/>
  <c r="AE81" i="34"/>
  <c r="AD78" i="34"/>
  <c r="AF84" i="34"/>
  <c r="AG81" i="32" l="1"/>
  <c r="AF77" i="32"/>
  <c r="AF78" i="32"/>
  <c r="AG75" i="32"/>
  <c r="AF76" i="32"/>
  <c r="AD77" i="35"/>
  <c r="AF78" i="35"/>
  <c r="AH84" i="35"/>
  <c r="AE75" i="35"/>
  <c r="AD76" i="35"/>
  <c r="AE78" i="34"/>
  <c r="AE76" i="34"/>
  <c r="AF75" i="34"/>
  <c r="AF81" i="34"/>
  <c r="AE77" i="34"/>
  <c r="AG84" i="34"/>
  <c r="AG77" i="32" l="1"/>
  <c r="AH75" i="32"/>
  <c r="AG76" i="32"/>
  <c r="AG78" i="32"/>
  <c r="AH81" i="32"/>
  <c r="AE77" i="35"/>
  <c r="AE76" i="35"/>
  <c r="AF75" i="35"/>
  <c r="AG78" i="35"/>
  <c r="AG81" i="34"/>
  <c r="AF76" i="34"/>
  <c r="AG75" i="34"/>
  <c r="AF77" i="34"/>
  <c r="AH84" i="34"/>
  <c r="AF78" i="34"/>
  <c r="AH76" i="32" l="1"/>
  <c r="AH77" i="32"/>
  <c r="AH78" i="32"/>
  <c r="AF76" i="35"/>
  <c r="AG75" i="35"/>
  <c r="AF77" i="35"/>
  <c r="AH78" i="35"/>
  <c r="AG78" i="34"/>
  <c r="AG76" i="34"/>
  <c r="AH75" i="34"/>
  <c r="AH76" i="34" s="1"/>
  <c r="AH81" i="34"/>
  <c r="AG77" i="34"/>
  <c r="AH75" i="35" l="1"/>
  <c r="AG76" i="35"/>
  <c r="AG77" i="35"/>
  <c r="AH77" i="34"/>
  <c r="AH78" i="34"/>
  <c r="AH76" i="35" l="1"/>
  <c r="AH77" i="35"/>
  <c r="E46" i="36" l="1"/>
  <c r="E36" i="36"/>
  <c r="E26" i="36"/>
  <c r="E16" i="36"/>
  <c r="E6" i="36"/>
  <c r="AB90" i="2"/>
  <c r="AB87" i="2"/>
  <c r="AB84" i="2"/>
  <c r="AB81" i="2"/>
  <c r="AB78" i="2"/>
  <c r="AB75" i="2"/>
  <c r="AA72" i="2"/>
  <c r="AA10" i="2"/>
  <c r="AA8" i="2"/>
  <c r="AD8" i="2" l="1"/>
  <c r="AE8" i="2"/>
  <c r="AF8" i="2"/>
  <c r="AG8" i="2"/>
  <c r="AH8" i="2"/>
  <c r="AD10" i="2"/>
  <c r="AE10" i="2"/>
  <c r="AF10" i="2"/>
  <c r="AG10" i="2"/>
  <c r="AH10" i="2"/>
  <c r="AD72" i="2"/>
  <c r="AE72" i="2"/>
  <c r="AF72" i="2"/>
  <c r="AG72" i="2"/>
  <c r="AH72" i="2"/>
  <c r="C25" i="2"/>
  <c r="X146" i="31"/>
  <c r="Y146" i="31"/>
  <c r="Z146" i="31"/>
  <c r="AA146" i="31"/>
  <c r="AB146" i="31"/>
  <c r="X113" i="31"/>
  <c r="Y113" i="31"/>
  <c r="Z113" i="31"/>
  <c r="AA113" i="31"/>
  <c r="AB113" i="31"/>
  <c r="X80" i="31"/>
  <c r="Y80" i="31"/>
  <c r="Z80" i="31"/>
  <c r="AA80" i="31"/>
  <c r="AB80" i="31"/>
  <c r="X14" i="31"/>
  <c r="Y14" i="31"/>
  <c r="Z14" i="31"/>
  <c r="AA14" i="31"/>
  <c r="AB14" i="31"/>
  <c r="AC47" i="31"/>
  <c r="Y47" i="31"/>
  <c r="Z47" i="31"/>
  <c r="X47" i="31"/>
  <c r="AA47" i="31"/>
  <c r="AB47" i="31"/>
  <c r="F6" i="1" l="1"/>
  <c r="G6" i="1"/>
  <c r="H6" i="1"/>
  <c r="I6" i="1"/>
  <c r="E6" i="1"/>
  <c r="Z151" i="31" l="1"/>
  <c r="Z152" i="31" s="1"/>
  <c r="V151" i="31"/>
  <c r="V152" i="31" s="1"/>
  <c r="R151" i="31"/>
  <c r="R152" i="31" s="1"/>
  <c r="N151" i="31"/>
  <c r="N152" i="31" s="1"/>
  <c r="J151" i="31"/>
  <c r="J152" i="31" s="1"/>
  <c r="F151" i="31"/>
  <c r="F152" i="31" s="1"/>
  <c r="AA118" i="31"/>
  <c r="AA119" i="31" s="1"/>
  <c r="W118" i="31"/>
  <c r="W119" i="31" s="1"/>
  <c r="S118" i="31"/>
  <c r="S119" i="31" s="1"/>
  <c r="O118" i="31"/>
  <c r="O119" i="31" s="1"/>
  <c r="K118" i="31"/>
  <c r="K119" i="31" s="1"/>
  <c r="G118" i="31"/>
  <c r="G119" i="31" s="1"/>
  <c r="Y151" i="31"/>
  <c r="Y152" i="31" s="1"/>
  <c r="U151" i="31"/>
  <c r="U152" i="31" s="1"/>
  <c r="Q151" i="31"/>
  <c r="Q152" i="31" s="1"/>
  <c r="M151" i="31"/>
  <c r="M152" i="31" s="1"/>
  <c r="I151" i="31"/>
  <c r="I152" i="31" s="1"/>
  <c r="E151" i="31"/>
  <c r="Z118" i="31"/>
  <c r="Z119" i="31" s="1"/>
  <c r="V118" i="31"/>
  <c r="V119" i="31" s="1"/>
  <c r="R118" i="31"/>
  <c r="R119" i="31" s="1"/>
  <c r="N118" i="31"/>
  <c r="N119" i="31" s="1"/>
  <c r="AB151" i="31"/>
  <c r="AB152" i="31" s="1"/>
  <c r="X151" i="31"/>
  <c r="X152" i="31" s="1"/>
  <c r="T151" i="31"/>
  <c r="T152" i="31" s="1"/>
  <c r="P151" i="31"/>
  <c r="P152" i="31" s="1"/>
  <c r="L151" i="31"/>
  <c r="L152" i="31" s="1"/>
  <c r="H151" i="31"/>
  <c r="H152" i="31" s="1"/>
  <c r="D151" i="31"/>
  <c r="D152" i="31" s="1"/>
  <c r="Y118" i="31"/>
  <c r="Y119" i="31" s="1"/>
  <c r="U118" i="31"/>
  <c r="U119" i="31" s="1"/>
  <c r="Q118" i="31"/>
  <c r="Q119" i="31" s="1"/>
  <c r="M118" i="31"/>
  <c r="M119" i="31" s="1"/>
  <c r="I118" i="31"/>
  <c r="I119" i="31" s="1"/>
  <c r="E118" i="31"/>
  <c r="O151" i="31"/>
  <c r="O152" i="31" s="1"/>
  <c r="X118" i="31"/>
  <c r="X119" i="31" s="1"/>
  <c r="J118" i="31"/>
  <c r="J119" i="31" s="1"/>
  <c r="AB85" i="31"/>
  <c r="AB86" i="31" s="1"/>
  <c r="X85" i="31"/>
  <c r="X86" i="31" s="1"/>
  <c r="T85" i="31"/>
  <c r="T86" i="31" s="1"/>
  <c r="P85" i="31"/>
  <c r="P86" i="31" s="1"/>
  <c r="L85" i="31"/>
  <c r="L86" i="31" s="1"/>
  <c r="H85" i="31"/>
  <c r="H86" i="31" s="1"/>
  <c r="D85" i="31"/>
  <c r="D86" i="31" s="1"/>
  <c r="Y52" i="31"/>
  <c r="Y53" i="31" s="1"/>
  <c r="U52" i="31"/>
  <c r="U53" i="31" s="1"/>
  <c r="Q52" i="31"/>
  <c r="Q53" i="31" s="1"/>
  <c r="M52" i="31"/>
  <c r="M53" i="31" s="1"/>
  <c r="I52" i="31"/>
  <c r="I53" i="31" s="1"/>
  <c r="E52" i="31"/>
  <c r="D52" i="31"/>
  <c r="D53" i="31" s="1"/>
  <c r="W151" i="31"/>
  <c r="W152" i="31" s="1"/>
  <c r="P118" i="31"/>
  <c r="P119" i="31" s="1"/>
  <c r="F118" i="31"/>
  <c r="F119" i="31" s="1"/>
  <c r="V85" i="31"/>
  <c r="V86" i="31" s="1"/>
  <c r="R85" i="31"/>
  <c r="R86" i="31" s="1"/>
  <c r="J85" i="31"/>
  <c r="J86" i="31" s="1"/>
  <c r="AA52" i="31"/>
  <c r="AA53" i="31" s="1"/>
  <c r="S52" i="31"/>
  <c r="S53" i="31" s="1"/>
  <c r="K52" i="31"/>
  <c r="K53" i="31" s="1"/>
  <c r="G52" i="31"/>
  <c r="G53" i="31" s="1"/>
  <c r="AB118" i="31"/>
  <c r="AB119" i="31" s="1"/>
  <c r="D118" i="31"/>
  <c r="D119" i="31" s="1"/>
  <c r="U85" i="31"/>
  <c r="U86" i="31" s="1"/>
  <c r="M85" i="31"/>
  <c r="M86" i="31" s="1"/>
  <c r="E85" i="31"/>
  <c r="V52" i="31"/>
  <c r="V53" i="31" s="1"/>
  <c r="N52" i="31"/>
  <c r="N53" i="31" s="1"/>
  <c r="F52" i="31"/>
  <c r="F53" i="31" s="1"/>
  <c r="AA151" i="31"/>
  <c r="AA152" i="31" s="1"/>
  <c r="K151" i="31"/>
  <c r="K152" i="31" s="1"/>
  <c r="T118" i="31"/>
  <c r="T119" i="31" s="1"/>
  <c r="H118" i="31"/>
  <c r="H119" i="31" s="1"/>
  <c r="AA85" i="31"/>
  <c r="AA86" i="31" s="1"/>
  <c r="W85" i="31"/>
  <c r="W86" i="31" s="1"/>
  <c r="S85" i="31"/>
  <c r="S86" i="31" s="1"/>
  <c r="O85" i="31"/>
  <c r="O86" i="31" s="1"/>
  <c r="K85" i="31"/>
  <c r="K86" i="31" s="1"/>
  <c r="G85" i="31"/>
  <c r="G86" i="31" s="1"/>
  <c r="AB52" i="31"/>
  <c r="AB53" i="31" s="1"/>
  <c r="X52" i="31"/>
  <c r="X53" i="31" s="1"/>
  <c r="T52" i="31"/>
  <c r="T53" i="31" s="1"/>
  <c r="P52" i="31"/>
  <c r="P53" i="31" s="1"/>
  <c r="L52" i="31"/>
  <c r="L53" i="31" s="1"/>
  <c r="H52" i="31"/>
  <c r="H53" i="31" s="1"/>
  <c r="G151" i="31"/>
  <c r="G152" i="31" s="1"/>
  <c r="Z85" i="31"/>
  <c r="Z86" i="31" s="1"/>
  <c r="N85" i="31"/>
  <c r="N86" i="31" s="1"/>
  <c r="F85" i="31"/>
  <c r="F86" i="31" s="1"/>
  <c r="W52" i="31"/>
  <c r="W53" i="31" s="1"/>
  <c r="O52" i="31"/>
  <c r="O53" i="31" s="1"/>
  <c r="S151" i="31"/>
  <c r="S152" i="31" s="1"/>
  <c r="L118" i="31"/>
  <c r="L119" i="31" s="1"/>
  <c r="Y85" i="31"/>
  <c r="Y86" i="31" s="1"/>
  <c r="Q85" i="31"/>
  <c r="Q86" i="31" s="1"/>
  <c r="I85" i="31"/>
  <c r="I86" i="31" s="1"/>
  <c r="Z52" i="31"/>
  <c r="Z53" i="31" s="1"/>
  <c r="R52" i="31"/>
  <c r="R53" i="31" s="1"/>
  <c r="J52" i="31"/>
  <c r="J53" i="31" s="1"/>
  <c r="H7" i="1"/>
  <c r="AE27" i="34"/>
  <c r="AA27" i="34"/>
  <c r="W27" i="34"/>
  <c r="S27" i="34"/>
  <c r="O27" i="34"/>
  <c r="K27" i="34"/>
  <c r="AF27" i="34"/>
  <c r="X27" i="34"/>
  <c r="P27" i="34"/>
  <c r="AH27" i="34"/>
  <c r="AD27" i="34"/>
  <c r="Z27" i="34"/>
  <c r="V27" i="34"/>
  <c r="R27" i="34"/>
  <c r="N27" i="34"/>
  <c r="J27" i="34"/>
  <c r="AG27" i="34"/>
  <c r="AC27" i="34"/>
  <c r="Y27" i="34"/>
  <c r="U27" i="34"/>
  <c r="Q27" i="34"/>
  <c r="M27" i="34"/>
  <c r="I27" i="34"/>
  <c r="AB27" i="34"/>
  <c r="T27" i="34"/>
  <c r="L27" i="34"/>
  <c r="G7" i="1"/>
  <c r="AE27" i="33" s="1"/>
  <c r="E7" i="1"/>
  <c r="E3" i="2" s="1"/>
  <c r="C27" i="2" s="1"/>
  <c r="C28" i="2" s="1"/>
  <c r="D31" i="2" s="1"/>
  <c r="E3" i="33"/>
  <c r="C27" i="33" s="1"/>
  <c r="C28" i="33" s="1"/>
  <c r="E3" i="34"/>
  <c r="C27" i="34" s="1"/>
  <c r="C28" i="34" s="1"/>
  <c r="E3" i="32"/>
  <c r="C27" i="32" s="1"/>
  <c r="C28" i="32" s="1"/>
  <c r="E3" i="35"/>
  <c r="C27" i="35" s="1"/>
  <c r="C28" i="35" s="1"/>
  <c r="AA27" i="2"/>
  <c r="AF27" i="2"/>
  <c r="AH27" i="2"/>
  <c r="AG27" i="2"/>
  <c r="AD27" i="2"/>
  <c r="AE27" i="2"/>
  <c r="F7" i="1"/>
  <c r="W27" i="32" s="1"/>
  <c r="AG27" i="32"/>
  <c r="I7" i="1"/>
  <c r="AE27" i="35" s="1"/>
  <c r="S27" i="35"/>
  <c r="AB27" i="35"/>
  <c r="AH27" i="35"/>
  <c r="R27" i="35"/>
  <c r="AC27" i="35"/>
  <c r="M27" i="35"/>
  <c r="X19" i="31"/>
  <c r="X20" i="31" s="1"/>
  <c r="AB19" i="31"/>
  <c r="AB20" i="31" s="1"/>
  <c r="Y19" i="31"/>
  <c r="Y20" i="31" s="1"/>
  <c r="Z19" i="31"/>
  <c r="Z20" i="31" s="1"/>
  <c r="AA19" i="31"/>
  <c r="AA20" i="31" s="1"/>
  <c r="Z108" i="31"/>
  <c r="Z109" i="31" s="1"/>
  <c r="AA108" i="31"/>
  <c r="AA109" i="31" s="1"/>
  <c r="Y108" i="31"/>
  <c r="Y109" i="31" s="1"/>
  <c r="X108" i="31"/>
  <c r="X109" i="31" s="1"/>
  <c r="AB108" i="31"/>
  <c r="AB109" i="31" s="1"/>
  <c r="Z9" i="31"/>
  <c r="Z10" i="31" s="1"/>
  <c r="Y9" i="31"/>
  <c r="Y10" i="31" s="1"/>
  <c r="AA9" i="31"/>
  <c r="AA10" i="31" s="1"/>
  <c r="X9" i="31"/>
  <c r="X10" i="31" s="1"/>
  <c r="AB9" i="31"/>
  <c r="AB10" i="31" s="1"/>
  <c r="AA42" i="31"/>
  <c r="AA43" i="31" s="1"/>
  <c r="X141" i="31"/>
  <c r="X142" i="31" s="1"/>
  <c r="AC85" i="31" l="1"/>
  <c r="AC86" i="31" s="1"/>
  <c r="E86" i="31"/>
  <c r="AC52" i="31"/>
  <c r="AC53" i="31" s="1"/>
  <c r="E53" i="31"/>
  <c r="AC118" i="31"/>
  <c r="AC119" i="31" s="1"/>
  <c r="E119" i="31"/>
  <c r="AC151" i="31"/>
  <c r="AC152" i="31" s="1"/>
  <c r="E152" i="31"/>
  <c r="AC16" i="36"/>
  <c r="AC18" i="37"/>
  <c r="AD36" i="36"/>
  <c r="AD37" i="36" s="1"/>
  <c r="AD38" i="37"/>
  <c r="AD39" i="37" s="1"/>
  <c r="AB5" i="36"/>
  <c r="AB7" i="37"/>
  <c r="AC35" i="36"/>
  <c r="AC37" i="37"/>
  <c r="AB16" i="36"/>
  <c r="AB18" i="37"/>
  <c r="AB6" i="36"/>
  <c r="AB7" i="36" s="1"/>
  <c r="AB8" i="37"/>
  <c r="AB9" i="37" s="1"/>
  <c r="AC26" i="36"/>
  <c r="AC28" i="37"/>
  <c r="Z26" i="36"/>
  <c r="Z28" i="37"/>
  <c r="Z36" i="36"/>
  <c r="Z38" i="37"/>
  <c r="Z46" i="36"/>
  <c r="Z48" i="37"/>
  <c r="Z49" i="37" s="1"/>
  <c r="D32" i="34"/>
  <c r="D31" i="34"/>
  <c r="AA5" i="36"/>
  <c r="AA7" i="37"/>
  <c r="AC6" i="36"/>
  <c r="AC8" i="37"/>
  <c r="AD26" i="36"/>
  <c r="AD28" i="37"/>
  <c r="AD5" i="36"/>
  <c r="AD7" i="37"/>
  <c r="Z5" i="36"/>
  <c r="Z7" i="37"/>
  <c r="AD35" i="36"/>
  <c r="AD37" i="37"/>
  <c r="AB35" i="36"/>
  <c r="AB37" i="37"/>
  <c r="AA16" i="36"/>
  <c r="AA18" i="37"/>
  <c r="AA6" i="36"/>
  <c r="AA7" i="36" s="1"/>
  <c r="AA8" i="37"/>
  <c r="AA9" i="37" s="1"/>
  <c r="AB26" i="36"/>
  <c r="AB28" i="37"/>
  <c r="AB36" i="36"/>
  <c r="AB37" i="36" s="1"/>
  <c r="AB38" i="37"/>
  <c r="AB39" i="37" s="1"/>
  <c r="AC36" i="36"/>
  <c r="AC38" i="37"/>
  <c r="AC46" i="36"/>
  <c r="AC48" i="37"/>
  <c r="D32" i="33"/>
  <c r="D31" i="33"/>
  <c r="AC15" i="36"/>
  <c r="AC17" i="37"/>
  <c r="AA35" i="36"/>
  <c r="AA37" i="37"/>
  <c r="Z6" i="36"/>
  <c r="Z7" i="36" s="1"/>
  <c r="Z8" i="37"/>
  <c r="Z9" i="37" s="1"/>
  <c r="AD46" i="36"/>
  <c r="AD48" i="37"/>
  <c r="D32" i="32"/>
  <c r="D31" i="32"/>
  <c r="Z45" i="36"/>
  <c r="Z47" i="37"/>
  <c r="AC5" i="36"/>
  <c r="AC7" i="37"/>
  <c r="Z35" i="36"/>
  <c r="Z37" i="37"/>
  <c r="AD16" i="36"/>
  <c r="AD18" i="37"/>
  <c r="Z16" i="36"/>
  <c r="Z18" i="37"/>
  <c r="AD6" i="36"/>
  <c r="AD7" i="36" s="1"/>
  <c r="AD8" i="37"/>
  <c r="AD9" i="37" s="1"/>
  <c r="AA26" i="36"/>
  <c r="AA28" i="37"/>
  <c r="AA36" i="36"/>
  <c r="AA37" i="36" s="1"/>
  <c r="AA38" i="37"/>
  <c r="AA39" i="37" s="1"/>
  <c r="AA46" i="36"/>
  <c r="AA48" i="37"/>
  <c r="AB46" i="36"/>
  <c r="AB48" i="37"/>
  <c r="D32" i="35"/>
  <c r="D31" i="35"/>
  <c r="D32" i="2"/>
  <c r="D38" i="2"/>
  <c r="D34" i="2" s="1"/>
  <c r="AA141" i="31"/>
  <c r="AA142" i="31" s="1"/>
  <c r="Q27" i="35"/>
  <c r="AG27" i="35"/>
  <c r="V27" i="35"/>
  <c r="P27" i="35"/>
  <c r="AF27" i="35"/>
  <c r="W27" i="35"/>
  <c r="L27" i="32"/>
  <c r="V27" i="32"/>
  <c r="Y141" i="31"/>
  <c r="Y142" i="31" s="1"/>
  <c r="AB42" i="31"/>
  <c r="AB43" i="31" s="1"/>
  <c r="Z42" i="31"/>
  <c r="Z43" i="31" s="1"/>
  <c r="L27" i="35"/>
  <c r="U27" i="35"/>
  <c r="J27" i="35"/>
  <c r="Z27" i="35"/>
  <c r="T27" i="35"/>
  <c r="K27" i="35"/>
  <c r="AA27" i="35"/>
  <c r="X27" i="32"/>
  <c r="P27" i="32"/>
  <c r="Z141" i="31"/>
  <c r="Z142" i="31" s="1"/>
  <c r="Y42" i="31"/>
  <c r="Y43" i="31" s="1"/>
  <c r="AB141" i="31"/>
  <c r="AB142" i="31" s="1"/>
  <c r="X42" i="31"/>
  <c r="X43" i="31" s="1"/>
  <c r="I27" i="35"/>
  <c r="Y27" i="35"/>
  <c r="N27" i="35"/>
  <c r="AD27" i="35"/>
  <c r="X27" i="35"/>
  <c r="O27" i="35"/>
  <c r="Q27" i="32"/>
  <c r="S27" i="32"/>
  <c r="X75" i="31"/>
  <c r="X76" i="31" s="1"/>
  <c r="J27" i="33"/>
  <c r="AC17" i="36"/>
  <c r="AC7" i="36"/>
  <c r="T27" i="32"/>
  <c r="Y27" i="32"/>
  <c r="AD27" i="32"/>
  <c r="AA27" i="32"/>
  <c r="Z27" i="33"/>
  <c r="X27" i="33"/>
  <c r="AB27" i="33"/>
  <c r="I27" i="32"/>
  <c r="N27" i="32"/>
  <c r="K27" i="32"/>
  <c r="U27" i="33"/>
  <c r="S27" i="33"/>
  <c r="D38" i="33"/>
  <c r="D34" i="33" s="1"/>
  <c r="D26" i="33"/>
  <c r="Z75" i="31"/>
  <c r="Z76" i="31" s="1"/>
  <c r="M27" i="32"/>
  <c r="AC27" i="32"/>
  <c r="R27" i="32"/>
  <c r="AH27" i="32"/>
  <c r="O27" i="32"/>
  <c r="AE27" i="32"/>
  <c r="D38" i="35"/>
  <c r="D34" i="35" s="1"/>
  <c r="D26" i="35"/>
  <c r="D26" i="2"/>
  <c r="D25" i="2" s="1"/>
  <c r="AF27" i="33"/>
  <c r="Y27" i="33"/>
  <c r="N27" i="33"/>
  <c r="AD27" i="33"/>
  <c r="I27" i="33"/>
  <c r="W27" i="33"/>
  <c r="AA75" i="31"/>
  <c r="AA76" i="31" s="1"/>
  <c r="Y75" i="31"/>
  <c r="Y76" i="31" s="1"/>
  <c r="Z37" i="36"/>
  <c r="Z47" i="36"/>
  <c r="D38" i="32"/>
  <c r="D34" i="32" s="1"/>
  <c r="D26" i="32"/>
  <c r="L27" i="33"/>
  <c r="M27" i="33"/>
  <c r="AC27" i="33"/>
  <c r="R27" i="33"/>
  <c r="AH27" i="33"/>
  <c r="K27" i="33"/>
  <c r="AA27" i="33"/>
  <c r="AB75" i="31"/>
  <c r="AB76" i="31" s="1"/>
  <c r="AC37" i="36"/>
  <c r="AF27" i="32"/>
  <c r="U27" i="32"/>
  <c r="J27" i="32"/>
  <c r="Z27" i="32"/>
  <c r="AB27" i="32"/>
  <c r="D38" i="34"/>
  <c r="D34" i="34" s="1"/>
  <c r="D26" i="34"/>
  <c r="T27" i="33"/>
  <c r="Q27" i="33"/>
  <c r="AG27" i="33"/>
  <c r="V27" i="33"/>
  <c r="P27" i="33"/>
  <c r="O27" i="33"/>
  <c r="AB154" i="31"/>
  <c r="Z153" i="31"/>
  <c r="AA153" i="31"/>
  <c r="AA154" i="31"/>
  <c r="AA21" i="31"/>
  <c r="AA22" i="31"/>
  <c r="AB120" i="31"/>
  <c r="AB121" i="31"/>
  <c r="Z121" i="31"/>
  <c r="Z120" i="31"/>
  <c r="AB55" i="31"/>
  <c r="Z54" i="31"/>
  <c r="Z55" i="31"/>
  <c r="Y21" i="31"/>
  <c r="Y22" i="31"/>
  <c r="X87" i="31"/>
  <c r="X120" i="31"/>
  <c r="X121" i="31"/>
  <c r="X55" i="31"/>
  <c r="X54" i="31"/>
  <c r="AB22" i="31"/>
  <c r="AB21" i="31"/>
  <c r="Z22" i="31"/>
  <c r="Z21" i="31"/>
  <c r="Y121" i="31"/>
  <c r="Y120" i="31"/>
  <c r="X153" i="31"/>
  <c r="X154" i="31"/>
  <c r="AA55" i="31"/>
  <c r="AA54" i="31"/>
  <c r="X22" i="31"/>
  <c r="X21" i="31"/>
  <c r="AA87" i="31"/>
  <c r="AA88" i="31"/>
  <c r="AA120" i="31"/>
  <c r="AA121" i="31"/>
  <c r="AB45" i="36" l="1"/>
  <c r="AB47" i="36" s="1"/>
  <c r="AB47" i="37"/>
  <c r="Z25" i="36"/>
  <c r="Z27" i="36" s="1"/>
  <c r="Z27" i="37"/>
  <c r="AA45" i="36"/>
  <c r="AA47" i="36" s="1"/>
  <c r="AA47" i="37"/>
  <c r="AB49" i="37"/>
  <c r="Z29" i="37"/>
  <c r="Z154" i="31"/>
  <c r="AD25" i="36"/>
  <c r="AD27" i="36" s="1"/>
  <c r="AD27" i="37"/>
  <c r="AD29" i="37" s="1"/>
  <c r="Z15" i="36"/>
  <c r="Z17" i="36" s="1"/>
  <c r="Z17" i="37"/>
  <c r="Z19" i="37" s="1"/>
  <c r="AC45" i="36"/>
  <c r="AC47" i="36" s="1"/>
  <c r="AC47" i="37"/>
  <c r="AC49" i="37" s="1"/>
  <c r="D30" i="32"/>
  <c r="D47" i="32" s="1"/>
  <c r="Y153" i="31"/>
  <c r="AA25" i="36"/>
  <c r="AA27" i="36" s="1"/>
  <c r="AA27" i="37"/>
  <c r="AD45" i="36"/>
  <c r="AD47" i="36" s="1"/>
  <c r="AD47" i="37"/>
  <c r="AB15" i="36"/>
  <c r="AB17" i="36" s="1"/>
  <c r="AB17" i="37"/>
  <c r="AB19" i="37" s="1"/>
  <c r="AA49" i="37"/>
  <c r="AA29" i="37"/>
  <c r="AD49" i="37"/>
  <c r="AC39" i="37"/>
  <c r="AC9" i="37"/>
  <c r="Z39" i="37"/>
  <c r="AC29" i="37"/>
  <c r="AC19" i="37"/>
  <c r="AB25" i="36"/>
  <c r="AB27" i="36" s="1"/>
  <c r="AB27" i="37"/>
  <c r="AB29" i="37" s="1"/>
  <c r="X88" i="31"/>
  <c r="Y154" i="31"/>
  <c r="AB153" i="31"/>
  <c r="AC25" i="36"/>
  <c r="AC27" i="36" s="1"/>
  <c r="AC27" i="37"/>
  <c r="AA15" i="36"/>
  <c r="AA17" i="36" s="1"/>
  <c r="AA17" i="37"/>
  <c r="AA19" i="37" s="1"/>
  <c r="AD15" i="36"/>
  <c r="AD17" i="36" s="1"/>
  <c r="AD17" i="37"/>
  <c r="AD19" i="37" s="1"/>
  <c r="D30" i="35"/>
  <c r="D47" i="35" s="1"/>
  <c r="D30" i="33"/>
  <c r="D47" i="33" s="1"/>
  <c r="D30" i="34"/>
  <c r="D47" i="34" s="1"/>
  <c r="Y87" i="31"/>
  <c r="Y55" i="31"/>
  <c r="Y54" i="31"/>
  <c r="AB54" i="31"/>
  <c r="Z87" i="31"/>
  <c r="AB88" i="31"/>
  <c r="Y88" i="31"/>
  <c r="Z88" i="31"/>
  <c r="AB87" i="31"/>
  <c r="D95" i="33"/>
  <c r="D25" i="33"/>
  <c r="D95" i="32"/>
  <c r="D25" i="32"/>
  <c r="D94" i="33"/>
  <c r="C67" i="33"/>
  <c r="D46" i="33"/>
  <c r="D25" i="34"/>
  <c r="D95" i="34"/>
  <c r="D40" i="32"/>
  <c r="D94" i="32"/>
  <c r="D46" i="32"/>
  <c r="C67" i="32"/>
  <c r="D95" i="35"/>
  <c r="D25" i="35"/>
  <c r="D46" i="34"/>
  <c r="D94" i="34"/>
  <c r="C67" i="34"/>
  <c r="D46" i="35"/>
  <c r="D94" i="35"/>
  <c r="D96" i="35" s="1"/>
  <c r="D98" i="35" s="1"/>
  <c r="D100" i="35" s="1"/>
  <c r="D101" i="35" s="1"/>
  <c r="D102" i="35" s="1"/>
  <c r="C67" i="35"/>
  <c r="D40" i="35" l="1"/>
  <c r="C65" i="35"/>
  <c r="C65" i="34"/>
  <c r="D40" i="34"/>
  <c r="D40" i="33"/>
  <c r="D42" i="33" s="1"/>
  <c r="C65" i="32"/>
  <c r="D96" i="33"/>
  <c r="D98" i="33" s="1"/>
  <c r="D100" i="33" s="1"/>
  <c r="D101" i="33" s="1"/>
  <c r="D102" i="33" s="1"/>
  <c r="D110" i="33" s="1"/>
  <c r="C65" i="33"/>
  <c r="D96" i="32"/>
  <c r="D98" i="32" s="1"/>
  <c r="D100" i="32" s="1"/>
  <c r="D101" i="32" s="1"/>
  <c r="D102" i="32" s="1"/>
  <c r="D110" i="32" s="1"/>
  <c r="D27" i="35"/>
  <c r="D28" i="35" s="1"/>
  <c r="D45" i="35"/>
  <c r="D48" i="35" s="1"/>
  <c r="D24" i="35"/>
  <c r="D27" i="32"/>
  <c r="D28" i="32" s="1"/>
  <c r="D45" i="32"/>
  <c r="D48" i="32" s="1"/>
  <c r="D24" i="32"/>
  <c r="D42" i="32" s="1"/>
  <c r="D96" i="34"/>
  <c r="D98" i="34" s="1"/>
  <c r="D100" i="34" s="1"/>
  <c r="D101" i="34" s="1"/>
  <c r="D102" i="34" s="1"/>
  <c r="D27" i="34"/>
  <c r="D28" i="34" s="1"/>
  <c r="D45" i="34"/>
  <c r="D57" i="34" s="1"/>
  <c r="D24" i="34"/>
  <c r="D27" i="33"/>
  <c r="D28" i="33" s="1"/>
  <c r="D45" i="33"/>
  <c r="D55" i="33" s="1"/>
  <c r="D24" i="33"/>
  <c r="D110" i="35"/>
  <c r="D108" i="35"/>
  <c r="D112" i="35"/>
  <c r="S141" i="31"/>
  <c r="T141" i="31"/>
  <c r="U141" i="31"/>
  <c r="V141" i="31"/>
  <c r="W141" i="31"/>
  <c r="S108" i="31"/>
  <c r="T108" i="31"/>
  <c r="U108" i="31"/>
  <c r="V108" i="31"/>
  <c r="W108" i="31"/>
  <c r="S75" i="31"/>
  <c r="T75" i="31"/>
  <c r="U75" i="31"/>
  <c r="V75" i="31"/>
  <c r="W75" i="31"/>
  <c r="S42" i="31"/>
  <c r="T42" i="31"/>
  <c r="U42" i="31"/>
  <c r="V42" i="31"/>
  <c r="W42" i="31"/>
  <c r="S9" i="31"/>
  <c r="T9" i="31"/>
  <c r="U9" i="31"/>
  <c r="V9" i="31"/>
  <c r="W9" i="31"/>
  <c r="C30" i="2"/>
  <c r="D42" i="34" l="1"/>
  <c r="D112" i="33"/>
  <c r="D108" i="33"/>
  <c r="D57" i="32"/>
  <c r="E32" i="32"/>
  <c r="E31" i="32"/>
  <c r="E32" i="35"/>
  <c r="E31" i="35"/>
  <c r="E32" i="33"/>
  <c r="E31" i="33"/>
  <c r="E32" i="34"/>
  <c r="E31" i="34"/>
  <c r="D112" i="32"/>
  <c r="D108" i="32"/>
  <c r="D55" i="34"/>
  <c r="D57" i="35"/>
  <c r="D55" i="32"/>
  <c r="D55" i="35"/>
  <c r="E26" i="33"/>
  <c r="E38" i="33"/>
  <c r="E34" i="33" s="1"/>
  <c r="D48" i="34"/>
  <c r="E38" i="34"/>
  <c r="E34" i="34" s="1"/>
  <c r="E26" i="34"/>
  <c r="D72" i="32"/>
  <c r="D43" i="32"/>
  <c r="D53" i="32"/>
  <c r="D72" i="35"/>
  <c r="D53" i="35"/>
  <c r="D43" i="35"/>
  <c r="D48" i="33"/>
  <c r="E38" i="35"/>
  <c r="E34" i="35" s="1"/>
  <c r="E26" i="35"/>
  <c r="D72" i="33"/>
  <c r="D43" i="33"/>
  <c r="D53" i="33"/>
  <c r="D72" i="34"/>
  <c r="D103" i="34" s="1"/>
  <c r="D104" i="34" s="1"/>
  <c r="D53" i="34"/>
  <c r="D43" i="34"/>
  <c r="D112" i="34"/>
  <c r="D110" i="34"/>
  <c r="D108" i="34"/>
  <c r="E26" i="32"/>
  <c r="E38" i="32"/>
  <c r="E34" i="32" s="1"/>
  <c r="D57" i="33"/>
  <c r="D42" i="35"/>
  <c r="V142" i="31"/>
  <c r="V109" i="31"/>
  <c r="T10" i="31"/>
  <c r="U10" i="31"/>
  <c r="V10" i="31"/>
  <c r="V76" i="31"/>
  <c r="S76" i="31"/>
  <c r="W43" i="31"/>
  <c r="S43" i="31"/>
  <c r="T43" i="31"/>
  <c r="U43" i="31"/>
  <c r="V43" i="31"/>
  <c r="U109" i="31"/>
  <c r="W142" i="31"/>
  <c r="S142" i="31"/>
  <c r="T142" i="31"/>
  <c r="W76" i="31"/>
  <c r="T76" i="31"/>
  <c r="T109" i="31"/>
  <c r="U76" i="31"/>
  <c r="W109" i="31"/>
  <c r="S109" i="31"/>
  <c r="W10" i="31"/>
  <c r="S10" i="31"/>
  <c r="U142" i="31"/>
  <c r="U35" i="36" l="1"/>
  <c r="U37" i="37"/>
  <c r="Y45" i="36"/>
  <c r="Y47" i="37"/>
  <c r="W45" i="36"/>
  <c r="W47" i="37"/>
  <c r="Y35" i="36"/>
  <c r="Y37" i="37"/>
  <c r="Y25" i="36"/>
  <c r="Y27" i="37"/>
  <c r="W35" i="36"/>
  <c r="W37" i="37"/>
  <c r="U15" i="36"/>
  <c r="U17" i="37"/>
  <c r="X5" i="36"/>
  <c r="X7" i="37"/>
  <c r="X45" i="36"/>
  <c r="X47" i="37"/>
  <c r="U36" i="36"/>
  <c r="U38" i="37"/>
  <c r="U39" i="37" s="1"/>
  <c r="E30" i="34"/>
  <c r="E47" i="34" s="1"/>
  <c r="E30" i="35"/>
  <c r="E47" i="35" s="1"/>
  <c r="V25" i="36"/>
  <c r="V27" i="37"/>
  <c r="W25" i="36"/>
  <c r="W27" i="37"/>
  <c r="V45" i="36"/>
  <c r="V47" i="37"/>
  <c r="X15" i="36"/>
  <c r="X17" i="37"/>
  <c r="Y15" i="36"/>
  <c r="Y17" i="37"/>
  <c r="W5" i="36"/>
  <c r="W7" i="37"/>
  <c r="V36" i="36"/>
  <c r="V38" i="37"/>
  <c r="V39" i="37" s="1"/>
  <c r="Y36" i="36"/>
  <c r="Y38" i="37"/>
  <c r="Y39" i="37" s="1"/>
  <c r="X25" i="36"/>
  <c r="X27" i="37"/>
  <c r="U5" i="36"/>
  <c r="U7" i="37"/>
  <c r="Y5" i="36"/>
  <c r="Y7" i="37"/>
  <c r="V35" i="36"/>
  <c r="V37" i="37"/>
  <c r="U45" i="36"/>
  <c r="U47" i="37"/>
  <c r="W15" i="36"/>
  <c r="W17" i="37"/>
  <c r="U25" i="36"/>
  <c r="U27" i="37"/>
  <c r="V5" i="36"/>
  <c r="V7" i="37"/>
  <c r="W36" i="36"/>
  <c r="W38" i="37"/>
  <c r="W39" i="37" s="1"/>
  <c r="E30" i="33"/>
  <c r="E47" i="33" s="1"/>
  <c r="E30" i="32"/>
  <c r="E47" i="32" s="1"/>
  <c r="V15" i="36"/>
  <c r="V17" i="37"/>
  <c r="X35" i="36"/>
  <c r="X37" i="37"/>
  <c r="X36" i="36"/>
  <c r="X38" i="37"/>
  <c r="X39" i="37" s="1"/>
  <c r="D65" i="33"/>
  <c r="D65" i="32"/>
  <c r="D65" i="34"/>
  <c r="E95" i="35"/>
  <c r="E25" i="35"/>
  <c r="E25" i="34"/>
  <c r="E95" i="34"/>
  <c r="E40" i="33"/>
  <c r="E94" i="33"/>
  <c r="E46" i="33"/>
  <c r="D67" i="33"/>
  <c r="Y37" i="36"/>
  <c r="E94" i="32"/>
  <c r="E46" i="32"/>
  <c r="D67" i="32"/>
  <c r="F80" i="34"/>
  <c r="G79" i="34"/>
  <c r="H80" i="34" s="1"/>
  <c r="E80" i="34"/>
  <c r="E71" i="34" s="1"/>
  <c r="E97" i="34" s="1"/>
  <c r="G80" i="34"/>
  <c r="E40" i="35"/>
  <c r="E94" i="35"/>
  <c r="E46" i="35"/>
  <c r="D67" i="35"/>
  <c r="E94" i="34"/>
  <c r="E40" i="34"/>
  <c r="E46" i="34"/>
  <c r="D67" i="34"/>
  <c r="E95" i="33"/>
  <c r="E25" i="33"/>
  <c r="E80" i="33"/>
  <c r="E71" i="33" s="1"/>
  <c r="E97" i="33" s="1"/>
  <c r="G79" i="33"/>
  <c r="G70" i="33" s="1"/>
  <c r="G80" i="33"/>
  <c r="F80" i="33"/>
  <c r="H80" i="33"/>
  <c r="D103" i="33"/>
  <c r="D104" i="33" s="1"/>
  <c r="E25" i="32"/>
  <c r="E95" i="32"/>
  <c r="G79" i="32"/>
  <c r="G70" i="32" s="1"/>
  <c r="F80" i="32"/>
  <c r="E80" i="32"/>
  <c r="E71" i="32" s="1"/>
  <c r="E97" i="32" s="1"/>
  <c r="G80" i="32"/>
  <c r="D103" i="32"/>
  <c r="D104" i="32" s="1"/>
  <c r="F80" i="35"/>
  <c r="E80" i="35"/>
  <c r="E71" i="35" s="1"/>
  <c r="E97" i="35" s="1"/>
  <c r="G79" i="35"/>
  <c r="H80" i="35" s="1"/>
  <c r="G80" i="35"/>
  <c r="D103" i="35"/>
  <c r="D104" i="35" s="1"/>
  <c r="T121" i="31"/>
  <c r="V121" i="31"/>
  <c r="U121" i="31"/>
  <c r="S121" i="31"/>
  <c r="W121" i="31"/>
  <c r="E40" i="32" l="1"/>
  <c r="D65" i="35"/>
  <c r="E96" i="35"/>
  <c r="E98" i="35" s="1"/>
  <c r="E100" i="35" s="1"/>
  <c r="E101" i="35" s="1"/>
  <c r="E102" i="35" s="1"/>
  <c r="H80" i="32"/>
  <c r="H79" i="33"/>
  <c r="I80" i="33" s="1"/>
  <c r="E27" i="33"/>
  <c r="E28" i="33" s="1"/>
  <c r="E45" i="33"/>
  <c r="E57" i="33" s="1"/>
  <c r="E24" i="33"/>
  <c r="E96" i="32"/>
  <c r="E98" i="32" s="1"/>
  <c r="E100" i="32" s="1"/>
  <c r="E101" i="32" s="1"/>
  <c r="E102" i="32" s="1"/>
  <c r="E27" i="34"/>
  <c r="E28" i="34" s="1"/>
  <c r="E24" i="34"/>
  <c r="E45" i="34"/>
  <c r="E48" i="34" s="1"/>
  <c r="E96" i="33"/>
  <c r="E98" i="33" s="1"/>
  <c r="E100" i="33" s="1"/>
  <c r="E101" i="33" s="1"/>
  <c r="E102" i="33" s="1"/>
  <c r="E27" i="35"/>
  <c r="E28" i="35" s="1"/>
  <c r="E45" i="35"/>
  <c r="E57" i="35" s="1"/>
  <c r="E24" i="35"/>
  <c r="H79" i="35"/>
  <c r="G70" i="35"/>
  <c r="H79" i="32"/>
  <c r="E27" i="32"/>
  <c r="E28" i="32" s="1"/>
  <c r="E24" i="32"/>
  <c r="E45" i="32"/>
  <c r="E48" i="32" s="1"/>
  <c r="E96" i="34"/>
  <c r="E98" i="34" s="1"/>
  <c r="E100" i="34" s="1"/>
  <c r="E101" i="34" s="1"/>
  <c r="E102" i="34" s="1"/>
  <c r="H79" i="34"/>
  <c r="G70" i="34"/>
  <c r="U37" i="36"/>
  <c r="W37" i="36"/>
  <c r="X37" i="36"/>
  <c r="V37" i="36"/>
  <c r="R9" i="31"/>
  <c r="Q9" i="31"/>
  <c r="P9" i="31"/>
  <c r="O9" i="31"/>
  <c r="N9" i="31"/>
  <c r="M9" i="31"/>
  <c r="L9" i="31"/>
  <c r="K9" i="31"/>
  <c r="J9" i="31"/>
  <c r="I9" i="31"/>
  <c r="H9" i="31"/>
  <c r="G9" i="31"/>
  <c r="F9" i="31"/>
  <c r="E9" i="31"/>
  <c r="D9" i="31"/>
  <c r="C8" i="31"/>
  <c r="F32" i="35" l="1"/>
  <c r="F31" i="35"/>
  <c r="F32" i="34"/>
  <c r="F31" i="34"/>
  <c r="F32" i="33"/>
  <c r="F31" i="33"/>
  <c r="AC9" i="31"/>
  <c r="F32" i="32"/>
  <c r="F30" i="32" s="1"/>
  <c r="F47" i="32" s="1"/>
  <c r="F31" i="32"/>
  <c r="AC8" i="31"/>
  <c r="C15" i="30"/>
  <c r="E55" i="35"/>
  <c r="E55" i="33"/>
  <c r="I79" i="33"/>
  <c r="J80" i="33" s="1"/>
  <c r="E48" i="33"/>
  <c r="E55" i="34"/>
  <c r="E42" i="33"/>
  <c r="E72" i="33"/>
  <c r="E53" i="33"/>
  <c r="E43" i="33"/>
  <c r="E108" i="35"/>
  <c r="E112" i="35"/>
  <c r="E110" i="35"/>
  <c r="F38" i="32"/>
  <c r="F34" i="32" s="1"/>
  <c r="F26" i="32"/>
  <c r="I80" i="35"/>
  <c r="I79" i="35"/>
  <c r="J80" i="35" s="1"/>
  <c r="E108" i="33"/>
  <c r="E110" i="33"/>
  <c r="E103" i="33"/>
  <c r="E104" i="33" s="1"/>
  <c r="E112" i="33"/>
  <c r="E48" i="35"/>
  <c r="F26" i="34"/>
  <c r="F38" i="34"/>
  <c r="F34" i="34" s="1"/>
  <c r="E57" i="34"/>
  <c r="E57" i="32"/>
  <c r="E108" i="32"/>
  <c r="E110" i="32"/>
  <c r="E112" i="32"/>
  <c r="F38" i="33"/>
  <c r="F34" i="33" s="1"/>
  <c r="F26" i="33"/>
  <c r="E55" i="32"/>
  <c r="I80" i="34"/>
  <c r="E72" i="32"/>
  <c r="E103" i="32" s="1"/>
  <c r="E104" i="32" s="1"/>
  <c r="E43" i="32"/>
  <c r="E53" i="32"/>
  <c r="F38" i="35"/>
  <c r="F34" i="35" s="1"/>
  <c r="F26" i="35"/>
  <c r="E42" i="34"/>
  <c r="E72" i="34"/>
  <c r="E103" i="34" s="1"/>
  <c r="E104" i="34" s="1"/>
  <c r="E43" i="34"/>
  <c r="E53" i="34"/>
  <c r="E42" i="32"/>
  <c r="E112" i="34"/>
  <c r="E110" i="34"/>
  <c r="E108" i="34"/>
  <c r="I79" i="32"/>
  <c r="J80" i="32" s="1"/>
  <c r="E42" i="35"/>
  <c r="E72" i="35"/>
  <c r="E43" i="35"/>
  <c r="E53" i="35"/>
  <c r="I80" i="32"/>
  <c r="J79" i="33"/>
  <c r="K80" i="33" s="1"/>
  <c r="I79" i="34"/>
  <c r="J79" i="34" s="1"/>
  <c r="K79" i="34" s="1"/>
  <c r="D10" i="31"/>
  <c r="R141" i="31"/>
  <c r="Q141" i="31"/>
  <c r="P141" i="31"/>
  <c r="O141" i="31"/>
  <c r="N141" i="31"/>
  <c r="M141" i="31"/>
  <c r="L141" i="31"/>
  <c r="K141" i="31"/>
  <c r="J141" i="31"/>
  <c r="I141" i="31"/>
  <c r="H141" i="31"/>
  <c r="G141" i="31"/>
  <c r="F141" i="31"/>
  <c r="E141" i="31"/>
  <c r="D141" i="31"/>
  <c r="AC141" i="31" s="1"/>
  <c r="C140" i="31"/>
  <c r="R108" i="31"/>
  <c r="Q108" i="31"/>
  <c r="P108" i="31"/>
  <c r="O108" i="31"/>
  <c r="N108" i="31"/>
  <c r="M108" i="31"/>
  <c r="L108" i="31"/>
  <c r="K108" i="31"/>
  <c r="J108" i="31"/>
  <c r="I108" i="31"/>
  <c r="H108" i="31"/>
  <c r="G108" i="31"/>
  <c r="F108" i="31"/>
  <c r="E108" i="31"/>
  <c r="D108" i="31"/>
  <c r="AC108" i="31" s="1"/>
  <c r="C107" i="31"/>
  <c r="R75" i="31"/>
  <c r="Q75" i="31"/>
  <c r="P75" i="31"/>
  <c r="O75" i="31"/>
  <c r="N75" i="31"/>
  <c r="M75" i="31"/>
  <c r="L75" i="31"/>
  <c r="K75" i="31"/>
  <c r="J75" i="31"/>
  <c r="I75" i="31"/>
  <c r="H75" i="31"/>
  <c r="G75" i="31"/>
  <c r="F75" i="31"/>
  <c r="E75" i="31"/>
  <c r="D75" i="31"/>
  <c r="C74" i="31"/>
  <c r="R42" i="31"/>
  <c r="Q42" i="31"/>
  <c r="P42" i="31"/>
  <c r="O42" i="31"/>
  <c r="N42" i="31"/>
  <c r="M42" i="31"/>
  <c r="L42" i="31"/>
  <c r="K42" i="31"/>
  <c r="J42" i="31"/>
  <c r="I42" i="31"/>
  <c r="H42" i="31"/>
  <c r="G42" i="31"/>
  <c r="F42" i="31"/>
  <c r="E42" i="31"/>
  <c r="D42" i="31"/>
  <c r="AC42" i="31" s="1"/>
  <c r="C41" i="31"/>
  <c r="C146" i="31"/>
  <c r="C113" i="31"/>
  <c r="C80" i="31"/>
  <c r="C47" i="31"/>
  <c r="F30" i="33" l="1"/>
  <c r="F47" i="33" s="1"/>
  <c r="F30" i="34"/>
  <c r="F47" i="34" s="1"/>
  <c r="AC41" i="31"/>
  <c r="C16" i="30"/>
  <c r="AC74" i="31"/>
  <c r="C17" i="30"/>
  <c r="AC107" i="31"/>
  <c r="C18" i="30"/>
  <c r="AC140" i="31"/>
  <c r="C19" i="30"/>
  <c r="F5" i="36"/>
  <c r="F7" i="37"/>
  <c r="F30" i="35"/>
  <c r="F47" i="35" s="1"/>
  <c r="E65" i="33"/>
  <c r="E65" i="32"/>
  <c r="E65" i="35"/>
  <c r="J79" i="35"/>
  <c r="K80" i="35" s="1"/>
  <c r="J79" i="32"/>
  <c r="K79" i="32" s="1"/>
  <c r="L79" i="32" s="1"/>
  <c r="F94" i="35"/>
  <c r="F46" i="35"/>
  <c r="F40" i="35"/>
  <c r="E67" i="35"/>
  <c r="F95" i="34"/>
  <c r="F25" i="34"/>
  <c r="K79" i="33"/>
  <c r="F83" i="35"/>
  <c r="F71" i="35" s="1"/>
  <c r="F97" i="35" s="1"/>
  <c r="H83" i="35"/>
  <c r="H82" i="35"/>
  <c r="H70" i="35" s="1"/>
  <c r="G83" i="35"/>
  <c r="L79" i="34"/>
  <c r="F94" i="33"/>
  <c r="F46" i="33"/>
  <c r="F40" i="33"/>
  <c r="E67" i="33"/>
  <c r="F25" i="32"/>
  <c r="F95" i="32"/>
  <c r="E103" i="35"/>
  <c r="E104" i="35" s="1"/>
  <c r="K80" i="32"/>
  <c r="F95" i="33"/>
  <c r="F25" i="33"/>
  <c r="J80" i="34"/>
  <c r="L80" i="34"/>
  <c r="G83" i="34"/>
  <c r="H83" i="34"/>
  <c r="F83" i="34"/>
  <c r="F71" i="34" s="1"/>
  <c r="F97" i="34" s="1"/>
  <c r="H82" i="34"/>
  <c r="H70" i="34" s="1"/>
  <c r="F95" i="35"/>
  <c r="F25" i="35"/>
  <c r="H83" i="32"/>
  <c r="F83" i="32"/>
  <c r="F71" i="32" s="1"/>
  <c r="F97" i="32" s="1"/>
  <c r="H82" i="32"/>
  <c r="G83" i="32"/>
  <c r="K80" i="34"/>
  <c r="F40" i="32"/>
  <c r="F94" i="32"/>
  <c r="F46" i="32"/>
  <c r="E67" i="32"/>
  <c r="F46" i="34"/>
  <c r="F40" i="34"/>
  <c r="F94" i="34"/>
  <c r="E67" i="34"/>
  <c r="F83" i="33"/>
  <c r="F71" i="33" s="1"/>
  <c r="F97" i="33" s="1"/>
  <c r="H83" i="33"/>
  <c r="H82" i="33"/>
  <c r="I83" i="33" s="1"/>
  <c r="G83" i="33"/>
  <c r="AC43" i="31"/>
  <c r="AC75" i="31"/>
  <c r="F38" i="37"/>
  <c r="D113" i="31"/>
  <c r="C43" i="31"/>
  <c r="C76" i="31"/>
  <c r="D80" i="31"/>
  <c r="O142" i="31"/>
  <c r="H142" i="31"/>
  <c r="D146" i="31"/>
  <c r="I109" i="31"/>
  <c r="M109" i="31"/>
  <c r="N109" i="31"/>
  <c r="R109" i="31"/>
  <c r="O109" i="31"/>
  <c r="H109" i="31"/>
  <c r="G76" i="31"/>
  <c r="D47" i="31"/>
  <c r="K43" i="31"/>
  <c r="H43" i="31"/>
  <c r="P43" i="31"/>
  <c r="I43" i="31"/>
  <c r="Q43" i="31"/>
  <c r="J43" i="31"/>
  <c r="R43" i="31"/>
  <c r="G43" i="31"/>
  <c r="O43" i="31"/>
  <c r="L43" i="31"/>
  <c r="E43" i="31"/>
  <c r="M43" i="31"/>
  <c r="F43" i="31"/>
  <c r="N43" i="31"/>
  <c r="M76" i="31"/>
  <c r="N76" i="31"/>
  <c r="E142" i="31"/>
  <c r="M142" i="31"/>
  <c r="R142" i="31"/>
  <c r="C142" i="31"/>
  <c r="D43" i="31"/>
  <c r="H76" i="31"/>
  <c r="D142" i="31"/>
  <c r="L142" i="31"/>
  <c r="P142" i="31"/>
  <c r="I142" i="31"/>
  <c r="Q142" i="31"/>
  <c r="N142" i="31"/>
  <c r="E76" i="31"/>
  <c r="I76" i="31"/>
  <c r="Q76" i="31"/>
  <c r="J76" i="31"/>
  <c r="R76" i="31"/>
  <c r="K76" i="31"/>
  <c r="O76" i="31"/>
  <c r="L76" i="31"/>
  <c r="P76" i="31"/>
  <c r="C109" i="31"/>
  <c r="D109" i="31"/>
  <c r="L109" i="31"/>
  <c r="P109" i="31"/>
  <c r="Q109" i="31"/>
  <c r="J109" i="31"/>
  <c r="K109" i="31"/>
  <c r="J142" i="31"/>
  <c r="K142" i="31"/>
  <c r="F76" i="31"/>
  <c r="D76" i="31"/>
  <c r="F109" i="31"/>
  <c r="G142" i="31"/>
  <c r="F142" i="31"/>
  <c r="E109" i="31"/>
  <c r="G109" i="31"/>
  <c r="N35" i="36" l="1"/>
  <c r="N37" i="37"/>
  <c r="P45" i="36"/>
  <c r="P47" i="37"/>
  <c r="O15" i="36"/>
  <c r="O17" i="37"/>
  <c r="K15" i="36"/>
  <c r="K17" i="37"/>
  <c r="M36" i="36"/>
  <c r="M38" i="37"/>
  <c r="L35" i="36"/>
  <c r="L37" i="37"/>
  <c r="Q25" i="36"/>
  <c r="Q27" i="37"/>
  <c r="S45" i="36"/>
  <c r="S47" i="37"/>
  <c r="O25" i="36"/>
  <c r="O27" i="37"/>
  <c r="G15" i="36"/>
  <c r="G17" i="37"/>
  <c r="R15" i="36"/>
  <c r="R17" i="37"/>
  <c r="P35" i="36"/>
  <c r="P37" i="37"/>
  <c r="J45" i="36"/>
  <c r="J47" i="37"/>
  <c r="L36" i="36"/>
  <c r="L38" i="37"/>
  <c r="L39" i="37" s="1"/>
  <c r="I45" i="36"/>
  <c r="I47" i="37"/>
  <c r="M45" i="36"/>
  <c r="M47" i="37"/>
  <c r="S35" i="36"/>
  <c r="S37" i="37"/>
  <c r="E35" i="36"/>
  <c r="E37" i="37"/>
  <c r="E39" i="37" s="1"/>
  <c r="M25" i="36"/>
  <c r="M27" i="37"/>
  <c r="K25" i="36"/>
  <c r="K27" i="37"/>
  <c r="K45" i="36"/>
  <c r="K47" i="37"/>
  <c r="J25" i="36"/>
  <c r="J27" i="37"/>
  <c r="O45" i="36"/>
  <c r="O47" i="37"/>
  <c r="P15" i="36"/>
  <c r="P17" i="37"/>
  <c r="N15" i="36"/>
  <c r="N17" i="37"/>
  <c r="L15" i="36"/>
  <c r="L17" i="37"/>
  <c r="J15" i="36"/>
  <c r="J17" i="37"/>
  <c r="J35" i="36"/>
  <c r="J37" i="37"/>
  <c r="O35" i="36"/>
  <c r="O37" i="37"/>
  <c r="Q45" i="36"/>
  <c r="Q47" i="37"/>
  <c r="H36" i="36"/>
  <c r="H38" i="37"/>
  <c r="K36" i="36"/>
  <c r="K38" i="37"/>
  <c r="R36" i="36"/>
  <c r="R38" i="37"/>
  <c r="E65" i="34"/>
  <c r="G35" i="36"/>
  <c r="G37" i="37"/>
  <c r="N25" i="36"/>
  <c r="N27" i="37"/>
  <c r="E45" i="36"/>
  <c r="E47" i="37"/>
  <c r="E49" i="37" s="1"/>
  <c r="P25" i="36"/>
  <c r="P27" i="37"/>
  <c r="E25" i="36"/>
  <c r="E27" i="37"/>
  <c r="E29" i="37" s="1"/>
  <c r="S36" i="36"/>
  <c r="S38" i="37"/>
  <c r="S39" i="37" s="1"/>
  <c r="H45" i="36"/>
  <c r="H47" i="37"/>
  <c r="F35" i="36"/>
  <c r="F37" i="37"/>
  <c r="F39" i="37" s="1"/>
  <c r="S25" i="36"/>
  <c r="S27" i="37"/>
  <c r="T45" i="36"/>
  <c r="T47" i="37"/>
  <c r="T15" i="36"/>
  <c r="T17" i="37"/>
  <c r="I35" i="36"/>
  <c r="I37" i="37"/>
  <c r="H35" i="36"/>
  <c r="H37" i="37"/>
  <c r="L45" i="36"/>
  <c r="L47" i="37"/>
  <c r="R35" i="36"/>
  <c r="R37" i="37"/>
  <c r="R25" i="36"/>
  <c r="R27" i="37"/>
  <c r="T25" i="36"/>
  <c r="T27" i="37"/>
  <c r="G25" i="36"/>
  <c r="G27" i="37"/>
  <c r="R45" i="36"/>
  <c r="R47" i="37"/>
  <c r="F15" i="36"/>
  <c r="F17" i="37"/>
  <c r="G45" i="36"/>
  <c r="G47" i="37"/>
  <c r="H15" i="36"/>
  <c r="H17" i="37"/>
  <c r="Q15" i="36"/>
  <c r="Q17" i="37"/>
  <c r="S15" i="36"/>
  <c r="S17" i="37"/>
  <c r="M15" i="36"/>
  <c r="M17" i="37"/>
  <c r="Q35" i="36"/>
  <c r="Q37" i="37"/>
  <c r="K35" i="36"/>
  <c r="K37" i="37"/>
  <c r="T36" i="36"/>
  <c r="T38" i="37"/>
  <c r="J36" i="36"/>
  <c r="J38" i="37"/>
  <c r="J39" i="37" s="1"/>
  <c r="G36" i="36"/>
  <c r="G38" i="37"/>
  <c r="G39" i="37" s="1"/>
  <c r="Q36" i="36"/>
  <c r="Q38" i="37"/>
  <c r="F25" i="36"/>
  <c r="F27" i="37"/>
  <c r="N45" i="36"/>
  <c r="N47" i="37"/>
  <c r="T35" i="36"/>
  <c r="T37" i="37"/>
  <c r="N36" i="36"/>
  <c r="N38" i="37"/>
  <c r="N39" i="37" s="1"/>
  <c r="M35" i="36"/>
  <c r="M37" i="37"/>
  <c r="L25" i="36"/>
  <c r="L27" i="37"/>
  <c r="I15" i="36"/>
  <c r="I17" i="37"/>
  <c r="P36" i="36"/>
  <c r="P38" i="37"/>
  <c r="P39" i="37" s="1"/>
  <c r="H25" i="36"/>
  <c r="H27" i="37"/>
  <c r="F45" i="36"/>
  <c r="F47" i="37"/>
  <c r="I25" i="36"/>
  <c r="I27" i="37"/>
  <c r="E15" i="36"/>
  <c r="E17" i="37"/>
  <c r="E19" i="37" s="1"/>
  <c r="O36" i="36"/>
  <c r="O38" i="37"/>
  <c r="O39" i="37" s="1"/>
  <c r="I36" i="36"/>
  <c r="I38" i="37"/>
  <c r="I39" i="37" s="1"/>
  <c r="K79" i="35"/>
  <c r="L80" i="35" s="1"/>
  <c r="F96" i="34"/>
  <c r="F98" i="34" s="1"/>
  <c r="F100" i="34" s="1"/>
  <c r="F101" i="34" s="1"/>
  <c r="F102" i="34" s="1"/>
  <c r="I82" i="32"/>
  <c r="J82" i="32" s="1"/>
  <c r="I82" i="33"/>
  <c r="J83" i="33" s="1"/>
  <c r="F96" i="32"/>
  <c r="F98" i="32" s="1"/>
  <c r="F100" i="32" s="1"/>
  <c r="F101" i="32" s="1"/>
  <c r="F102" i="32" s="1"/>
  <c r="F108" i="32" s="1"/>
  <c r="I83" i="35"/>
  <c r="L80" i="32"/>
  <c r="I83" i="34"/>
  <c r="I82" i="35"/>
  <c r="J82" i="35" s="1"/>
  <c r="K83" i="35" s="1"/>
  <c r="AA128" i="31"/>
  <c r="X128" i="31"/>
  <c r="AB128" i="31"/>
  <c r="Y128" i="31"/>
  <c r="F36" i="36"/>
  <c r="Z128" i="31"/>
  <c r="H70" i="33"/>
  <c r="H70" i="32"/>
  <c r="I83" i="32"/>
  <c r="L80" i="33"/>
  <c r="L79" i="33"/>
  <c r="F27" i="35"/>
  <c r="F28" i="35" s="1"/>
  <c r="F24" i="35"/>
  <c r="F42" i="35" s="1"/>
  <c r="F45" i="35"/>
  <c r="F55" i="35" s="1"/>
  <c r="I82" i="34"/>
  <c r="M80" i="32"/>
  <c r="F27" i="33"/>
  <c r="F28" i="33" s="1"/>
  <c r="F24" i="33"/>
  <c r="F42" i="33" s="1"/>
  <c r="F45" i="33"/>
  <c r="F57" i="33" s="1"/>
  <c r="F27" i="32"/>
  <c r="F28" i="32" s="1"/>
  <c r="F24" i="32"/>
  <c r="F42" i="32" s="1"/>
  <c r="F45" i="32"/>
  <c r="F57" i="32" s="1"/>
  <c r="F96" i="33"/>
  <c r="F98" i="33" s="1"/>
  <c r="F100" i="33" s="1"/>
  <c r="F101" i="33" s="1"/>
  <c r="F102" i="33" s="1"/>
  <c r="F96" i="35"/>
  <c r="F98" i="35" s="1"/>
  <c r="F100" i="35" s="1"/>
  <c r="F101" i="35" s="1"/>
  <c r="F102" i="35" s="1"/>
  <c r="L79" i="35"/>
  <c r="M79" i="32"/>
  <c r="N80" i="32" s="1"/>
  <c r="M80" i="34"/>
  <c r="M79" i="34"/>
  <c r="M80" i="33"/>
  <c r="M79" i="33"/>
  <c r="F27" i="34"/>
  <c r="F28" i="34" s="1"/>
  <c r="F45" i="34"/>
  <c r="F57" i="34" s="1"/>
  <c r="F24" i="34"/>
  <c r="B124" i="31"/>
  <c r="E47" i="36"/>
  <c r="E37" i="36"/>
  <c r="E17" i="36"/>
  <c r="E27" i="36"/>
  <c r="P128" i="31"/>
  <c r="M128" i="31"/>
  <c r="Q128" i="31"/>
  <c r="U128" i="31"/>
  <c r="J128" i="31"/>
  <c r="N128" i="31"/>
  <c r="V128" i="31"/>
  <c r="K128" i="31"/>
  <c r="R128" i="31"/>
  <c r="O128" i="31"/>
  <c r="S128" i="31"/>
  <c r="W128" i="31"/>
  <c r="L128" i="31"/>
  <c r="T128" i="31"/>
  <c r="I128" i="31"/>
  <c r="AC109" i="31"/>
  <c r="AC142" i="31"/>
  <c r="AC76" i="31"/>
  <c r="F112" i="34" l="1"/>
  <c r="F110" i="34"/>
  <c r="G32" i="34"/>
  <c r="G31" i="34"/>
  <c r="T39" i="37"/>
  <c r="K39" i="37"/>
  <c r="G32" i="33"/>
  <c r="G31" i="33"/>
  <c r="Q39" i="37"/>
  <c r="R39" i="37"/>
  <c r="H39" i="37"/>
  <c r="M39" i="37"/>
  <c r="G32" i="32"/>
  <c r="G31" i="32"/>
  <c r="G32" i="35"/>
  <c r="G31" i="35"/>
  <c r="J83" i="32"/>
  <c r="F108" i="34"/>
  <c r="F48" i="35"/>
  <c r="F57" i="35"/>
  <c r="J82" i="33"/>
  <c r="K82" i="33" s="1"/>
  <c r="K83" i="32"/>
  <c r="K82" i="32"/>
  <c r="F110" i="32"/>
  <c r="F112" i="32"/>
  <c r="F48" i="33"/>
  <c r="F55" i="34"/>
  <c r="J83" i="35"/>
  <c r="K82" i="35"/>
  <c r="F48" i="34"/>
  <c r="G26" i="34"/>
  <c r="G38" i="34"/>
  <c r="G34" i="34" s="1"/>
  <c r="N79" i="32"/>
  <c r="O79" i="32" s="1"/>
  <c r="F48" i="32"/>
  <c r="F108" i="33"/>
  <c r="F110" i="33"/>
  <c r="F112" i="33"/>
  <c r="G26" i="32"/>
  <c r="G38" i="32"/>
  <c r="G34" i="32" s="1"/>
  <c r="F72" i="35"/>
  <c r="F43" i="35"/>
  <c r="F53" i="35"/>
  <c r="L82" i="32"/>
  <c r="M82" i="32" s="1"/>
  <c r="F55" i="33"/>
  <c r="F42" i="34"/>
  <c r="F72" i="34"/>
  <c r="F53" i="34"/>
  <c r="F43" i="34"/>
  <c r="F72" i="33"/>
  <c r="F43" i="33"/>
  <c r="F53" i="33"/>
  <c r="J83" i="34"/>
  <c r="J82" i="34"/>
  <c r="K83" i="34" s="1"/>
  <c r="N79" i="33"/>
  <c r="O80" i="33" s="1"/>
  <c r="F55" i="32"/>
  <c r="F110" i="35"/>
  <c r="F108" i="35"/>
  <c r="F112" i="35"/>
  <c r="F72" i="32"/>
  <c r="F53" i="32"/>
  <c r="F43" i="32"/>
  <c r="G26" i="33"/>
  <c r="G38" i="33"/>
  <c r="G34" i="33" s="1"/>
  <c r="N80" i="33"/>
  <c r="N80" i="34"/>
  <c r="N79" i="34"/>
  <c r="M80" i="35"/>
  <c r="M79" i="35"/>
  <c r="G26" i="35"/>
  <c r="G38" i="35"/>
  <c r="G34" i="35" s="1"/>
  <c r="L83" i="32"/>
  <c r="K83" i="33"/>
  <c r="R37" i="36"/>
  <c r="M37" i="36"/>
  <c r="T37" i="36"/>
  <c r="F37" i="36"/>
  <c r="G37" i="36"/>
  <c r="N37" i="36"/>
  <c r="O37" i="36"/>
  <c r="K37" i="36"/>
  <c r="I37" i="36"/>
  <c r="H37" i="36"/>
  <c r="J37" i="36"/>
  <c r="Q37" i="36"/>
  <c r="P37" i="36"/>
  <c r="L37" i="36"/>
  <c r="S37" i="36"/>
  <c r="C24" i="2"/>
  <c r="G30" i="32" l="1"/>
  <c r="G47" i="32" s="1"/>
  <c r="C41" i="37"/>
  <c r="C61" i="37" s="1"/>
  <c r="C42" i="37"/>
  <c r="B61" i="37" s="1"/>
  <c r="G30" i="34"/>
  <c r="G47" i="34" s="1"/>
  <c r="G30" i="35"/>
  <c r="G47" i="35" s="1"/>
  <c r="G30" i="33"/>
  <c r="G47" i="33" s="1"/>
  <c r="F65" i="33"/>
  <c r="F65" i="32"/>
  <c r="F65" i="35"/>
  <c r="K82" i="34"/>
  <c r="L82" i="34" s="1"/>
  <c r="M83" i="34" s="1"/>
  <c r="L83" i="35"/>
  <c r="L82" i="35"/>
  <c r="M82" i="35" s="1"/>
  <c r="G25" i="35"/>
  <c r="G95" i="35"/>
  <c r="L82" i="33"/>
  <c r="L83" i="33"/>
  <c r="G46" i="32"/>
  <c r="G94" i="32"/>
  <c r="G40" i="32"/>
  <c r="F67" i="32"/>
  <c r="P80" i="32"/>
  <c r="P79" i="32"/>
  <c r="Q79" i="32" s="1"/>
  <c r="R80" i="32" s="1"/>
  <c r="I86" i="34"/>
  <c r="I85" i="34"/>
  <c r="I70" i="34" s="1"/>
  <c r="H86" i="34"/>
  <c r="G86" i="34"/>
  <c r="G71" i="34" s="1"/>
  <c r="G97" i="34" s="1"/>
  <c r="F103" i="34"/>
  <c r="F104" i="34" s="1"/>
  <c r="G86" i="35"/>
  <c r="G71" i="35" s="1"/>
  <c r="G97" i="35" s="1"/>
  <c r="I86" i="35"/>
  <c r="H86" i="35"/>
  <c r="I85" i="35"/>
  <c r="I70" i="35" s="1"/>
  <c r="N79" i="35"/>
  <c r="O80" i="35" s="1"/>
  <c r="N80" i="35"/>
  <c r="O79" i="34"/>
  <c r="F103" i="32"/>
  <c r="F104" i="32" s="1"/>
  <c r="H86" i="32"/>
  <c r="I85" i="32"/>
  <c r="J85" i="32" s="1"/>
  <c r="K86" i="32" s="1"/>
  <c r="G86" i="32"/>
  <c r="G71" i="32" s="1"/>
  <c r="G97" i="32" s="1"/>
  <c r="I86" i="32"/>
  <c r="G40" i="34"/>
  <c r="G94" i="34"/>
  <c r="G46" i="34"/>
  <c r="F67" i="34"/>
  <c r="G95" i="32"/>
  <c r="G25" i="32"/>
  <c r="O80" i="34"/>
  <c r="G94" i="33"/>
  <c r="G46" i="33"/>
  <c r="G40" i="33"/>
  <c r="F67" i="33"/>
  <c r="M83" i="32"/>
  <c r="N82" i="32"/>
  <c r="G94" i="35"/>
  <c r="G96" i="35" s="1"/>
  <c r="G46" i="35"/>
  <c r="F67" i="35"/>
  <c r="O79" i="33"/>
  <c r="G95" i="33"/>
  <c r="G25" i="33"/>
  <c r="F103" i="35"/>
  <c r="F104" i="35" s="1"/>
  <c r="F103" i="33"/>
  <c r="F104" i="33" s="1"/>
  <c r="G86" i="33"/>
  <c r="G71" i="33" s="1"/>
  <c r="G97" i="33" s="1"/>
  <c r="H86" i="33"/>
  <c r="I85" i="33"/>
  <c r="I70" i="33" s="1"/>
  <c r="I86" i="33"/>
  <c r="M83" i="33"/>
  <c r="O83" i="32"/>
  <c r="O80" i="32"/>
  <c r="G95" i="34"/>
  <c r="G25" i="34"/>
  <c r="N83" i="32"/>
  <c r="C40" i="36"/>
  <c r="B59" i="36" s="1"/>
  <c r="C39" i="36"/>
  <c r="C59" i="36" s="1"/>
  <c r="G40" i="35" l="1"/>
  <c r="F65" i="34"/>
  <c r="M82" i="34"/>
  <c r="J85" i="33"/>
  <c r="K85" i="33" s="1"/>
  <c r="L83" i="34"/>
  <c r="G98" i="35"/>
  <c r="G100" i="35" s="1"/>
  <c r="G101" i="35" s="1"/>
  <c r="G102" i="35" s="1"/>
  <c r="G112" i="35" s="1"/>
  <c r="N82" i="35"/>
  <c r="O82" i="35" s="1"/>
  <c r="P83" i="35" s="1"/>
  <c r="J86" i="34"/>
  <c r="O79" i="35"/>
  <c r="P80" i="35" s="1"/>
  <c r="N83" i="35"/>
  <c r="J86" i="33"/>
  <c r="J85" i="35"/>
  <c r="J85" i="34"/>
  <c r="K86" i="34" s="1"/>
  <c r="M83" i="35"/>
  <c r="G96" i="33"/>
  <c r="G98" i="33" s="1"/>
  <c r="G100" i="33" s="1"/>
  <c r="O83" i="35"/>
  <c r="G27" i="34"/>
  <c r="G28" i="34" s="1"/>
  <c r="G24" i="34"/>
  <c r="G42" i="34" s="1"/>
  <c r="G45" i="34"/>
  <c r="G48" i="34" s="1"/>
  <c r="R79" i="32"/>
  <c r="P80" i="33"/>
  <c r="P79" i="33"/>
  <c r="K85" i="35"/>
  <c r="L85" i="35" s="1"/>
  <c r="M82" i="33"/>
  <c r="N83" i="33" s="1"/>
  <c r="G27" i="35"/>
  <c r="G28" i="35" s="1"/>
  <c r="G24" i="35"/>
  <c r="G45" i="35"/>
  <c r="G55" i="35" s="1"/>
  <c r="G96" i="34"/>
  <c r="G98" i="34" s="1"/>
  <c r="G100" i="34" s="1"/>
  <c r="G101" i="34" s="1"/>
  <c r="G102" i="34" s="1"/>
  <c r="Q80" i="32"/>
  <c r="G96" i="32"/>
  <c r="G98" i="32" s="1"/>
  <c r="G100" i="32" s="1"/>
  <c r="G101" i="32" s="1"/>
  <c r="G102" i="32" s="1"/>
  <c r="N82" i="34"/>
  <c r="O82" i="34" s="1"/>
  <c r="P82" i="34" s="1"/>
  <c r="Q82" i="34" s="1"/>
  <c r="G27" i="33"/>
  <c r="G28" i="33" s="1"/>
  <c r="G45" i="33"/>
  <c r="G57" i="33" s="1"/>
  <c r="G24" i="33"/>
  <c r="G42" i="33" s="1"/>
  <c r="G27" i="32"/>
  <c r="G28" i="32" s="1"/>
  <c r="G45" i="32"/>
  <c r="G57" i="32" s="1"/>
  <c r="G24" i="32"/>
  <c r="N83" i="34"/>
  <c r="K85" i="32"/>
  <c r="K86" i="35"/>
  <c r="O82" i="32"/>
  <c r="P83" i="32" s="1"/>
  <c r="J86" i="32"/>
  <c r="I70" i="32"/>
  <c r="P80" i="34"/>
  <c r="P79" i="34"/>
  <c r="J86" i="35"/>
  <c r="H32" i="32" l="1"/>
  <c r="H31" i="32"/>
  <c r="G108" i="35"/>
  <c r="H32" i="34"/>
  <c r="H30" i="34" s="1"/>
  <c r="H47" i="34" s="1"/>
  <c r="H31" i="34"/>
  <c r="H32" i="35"/>
  <c r="H31" i="35"/>
  <c r="G110" i="35"/>
  <c r="H32" i="33"/>
  <c r="H31" i="33"/>
  <c r="K86" i="33"/>
  <c r="G55" i="34"/>
  <c r="P79" i="35"/>
  <c r="Q80" i="35" s="1"/>
  <c r="P82" i="32"/>
  <c r="Q83" i="32" s="1"/>
  <c r="G57" i="34"/>
  <c r="G48" i="32"/>
  <c r="G55" i="32"/>
  <c r="G57" i="35"/>
  <c r="K85" i="34"/>
  <c r="L85" i="34" s="1"/>
  <c r="M85" i="34" s="1"/>
  <c r="N86" i="34" s="1"/>
  <c r="G48" i="35"/>
  <c r="G48" i="33"/>
  <c r="M85" i="35"/>
  <c r="N86" i="35" s="1"/>
  <c r="M86" i="35"/>
  <c r="R82" i="34"/>
  <c r="S83" i="34" s="1"/>
  <c r="G110" i="32"/>
  <c r="G112" i="32"/>
  <c r="G108" i="32"/>
  <c r="L85" i="32"/>
  <c r="M86" i="32" s="1"/>
  <c r="L86" i="32"/>
  <c r="G42" i="32"/>
  <c r="G72" i="32"/>
  <c r="G53" i="32"/>
  <c r="G43" i="32"/>
  <c r="G108" i="34"/>
  <c r="G112" i="34"/>
  <c r="G110" i="34"/>
  <c r="L86" i="33"/>
  <c r="G55" i="33"/>
  <c r="Q79" i="35"/>
  <c r="Q80" i="34"/>
  <c r="H26" i="33"/>
  <c r="H38" i="33"/>
  <c r="H34" i="33" s="1"/>
  <c r="Q79" i="33"/>
  <c r="Q80" i="33"/>
  <c r="G72" i="34"/>
  <c r="G53" i="34"/>
  <c r="G43" i="34"/>
  <c r="P82" i="35"/>
  <c r="Q82" i="35" s="1"/>
  <c r="R82" i="35" s="1"/>
  <c r="L85" i="33"/>
  <c r="M86" i="33" s="1"/>
  <c r="G72" i="33"/>
  <c r="G53" i="33"/>
  <c r="G43" i="33"/>
  <c r="H26" i="35"/>
  <c r="H38" i="35"/>
  <c r="H34" i="35" s="1"/>
  <c r="Q79" i="34"/>
  <c r="H26" i="32"/>
  <c r="H38" i="32"/>
  <c r="H34" i="32" s="1"/>
  <c r="O83" i="34"/>
  <c r="Q83" i="34"/>
  <c r="R83" i="34"/>
  <c r="S82" i="34"/>
  <c r="P83" i="34"/>
  <c r="G72" i="35"/>
  <c r="G43" i="35"/>
  <c r="G53" i="35"/>
  <c r="N82" i="33"/>
  <c r="L86" i="35"/>
  <c r="N85" i="35"/>
  <c r="O85" i="35" s="1"/>
  <c r="S79" i="32"/>
  <c r="S80" i="32"/>
  <c r="H26" i="34"/>
  <c r="H38" i="34"/>
  <c r="H34" i="34" s="1"/>
  <c r="G101" i="33"/>
  <c r="G102" i="33" s="1"/>
  <c r="G42" i="35"/>
  <c r="H10" i="31"/>
  <c r="M10" i="31"/>
  <c r="P10" i="31"/>
  <c r="O5" i="36" l="1"/>
  <c r="O7" i="37"/>
  <c r="J5" i="36"/>
  <c r="J7" i="37"/>
  <c r="H30" i="35"/>
  <c r="H47" i="35" s="1"/>
  <c r="R5" i="36"/>
  <c r="R7" i="37"/>
  <c r="H30" i="33"/>
  <c r="H47" i="33" s="1"/>
  <c r="H30" i="32"/>
  <c r="H47" i="32" s="1"/>
  <c r="Q82" i="32"/>
  <c r="G65" i="32"/>
  <c r="G65" i="35"/>
  <c r="G65" i="34"/>
  <c r="L86" i="34"/>
  <c r="M86" i="34"/>
  <c r="T82" i="34"/>
  <c r="U83" i="34" s="1"/>
  <c r="R83" i="35"/>
  <c r="N85" i="34"/>
  <c r="O85" i="34" s="1"/>
  <c r="T83" i="34"/>
  <c r="G103" i="33"/>
  <c r="G104" i="33" s="1"/>
  <c r="G112" i="33"/>
  <c r="G110" i="33"/>
  <c r="G108" i="33"/>
  <c r="P86" i="35"/>
  <c r="P85" i="35"/>
  <c r="H95" i="34"/>
  <c r="H25" i="34"/>
  <c r="H95" i="32"/>
  <c r="H25" i="32"/>
  <c r="R80" i="34"/>
  <c r="R79" i="34"/>
  <c r="O83" i="33"/>
  <c r="J88" i="34"/>
  <c r="J70" i="34" s="1"/>
  <c r="H89" i="34"/>
  <c r="H71" i="34" s="1"/>
  <c r="H97" i="34" s="1"/>
  <c r="I89" i="34"/>
  <c r="J89" i="34"/>
  <c r="H46" i="33"/>
  <c r="H94" i="33"/>
  <c r="G67" i="33"/>
  <c r="H95" i="35"/>
  <c r="H25" i="35"/>
  <c r="H95" i="33"/>
  <c r="H25" i="33"/>
  <c r="R80" i="35"/>
  <c r="R79" i="35"/>
  <c r="M85" i="32"/>
  <c r="I89" i="35"/>
  <c r="H89" i="35"/>
  <c r="H71" i="35" s="1"/>
  <c r="H97" i="35" s="1"/>
  <c r="J89" i="35"/>
  <c r="J88" i="35"/>
  <c r="J70" i="35" s="1"/>
  <c r="G103" i="35"/>
  <c r="G104" i="35" s="1"/>
  <c r="H94" i="35"/>
  <c r="H46" i="35"/>
  <c r="H40" i="35"/>
  <c r="G67" i="35"/>
  <c r="J89" i="33"/>
  <c r="J88" i="33"/>
  <c r="J70" i="33" s="1"/>
  <c r="H89" i="33"/>
  <c r="H71" i="33" s="1"/>
  <c r="H97" i="33" s="1"/>
  <c r="I89" i="33"/>
  <c r="R80" i="33"/>
  <c r="R79" i="33"/>
  <c r="O82" i="33"/>
  <c r="P82" i="33" s="1"/>
  <c r="G103" i="34"/>
  <c r="G104" i="34" s="1"/>
  <c r="J88" i="32"/>
  <c r="J70" i="32" s="1"/>
  <c r="J89" i="32"/>
  <c r="I89" i="32"/>
  <c r="H89" i="32"/>
  <c r="H71" i="32" s="1"/>
  <c r="H97" i="32" s="1"/>
  <c r="K89" i="32"/>
  <c r="S82" i="35"/>
  <c r="H46" i="34"/>
  <c r="H40" i="34"/>
  <c r="H94" i="34"/>
  <c r="G67" i="34"/>
  <c r="T80" i="32"/>
  <c r="T79" i="32"/>
  <c r="O86" i="35"/>
  <c r="H94" i="32"/>
  <c r="H46" i="32"/>
  <c r="H40" i="32"/>
  <c r="G67" i="32"/>
  <c r="M85" i="33"/>
  <c r="N86" i="33" s="1"/>
  <c r="T82" i="35"/>
  <c r="U83" i="35" s="1"/>
  <c r="S83" i="35"/>
  <c r="Q83" i="35"/>
  <c r="G103" i="32"/>
  <c r="G104" i="32" s="1"/>
  <c r="Q10" i="31"/>
  <c r="I10" i="31"/>
  <c r="L10" i="31"/>
  <c r="K10" i="31"/>
  <c r="E10" i="31"/>
  <c r="O10" i="31"/>
  <c r="G10" i="31"/>
  <c r="R10" i="31"/>
  <c r="N10" i="31"/>
  <c r="J10" i="31"/>
  <c r="F10" i="31"/>
  <c r="C153" i="31"/>
  <c r="C96" i="31"/>
  <c r="C55" i="31"/>
  <c r="H121" i="31"/>
  <c r="O121" i="31"/>
  <c r="C54" i="31"/>
  <c r="C63" i="31"/>
  <c r="C121" i="31"/>
  <c r="C62" i="31"/>
  <c r="C128" i="31"/>
  <c r="C129" i="31"/>
  <c r="H40" i="33" l="1"/>
  <c r="G5" i="36"/>
  <c r="G7" i="37"/>
  <c r="S5" i="36"/>
  <c r="S7" i="37"/>
  <c r="T5" i="36"/>
  <c r="T7" i="37"/>
  <c r="H5" i="36"/>
  <c r="H7" i="37"/>
  <c r="I5" i="36"/>
  <c r="I7" i="37"/>
  <c r="N5" i="36"/>
  <c r="N7" i="37"/>
  <c r="G65" i="33"/>
  <c r="P5" i="36"/>
  <c r="P7" i="37"/>
  <c r="M5" i="36"/>
  <c r="M7" i="37"/>
  <c r="L5" i="36"/>
  <c r="L7" i="37"/>
  <c r="Q5" i="36"/>
  <c r="Q7" i="37"/>
  <c r="K5" i="36"/>
  <c r="K7" i="37"/>
  <c r="R82" i="32"/>
  <c r="R83" i="32"/>
  <c r="K89" i="35"/>
  <c r="H96" i="35"/>
  <c r="H98" i="35" s="1"/>
  <c r="H100" i="35" s="1"/>
  <c r="H101" i="35" s="1"/>
  <c r="H102" i="35" s="1"/>
  <c r="K88" i="34"/>
  <c r="L88" i="34" s="1"/>
  <c r="M89" i="34" s="1"/>
  <c r="O86" i="34"/>
  <c r="K89" i="33"/>
  <c r="H96" i="32"/>
  <c r="H98" i="32" s="1"/>
  <c r="H100" i="32" s="1"/>
  <c r="H101" i="32" s="1"/>
  <c r="H102" i="32" s="1"/>
  <c r="K88" i="33"/>
  <c r="P85" i="34"/>
  <c r="Q86" i="34" s="1"/>
  <c r="P86" i="34"/>
  <c r="U82" i="34"/>
  <c r="Q82" i="33"/>
  <c r="Q85" i="35"/>
  <c r="R85" i="35" s="1"/>
  <c r="U82" i="35"/>
  <c r="H96" i="34"/>
  <c r="H98" i="34" s="1"/>
  <c r="H100" i="34" s="1"/>
  <c r="H101" i="34" s="1"/>
  <c r="H102" i="34" s="1"/>
  <c r="K88" i="32"/>
  <c r="L89" i="32" s="1"/>
  <c r="N86" i="32"/>
  <c r="N85" i="32"/>
  <c r="O85" i="32" s="1"/>
  <c r="T83" i="35"/>
  <c r="Q83" i="33"/>
  <c r="H27" i="32"/>
  <c r="H28" i="32" s="1"/>
  <c r="H24" i="32"/>
  <c r="H42" i="32" s="1"/>
  <c r="H45" i="32"/>
  <c r="H55" i="32" s="1"/>
  <c r="L89" i="33"/>
  <c r="K88" i="35"/>
  <c r="S80" i="35"/>
  <c r="S79" i="35"/>
  <c r="H27" i="35"/>
  <c r="H28" i="35" s="1"/>
  <c r="H45" i="35"/>
  <c r="H57" i="35" s="1"/>
  <c r="H24" i="35"/>
  <c r="H42" i="35" s="1"/>
  <c r="H96" i="33"/>
  <c r="H98" i="33" s="1"/>
  <c r="H100" i="33" s="1"/>
  <c r="H101" i="33" s="1"/>
  <c r="H102" i="33" s="1"/>
  <c r="L89" i="34"/>
  <c r="S80" i="34"/>
  <c r="S79" i="34"/>
  <c r="S80" i="33"/>
  <c r="S79" i="33"/>
  <c r="H27" i="33"/>
  <c r="H28" i="33" s="1"/>
  <c r="H24" i="33"/>
  <c r="H42" i="33" s="1"/>
  <c r="H45" i="33"/>
  <c r="H57" i="33" s="1"/>
  <c r="N85" i="33"/>
  <c r="U80" i="32"/>
  <c r="U79" i="32"/>
  <c r="P83" i="33"/>
  <c r="K89" i="34"/>
  <c r="H27" i="34"/>
  <c r="H28" i="34" s="1"/>
  <c r="H45" i="34"/>
  <c r="H55" i="34" s="1"/>
  <c r="H24" i="34"/>
  <c r="Q86" i="35"/>
  <c r="F121" i="31"/>
  <c r="K121" i="31"/>
  <c r="P121" i="31"/>
  <c r="R121" i="31"/>
  <c r="L121" i="31"/>
  <c r="G121" i="31"/>
  <c r="D120" i="31"/>
  <c r="C120" i="31"/>
  <c r="C162" i="31"/>
  <c r="N121" i="31"/>
  <c r="J121" i="31"/>
  <c r="E128" i="31"/>
  <c r="D128" i="31"/>
  <c r="D129" i="31"/>
  <c r="D121" i="31"/>
  <c r="C154" i="31"/>
  <c r="C161" i="31"/>
  <c r="C88" i="31"/>
  <c r="F128" i="31"/>
  <c r="M121" i="31"/>
  <c r="Q121" i="31"/>
  <c r="H128" i="31"/>
  <c r="C87" i="31"/>
  <c r="E121" i="31"/>
  <c r="C95" i="31"/>
  <c r="I121" i="31"/>
  <c r="G128" i="31"/>
  <c r="I32" i="34" l="1"/>
  <c r="I31" i="34"/>
  <c r="I32" i="33"/>
  <c r="I31" i="33"/>
  <c r="I32" i="32"/>
  <c r="I31" i="32"/>
  <c r="I32" i="35"/>
  <c r="I31" i="35"/>
  <c r="S82" i="32"/>
  <c r="S83" i="32"/>
  <c r="M88" i="34"/>
  <c r="N88" i="34" s="1"/>
  <c r="O89" i="34" s="1"/>
  <c r="H48" i="33"/>
  <c r="H55" i="33"/>
  <c r="Q85" i="34"/>
  <c r="R85" i="34" s="1"/>
  <c r="R86" i="35"/>
  <c r="H48" i="35"/>
  <c r="L88" i="33"/>
  <c r="M89" i="33" s="1"/>
  <c r="O85" i="33"/>
  <c r="P85" i="33" s="1"/>
  <c r="Q85" i="33" s="1"/>
  <c r="H48" i="32"/>
  <c r="H57" i="32"/>
  <c r="V82" i="34"/>
  <c r="H55" i="35"/>
  <c r="V83" i="34"/>
  <c r="C61" i="33"/>
  <c r="I38" i="34"/>
  <c r="I26" i="34"/>
  <c r="I28" i="34"/>
  <c r="C61" i="35"/>
  <c r="H57" i="34"/>
  <c r="O86" i="33"/>
  <c r="H72" i="35"/>
  <c r="H53" i="35"/>
  <c r="H43" i="35"/>
  <c r="T80" i="35"/>
  <c r="T79" i="35"/>
  <c r="P85" i="32"/>
  <c r="H108" i="35"/>
  <c r="H112" i="35"/>
  <c r="H103" i="35"/>
  <c r="H104" i="35" s="1"/>
  <c r="H110" i="35"/>
  <c r="H110" i="34"/>
  <c r="H108" i="34"/>
  <c r="H112" i="34"/>
  <c r="S86" i="35"/>
  <c r="N89" i="34"/>
  <c r="H48" i="34"/>
  <c r="C61" i="32"/>
  <c r="T80" i="33"/>
  <c r="T79" i="33"/>
  <c r="S85" i="35"/>
  <c r="H72" i="32"/>
  <c r="H103" i="32" s="1"/>
  <c r="H104" i="32" s="1"/>
  <c r="H43" i="32"/>
  <c r="H53" i="32"/>
  <c r="O86" i="32"/>
  <c r="H42" i="34"/>
  <c r="H72" i="34"/>
  <c r="H43" i="34"/>
  <c r="H53" i="34"/>
  <c r="V80" i="32"/>
  <c r="V79" i="32"/>
  <c r="Q86" i="33"/>
  <c r="H72" i="33"/>
  <c r="H103" i="33" s="1"/>
  <c r="H104" i="33" s="1"/>
  <c r="H53" i="33"/>
  <c r="H43" i="33"/>
  <c r="T80" i="34"/>
  <c r="T79" i="34"/>
  <c r="I28" i="35"/>
  <c r="I26" i="35"/>
  <c r="I38" i="35"/>
  <c r="I26" i="32"/>
  <c r="I38" i="32"/>
  <c r="I28" i="32"/>
  <c r="H112" i="32"/>
  <c r="H108" i="32"/>
  <c r="H110" i="32"/>
  <c r="I38" i="33"/>
  <c r="I34" i="33" s="1"/>
  <c r="I26" i="33"/>
  <c r="I28" i="33"/>
  <c r="H112" i="33"/>
  <c r="H110" i="33"/>
  <c r="H108" i="33"/>
  <c r="L88" i="35"/>
  <c r="M89" i="35" s="1"/>
  <c r="L89" i="35"/>
  <c r="P86" i="32"/>
  <c r="Q86" i="32"/>
  <c r="L88" i="32"/>
  <c r="M88" i="32" s="1"/>
  <c r="V83" i="35"/>
  <c r="V82" i="35"/>
  <c r="R83" i="33"/>
  <c r="R82" i="33"/>
  <c r="B126" i="31"/>
  <c r="B122" i="31"/>
  <c r="AC121" i="31"/>
  <c r="I30" i="35" l="1"/>
  <c r="I47" i="35" s="1"/>
  <c r="I30" i="33"/>
  <c r="I47" i="33" s="1"/>
  <c r="I30" i="32"/>
  <c r="I47" i="32" s="1"/>
  <c r="I30" i="34"/>
  <c r="I47" i="34" s="1"/>
  <c r="I34" i="32"/>
  <c r="I34" i="35"/>
  <c r="I94" i="35" s="1"/>
  <c r="I34" i="34"/>
  <c r="H65" i="34" s="1"/>
  <c r="J32" i="32"/>
  <c r="J31" i="32"/>
  <c r="J32" i="35"/>
  <c r="J31" i="35"/>
  <c r="J32" i="34"/>
  <c r="J31" i="34"/>
  <c r="J32" i="33"/>
  <c r="J31" i="33"/>
  <c r="T82" i="32"/>
  <c r="U82" i="32" s="1"/>
  <c r="V82" i="32" s="1"/>
  <c r="W82" i="32" s="1"/>
  <c r="T83" i="32"/>
  <c r="O88" i="34"/>
  <c r="P89" i="34" s="1"/>
  <c r="R86" i="34"/>
  <c r="M88" i="33"/>
  <c r="W83" i="34"/>
  <c r="W82" i="34"/>
  <c r="N89" i="32"/>
  <c r="P88" i="34"/>
  <c r="P86" i="33"/>
  <c r="J38" i="33"/>
  <c r="J34" i="33" s="1"/>
  <c r="J28" i="33"/>
  <c r="J26" i="33"/>
  <c r="I46" i="32"/>
  <c r="H67" i="32"/>
  <c r="H67" i="35"/>
  <c r="W80" i="32"/>
  <c r="W79" i="32"/>
  <c r="C63" i="34"/>
  <c r="C63" i="32"/>
  <c r="J92" i="35"/>
  <c r="J71" i="35" s="1"/>
  <c r="J97" i="35" s="1"/>
  <c r="I92" i="35"/>
  <c r="I71" i="35" s="1"/>
  <c r="I97" i="35" s="1"/>
  <c r="K92" i="35"/>
  <c r="K71" i="35" s="1"/>
  <c r="K97" i="35" s="1"/>
  <c r="K91" i="35"/>
  <c r="K70" i="35" s="1"/>
  <c r="C106" i="35"/>
  <c r="R85" i="33"/>
  <c r="S85" i="33" s="1"/>
  <c r="T85" i="33" s="1"/>
  <c r="H67" i="34"/>
  <c r="W83" i="35"/>
  <c r="W82" i="35"/>
  <c r="I95" i="33"/>
  <c r="I45" i="33"/>
  <c r="I24" i="33"/>
  <c r="I43" i="33" s="1"/>
  <c r="I45" i="32"/>
  <c r="I24" i="32"/>
  <c r="I53" i="32" s="1"/>
  <c r="I95" i="32"/>
  <c r="I95" i="35"/>
  <c r="I45" i="35"/>
  <c r="I24" i="35"/>
  <c r="I43" i="35" s="1"/>
  <c r="U80" i="34"/>
  <c r="U79" i="34"/>
  <c r="K92" i="33"/>
  <c r="K71" i="33" s="1"/>
  <c r="K97" i="33" s="1"/>
  <c r="J92" i="33"/>
  <c r="J71" i="33" s="1"/>
  <c r="J97" i="33" s="1"/>
  <c r="I92" i="33"/>
  <c r="I71" i="33" s="1"/>
  <c r="I97" i="33" s="1"/>
  <c r="K91" i="33"/>
  <c r="K70" i="33" s="1"/>
  <c r="C106" i="33"/>
  <c r="I92" i="34"/>
  <c r="I71" i="34" s="1"/>
  <c r="I97" i="34" s="1"/>
  <c r="K91" i="34"/>
  <c r="K70" i="34" s="1"/>
  <c r="J92" i="34"/>
  <c r="J71" i="34" s="1"/>
  <c r="J97" i="34" s="1"/>
  <c r="K92" i="34"/>
  <c r="K71" i="34" s="1"/>
  <c r="K97" i="34" s="1"/>
  <c r="C106" i="34"/>
  <c r="I92" i="32"/>
  <c r="I71" i="32" s="1"/>
  <c r="I97" i="32" s="1"/>
  <c r="K91" i="32"/>
  <c r="K70" i="32" s="1"/>
  <c r="K92" i="32"/>
  <c r="K71" i="32" s="1"/>
  <c r="K97" i="32" s="1"/>
  <c r="J92" i="32"/>
  <c r="J71" i="32" s="1"/>
  <c r="J97" i="32" s="1"/>
  <c r="C106" i="32"/>
  <c r="T86" i="35"/>
  <c r="T85" i="35"/>
  <c r="S85" i="34"/>
  <c r="I46" i="33"/>
  <c r="I94" i="33"/>
  <c r="H67" i="33"/>
  <c r="J38" i="35"/>
  <c r="J34" i="35" s="1"/>
  <c r="J26" i="35"/>
  <c r="J28" i="35"/>
  <c r="C61" i="34"/>
  <c r="U80" i="33"/>
  <c r="U79" i="33"/>
  <c r="H103" i="34"/>
  <c r="H104" i="34" s="1"/>
  <c r="Q85" i="32"/>
  <c r="C63" i="35"/>
  <c r="J38" i="34"/>
  <c r="J34" i="34" s="1"/>
  <c r="J28" i="34"/>
  <c r="J26" i="34"/>
  <c r="S83" i="33"/>
  <c r="S82" i="33"/>
  <c r="M89" i="32"/>
  <c r="N88" i="32"/>
  <c r="M88" i="35"/>
  <c r="J38" i="32"/>
  <c r="J34" i="32" s="1"/>
  <c r="J28" i="32"/>
  <c r="J26" i="32"/>
  <c r="C63" i="33"/>
  <c r="S86" i="34"/>
  <c r="U80" i="35"/>
  <c r="U79" i="35"/>
  <c r="R86" i="33"/>
  <c r="I95" i="34"/>
  <c r="I45" i="34"/>
  <c r="I24" i="34"/>
  <c r="I53" i="34" s="1"/>
  <c r="B18" i="30"/>
  <c r="B17" i="30"/>
  <c r="I40" i="34" l="1"/>
  <c r="I46" i="34"/>
  <c r="I40" i="35"/>
  <c r="I40" i="32"/>
  <c r="H65" i="35"/>
  <c r="I40" i="33"/>
  <c r="I46" i="35"/>
  <c r="I48" i="35" s="1"/>
  <c r="H65" i="32"/>
  <c r="H65" i="33"/>
  <c r="J30" i="33"/>
  <c r="J47" i="33" s="1"/>
  <c r="J30" i="35"/>
  <c r="J47" i="35" s="1"/>
  <c r="I94" i="34"/>
  <c r="I96" i="34" s="1"/>
  <c r="I98" i="34" s="1"/>
  <c r="I100" i="34" s="1"/>
  <c r="I101" i="34" s="1"/>
  <c r="I102" i="34" s="1"/>
  <c r="I94" i="32"/>
  <c r="K32" i="32"/>
  <c r="K31" i="32"/>
  <c r="K32" i="34"/>
  <c r="K31" i="34"/>
  <c r="K32" i="35"/>
  <c r="K31" i="35"/>
  <c r="K32" i="33"/>
  <c r="K31" i="33"/>
  <c r="J30" i="34"/>
  <c r="J47" i="34" s="1"/>
  <c r="J30" i="32"/>
  <c r="J47" i="32" s="1"/>
  <c r="I96" i="33"/>
  <c r="I98" i="33" s="1"/>
  <c r="I100" i="33" s="1"/>
  <c r="I101" i="33" s="1"/>
  <c r="I102" i="33" s="1"/>
  <c r="I110" i="33" s="1"/>
  <c r="W83" i="32"/>
  <c r="V83" i="32"/>
  <c r="X82" i="32"/>
  <c r="Y82" i="32" s="1"/>
  <c r="X83" i="32"/>
  <c r="U83" i="32"/>
  <c r="L92" i="34"/>
  <c r="L71" i="34" s="1"/>
  <c r="L97" i="34" s="1"/>
  <c r="I42" i="33"/>
  <c r="L91" i="32"/>
  <c r="L70" i="32" s="1"/>
  <c r="L91" i="33"/>
  <c r="L70" i="33" s="1"/>
  <c r="N88" i="33"/>
  <c r="I53" i="33"/>
  <c r="L92" i="33"/>
  <c r="L71" i="33" s="1"/>
  <c r="L97" i="33" s="1"/>
  <c r="L92" i="35"/>
  <c r="L71" i="35" s="1"/>
  <c r="L97" i="35" s="1"/>
  <c r="N89" i="33"/>
  <c r="X82" i="34"/>
  <c r="Y83" i="34" s="1"/>
  <c r="Q88" i="34"/>
  <c r="R88" i="34" s="1"/>
  <c r="X83" i="34"/>
  <c r="Q89" i="34"/>
  <c r="Y82" i="34"/>
  <c r="M92" i="32"/>
  <c r="M71" i="32" s="1"/>
  <c r="M97" i="32" s="1"/>
  <c r="L91" i="34"/>
  <c r="V80" i="34"/>
  <c r="V79" i="34"/>
  <c r="T86" i="33"/>
  <c r="L91" i="35"/>
  <c r="X80" i="32"/>
  <c r="X79" i="32"/>
  <c r="I96" i="35"/>
  <c r="I98" i="35" s="1"/>
  <c r="I100" i="35" s="1"/>
  <c r="I55" i="32"/>
  <c r="I57" i="32"/>
  <c r="I48" i="32"/>
  <c r="K38" i="33"/>
  <c r="K34" i="33" s="1"/>
  <c r="K28" i="33"/>
  <c r="K26" i="33"/>
  <c r="T83" i="33"/>
  <c r="T82" i="33"/>
  <c r="J24" i="34"/>
  <c r="J43" i="34" s="1"/>
  <c r="J95" i="34"/>
  <c r="J45" i="34"/>
  <c r="J45" i="35"/>
  <c r="J24" i="35"/>
  <c r="J43" i="35" s="1"/>
  <c r="J95" i="35"/>
  <c r="I57" i="33"/>
  <c r="I48" i="33"/>
  <c r="I55" i="33"/>
  <c r="U85" i="35"/>
  <c r="U86" i="35"/>
  <c r="I42" i="34"/>
  <c r="I53" i="35"/>
  <c r="I42" i="32"/>
  <c r="J94" i="33"/>
  <c r="J46" i="33"/>
  <c r="I67" i="33"/>
  <c r="R86" i="32"/>
  <c r="R85" i="32"/>
  <c r="K38" i="32"/>
  <c r="K34" i="32" s="1"/>
  <c r="K26" i="32"/>
  <c r="K28" i="32"/>
  <c r="U85" i="33"/>
  <c r="U86" i="33"/>
  <c r="J46" i="32"/>
  <c r="J94" i="32"/>
  <c r="I67" i="32"/>
  <c r="K28" i="34"/>
  <c r="K38" i="34"/>
  <c r="K34" i="34" s="1"/>
  <c r="K26" i="34"/>
  <c r="N89" i="35"/>
  <c r="J94" i="35"/>
  <c r="J46" i="35"/>
  <c r="J40" i="35"/>
  <c r="I67" i="35"/>
  <c r="L92" i="32"/>
  <c r="L71" i="32" s="1"/>
  <c r="L97" i="32" s="1"/>
  <c r="M91" i="34"/>
  <c r="M92" i="33"/>
  <c r="M71" i="33" s="1"/>
  <c r="M97" i="33" s="1"/>
  <c r="I48" i="34"/>
  <c r="I57" i="34"/>
  <c r="I55" i="34"/>
  <c r="I42" i="35"/>
  <c r="I96" i="32"/>
  <c r="I98" i="32" s="1"/>
  <c r="I100" i="32" s="1"/>
  <c r="I101" i="32" s="1"/>
  <c r="I102" i="32" s="1"/>
  <c r="J95" i="32"/>
  <c r="J45" i="32"/>
  <c r="J24" i="32"/>
  <c r="J43" i="32" s="1"/>
  <c r="V80" i="33"/>
  <c r="V79" i="33"/>
  <c r="K28" i="35"/>
  <c r="K26" i="35"/>
  <c r="K38" i="35"/>
  <c r="K34" i="35" s="1"/>
  <c r="V80" i="35"/>
  <c r="V79" i="35"/>
  <c r="N88" i="35"/>
  <c r="O89" i="35" s="1"/>
  <c r="O89" i="32"/>
  <c r="O88" i="32"/>
  <c r="P88" i="32" s="1"/>
  <c r="J94" i="34"/>
  <c r="J96" i="34" s="1"/>
  <c r="J98" i="34" s="1"/>
  <c r="J100" i="34" s="1"/>
  <c r="J101" i="34" s="1"/>
  <c r="J102" i="34" s="1"/>
  <c r="J46" i="34"/>
  <c r="I67" i="34"/>
  <c r="T85" i="34"/>
  <c r="T86" i="34"/>
  <c r="X83" i="35"/>
  <c r="X82" i="35"/>
  <c r="I43" i="34"/>
  <c r="S86" i="33"/>
  <c r="I57" i="35"/>
  <c r="I55" i="35"/>
  <c r="I43" i="32"/>
  <c r="J95" i="33"/>
  <c r="J45" i="33"/>
  <c r="J24" i="33"/>
  <c r="J43" i="33" s="1"/>
  <c r="B19" i="30"/>
  <c r="B16" i="30"/>
  <c r="I65" i="35" l="1"/>
  <c r="C64" i="35" s="1"/>
  <c r="I65" i="33"/>
  <c r="C64" i="33" s="1"/>
  <c r="I65" i="32"/>
  <c r="C64" i="32" s="1"/>
  <c r="J40" i="32"/>
  <c r="J40" i="33"/>
  <c r="J42" i="33" s="1"/>
  <c r="J40" i="34"/>
  <c r="I103" i="33"/>
  <c r="I104" i="33" s="1"/>
  <c r="Z82" i="32"/>
  <c r="AA83" i="32" s="1"/>
  <c r="K30" i="34"/>
  <c r="K47" i="34" s="1"/>
  <c r="L32" i="35"/>
  <c r="L31" i="35"/>
  <c r="L32" i="33"/>
  <c r="L31" i="33"/>
  <c r="J53" i="35"/>
  <c r="L32" i="32"/>
  <c r="L31" i="32"/>
  <c r="K30" i="35"/>
  <c r="K47" i="35" s="1"/>
  <c r="L32" i="34"/>
  <c r="L31" i="34"/>
  <c r="K30" i="33"/>
  <c r="K47" i="33" s="1"/>
  <c r="I65" i="34"/>
  <c r="C64" i="34" s="1"/>
  <c r="K30" i="32"/>
  <c r="K47" i="32" s="1"/>
  <c r="I112" i="33"/>
  <c r="I108" i="33"/>
  <c r="AA82" i="32"/>
  <c r="AB83" i="32"/>
  <c r="Y83" i="32"/>
  <c r="AB82" i="32"/>
  <c r="Z83" i="32"/>
  <c r="M91" i="32"/>
  <c r="N91" i="32" s="1"/>
  <c r="N70" i="32" s="1"/>
  <c r="J96" i="35"/>
  <c r="J98" i="35" s="1"/>
  <c r="J100" i="35" s="1"/>
  <c r="J101" i="35" s="1"/>
  <c r="J102" i="35" s="1"/>
  <c r="J108" i="35" s="1"/>
  <c r="J42" i="35"/>
  <c r="M91" i="33"/>
  <c r="N92" i="33" s="1"/>
  <c r="N71" i="33" s="1"/>
  <c r="N97" i="33" s="1"/>
  <c r="P89" i="32"/>
  <c r="J42" i="34"/>
  <c r="O88" i="33"/>
  <c r="O89" i="33"/>
  <c r="Z83" i="34"/>
  <c r="J53" i="33"/>
  <c r="Z82" i="34"/>
  <c r="AA82" i="34" s="1"/>
  <c r="J96" i="32"/>
  <c r="J98" i="32" s="1"/>
  <c r="J100" i="32" s="1"/>
  <c r="J101" i="32" s="1"/>
  <c r="J102" i="32" s="1"/>
  <c r="J112" i="32" s="1"/>
  <c r="S89" i="34"/>
  <c r="S88" i="34"/>
  <c r="R89" i="34"/>
  <c r="L26" i="35"/>
  <c r="L38" i="35"/>
  <c r="L34" i="35" s="1"/>
  <c r="L28" i="35"/>
  <c r="L28" i="33"/>
  <c r="L26" i="33"/>
  <c r="L38" i="33"/>
  <c r="L34" i="33" s="1"/>
  <c r="W80" i="33"/>
  <c r="W79" i="33"/>
  <c r="L26" i="34"/>
  <c r="L28" i="34"/>
  <c r="L38" i="34"/>
  <c r="L34" i="34" s="1"/>
  <c r="J42" i="32"/>
  <c r="K46" i="32"/>
  <c r="K40" i="32"/>
  <c r="K94" i="32"/>
  <c r="J67" i="32"/>
  <c r="S85" i="32"/>
  <c r="V86" i="35"/>
  <c r="V85" i="35"/>
  <c r="K40" i="33"/>
  <c r="K94" i="33"/>
  <c r="K46" i="33"/>
  <c r="J67" i="33"/>
  <c r="I110" i="34"/>
  <c r="I103" i="34"/>
  <c r="I104" i="34" s="1"/>
  <c r="I112" i="34"/>
  <c r="I108" i="34"/>
  <c r="L70" i="34"/>
  <c r="M92" i="34"/>
  <c r="M71" i="34" s="1"/>
  <c r="M97" i="34" s="1"/>
  <c r="J48" i="35"/>
  <c r="J55" i="35"/>
  <c r="J57" i="35"/>
  <c r="M91" i="35"/>
  <c r="M70" i="35" s="1"/>
  <c r="M92" i="35"/>
  <c r="M71" i="35" s="1"/>
  <c r="M97" i="35" s="1"/>
  <c r="L70" i="35"/>
  <c r="U85" i="34"/>
  <c r="U86" i="34"/>
  <c r="J57" i="34"/>
  <c r="J55" i="34"/>
  <c r="J48" i="34"/>
  <c r="Q89" i="32"/>
  <c r="J103" i="34"/>
  <c r="J104" i="34" s="1"/>
  <c r="J112" i="34"/>
  <c r="J110" i="34"/>
  <c r="J108" i="34"/>
  <c r="Q88" i="32"/>
  <c r="R89" i="32" s="1"/>
  <c r="O88" i="35"/>
  <c r="K94" i="35"/>
  <c r="K46" i="35"/>
  <c r="J67" i="35"/>
  <c r="J57" i="32"/>
  <c r="J55" i="32"/>
  <c r="J48" i="32"/>
  <c r="V85" i="33"/>
  <c r="V86" i="33"/>
  <c r="S86" i="32"/>
  <c r="J57" i="33"/>
  <c r="J48" i="33"/>
  <c r="J55" i="33"/>
  <c r="U83" i="33"/>
  <c r="U82" i="33"/>
  <c r="R88" i="32"/>
  <c r="S89" i="32" s="1"/>
  <c r="I101" i="35"/>
  <c r="I102" i="35" s="1"/>
  <c r="N92" i="34"/>
  <c r="N71" i="34" s="1"/>
  <c r="N97" i="34" s="1"/>
  <c r="K94" i="34"/>
  <c r="K46" i="34"/>
  <c r="J67" i="34"/>
  <c r="K95" i="32"/>
  <c r="K45" i="32"/>
  <c r="K24" i="32"/>
  <c r="Y82" i="35"/>
  <c r="Y83" i="35"/>
  <c r="J53" i="34"/>
  <c r="W80" i="35"/>
  <c r="W79" i="35"/>
  <c r="K24" i="35"/>
  <c r="K95" i="35"/>
  <c r="K45" i="35"/>
  <c r="I103" i="32"/>
  <c r="I104" i="32" s="1"/>
  <c r="I108" i="32"/>
  <c r="I112" i="32"/>
  <c r="I110" i="32"/>
  <c r="N91" i="34"/>
  <c r="O92" i="34" s="1"/>
  <c r="O71" i="34" s="1"/>
  <c r="O97" i="34" s="1"/>
  <c r="M70" i="34"/>
  <c r="O92" i="32"/>
  <c r="O71" i="32" s="1"/>
  <c r="O97" i="32" s="1"/>
  <c r="K24" i="34"/>
  <c r="K95" i="34"/>
  <c r="K45" i="34"/>
  <c r="J53" i="32"/>
  <c r="L38" i="32"/>
  <c r="L34" i="32" s="1"/>
  <c r="L28" i="32"/>
  <c r="L26" i="32"/>
  <c r="J96" i="33"/>
  <c r="J98" i="33" s="1"/>
  <c r="J100" i="33" s="1"/>
  <c r="J101" i="33" s="1"/>
  <c r="J102" i="33" s="1"/>
  <c r="K45" i="33"/>
  <c r="K95" i="33"/>
  <c r="K24" i="33"/>
  <c r="K43" i="33" s="1"/>
  <c r="Y80" i="32"/>
  <c r="Y79" i="32"/>
  <c r="W80" i="34"/>
  <c r="W79" i="34"/>
  <c r="C16" i="2"/>
  <c r="C15" i="2"/>
  <c r="C95" i="2"/>
  <c r="C70" i="2"/>
  <c r="AC8" i="2"/>
  <c r="AC10" i="2"/>
  <c r="C72" i="2"/>
  <c r="C53" i="2"/>
  <c r="L30" i="34" l="1"/>
  <c r="L47" i="34" s="1"/>
  <c r="K53" i="34"/>
  <c r="K40" i="35"/>
  <c r="K42" i="35" s="1"/>
  <c r="K53" i="35"/>
  <c r="K40" i="34"/>
  <c r="L30" i="35"/>
  <c r="L47" i="35" s="1"/>
  <c r="K53" i="32"/>
  <c r="L30" i="33"/>
  <c r="L47" i="33" s="1"/>
  <c r="J103" i="35"/>
  <c r="J104" i="35" s="1"/>
  <c r="J110" i="35"/>
  <c r="J112" i="35"/>
  <c r="M32" i="34"/>
  <c r="M31" i="34"/>
  <c r="M32" i="32"/>
  <c r="M31" i="32"/>
  <c r="N92" i="32"/>
  <c r="N71" i="32" s="1"/>
  <c r="N97" i="32" s="1"/>
  <c r="M70" i="32"/>
  <c r="M32" i="33"/>
  <c r="M31" i="33"/>
  <c r="O91" i="32"/>
  <c r="O70" i="32" s="1"/>
  <c r="M32" i="35"/>
  <c r="M31" i="35"/>
  <c r="L30" i="32"/>
  <c r="L47" i="32" s="1"/>
  <c r="AC82" i="32"/>
  <c r="AD82" i="32" s="1"/>
  <c r="AE82" i="32" s="1"/>
  <c r="AC83" i="32"/>
  <c r="J108" i="32"/>
  <c r="J110" i="32"/>
  <c r="J103" i="32"/>
  <c r="J104" i="32" s="1"/>
  <c r="P92" i="32"/>
  <c r="P71" i="32" s="1"/>
  <c r="P97" i="32" s="1"/>
  <c r="N91" i="35"/>
  <c r="N70" i="35" s="1"/>
  <c r="P88" i="33"/>
  <c r="Q88" i="33" s="1"/>
  <c r="R88" i="33" s="1"/>
  <c r="P89" i="33"/>
  <c r="N91" i="33"/>
  <c r="M70" i="33"/>
  <c r="N92" i="35"/>
  <c r="N71" i="35" s="1"/>
  <c r="N97" i="35" s="1"/>
  <c r="K43" i="34"/>
  <c r="K42" i="34"/>
  <c r="T89" i="34"/>
  <c r="T88" i="34"/>
  <c r="AB82" i="34"/>
  <c r="AC83" i="34" s="1"/>
  <c r="AB83" i="34"/>
  <c r="AA83" i="34"/>
  <c r="X80" i="34"/>
  <c r="X79" i="34"/>
  <c r="L94" i="32"/>
  <c r="L46" i="32"/>
  <c r="K67" i="32"/>
  <c r="Z80" i="32"/>
  <c r="Z79" i="32"/>
  <c r="K48" i="34"/>
  <c r="K55" i="34"/>
  <c r="K57" i="34"/>
  <c r="V83" i="33"/>
  <c r="V82" i="33"/>
  <c r="W86" i="33"/>
  <c r="W85" i="33"/>
  <c r="K43" i="35"/>
  <c r="V86" i="34"/>
  <c r="V85" i="34"/>
  <c r="K55" i="33"/>
  <c r="K48" i="33"/>
  <c r="K57" i="33"/>
  <c r="K53" i="33"/>
  <c r="K57" i="32"/>
  <c r="K55" i="32"/>
  <c r="K48" i="32"/>
  <c r="M38" i="34"/>
  <c r="M34" i="34" s="1"/>
  <c r="M26" i="34"/>
  <c r="M28" i="34"/>
  <c r="L45" i="35"/>
  <c r="L95" i="35"/>
  <c r="L24" i="35"/>
  <c r="I103" i="35"/>
  <c r="I104" i="35" s="1"/>
  <c r="I112" i="35"/>
  <c r="I110" i="35"/>
  <c r="I108" i="35"/>
  <c r="P89" i="35"/>
  <c r="P88" i="35"/>
  <c r="Q88" i="35" s="1"/>
  <c r="K96" i="33"/>
  <c r="K98" i="33" s="1"/>
  <c r="K100" i="33" s="1"/>
  <c r="K101" i="33" s="1"/>
  <c r="K102" i="33" s="1"/>
  <c r="W86" i="35"/>
  <c r="W85" i="35"/>
  <c r="K96" i="32"/>
  <c r="K98" i="32" s="1"/>
  <c r="K100" i="32" s="1"/>
  <c r="K101" i="32" s="1"/>
  <c r="K102" i="32" s="1"/>
  <c r="L95" i="34"/>
  <c r="L45" i="34"/>
  <c r="L24" i="34"/>
  <c r="L40" i="33"/>
  <c r="L94" i="33"/>
  <c r="L46" i="33"/>
  <c r="K67" i="33"/>
  <c r="L45" i="32"/>
  <c r="L24" i="32"/>
  <c r="L43" i="32" s="1"/>
  <c r="L95" i="32"/>
  <c r="M38" i="32"/>
  <c r="M34" i="32" s="1"/>
  <c r="M28" i="32"/>
  <c r="M26" i="32"/>
  <c r="X80" i="35"/>
  <c r="X79" i="35"/>
  <c r="Z82" i="35"/>
  <c r="Z83" i="35"/>
  <c r="K96" i="34"/>
  <c r="K98" i="34" s="1"/>
  <c r="K100" i="34" s="1"/>
  <c r="K101" i="34" s="1"/>
  <c r="K102" i="34" s="1"/>
  <c r="K55" i="35"/>
  <c r="K48" i="35"/>
  <c r="K57" i="35"/>
  <c r="S88" i="32"/>
  <c r="P91" i="32"/>
  <c r="Q92" i="32" s="1"/>
  <c r="Q71" i="32" s="1"/>
  <c r="Q97" i="32" s="1"/>
  <c r="K42" i="33"/>
  <c r="T86" i="32"/>
  <c r="T85" i="32"/>
  <c r="K42" i="32"/>
  <c r="X80" i="33"/>
  <c r="X79" i="33"/>
  <c r="L45" i="33"/>
  <c r="L24" i="33"/>
  <c r="L43" i="33" s="1"/>
  <c r="L95" i="33"/>
  <c r="M28" i="35"/>
  <c r="M38" i="35"/>
  <c r="M34" i="35" s="1"/>
  <c r="M26" i="35"/>
  <c r="J110" i="33"/>
  <c r="J108" i="33"/>
  <c r="J103" i="33"/>
  <c r="J104" i="33" s="1"/>
  <c r="J112" i="33"/>
  <c r="N70" i="34"/>
  <c r="O91" i="34"/>
  <c r="P92" i="34" s="1"/>
  <c r="P71" i="34" s="1"/>
  <c r="P97" i="34" s="1"/>
  <c r="K96" i="35"/>
  <c r="K98" i="35" s="1"/>
  <c r="K100" i="35" s="1"/>
  <c r="K101" i="35" s="1"/>
  <c r="K102" i="35" s="1"/>
  <c r="K43" i="32"/>
  <c r="L46" i="34"/>
  <c r="L40" i="34"/>
  <c r="L42" i="34" s="1"/>
  <c r="L94" i="34"/>
  <c r="L53" i="34"/>
  <c r="L43" i="34"/>
  <c r="K67" i="34"/>
  <c r="M38" i="33"/>
  <c r="M34" i="33" s="1"/>
  <c r="M26" i="33"/>
  <c r="M28" i="33"/>
  <c r="L94" i="35"/>
  <c r="L46" i="35"/>
  <c r="L43" i="35"/>
  <c r="K67" i="35"/>
  <c r="D18" i="30"/>
  <c r="C43" i="2"/>
  <c r="C94" i="2"/>
  <c r="C40" i="2"/>
  <c r="C42" i="2" s="1"/>
  <c r="C71" i="2"/>
  <c r="L40" i="32" l="1"/>
  <c r="M30" i="33"/>
  <c r="M47" i="33" s="1"/>
  <c r="M30" i="32"/>
  <c r="M47" i="32" s="1"/>
  <c r="L40" i="35"/>
  <c r="L53" i="35"/>
  <c r="N32" i="34"/>
  <c r="N31" i="34"/>
  <c r="M30" i="35"/>
  <c r="M47" i="35" s="1"/>
  <c r="N32" i="35"/>
  <c r="N31" i="35"/>
  <c r="N32" i="33"/>
  <c r="N31" i="33"/>
  <c r="N32" i="32"/>
  <c r="N31" i="32"/>
  <c r="M30" i="34"/>
  <c r="M47" i="34" s="1"/>
  <c r="Q89" i="33"/>
  <c r="AD83" i="32"/>
  <c r="AE83" i="32"/>
  <c r="O92" i="35"/>
  <c r="O71" i="35" s="1"/>
  <c r="O97" i="35" s="1"/>
  <c r="L96" i="35"/>
  <c r="L98" i="35" s="1"/>
  <c r="L100" i="35" s="1"/>
  <c r="L101" i="35" s="1"/>
  <c r="L102" i="35" s="1"/>
  <c r="L110" i="35" s="1"/>
  <c r="O91" i="35"/>
  <c r="P91" i="35" s="1"/>
  <c r="R89" i="33"/>
  <c r="S88" i="33"/>
  <c r="L96" i="34"/>
  <c r="L98" i="34" s="1"/>
  <c r="L100" i="34" s="1"/>
  <c r="L101" i="34" s="1"/>
  <c r="L102" i="34" s="1"/>
  <c r="L103" i="34" s="1"/>
  <c r="L104" i="34" s="1"/>
  <c r="N70" i="33"/>
  <c r="O92" i="33"/>
  <c r="O71" i="33" s="1"/>
  <c r="O97" i="33" s="1"/>
  <c r="O91" i="33"/>
  <c r="L42" i="35"/>
  <c r="S89" i="33"/>
  <c r="L53" i="33"/>
  <c r="U88" i="34"/>
  <c r="V89" i="34" s="1"/>
  <c r="U89" i="34"/>
  <c r="AC82" i="34"/>
  <c r="R88" i="35"/>
  <c r="S89" i="35" s="1"/>
  <c r="R89" i="35"/>
  <c r="U85" i="32"/>
  <c r="U86" i="32"/>
  <c r="N38" i="33"/>
  <c r="N34" i="33" s="1"/>
  <c r="N28" i="33"/>
  <c r="N26" i="33"/>
  <c r="M95" i="35"/>
  <c r="M45" i="35"/>
  <c r="M24" i="35"/>
  <c r="Q91" i="32"/>
  <c r="R91" i="32" s="1"/>
  <c r="R70" i="32" s="1"/>
  <c r="P70" i="32"/>
  <c r="T88" i="32"/>
  <c r="T89" i="32"/>
  <c r="K103" i="34"/>
  <c r="K104" i="34" s="1"/>
  <c r="K112" i="34"/>
  <c r="K110" i="34"/>
  <c r="K108" i="34"/>
  <c r="Y80" i="35"/>
  <c r="Y79" i="35"/>
  <c r="N38" i="32"/>
  <c r="N34" i="32" s="1"/>
  <c r="N28" i="32"/>
  <c r="N26" i="32"/>
  <c r="L42" i="33"/>
  <c r="AF83" i="32"/>
  <c r="AF82" i="32"/>
  <c r="K110" i="33"/>
  <c r="K108" i="33"/>
  <c r="K103" i="33"/>
  <c r="K104" i="33" s="1"/>
  <c r="K112" i="33"/>
  <c r="Q89" i="35"/>
  <c r="O70" i="35"/>
  <c r="Q91" i="35"/>
  <c r="W83" i="33"/>
  <c r="W82" i="33"/>
  <c r="L96" i="32"/>
  <c r="L98" i="32" s="1"/>
  <c r="L100" i="32" s="1"/>
  <c r="L101" i="32" s="1"/>
  <c r="L102" i="32" s="1"/>
  <c r="L55" i="35"/>
  <c r="L48" i="35"/>
  <c r="L57" i="35"/>
  <c r="M46" i="35"/>
  <c r="M94" i="35"/>
  <c r="M96" i="35" s="1"/>
  <c r="M98" i="35" s="1"/>
  <c r="M100" i="35" s="1"/>
  <c r="M101" i="35" s="1"/>
  <c r="M102" i="35" s="1"/>
  <c r="L67" i="35"/>
  <c r="N38" i="34"/>
  <c r="N34" i="34" s="1"/>
  <c r="N26" i="34"/>
  <c r="N28" i="34"/>
  <c r="W85" i="34"/>
  <c r="W86" i="34"/>
  <c r="X86" i="33"/>
  <c r="X85" i="33"/>
  <c r="AA80" i="32"/>
  <c r="AA79" i="32"/>
  <c r="L42" i="32"/>
  <c r="M95" i="33"/>
  <c r="M45" i="33"/>
  <c r="M24" i="33"/>
  <c r="L48" i="34"/>
  <c r="L55" i="34"/>
  <c r="L57" i="34"/>
  <c r="P91" i="34"/>
  <c r="Q91" i="34" s="1"/>
  <c r="Q70" i="34" s="1"/>
  <c r="M46" i="32"/>
  <c r="M94" i="32"/>
  <c r="M40" i="32"/>
  <c r="L67" i="32"/>
  <c r="L48" i="33"/>
  <c r="L57" i="33"/>
  <c r="L55" i="33"/>
  <c r="M94" i="33"/>
  <c r="M46" i="33"/>
  <c r="M40" i="33"/>
  <c r="L67" i="33"/>
  <c r="N26" i="35"/>
  <c r="N38" i="35"/>
  <c r="N34" i="35" s="1"/>
  <c r="N28" i="35"/>
  <c r="Y80" i="33"/>
  <c r="Y79" i="33"/>
  <c r="AA83" i="35"/>
  <c r="AA82" i="35"/>
  <c r="Q92" i="35"/>
  <c r="L96" i="33"/>
  <c r="L98" i="33" s="1"/>
  <c r="L100" i="33" s="1"/>
  <c r="L101" i="33" s="1"/>
  <c r="L102" i="33" s="1"/>
  <c r="X85" i="35"/>
  <c r="X86" i="35"/>
  <c r="P92" i="35"/>
  <c r="P71" i="35" s="1"/>
  <c r="P97" i="35" s="1"/>
  <c r="P70" i="35"/>
  <c r="S88" i="35"/>
  <c r="M95" i="34"/>
  <c r="M45" i="34"/>
  <c r="M24" i="34"/>
  <c r="M43" i="34" s="1"/>
  <c r="L53" i="32"/>
  <c r="Y80" i="34"/>
  <c r="Y79" i="34"/>
  <c r="L108" i="34"/>
  <c r="K110" i="35"/>
  <c r="K108" i="35"/>
  <c r="K103" i="35"/>
  <c r="K104" i="35" s="1"/>
  <c r="K112" i="35"/>
  <c r="O70" i="34"/>
  <c r="M45" i="32"/>
  <c r="M24" i="32"/>
  <c r="M53" i="32" s="1"/>
  <c r="M95" i="32"/>
  <c r="K103" i="32"/>
  <c r="K104" i="32" s="1"/>
  <c r="K110" i="32"/>
  <c r="K112" i="32"/>
  <c r="K108" i="32"/>
  <c r="M46" i="34"/>
  <c r="M94" i="34"/>
  <c r="L67" i="34"/>
  <c r="L55" i="32"/>
  <c r="L57" i="32"/>
  <c r="L48" i="32"/>
  <c r="L18" i="30"/>
  <c r="H18" i="30"/>
  <c r="C14" i="31"/>
  <c r="M53" i="33" l="1"/>
  <c r="N30" i="32"/>
  <c r="N47" i="32" s="1"/>
  <c r="N30" i="35"/>
  <c r="N47" i="35" s="1"/>
  <c r="M40" i="35"/>
  <c r="M42" i="35" s="1"/>
  <c r="M40" i="34"/>
  <c r="M53" i="35"/>
  <c r="L112" i="35"/>
  <c r="L110" i="34"/>
  <c r="L112" i="34"/>
  <c r="L103" i="35"/>
  <c r="L104" i="35" s="1"/>
  <c r="L108" i="35"/>
  <c r="O32" i="35"/>
  <c r="O31" i="35"/>
  <c r="O32" i="34"/>
  <c r="O31" i="34"/>
  <c r="O32" i="32"/>
  <c r="O31" i="32"/>
  <c r="O32" i="33"/>
  <c r="O31" i="33"/>
  <c r="N30" i="33"/>
  <c r="N47" i="33" s="1"/>
  <c r="N30" i="34"/>
  <c r="N47" i="34" s="1"/>
  <c r="M96" i="33"/>
  <c r="M98" i="33" s="1"/>
  <c r="M100" i="33" s="1"/>
  <c r="M101" i="33" s="1"/>
  <c r="M102" i="33" s="1"/>
  <c r="M108" i="33" s="1"/>
  <c r="T88" i="33"/>
  <c r="U89" i="33" s="1"/>
  <c r="M53" i="34"/>
  <c r="M42" i="34"/>
  <c r="Q71" i="35"/>
  <c r="Q97" i="35" s="1"/>
  <c r="M43" i="35"/>
  <c r="O70" i="33"/>
  <c r="P91" i="33"/>
  <c r="P92" i="33"/>
  <c r="P71" i="33" s="1"/>
  <c r="P97" i="33" s="1"/>
  <c r="T89" i="33"/>
  <c r="M42" i="33"/>
  <c r="M43" i="33"/>
  <c r="AD83" i="34"/>
  <c r="AD82" i="34"/>
  <c r="V88" i="34"/>
  <c r="W89" i="34" s="1"/>
  <c r="M57" i="34"/>
  <c r="M48" i="34"/>
  <c r="M55" i="34"/>
  <c r="M48" i="33"/>
  <c r="M55" i="33"/>
  <c r="M57" i="33"/>
  <c r="R92" i="35"/>
  <c r="R71" i="35" s="1"/>
  <c r="R97" i="35" s="1"/>
  <c r="M96" i="32"/>
  <c r="M98" i="32" s="1"/>
  <c r="M100" i="32" s="1"/>
  <c r="M101" i="32" s="1"/>
  <c r="M102" i="32" s="1"/>
  <c r="Q92" i="34"/>
  <c r="Q71" i="34" s="1"/>
  <c r="Q97" i="34" s="1"/>
  <c r="P70" i="34"/>
  <c r="AB80" i="32"/>
  <c r="AB79" i="32"/>
  <c r="Y86" i="33"/>
  <c r="Y85" i="33"/>
  <c r="X86" i="34"/>
  <c r="X85" i="34"/>
  <c r="O26" i="34"/>
  <c r="O38" i="34"/>
  <c r="O34" i="34" s="1"/>
  <c r="O28" i="34"/>
  <c r="M112" i="35"/>
  <c r="M110" i="35"/>
  <c r="M108" i="35"/>
  <c r="M103" i="35"/>
  <c r="M104" i="35" s="1"/>
  <c r="AG82" i="32"/>
  <c r="AG83" i="32"/>
  <c r="O26" i="32"/>
  <c r="O38" i="32"/>
  <c r="O34" i="32" s="1"/>
  <c r="O28" i="32"/>
  <c r="U88" i="32"/>
  <c r="O38" i="33"/>
  <c r="O34" i="33" s="1"/>
  <c r="O26" i="33"/>
  <c r="O28" i="33"/>
  <c r="R91" i="34"/>
  <c r="Q70" i="35"/>
  <c r="T89" i="35"/>
  <c r="O28" i="35"/>
  <c r="O26" i="35"/>
  <c r="O38" i="35"/>
  <c r="O34" i="35" s="1"/>
  <c r="M110" i="33"/>
  <c r="M57" i="32"/>
  <c r="M48" i="32"/>
  <c r="M55" i="32"/>
  <c r="N95" i="34"/>
  <c r="N24" i="34"/>
  <c r="N43" i="34" s="1"/>
  <c r="N45" i="34"/>
  <c r="R91" i="35"/>
  <c r="R70" i="35" s="1"/>
  <c r="N94" i="32"/>
  <c r="N46" i="32"/>
  <c r="N40" i="32"/>
  <c r="M67" i="32"/>
  <c r="N94" i="33"/>
  <c r="N46" i="33"/>
  <c r="M67" i="33"/>
  <c r="M96" i="34"/>
  <c r="M98" i="34" s="1"/>
  <c r="M100" i="34" s="1"/>
  <c r="M101" i="34" s="1"/>
  <c r="M102" i="34" s="1"/>
  <c r="Z80" i="34"/>
  <c r="Z79" i="34"/>
  <c r="L108" i="33"/>
  <c r="L103" i="33"/>
  <c r="L104" i="33" s="1"/>
  <c r="L112" i="33"/>
  <c r="L110" i="33"/>
  <c r="AB83" i="35"/>
  <c r="AB82" i="35"/>
  <c r="Z80" i="33"/>
  <c r="Z79" i="33"/>
  <c r="N46" i="35"/>
  <c r="N94" i="35"/>
  <c r="M67" i="35"/>
  <c r="M43" i="32"/>
  <c r="N46" i="34"/>
  <c r="N40" i="34"/>
  <c r="N94" i="34"/>
  <c r="N53" i="34"/>
  <c r="M67" i="34"/>
  <c r="M57" i="35"/>
  <c r="M48" i="35"/>
  <c r="M55" i="35"/>
  <c r="L110" i="32"/>
  <c r="L103" i="32"/>
  <c r="L104" i="32" s="1"/>
  <c r="L108" i="32"/>
  <c r="L112" i="32"/>
  <c r="T88" i="35"/>
  <c r="Z80" i="35"/>
  <c r="Z79" i="35"/>
  <c r="U89" i="32"/>
  <c r="S92" i="32"/>
  <c r="S71" i="32" s="1"/>
  <c r="S97" i="32" s="1"/>
  <c r="Q70" i="32"/>
  <c r="R92" i="32"/>
  <c r="R71" i="32" s="1"/>
  <c r="R97" i="32" s="1"/>
  <c r="S91" i="32"/>
  <c r="S70" i="32" s="1"/>
  <c r="V86" i="32"/>
  <c r="V85" i="32"/>
  <c r="R92" i="34"/>
  <c r="R71" i="34" s="1"/>
  <c r="R97" i="34" s="1"/>
  <c r="Y85" i="35"/>
  <c r="Y86" i="35"/>
  <c r="N95" i="35"/>
  <c r="N45" i="35"/>
  <c r="N24" i="35"/>
  <c r="N43" i="35" s="1"/>
  <c r="M42" i="32"/>
  <c r="X83" i="33"/>
  <c r="X82" i="33"/>
  <c r="N95" i="32"/>
  <c r="N24" i="32"/>
  <c r="N43" i="32" s="1"/>
  <c r="N45" i="32"/>
  <c r="N95" i="33"/>
  <c r="N24" i="33"/>
  <c r="N45" i="33"/>
  <c r="F18" i="30"/>
  <c r="J18" i="30"/>
  <c r="C10" i="31"/>
  <c r="D14" i="31"/>
  <c r="N40" i="35" l="1"/>
  <c r="N40" i="33"/>
  <c r="N53" i="33"/>
  <c r="O30" i="33"/>
  <c r="O47" i="33" s="1"/>
  <c r="O30" i="34"/>
  <c r="O47" i="34" s="1"/>
  <c r="M103" i="33"/>
  <c r="M104" i="33" s="1"/>
  <c r="M112" i="33"/>
  <c r="P32" i="34"/>
  <c r="P31" i="34"/>
  <c r="E5" i="36"/>
  <c r="E7" i="37"/>
  <c r="E9" i="37" s="1"/>
  <c r="P32" i="35"/>
  <c r="P31" i="35"/>
  <c r="P32" i="33"/>
  <c r="P31" i="33"/>
  <c r="P32" i="32"/>
  <c r="P31" i="32"/>
  <c r="O30" i="32"/>
  <c r="O47" i="32" s="1"/>
  <c r="O30" i="35"/>
  <c r="O47" i="35" s="1"/>
  <c r="U88" i="33"/>
  <c r="N96" i="34"/>
  <c r="N98" i="34" s="1"/>
  <c r="N100" i="34" s="1"/>
  <c r="N101" i="34" s="1"/>
  <c r="N102" i="34" s="1"/>
  <c r="N103" i="34" s="1"/>
  <c r="N104" i="34" s="1"/>
  <c r="T91" i="32"/>
  <c r="P70" i="33"/>
  <c r="Q91" i="33"/>
  <c r="R92" i="33" s="1"/>
  <c r="R71" i="33" s="1"/>
  <c r="R97" i="33" s="1"/>
  <c r="Q92" i="33"/>
  <c r="Q71" i="33" s="1"/>
  <c r="Q97" i="33" s="1"/>
  <c r="V89" i="33"/>
  <c r="V88" i="33"/>
  <c r="W89" i="33" s="1"/>
  <c r="N53" i="32"/>
  <c r="N42" i="34"/>
  <c r="T92" i="32"/>
  <c r="T71" i="32" s="1"/>
  <c r="T97" i="32" s="1"/>
  <c r="W88" i="34"/>
  <c r="X88" i="34" s="1"/>
  <c r="AE83" i="34"/>
  <c r="AE82" i="34"/>
  <c r="U91" i="32"/>
  <c r="V92" i="32" s="1"/>
  <c r="T70" i="32"/>
  <c r="Y83" i="33"/>
  <c r="Y82" i="33"/>
  <c r="N57" i="34"/>
  <c r="N55" i="34"/>
  <c r="N48" i="34"/>
  <c r="N42" i="35"/>
  <c r="AA80" i="34"/>
  <c r="AA79" i="34"/>
  <c r="N96" i="33"/>
  <c r="N98" i="33" s="1"/>
  <c r="N100" i="33" s="1"/>
  <c r="N101" i="33" s="1"/>
  <c r="N102" i="33" s="1"/>
  <c r="N96" i="32"/>
  <c r="N98" i="32" s="1"/>
  <c r="N100" i="32" s="1"/>
  <c r="N101" i="32" s="1"/>
  <c r="N102" i="32" s="1"/>
  <c r="O94" i="35"/>
  <c r="O46" i="35"/>
  <c r="N67" i="35"/>
  <c r="C66" i="35" s="1"/>
  <c r="R70" i="34"/>
  <c r="S91" i="34"/>
  <c r="T92" i="34" s="1"/>
  <c r="T71" i="34" s="1"/>
  <c r="T97" i="34" s="1"/>
  <c r="S92" i="34"/>
  <c r="S71" i="34" s="1"/>
  <c r="S97" i="34" s="1"/>
  <c r="O46" i="33"/>
  <c r="O94" i="33"/>
  <c r="N67" i="33"/>
  <c r="C66" i="33" s="1"/>
  <c r="O45" i="32"/>
  <c r="O24" i="32"/>
  <c r="O53" i="32" s="1"/>
  <c r="O95" i="32"/>
  <c r="Z85" i="35"/>
  <c r="Z86" i="35"/>
  <c r="N57" i="35"/>
  <c r="N48" i="35"/>
  <c r="N55" i="35"/>
  <c r="N42" i="33"/>
  <c r="S91" i="35"/>
  <c r="S70" i="35" s="1"/>
  <c r="S92" i="35"/>
  <c r="S71" i="35" s="1"/>
  <c r="S97" i="35" s="1"/>
  <c r="O24" i="35"/>
  <c r="O43" i="35" s="1"/>
  <c r="O95" i="35"/>
  <c r="O45" i="35"/>
  <c r="V89" i="32"/>
  <c r="V88" i="32"/>
  <c r="P26" i="34"/>
  <c r="P38" i="34"/>
  <c r="P34" i="34" s="1"/>
  <c r="P28" i="34"/>
  <c r="Y86" i="34"/>
  <c r="Y85" i="34"/>
  <c r="AC80" i="32"/>
  <c r="AC79" i="32"/>
  <c r="W85" i="32"/>
  <c r="W86" i="32"/>
  <c r="AA80" i="35"/>
  <c r="AA79" i="35"/>
  <c r="U89" i="35"/>
  <c r="U88" i="35"/>
  <c r="N108" i="34"/>
  <c r="N110" i="34"/>
  <c r="N53" i="35"/>
  <c r="AA80" i="33"/>
  <c r="AA79" i="33"/>
  <c r="AC83" i="35"/>
  <c r="AC82" i="35"/>
  <c r="M112" i="34"/>
  <c r="M110" i="34"/>
  <c r="M108" i="34"/>
  <c r="M103" i="34"/>
  <c r="M104" i="34" s="1"/>
  <c r="N48" i="33"/>
  <c r="N57" i="33"/>
  <c r="N55" i="33"/>
  <c r="N42" i="32"/>
  <c r="P28" i="35"/>
  <c r="P26" i="35"/>
  <c r="P38" i="35"/>
  <c r="P34" i="35" s="1"/>
  <c r="P26" i="33"/>
  <c r="P28" i="33"/>
  <c r="P38" i="33"/>
  <c r="P34" i="33" s="1"/>
  <c r="P26" i="32"/>
  <c r="P38" i="32"/>
  <c r="P34" i="32" s="1"/>
  <c r="P28" i="32"/>
  <c r="AH83" i="32"/>
  <c r="AH82" i="32"/>
  <c r="O94" i="34"/>
  <c r="O46" i="34"/>
  <c r="N67" i="34"/>
  <c r="C66" i="34" s="1"/>
  <c r="O6" i="30" s="1"/>
  <c r="M108" i="32"/>
  <c r="M112" i="32"/>
  <c r="M103" i="32"/>
  <c r="M104" i="32" s="1"/>
  <c r="M110" i="32"/>
  <c r="N96" i="35"/>
  <c r="N98" i="35" s="1"/>
  <c r="N100" i="35" s="1"/>
  <c r="N101" i="35" s="1"/>
  <c r="N102" i="35" s="1"/>
  <c r="N43" i="33"/>
  <c r="U92" i="32"/>
  <c r="U71" i="32" s="1"/>
  <c r="U97" i="32" s="1"/>
  <c r="N48" i="32"/>
  <c r="N57" i="32"/>
  <c r="N55" i="32"/>
  <c r="O45" i="33"/>
  <c r="O24" i="33"/>
  <c r="O43" i="33" s="1"/>
  <c r="O95" i="33"/>
  <c r="O40" i="32"/>
  <c r="O42" i="32" s="1"/>
  <c r="O94" i="32"/>
  <c r="O46" i="32"/>
  <c r="N67" i="32"/>
  <c r="C66" i="32" s="1"/>
  <c r="O45" i="34"/>
  <c r="O95" i="34"/>
  <c r="O24" i="34"/>
  <c r="Z86" i="33"/>
  <c r="Z85" i="33"/>
  <c r="E7" i="36"/>
  <c r="C22" i="31"/>
  <c r="AC10" i="31"/>
  <c r="C30" i="31"/>
  <c r="C29" i="31"/>
  <c r="C21" i="31"/>
  <c r="P30" i="32" l="1"/>
  <c r="P47" i="32" s="1"/>
  <c r="P30" i="34"/>
  <c r="P47" i="34" s="1"/>
  <c r="O40" i="34"/>
  <c r="P30" i="35"/>
  <c r="P47" i="35" s="1"/>
  <c r="O53" i="34"/>
  <c r="O40" i="33"/>
  <c r="O40" i="35"/>
  <c r="N112" i="34"/>
  <c r="Q32" i="32"/>
  <c r="Q31" i="32"/>
  <c r="Q32" i="33"/>
  <c r="Q31" i="33"/>
  <c r="Q32" i="35"/>
  <c r="Q31" i="35"/>
  <c r="Q32" i="34"/>
  <c r="Q31" i="34"/>
  <c r="P30" i="33"/>
  <c r="P47" i="33" s="1"/>
  <c r="W88" i="33"/>
  <c r="X89" i="33" s="1"/>
  <c r="O43" i="32"/>
  <c r="T91" i="35"/>
  <c r="U91" i="35" s="1"/>
  <c r="V92" i="35" s="1"/>
  <c r="O96" i="32"/>
  <c r="O98" i="32" s="1"/>
  <c r="O100" i="32" s="1"/>
  <c r="O101" i="32" s="1"/>
  <c r="O102" i="32" s="1"/>
  <c r="Q70" i="33"/>
  <c r="R91" i="33"/>
  <c r="S92" i="33" s="1"/>
  <c r="S71" i="33" s="1"/>
  <c r="S97" i="33" s="1"/>
  <c r="O96" i="34"/>
  <c r="O98" i="34" s="1"/>
  <c r="O100" i="34" s="1"/>
  <c r="O101" i="34" s="1"/>
  <c r="O102" i="34" s="1"/>
  <c r="O108" i="34" s="1"/>
  <c r="X88" i="33"/>
  <c r="V71" i="32"/>
  <c r="V97" i="32" s="1"/>
  <c r="X89" i="34"/>
  <c r="Y88" i="34"/>
  <c r="Z89" i="34" s="1"/>
  <c r="AF83" i="34"/>
  <c r="AF82" i="34"/>
  <c r="Y89" i="34"/>
  <c r="P46" i="33"/>
  <c r="P40" i="33"/>
  <c r="P94" i="33"/>
  <c r="P95" i="35"/>
  <c r="P45" i="35"/>
  <c r="P24" i="35"/>
  <c r="AD80" i="32"/>
  <c r="AD79" i="32"/>
  <c r="P24" i="34"/>
  <c r="P43" i="34" s="1"/>
  <c r="P95" i="34"/>
  <c r="P45" i="34"/>
  <c r="O42" i="34"/>
  <c r="P46" i="32"/>
  <c r="P40" i="32"/>
  <c r="P94" i="32"/>
  <c r="Q26" i="33"/>
  <c r="Q38" i="33"/>
  <c r="Q34" i="33" s="1"/>
  <c r="Q28" i="33"/>
  <c r="Q38" i="35"/>
  <c r="Q34" i="35" s="1"/>
  <c r="Q26" i="35"/>
  <c r="Q28" i="35"/>
  <c r="AD83" i="35"/>
  <c r="AD82" i="35"/>
  <c r="T70" i="35"/>
  <c r="W88" i="32"/>
  <c r="W89" i="32"/>
  <c r="U92" i="35"/>
  <c r="U71" i="35" s="1"/>
  <c r="U97" i="35" s="1"/>
  <c r="O96" i="33"/>
  <c r="O98" i="33" s="1"/>
  <c r="O100" i="33" s="1"/>
  <c r="O101" i="33" s="1"/>
  <c r="O102" i="33" s="1"/>
  <c r="O96" i="35"/>
  <c r="O98" i="35" s="1"/>
  <c r="O100" i="35" s="1"/>
  <c r="O101" i="35" s="1"/>
  <c r="O102" i="35" s="1"/>
  <c r="N103" i="33"/>
  <c r="N104" i="33" s="1"/>
  <c r="N112" i="33"/>
  <c r="N108" i="33"/>
  <c r="N110" i="33"/>
  <c r="O43" i="34"/>
  <c r="P45" i="33"/>
  <c r="P24" i="33"/>
  <c r="P43" i="33" s="1"/>
  <c r="P95" i="33"/>
  <c r="AB80" i="35"/>
  <c r="AB79" i="35"/>
  <c r="X85" i="32"/>
  <c r="X86" i="32"/>
  <c r="Q28" i="34"/>
  <c r="Q26" i="34"/>
  <c r="Q38" i="34"/>
  <c r="Q34" i="34" s="1"/>
  <c r="AA85" i="35"/>
  <c r="AA86" i="35"/>
  <c r="O42" i="33"/>
  <c r="O42" i="35"/>
  <c r="O57" i="32"/>
  <c r="O55" i="32"/>
  <c r="O48" i="32"/>
  <c r="P24" i="32"/>
  <c r="P53" i="32" s="1"/>
  <c r="P95" i="32"/>
  <c r="P45" i="32"/>
  <c r="AA86" i="33"/>
  <c r="AA85" i="33"/>
  <c r="N112" i="35"/>
  <c r="N110" i="35"/>
  <c r="N108" i="35"/>
  <c r="N103" i="35"/>
  <c r="N104" i="35" s="1"/>
  <c r="O57" i="34"/>
  <c r="O55" i="34"/>
  <c r="O48" i="34"/>
  <c r="P43" i="35"/>
  <c r="P94" i="35"/>
  <c r="P46" i="35"/>
  <c r="AB80" i="33"/>
  <c r="AB79" i="33"/>
  <c r="U70" i="35"/>
  <c r="V89" i="35"/>
  <c r="V71" i="35" s="1"/>
  <c r="V97" i="35" s="1"/>
  <c r="V88" i="35"/>
  <c r="P94" i="34"/>
  <c r="P40" i="34"/>
  <c r="P42" i="34" s="1"/>
  <c r="P46" i="34"/>
  <c r="T92" i="35"/>
  <c r="T71" i="35" s="1"/>
  <c r="T97" i="35" s="1"/>
  <c r="O48" i="33"/>
  <c r="O55" i="33"/>
  <c r="O57" i="33"/>
  <c r="S70" i="34"/>
  <c r="T91" i="34"/>
  <c r="O53" i="35"/>
  <c r="Z83" i="33"/>
  <c r="Z82" i="33"/>
  <c r="O103" i="32"/>
  <c r="O104" i="32" s="1"/>
  <c r="O112" i="32"/>
  <c r="O108" i="32"/>
  <c r="O110" i="32"/>
  <c r="Q26" i="32"/>
  <c r="Q38" i="32"/>
  <c r="Q34" i="32" s="1"/>
  <c r="Q28" i="32"/>
  <c r="Z85" i="34"/>
  <c r="Z86" i="34"/>
  <c r="O53" i="33"/>
  <c r="O57" i="35"/>
  <c r="O48" i="35"/>
  <c r="O55" i="35"/>
  <c r="N110" i="32"/>
  <c r="N112" i="32"/>
  <c r="N108" i="32"/>
  <c r="N103" i="32"/>
  <c r="N104" i="32" s="1"/>
  <c r="AB80" i="34"/>
  <c r="AB79" i="34"/>
  <c r="U70" i="32"/>
  <c r="V91" i="32"/>
  <c r="B15" i="30"/>
  <c r="AB10" i="2"/>
  <c r="AB8" i="2"/>
  <c r="Q30" i="34" l="1"/>
  <c r="Q47" i="34" s="1"/>
  <c r="Q30" i="33"/>
  <c r="Q47" i="33" s="1"/>
  <c r="P40" i="35"/>
  <c r="P53" i="35"/>
  <c r="R32" i="32"/>
  <c r="R31" i="32"/>
  <c r="R32" i="34"/>
  <c r="R31" i="34"/>
  <c r="R32" i="33"/>
  <c r="R31" i="33"/>
  <c r="R32" i="35"/>
  <c r="R31" i="35"/>
  <c r="Q30" i="35"/>
  <c r="Q47" i="35" s="1"/>
  <c r="Q30" i="32"/>
  <c r="Q47" i="32" s="1"/>
  <c r="Y88" i="33"/>
  <c r="Z89" i="33" s="1"/>
  <c r="O110" i="34"/>
  <c r="C111" i="34" s="1"/>
  <c r="Q6" i="30" s="1"/>
  <c r="P96" i="35"/>
  <c r="P98" i="35" s="1"/>
  <c r="P100" i="35" s="1"/>
  <c r="P101" i="35" s="1"/>
  <c r="P102" i="35" s="1"/>
  <c r="O112" i="34"/>
  <c r="C113" i="34" s="1"/>
  <c r="R6" i="30" s="1"/>
  <c r="O103" i="34"/>
  <c r="O104" i="34" s="1"/>
  <c r="P42" i="35"/>
  <c r="Z88" i="33"/>
  <c r="AA88" i="33" s="1"/>
  <c r="AB89" i="33" s="1"/>
  <c r="V91" i="35"/>
  <c r="P96" i="34"/>
  <c r="P98" i="34" s="1"/>
  <c r="P100" i="34" s="1"/>
  <c r="P101" i="34" s="1"/>
  <c r="P102" i="34" s="1"/>
  <c r="P103" i="34" s="1"/>
  <c r="P104" i="34" s="1"/>
  <c r="S91" i="33"/>
  <c r="T91" i="33" s="1"/>
  <c r="T70" i="33" s="1"/>
  <c r="R70" i="33"/>
  <c r="P53" i="34"/>
  <c r="Y89" i="33"/>
  <c r="AA89" i="33"/>
  <c r="P96" i="32"/>
  <c r="P98" i="32" s="1"/>
  <c r="P100" i="32" s="1"/>
  <c r="P101" i="32" s="1"/>
  <c r="P102" i="32" s="1"/>
  <c r="P110" i="32" s="1"/>
  <c r="AG82" i="34"/>
  <c r="AG83" i="34"/>
  <c r="Z88" i="34"/>
  <c r="R38" i="32"/>
  <c r="R34" i="32" s="1"/>
  <c r="R26" i="32"/>
  <c r="B4" i="30" s="1"/>
  <c r="R28" i="32"/>
  <c r="C109" i="32"/>
  <c r="AB85" i="35"/>
  <c r="AB86" i="35"/>
  <c r="R38" i="34"/>
  <c r="R34" i="34" s="1"/>
  <c r="R26" i="34"/>
  <c r="R28" i="34"/>
  <c r="W91" i="32"/>
  <c r="W92" i="32"/>
  <c r="V70" i="32"/>
  <c r="Q94" i="32"/>
  <c r="Q46" i="32"/>
  <c r="C113" i="32"/>
  <c r="AA83" i="33"/>
  <c r="AA82" i="33"/>
  <c r="U91" i="34"/>
  <c r="T70" i="34"/>
  <c r="U92" i="34"/>
  <c r="U71" i="34" s="1"/>
  <c r="U97" i="34" s="1"/>
  <c r="P55" i="35"/>
  <c r="P57" i="35"/>
  <c r="P48" i="35"/>
  <c r="AB86" i="33"/>
  <c r="AB85" i="33"/>
  <c r="O108" i="35"/>
  <c r="C109" i="35" s="1"/>
  <c r="O103" i="35"/>
  <c r="O104" i="35" s="1"/>
  <c r="O112" i="35"/>
  <c r="C113" i="35" s="1"/>
  <c r="O110" i="35"/>
  <c r="C111" i="35" s="1"/>
  <c r="W71" i="32"/>
  <c r="W97" i="32" s="1"/>
  <c r="AE83" i="35"/>
  <c r="AE82" i="35"/>
  <c r="Q46" i="35"/>
  <c r="Q40" i="35"/>
  <c r="Q94" i="35"/>
  <c r="P43" i="32"/>
  <c r="P96" i="33"/>
  <c r="P98" i="33" s="1"/>
  <c r="P100" i="33" s="1"/>
  <c r="P101" i="33" s="1"/>
  <c r="P102" i="33" s="1"/>
  <c r="AC80" i="33"/>
  <c r="AC79" i="33"/>
  <c r="Q46" i="34"/>
  <c r="Q40" i="34"/>
  <c r="Q94" i="34"/>
  <c r="D6" i="30" s="1"/>
  <c r="O110" i="33"/>
  <c r="C111" i="33" s="1"/>
  <c r="O103" i="33"/>
  <c r="O104" i="33" s="1"/>
  <c r="O108" i="33"/>
  <c r="C109" i="33" s="1"/>
  <c r="O112" i="33"/>
  <c r="C113" i="33" s="1"/>
  <c r="X89" i="32"/>
  <c r="X88" i="32"/>
  <c r="R38" i="33"/>
  <c r="R34" i="33" s="1"/>
  <c r="R28" i="33"/>
  <c r="R26" i="33"/>
  <c r="P112" i="32"/>
  <c r="AE80" i="32"/>
  <c r="AE79" i="32"/>
  <c r="P42" i="33"/>
  <c r="Q24" i="32"/>
  <c r="Q43" i="32" s="1"/>
  <c r="Q95" i="32"/>
  <c r="Q45" i="32"/>
  <c r="C109" i="34"/>
  <c r="P6" i="30"/>
  <c r="P55" i="34"/>
  <c r="P57" i="34"/>
  <c r="P48" i="34"/>
  <c r="AA85" i="34"/>
  <c r="AA86" i="34"/>
  <c r="C111" i="32"/>
  <c r="V70" i="35"/>
  <c r="W89" i="35"/>
  <c r="W88" i="35"/>
  <c r="P103" i="35"/>
  <c r="P104" i="35" s="1"/>
  <c r="P112" i="35"/>
  <c r="P110" i="35"/>
  <c r="P108" i="35"/>
  <c r="Q95" i="34"/>
  <c r="Q45" i="34"/>
  <c r="Q24" i="34"/>
  <c r="Q43" i="34" s="1"/>
  <c r="Y85" i="32"/>
  <c r="Y86" i="32"/>
  <c r="R26" i="35"/>
  <c r="R28" i="35"/>
  <c r="R38" i="35"/>
  <c r="R34" i="35" s="1"/>
  <c r="Q94" i="33"/>
  <c r="Q40" i="33"/>
  <c r="Q46" i="33"/>
  <c r="P42" i="32"/>
  <c r="P48" i="33"/>
  <c r="P57" i="33"/>
  <c r="P55" i="33"/>
  <c r="AC80" i="34"/>
  <c r="AC79" i="34"/>
  <c r="P108" i="34"/>
  <c r="AC80" i="35"/>
  <c r="AC79" i="35"/>
  <c r="Q95" i="35"/>
  <c r="Q45" i="35"/>
  <c r="Q24" i="35"/>
  <c r="Q53" i="35" s="1"/>
  <c r="Q95" i="33"/>
  <c r="Q45" i="33"/>
  <c r="Q24" i="33"/>
  <c r="Q53" i="33" s="1"/>
  <c r="P55" i="32"/>
  <c r="P57" i="32"/>
  <c r="P48" i="32"/>
  <c r="P53" i="33"/>
  <c r="B5" i="30"/>
  <c r="E10" i="2"/>
  <c r="C10" i="2"/>
  <c r="C47" i="2" s="1"/>
  <c r="D10" i="2"/>
  <c r="D8" i="2"/>
  <c r="Q40" i="32" l="1"/>
  <c r="S32" i="33"/>
  <c r="S31" i="33"/>
  <c r="S32" i="32"/>
  <c r="S31" i="32"/>
  <c r="R30" i="35"/>
  <c r="R47" i="35" s="1"/>
  <c r="R30" i="34"/>
  <c r="R47" i="34" s="1"/>
  <c r="S32" i="35"/>
  <c r="S31" i="35"/>
  <c r="S32" i="34"/>
  <c r="S31" i="34"/>
  <c r="R30" i="33"/>
  <c r="R47" i="33" s="1"/>
  <c r="R30" i="32"/>
  <c r="R47" i="32" s="1"/>
  <c r="P112" i="34"/>
  <c r="P110" i="34"/>
  <c r="P108" i="32"/>
  <c r="W92" i="35"/>
  <c r="W71" i="35" s="1"/>
  <c r="W97" i="35" s="1"/>
  <c r="W91" i="35"/>
  <c r="P103" i="32"/>
  <c r="P104" i="32" s="1"/>
  <c r="U92" i="33"/>
  <c r="U71" i="33" s="1"/>
  <c r="U97" i="33" s="1"/>
  <c r="T92" i="33"/>
  <c r="T71" i="33" s="1"/>
  <c r="T97" i="33" s="1"/>
  <c r="U91" i="33"/>
  <c r="S70" i="33"/>
  <c r="AB88" i="33"/>
  <c r="Q42" i="34"/>
  <c r="Q42" i="35"/>
  <c r="AH83" i="34"/>
  <c r="AH82" i="34"/>
  <c r="Q53" i="34"/>
  <c r="Q43" i="35"/>
  <c r="AA88" i="34"/>
  <c r="AB89" i="34" s="1"/>
  <c r="AA89" i="34"/>
  <c r="R46" i="35"/>
  <c r="R40" i="35"/>
  <c r="R94" i="35"/>
  <c r="S26" i="33"/>
  <c r="S38" i="33"/>
  <c r="S34" i="33" s="1"/>
  <c r="S28" i="33"/>
  <c r="AF83" i="35"/>
  <c r="AF82" i="35"/>
  <c r="AD80" i="34"/>
  <c r="AD79" i="34"/>
  <c r="Q55" i="33"/>
  <c r="Q57" i="33"/>
  <c r="Q48" i="33"/>
  <c r="S38" i="35"/>
  <c r="S34" i="35" s="1"/>
  <c r="S28" i="35"/>
  <c r="S26" i="35"/>
  <c r="R46" i="33"/>
  <c r="R94" i="33"/>
  <c r="Q57" i="34"/>
  <c r="Q48" i="34"/>
  <c r="Q55" i="34"/>
  <c r="Q96" i="35"/>
  <c r="Q98" i="35" s="1"/>
  <c r="Q100" i="35" s="1"/>
  <c r="AB83" i="33"/>
  <c r="AB82" i="33"/>
  <c r="Q96" i="32"/>
  <c r="Q98" i="32" s="1"/>
  <c r="Q100" i="32" s="1"/>
  <c r="Q101" i="32" s="1"/>
  <c r="Q102" i="32" s="1"/>
  <c r="R40" i="34"/>
  <c r="R46" i="34"/>
  <c r="R94" i="34"/>
  <c r="S26" i="32"/>
  <c r="S28" i="32"/>
  <c r="S38" i="32"/>
  <c r="S34" i="32" s="1"/>
  <c r="AD80" i="35"/>
  <c r="AD79" i="35"/>
  <c r="Q42" i="33"/>
  <c r="P108" i="33"/>
  <c r="P103" i="33"/>
  <c r="P104" i="33" s="1"/>
  <c r="P112" i="33"/>
  <c r="P110" i="33"/>
  <c r="Q53" i="32"/>
  <c r="X91" i="32"/>
  <c r="X92" i="32"/>
  <c r="X71" i="32" s="1"/>
  <c r="X97" i="32" s="1"/>
  <c r="R95" i="32"/>
  <c r="R45" i="32"/>
  <c r="R24" i="32"/>
  <c r="R43" i="32" s="1"/>
  <c r="R24" i="35"/>
  <c r="R43" i="35" s="1"/>
  <c r="R95" i="35"/>
  <c r="R45" i="35"/>
  <c r="B7" i="30"/>
  <c r="X88" i="35"/>
  <c r="X89" i="35"/>
  <c r="Y88" i="32"/>
  <c r="Y89" i="32"/>
  <c r="AD80" i="33"/>
  <c r="AD79" i="33"/>
  <c r="Q96" i="33"/>
  <c r="Q98" i="33" s="1"/>
  <c r="Q100" i="33" s="1"/>
  <c r="Q101" i="33" s="1"/>
  <c r="Q102" i="33" s="1"/>
  <c r="AB85" i="34"/>
  <c r="AB86" i="34"/>
  <c r="R45" i="33"/>
  <c r="R95" i="33"/>
  <c r="R24" i="33"/>
  <c r="Q96" i="34"/>
  <c r="Q98" i="34" s="1"/>
  <c r="Q100" i="34" s="1"/>
  <c r="Q101" i="34" s="1"/>
  <c r="Q102" i="34" s="1"/>
  <c r="Q57" i="35"/>
  <c r="Q48" i="35"/>
  <c r="Q55" i="35"/>
  <c r="V91" i="34"/>
  <c r="U70" i="34"/>
  <c r="V92" i="34"/>
  <c r="V71" i="34" s="1"/>
  <c r="V97" i="34" s="1"/>
  <c r="Q42" i="32"/>
  <c r="S38" i="34"/>
  <c r="S34" i="34" s="1"/>
  <c r="S28" i="34"/>
  <c r="S26" i="34"/>
  <c r="AC86" i="35"/>
  <c r="AC85" i="35"/>
  <c r="R46" i="32"/>
  <c r="R40" i="32"/>
  <c r="R94" i="32"/>
  <c r="Q43" i="33"/>
  <c r="Z86" i="32"/>
  <c r="Z85" i="32"/>
  <c r="AF80" i="32"/>
  <c r="AF79" i="32"/>
  <c r="AC85" i="33"/>
  <c r="AC86" i="33"/>
  <c r="Q55" i="32"/>
  <c r="Q57" i="32"/>
  <c r="Q48" i="32"/>
  <c r="R24" i="34"/>
  <c r="R43" i="34" s="1"/>
  <c r="R45" i="34"/>
  <c r="R95" i="34"/>
  <c r="B6" i="30"/>
  <c r="W70" i="32"/>
  <c r="I91" i="2"/>
  <c r="H88" i="2"/>
  <c r="G85" i="2"/>
  <c r="F82" i="2"/>
  <c r="D76" i="2"/>
  <c r="E79" i="2"/>
  <c r="J90" i="2"/>
  <c r="J91" i="2" s="1"/>
  <c r="I87" i="2"/>
  <c r="J87" i="2" s="1"/>
  <c r="H84" i="2"/>
  <c r="H85" i="2" s="1"/>
  <c r="G81" i="2"/>
  <c r="H81" i="2" s="1"/>
  <c r="A79" i="2"/>
  <c r="A82" i="2" s="1"/>
  <c r="A85" i="2" s="1"/>
  <c r="A88" i="2" s="1"/>
  <c r="A91" i="2" s="1"/>
  <c r="F78" i="2"/>
  <c r="F79" i="2" s="1"/>
  <c r="E75" i="2"/>
  <c r="F75" i="2" s="1"/>
  <c r="C97" i="2"/>
  <c r="R40" i="33" l="1"/>
  <c r="R53" i="33"/>
  <c r="S30" i="35"/>
  <c r="S47" i="35" s="1"/>
  <c r="S30" i="32"/>
  <c r="S47" i="32" s="1"/>
  <c r="T32" i="32"/>
  <c r="T31" i="32"/>
  <c r="T32" i="35"/>
  <c r="T31" i="35"/>
  <c r="T32" i="34"/>
  <c r="T31" i="34"/>
  <c r="T32" i="33"/>
  <c r="T31" i="33"/>
  <c r="S30" i="34"/>
  <c r="S47" i="34" s="1"/>
  <c r="S30" i="33"/>
  <c r="S47" i="33" s="1"/>
  <c r="R53" i="32"/>
  <c r="X92" i="35"/>
  <c r="X71" i="35" s="1"/>
  <c r="X97" i="35" s="1"/>
  <c r="X91" i="35"/>
  <c r="Y91" i="35" s="1"/>
  <c r="W70" i="35"/>
  <c r="R42" i="32"/>
  <c r="Y92" i="35"/>
  <c r="V91" i="33"/>
  <c r="U70" i="33"/>
  <c r="AB88" i="34"/>
  <c r="AC89" i="34" s="1"/>
  <c r="V92" i="33"/>
  <c r="V71" i="33" s="1"/>
  <c r="V97" i="33" s="1"/>
  <c r="AC88" i="33"/>
  <c r="AC89" i="33"/>
  <c r="R53" i="34"/>
  <c r="AC88" i="34"/>
  <c r="S94" i="34"/>
  <c r="S46" i="34"/>
  <c r="S40" i="34"/>
  <c r="V70" i="34"/>
  <c r="W92" i="34"/>
  <c r="W71" i="34" s="1"/>
  <c r="W97" i="34" s="1"/>
  <c r="W91" i="34"/>
  <c r="Q112" i="33"/>
  <c r="Q110" i="33"/>
  <c r="Q103" i="33"/>
  <c r="Q104" i="33" s="1"/>
  <c r="Q108" i="33"/>
  <c r="Q101" i="35"/>
  <c r="Q102" i="35" s="1"/>
  <c r="R57" i="33"/>
  <c r="R48" i="33"/>
  <c r="R55" i="33"/>
  <c r="T38" i="35"/>
  <c r="T34" i="35" s="1"/>
  <c r="T28" i="35"/>
  <c r="T26" i="35"/>
  <c r="AG80" i="32"/>
  <c r="AG79" i="32"/>
  <c r="AA85" i="32"/>
  <c r="AA86" i="32"/>
  <c r="R96" i="32"/>
  <c r="R98" i="32" s="1"/>
  <c r="R100" i="32" s="1"/>
  <c r="R101" i="32" s="1"/>
  <c r="R102" i="32" s="1"/>
  <c r="AE80" i="33"/>
  <c r="AE79" i="33"/>
  <c r="Z88" i="32"/>
  <c r="Z89" i="32"/>
  <c r="Y89" i="35"/>
  <c r="Y88" i="35"/>
  <c r="S94" i="32"/>
  <c r="S46" i="32"/>
  <c r="R96" i="34"/>
  <c r="R98" i="34" s="1"/>
  <c r="R100" i="34" s="1"/>
  <c r="R96" i="33"/>
  <c r="R98" i="33" s="1"/>
  <c r="R100" i="33" s="1"/>
  <c r="R43" i="33"/>
  <c r="S94" i="35"/>
  <c r="S46" i="35"/>
  <c r="AE80" i="34"/>
  <c r="AE79" i="34"/>
  <c r="S94" i="33"/>
  <c r="S40" i="33"/>
  <c r="S46" i="33"/>
  <c r="R53" i="35"/>
  <c r="S45" i="34"/>
  <c r="S24" i="34"/>
  <c r="S53" i="34" s="1"/>
  <c r="S95" i="34"/>
  <c r="T26" i="32"/>
  <c r="T28" i="32"/>
  <c r="T38" i="32"/>
  <c r="T34" i="32" s="1"/>
  <c r="S24" i="33"/>
  <c r="S53" i="33" s="1"/>
  <c r="S95" i="33"/>
  <c r="S45" i="33"/>
  <c r="R96" i="35"/>
  <c r="R98" i="35" s="1"/>
  <c r="R100" i="35" s="1"/>
  <c r="R101" i="35" s="1"/>
  <c r="R102" i="35" s="1"/>
  <c r="Y71" i="35"/>
  <c r="Y97" i="35" s="1"/>
  <c r="Y91" i="32"/>
  <c r="Y92" i="32"/>
  <c r="X70" i="32"/>
  <c r="AE80" i="35"/>
  <c r="AE79" i="35"/>
  <c r="R57" i="34"/>
  <c r="R55" i="34"/>
  <c r="R48" i="34"/>
  <c r="AC83" i="33"/>
  <c r="AC82" i="33"/>
  <c r="R48" i="32"/>
  <c r="R55" i="32"/>
  <c r="R57" i="32"/>
  <c r="T26" i="34"/>
  <c r="T28" i="34"/>
  <c r="T38" i="34"/>
  <c r="T34" i="34" s="1"/>
  <c r="AC86" i="34"/>
  <c r="AC85" i="34"/>
  <c r="Z92" i="35"/>
  <c r="Z91" i="35"/>
  <c r="S45" i="32"/>
  <c r="S24" i="32"/>
  <c r="S43" i="32" s="1"/>
  <c r="S95" i="32"/>
  <c r="R42" i="34"/>
  <c r="R42" i="33"/>
  <c r="S95" i="35"/>
  <c r="S45" i="35"/>
  <c r="S24" i="35"/>
  <c r="R42" i="35"/>
  <c r="AD85" i="33"/>
  <c r="AD86" i="33"/>
  <c r="AD85" i="35"/>
  <c r="AD86" i="35"/>
  <c r="Q108" i="34"/>
  <c r="Q103" i="34"/>
  <c r="Q104" i="34" s="1"/>
  <c r="Q112" i="34"/>
  <c r="Q110" i="34"/>
  <c r="Y71" i="32"/>
  <c r="Y97" i="32" s="1"/>
  <c r="Q112" i="32"/>
  <c r="Q110" i="32"/>
  <c r="Q108" i="32"/>
  <c r="Q103" i="32"/>
  <c r="Q104" i="32" s="1"/>
  <c r="AG83" i="35"/>
  <c r="AG82" i="35"/>
  <c r="T26" i="33"/>
  <c r="T38" i="33"/>
  <c r="T34" i="33" s="1"/>
  <c r="T28" i="33"/>
  <c r="R57" i="35"/>
  <c r="R48" i="35"/>
  <c r="R55" i="35"/>
  <c r="G78" i="2"/>
  <c r="H78" i="2" s="1"/>
  <c r="E76" i="2"/>
  <c r="E70" i="2" s="1"/>
  <c r="G82" i="2"/>
  <c r="I84" i="2"/>
  <c r="J84" i="2" s="1"/>
  <c r="I88" i="2"/>
  <c r="D70" i="2"/>
  <c r="G75" i="2"/>
  <c r="I81" i="2"/>
  <c r="K90" i="2"/>
  <c r="K87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X10" i="2"/>
  <c r="Y10" i="2"/>
  <c r="Z10" i="2"/>
  <c r="S40" i="32" l="1"/>
  <c r="S53" i="35"/>
  <c r="S40" i="35"/>
  <c r="S42" i="35" s="1"/>
  <c r="T30" i="34"/>
  <c r="T47" i="34" s="1"/>
  <c r="U32" i="33"/>
  <c r="U31" i="33"/>
  <c r="U32" i="34"/>
  <c r="U31" i="34"/>
  <c r="T30" i="32"/>
  <c r="T47" i="32" s="1"/>
  <c r="U32" i="32"/>
  <c r="U31" i="32"/>
  <c r="U32" i="35"/>
  <c r="U31" i="35"/>
  <c r="T30" i="33"/>
  <c r="T47" i="33" s="1"/>
  <c r="T30" i="35"/>
  <c r="T47" i="35" s="1"/>
  <c r="X70" i="35"/>
  <c r="AD88" i="33"/>
  <c r="AD89" i="33"/>
  <c r="W91" i="33"/>
  <c r="V70" i="33"/>
  <c r="W92" i="33"/>
  <c r="W71" i="33" s="1"/>
  <c r="W97" i="33" s="1"/>
  <c r="AD88" i="34"/>
  <c r="AD89" i="34"/>
  <c r="Q108" i="35"/>
  <c r="Q103" i="35"/>
  <c r="Q104" i="35" s="1"/>
  <c r="Q112" i="35"/>
  <c r="Q110" i="35"/>
  <c r="AE86" i="33"/>
  <c r="AE85" i="33"/>
  <c r="U28" i="34"/>
  <c r="U38" i="34"/>
  <c r="U34" i="34" s="1"/>
  <c r="U26" i="34"/>
  <c r="Z91" i="32"/>
  <c r="Z92" i="32"/>
  <c r="Y70" i="32"/>
  <c r="T46" i="32"/>
  <c r="T40" i="32"/>
  <c r="T94" i="32"/>
  <c r="S42" i="33"/>
  <c r="AF80" i="34"/>
  <c r="AF79" i="34"/>
  <c r="R101" i="33"/>
  <c r="R102" i="33" s="1"/>
  <c r="S48" i="32"/>
  <c r="S55" i="32"/>
  <c r="S57" i="32"/>
  <c r="X91" i="34"/>
  <c r="W70" i="34"/>
  <c r="X92" i="34"/>
  <c r="X71" i="34" s="1"/>
  <c r="X97" i="34" s="1"/>
  <c r="S43" i="34"/>
  <c r="AH83" i="35"/>
  <c r="AH82" i="35"/>
  <c r="T46" i="33"/>
  <c r="T94" i="33"/>
  <c r="T45" i="33"/>
  <c r="T24" i="33"/>
  <c r="T95" i="33"/>
  <c r="AD86" i="34"/>
  <c r="AD85" i="34"/>
  <c r="T95" i="34"/>
  <c r="T45" i="34"/>
  <c r="T24" i="34"/>
  <c r="U38" i="32"/>
  <c r="U34" i="32" s="1"/>
  <c r="U28" i="32"/>
  <c r="U26" i="32"/>
  <c r="S43" i="33"/>
  <c r="S48" i="35"/>
  <c r="S57" i="35"/>
  <c r="S55" i="35"/>
  <c r="R101" i="34"/>
  <c r="R102" i="34" s="1"/>
  <c r="S96" i="32"/>
  <c r="S98" i="32" s="1"/>
  <c r="S100" i="32" s="1"/>
  <c r="S101" i="32" s="1"/>
  <c r="S102" i="32" s="1"/>
  <c r="Z71" i="32"/>
  <c r="Z97" i="32" s="1"/>
  <c r="AB86" i="32"/>
  <c r="AB85" i="32"/>
  <c r="T24" i="35"/>
  <c r="T43" i="35" s="1"/>
  <c r="T95" i="35"/>
  <c r="T45" i="35"/>
  <c r="S55" i="34"/>
  <c r="S57" i="34"/>
  <c r="S48" i="34"/>
  <c r="AE86" i="35"/>
  <c r="AE85" i="35"/>
  <c r="AA91" i="35"/>
  <c r="AA92" i="35"/>
  <c r="AD83" i="33"/>
  <c r="AD82" i="33"/>
  <c r="T24" i="32"/>
  <c r="T43" i="32" s="1"/>
  <c r="T95" i="32"/>
  <c r="T45" i="32"/>
  <c r="S96" i="35"/>
  <c r="S98" i="35" s="1"/>
  <c r="S100" i="35" s="1"/>
  <c r="S101" i="35" s="1"/>
  <c r="S102" i="35" s="1"/>
  <c r="S53" i="32"/>
  <c r="AA88" i="32"/>
  <c r="AA89" i="32"/>
  <c r="R108" i="32"/>
  <c r="R103" i="32"/>
  <c r="R104" i="32" s="1"/>
  <c r="R112" i="32"/>
  <c r="R110" i="32"/>
  <c r="AH80" i="32"/>
  <c r="AH79" i="32"/>
  <c r="U38" i="35"/>
  <c r="U34" i="35" s="1"/>
  <c r="U26" i="35"/>
  <c r="U28" i="35"/>
  <c r="S96" i="34"/>
  <c r="S98" i="34" s="1"/>
  <c r="S100" i="34" s="1"/>
  <c r="S101" i="34" s="1"/>
  <c r="S102" i="34" s="1"/>
  <c r="U38" i="33"/>
  <c r="U34" i="33" s="1"/>
  <c r="U28" i="33"/>
  <c r="U26" i="33"/>
  <c r="T94" i="34"/>
  <c r="T96" i="34" s="1"/>
  <c r="T98" i="34" s="1"/>
  <c r="T100" i="34" s="1"/>
  <c r="T101" i="34" s="1"/>
  <c r="T102" i="34" s="1"/>
  <c r="T53" i="34"/>
  <c r="T46" i="34"/>
  <c r="T43" i="34"/>
  <c r="AF80" i="35"/>
  <c r="AF79" i="35"/>
  <c r="R112" i="35"/>
  <c r="R110" i="35"/>
  <c r="R108" i="35"/>
  <c r="R103" i="35"/>
  <c r="R104" i="35" s="1"/>
  <c r="S57" i="33"/>
  <c r="S48" i="33"/>
  <c r="S55" i="33"/>
  <c r="S96" i="33"/>
  <c r="S98" i="33" s="1"/>
  <c r="S100" i="33" s="1"/>
  <c r="S101" i="33" s="1"/>
  <c r="S102" i="33" s="1"/>
  <c r="S43" i="35"/>
  <c r="S42" i="32"/>
  <c r="Z88" i="35"/>
  <c r="Z89" i="35"/>
  <c r="Z71" i="35" s="1"/>
  <c r="Z97" i="35" s="1"/>
  <c r="Y70" i="35"/>
  <c r="AF80" i="33"/>
  <c r="AF79" i="33"/>
  <c r="Z70" i="32"/>
  <c r="T94" i="35"/>
  <c r="T96" i="35" s="1"/>
  <c r="T98" i="35" s="1"/>
  <c r="T100" i="35" s="1"/>
  <c r="T101" i="35" s="1"/>
  <c r="T102" i="35" s="1"/>
  <c r="T46" i="35"/>
  <c r="S42" i="34"/>
  <c r="I78" i="2"/>
  <c r="L87" i="2"/>
  <c r="J81" i="2"/>
  <c r="L90" i="2"/>
  <c r="H75" i="2"/>
  <c r="K84" i="2"/>
  <c r="C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8" i="2"/>
  <c r="T40" i="35" l="1"/>
  <c r="U30" i="35"/>
  <c r="U47" i="35" s="1"/>
  <c r="T40" i="34"/>
  <c r="T42" i="34" s="1"/>
  <c r="T40" i="33"/>
  <c r="T53" i="33"/>
  <c r="U30" i="34"/>
  <c r="U47" i="34" s="1"/>
  <c r="V32" i="35"/>
  <c r="V31" i="35"/>
  <c r="V32" i="33"/>
  <c r="V31" i="33"/>
  <c r="V32" i="34"/>
  <c r="V31" i="34"/>
  <c r="U30" i="32"/>
  <c r="U47" i="32" s="1"/>
  <c r="V32" i="32"/>
  <c r="V31" i="32"/>
  <c r="U30" i="33"/>
  <c r="U47" i="33" s="1"/>
  <c r="T53" i="35"/>
  <c r="W70" i="33"/>
  <c r="X91" i="33"/>
  <c r="X92" i="33"/>
  <c r="X71" i="33" s="1"/>
  <c r="X97" i="33" s="1"/>
  <c r="T42" i="35"/>
  <c r="AE89" i="33"/>
  <c r="AE88" i="33"/>
  <c r="AE88" i="34"/>
  <c r="AE89" i="34"/>
  <c r="R112" i="33"/>
  <c r="R110" i="33"/>
  <c r="R108" i="33"/>
  <c r="R103" i="33"/>
  <c r="R104" i="33" s="1"/>
  <c r="T112" i="35"/>
  <c r="T110" i="35"/>
  <c r="T108" i="35"/>
  <c r="T103" i="35"/>
  <c r="T104" i="35" s="1"/>
  <c r="AA88" i="35"/>
  <c r="AA89" i="35"/>
  <c r="Z70" i="35"/>
  <c r="T48" i="34"/>
  <c r="T55" i="34"/>
  <c r="T57" i="34"/>
  <c r="U94" i="33"/>
  <c r="U46" i="33"/>
  <c r="U94" i="35"/>
  <c r="U46" i="35"/>
  <c r="U40" i="35"/>
  <c r="AE83" i="33"/>
  <c r="AE82" i="33"/>
  <c r="AB92" i="35"/>
  <c r="AB91" i="35"/>
  <c r="U45" i="32"/>
  <c r="U95" i="32"/>
  <c r="U24" i="32"/>
  <c r="T42" i="33"/>
  <c r="T53" i="32"/>
  <c r="AA91" i="32"/>
  <c r="AA70" i="32" s="1"/>
  <c r="AA92" i="32"/>
  <c r="AA71" i="32" s="1"/>
  <c r="AA97" i="32" s="1"/>
  <c r="S112" i="34"/>
  <c r="S110" i="34"/>
  <c r="S108" i="34"/>
  <c r="S103" i="34"/>
  <c r="S104" i="34" s="1"/>
  <c r="AB88" i="32"/>
  <c r="AB89" i="32"/>
  <c r="AF85" i="35"/>
  <c r="AF86" i="35"/>
  <c r="S103" i="32"/>
  <c r="S104" i="32" s="1"/>
  <c r="S112" i="32"/>
  <c r="S110" i="32"/>
  <c r="S108" i="32"/>
  <c r="V38" i="32"/>
  <c r="V34" i="32" s="1"/>
  <c r="V26" i="32"/>
  <c r="V28" i="32"/>
  <c r="T48" i="33"/>
  <c r="T55" i="33"/>
  <c r="T57" i="33"/>
  <c r="T48" i="32"/>
  <c r="T55" i="32"/>
  <c r="T57" i="32"/>
  <c r="U95" i="34"/>
  <c r="U45" i="34"/>
  <c r="U24" i="34"/>
  <c r="AF86" i="33"/>
  <c r="AF85" i="33"/>
  <c r="T110" i="34"/>
  <c r="T108" i="34"/>
  <c r="T103" i="34"/>
  <c r="T104" i="34" s="1"/>
  <c r="T112" i="34"/>
  <c r="U95" i="33"/>
  <c r="U45" i="33"/>
  <c r="U24" i="33"/>
  <c r="U43" i="33" s="1"/>
  <c r="V38" i="35"/>
  <c r="V34" i="35" s="1"/>
  <c r="V26" i="35"/>
  <c r="V28" i="35"/>
  <c r="AC85" i="32"/>
  <c r="AC86" i="32"/>
  <c r="R112" i="34"/>
  <c r="R110" i="34"/>
  <c r="R108" i="34"/>
  <c r="R103" i="34"/>
  <c r="R104" i="34" s="1"/>
  <c r="U94" i="32"/>
  <c r="U46" i="32"/>
  <c r="T43" i="33"/>
  <c r="AG80" i="34"/>
  <c r="AG79" i="34"/>
  <c r="T96" i="32"/>
  <c r="T98" i="32" s="1"/>
  <c r="T100" i="32" s="1"/>
  <c r="T101" i="32" s="1"/>
  <c r="T102" i="32" s="1"/>
  <c r="U94" i="34"/>
  <c r="U46" i="34"/>
  <c r="U40" i="34"/>
  <c r="T57" i="35"/>
  <c r="T55" i="35"/>
  <c r="T48" i="35"/>
  <c r="AG80" i="33"/>
  <c r="AG79" i="33"/>
  <c r="S110" i="33"/>
  <c r="S108" i="33"/>
  <c r="S103" i="33"/>
  <c r="S104" i="33" s="1"/>
  <c r="S112" i="33"/>
  <c r="AG80" i="35"/>
  <c r="AG79" i="35"/>
  <c r="V38" i="33"/>
  <c r="V34" i="33" s="1"/>
  <c r="V28" i="33"/>
  <c r="V26" i="33"/>
  <c r="U24" i="35"/>
  <c r="U43" i="35" s="1"/>
  <c r="U95" i="35"/>
  <c r="U45" i="35"/>
  <c r="S112" i="35"/>
  <c r="S110" i="35"/>
  <c r="S108" i="35"/>
  <c r="S103" i="35"/>
  <c r="S104" i="35" s="1"/>
  <c r="AA71" i="35"/>
  <c r="AA97" i="35" s="1"/>
  <c r="AE86" i="34"/>
  <c r="AE85" i="34"/>
  <c r="T96" i="33"/>
  <c r="T98" i="33" s="1"/>
  <c r="T100" i="33" s="1"/>
  <c r="Y92" i="34"/>
  <c r="Y71" i="34" s="1"/>
  <c r="Y97" i="34" s="1"/>
  <c r="X70" i="34"/>
  <c r="Y91" i="34"/>
  <c r="T42" i="32"/>
  <c r="V38" i="34"/>
  <c r="V34" i="34" s="1"/>
  <c r="V26" i="34"/>
  <c r="V28" i="34"/>
  <c r="C45" i="2"/>
  <c r="C46" i="2"/>
  <c r="L84" i="2"/>
  <c r="K81" i="2"/>
  <c r="I75" i="2"/>
  <c r="M87" i="2"/>
  <c r="J78" i="2"/>
  <c r="M90" i="2"/>
  <c r="V30" i="33" l="1"/>
  <c r="V47" i="33" s="1"/>
  <c r="U53" i="34"/>
  <c r="V30" i="34"/>
  <c r="V47" i="34" s="1"/>
  <c r="V30" i="35"/>
  <c r="V47" i="35" s="1"/>
  <c r="U40" i="33"/>
  <c r="W32" i="35"/>
  <c r="W31" i="35"/>
  <c r="U53" i="32"/>
  <c r="W32" i="33"/>
  <c r="W31" i="33"/>
  <c r="U40" i="32"/>
  <c r="U42" i="32" s="1"/>
  <c r="W32" i="32"/>
  <c r="W31" i="32"/>
  <c r="W32" i="34"/>
  <c r="W31" i="34"/>
  <c r="V30" i="32"/>
  <c r="V47" i="32" s="1"/>
  <c r="U96" i="34"/>
  <c r="U98" i="34" s="1"/>
  <c r="U100" i="34" s="1"/>
  <c r="U101" i="34" s="1"/>
  <c r="U102" i="34" s="1"/>
  <c r="U103" i="34" s="1"/>
  <c r="U104" i="34" s="1"/>
  <c r="U43" i="32"/>
  <c r="U42" i="34"/>
  <c r="AF88" i="33"/>
  <c r="AF89" i="33"/>
  <c r="Y92" i="33"/>
  <c r="Y71" i="33" s="1"/>
  <c r="Y97" i="33" s="1"/>
  <c r="X70" i="33"/>
  <c r="Y91" i="33"/>
  <c r="U96" i="32"/>
  <c r="U98" i="32" s="1"/>
  <c r="U100" i="32" s="1"/>
  <c r="U101" i="32" s="1"/>
  <c r="U102" i="32" s="1"/>
  <c r="U110" i="32" s="1"/>
  <c r="AF88" i="34"/>
  <c r="AF89" i="34"/>
  <c r="Z92" i="34"/>
  <c r="Z71" i="34" s="1"/>
  <c r="Z97" i="34" s="1"/>
  <c r="Z91" i="34"/>
  <c r="Y70" i="34"/>
  <c r="W26" i="33"/>
  <c r="W38" i="33"/>
  <c r="W34" i="33" s="1"/>
  <c r="W28" i="33"/>
  <c r="AD86" i="32"/>
  <c r="AD85" i="32"/>
  <c r="V24" i="34"/>
  <c r="V43" i="34" s="1"/>
  <c r="V95" i="34"/>
  <c r="V45" i="34"/>
  <c r="AF86" i="34"/>
  <c r="AF85" i="34"/>
  <c r="V46" i="33"/>
  <c r="V94" i="33"/>
  <c r="V40" i="33"/>
  <c r="AH80" i="33"/>
  <c r="AH79" i="33"/>
  <c r="U55" i="34"/>
  <c r="U57" i="34"/>
  <c r="U48" i="34"/>
  <c r="W26" i="35"/>
  <c r="W38" i="35"/>
  <c r="W34" i="35" s="1"/>
  <c r="W28" i="35"/>
  <c r="AC89" i="32"/>
  <c r="AC88" i="32"/>
  <c r="AF83" i="33"/>
  <c r="AF82" i="33"/>
  <c r="U42" i="35"/>
  <c r="U53" i="33"/>
  <c r="V94" i="34"/>
  <c r="V96" i="34" s="1"/>
  <c r="V98" i="34" s="1"/>
  <c r="V100" i="34" s="1"/>
  <c r="V101" i="34" s="1"/>
  <c r="V102" i="34" s="1"/>
  <c r="V46" i="34"/>
  <c r="AH80" i="35"/>
  <c r="AH79" i="35"/>
  <c r="V24" i="35"/>
  <c r="V43" i="35" s="1"/>
  <c r="V95" i="35"/>
  <c r="V45" i="35"/>
  <c r="W38" i="32"/>
  <c r="W34" i="32" s="1"/>
  <c r="W26" i="32"/>
  <c r="W28" i="32"/>
  <c r="AC91" i="35"/>
  <c r="AC92" i="35"/>
  <c r="U55" i="35"/>
  <c r="U57" i="35"/>
  <c r="U48" i="35"/>
  <c r="U42" i="33"/>
  <c r="AG86" i="33"/>
  <c r="AG85" i="33"/>
  <c r="T101" i="33"/>
  <c r="T102" i="33" s="1"/>
  <c r="V45" i="33"/>
  <c r="V24" i="33"/>
  <c r="V53" i="33" s="1"/>
  <c r="V95" i="33"/>
  <c r="U43" i="34"/>
  <c r="T110" i="32"/>
  <c r="T108" i="32"/>
  <c r="T103" i="32"/>
  <c r="T104" i="32" s="1"/>
  <c r="T112" i="32"/>
  <c r="U55" i="32"/>
  <c r="U57" i="32"/>
  <c r="U48" i="32"/>
  <c r="V94" i="35"/>
  <c r="V96" i="35" s="1"/>
  <c r="V98" i="35" s="1"/>
  <c r="V100" i="35" s="1"/>
  <c r="V46" i="35"/>
  <c r="V95" i="32"/>
  <c r="V24" i="32"/>
  <c r="V43" i="32" s="1"/>
  <c r="V45" i="32"/>
  <c r="AG85" i="35"/>
  <c r="AG86" i="35"/>
  <c r="AB91" i="32"/>
  <c r="AB92" i="32"/>
  <c r="AB71" i="32" s="1"/>
  <c r="AB97" i="32" s="1"/>
  <c r="U96" i="35"/>
  <c r="U98" i="35" s="1"/>
  <c r="U100" i="35" s="1"/>
  <c r="U101" i="35" s="1"/>
  <c r="U102" i="35" s="1"/>
  <c r="U96" i="33"/>
  <c r="U98" i="33" s="1"/>
  <c r="U100" i="33" s="1"/>
  <c r="U101" i="33" s="1"/>
  <c r="U102" i="33" s="1"/>
  <c r="W38" i="34"/>
  <c r="W34" i="34" s="1"/>
  <c r="W28" i="34"/>
  <c r="W26" i="34"/>
  <c r="AH80" i="34"/>
  <c r="AH79" i="34"/>
  <c r="V94" i="32"/>
  <c r="V96" i="32" s="1"/>
  <c r="V98" i="32" s="1"/>
  <c r="V100" i="32" s="1"/>
  <c r="V101" i="32" s="1"/>
  <c r="V102" i="32" s="1"/>
  <c r="V46" i="32"/>
  <c r="U53" i="35"/>
  <c r="U55" i="33"/>
  <c r="U48" i="33"/>
  <c r="U57" i="33"/>
  <c r="AB89" i="35"/>
  <c r="AB71" i="35" s="1"/>
  <c r="AB97" i="35" s="1"/>
  <c r="AB88" i="35"/>
  <c r="AA70" i="35"/>
  <c r="E14" i="31"/>
  <c r="F14" i="31"/>
  <c r="N6" i="30"/>
  <c r="C57" i="2"/>
  <c r="C55" i="2"/>
  <c r="C48" i="2"/>
  <c r="J75" i="2"/>
  <c r="N90" i="2"/>
  <c r="L81" i="2"/>
  <c r="M84" i="2"/>
  <c r="K78" i="2"/>
  <c r="N87" i="2"/>
  <c r="V40" i="32" l="1"/>
  <c r="V40" i="34"/>
  <c r="V40" i="35"/>
  <c r="V42" i="35" s="1"/>
  <c r="V53" i="32"/>
  <c r="W30" i="33"/>
  <c r="W47" i="33" s="1"/>
  <c r="W30" i="32"/>
  <c r="W47" i="32" s="1"/>
  <c r="U110" i="34"/>
  <c r="U112" i="34"/>
  <c r="U108" i="34"/>
  <c r="X32" i="32"/>
  <c r="X31" i="32"/>
  <c r="X32" i="35"/>
  <c r="X31" i="35"/>
  <c r="X32" i="34"/>
  <c r="X31" i="34"/>
  <c r="X32" i="33"/>
  <c r="X31" i="33"/>
  <c r="W30" i="34"/>
  <c r="W47" i="34" s="1"/>
  <c r="W30" i="35"/>
  <c r="W47" i="35" s="1"/>
  <c r="U112" i="32"/>
  <c r="V53" i="34"/>
  <c r="U103" i="32"/>
  <c r="U104" i="32" s="1"/>
  <c r="V42" i="34"/>
  <c r="V53" i="35"/>
  <c r="U108" i="32"/>
  <c r="Z91" i="33"/>
  <c r="Z92" i="33"/>
  <c r="Z71" i="33" s="1"/>
  <c r="Z97" i="33" s="1"/>
  <c r="Y70" i="33"/>
  <c r="AG89" i="33"/>
  <c r="AG88" i="33"/>
  <c r="V42" i="32"/>
  <c r="AG88" i="34"/>
  <c r="AG89" i="34"/>
  <c r="V110" i="32"/>
  <c r="V108" i="32"/>
  <c r="V103" i="32"/>
  <c r="V104" i="32" s="1"/>
  <c r="V112" i="32"/>
  <c r="U112" i="33"/>
  <c r="U110" i="33"/>
  <c r="U108" i="33"/>
  <c r="U103" i="33"/>
  <c r="U104" i="33" s="1"/>
  <c r="AC92" i="32"/>
  <c r="AC91" i="32"/>
  <c r="AC70" i="32" s="1"/>
  <c r="AB70" i="32"/>
  <c r="V57" i="35"/>
  <c r="V48" i="35"/>
  <c r="V55" i="35"/>
  <c r="W45" i="32"/>
  <c r="W24" i="32"/>
  <c r="W95" i="32"/>
  <c r="AD88" i="32"/>
  <c r="AD89" i="32"/>
  <c r="V43" i="33"/>
  <c r="V57" i="33"/>
  <c r="V55" i="33"/>
  <c r="V48" i="33"/>
  <c r="AE85" i="32"/>
  <c r="AE86" i="32"/>
  <c r="W95" i="33"/>
  <c r="W24" i="33"/>
  <c r="W43" i="33" s="1"/>
  <c r="W45" i="33"/>
  <c r="W46" i="34"/>
  <c r="W94" i="34"/>
  <c r="U108" i="35"/>
  <c r="U103" i="35"/>
  <c r="U104" i="35" s="1"/>
  <c r="U112" i="35"/>
  <c r="U110" i="35"/>
  <c r="V101" i="35"/>
  <c r="V102" i="35" s="1"/>
  <c r="T108" i="33"/>
  <c r="T103" i="33"/>
  <c r="T104" i="33" s="1"/>
  <c r="T112" i="33"/>
  <c r="T110" i="33"/>
  <c r="W40" i="32"/>
  <c r="W94" i="32"/>
  <c r="W96" i="32" s="1"/>
  <c r="W98" i="32" s="1"/>
  <c r="W100" i="32" s="1"/>
  <c r="W101" i="32" s="1"/>
  <c r="W102" i="32" s="1"/>
  <c r="W46" i="32"/>
  <c r="W43" i="32"/>
  <c r="V48" i="34"/>
  <c r="V57" i="34"/>
  <c r="V55" i="34"/>
  <c r="AC71" i="32"/>
  <c r="AC97" i="32" s="1"/>
  <c r="X26" i="35"/>
  <c r="X28" i="35"/>
  <c r="X38" i="35"/>
  <c r="X34" i="35" s="1"/>
  <c r="V42" i="33"/>
  <c r="W95" i="34"/>
  <c r="W24" i="34"/>
  <c r="W43" i="34" s="1"/>
  <c r="W45" i="34"/>
  <c r="AC88" i="35"/>
  <c r="AC89" i="35"/>
  <c r="AC71" i="35" s="1"/>
  <c r="AC97" i="35" s="1"/>
  <c r="AB70" i="35"/>
  <c r="X26" i="34"/>
  <c r="X38" i="34"/>
  <c r="X34" i="34" s="1"/>
  <c r="X28" i="34"/>
  <c r="AH85" i="35"/>
  <c r="AH86" i="35"/>
  <c r="AD92" i="35"/>
  <c r="AD91" i="35"/>
  <c r="V108" i="34"/>
  <c r="V103" i="34"/>
  <c r="V104" i="34" s="1"/>
  <c r="V112" i="34"/>
  <c r="V110" i="34"/>
  <c r="AG83" i="33"/>
  <c r="AG82" i="33"/>
  <c r="W94" i="35"/>
  <c r="W46" i="35"/>
  <c r="V96" i="33"/>
  <c r="V98" i="33" s="1"/>
  <c r="V100" i="33" s="1"/>
  <c r="V101" i="33" s="1"/>
  <c r="V102" i="33" s="1"/>
  <c r="AG86" i="34"/>
  <c r="AG85" i="34"/>
  <c r="X26" i="33"/>
  <c r="X38" i="33"/>
  <c r="X34" i="33" s="1"/>
  <c r="X28" i="33"/>
  <c r="AA92" i="34"/>
  <c r="AA71" i="34" s="1"/>
  <c r="AA97" i="34" s="1"/>
  <c r="AA91" i="34"/>
  <c r="Z70" i="34"/>
  <c r="V57" i="32"/>
  <c r="V55" i="32"/>
  <c r="V48" i="32"/>
  <c r="AH86" i="33"/>
  <c r="AH85" i="33"/>
  <c r="X38" i="32"/>
  <c r="X34" i="32" s="1"/>
  <c r="X28" i="32"/>
  <c r="X26" i="32"/>
  <c r="W95" i="35"/>
  <c r="W45" i="35"/>
  <c r="W24" i="35"/>
  <c r="W46" i="33"/>
  <c r="W94" i="33"/>
  <c r="W40" i="33"/>
  <c r="W42" i="33" s="1"/>
  <c r="C54" i="33"/>
  <c r="H14" i="31"/>
  <c r="F80" i="31"/>
  <c r="E80" i="31"/>
  <c r="E47" i="31"/>
  <c r="E113" i="31"/>
  <c r="G14" i="31"/>
  <c r="E146" i="31"/>
  <c r="F47" i="31"/>
  <c r="F113" i="31"/>
  <c r="F120" i="31" s="1"/>
  <c r="F146" i="31"/>
  <c r="O87" i="2"/>
  <c r="O90" i="2"/>
  <c r="L78" i="2"/>
  <c r="K75" i="2"/>
  <c r="N84" i="2"/>
  <c r="M81" i="2"/>
  <c r="W53" i="35" l="1"/>
  <c r="C54" i="35"/>
  <c r="W53" i="32"/>
  <c r="W40" i="34"/>
  <c r="X30" i="34"/>
  <c r="X47" i="34" s="1"/>
  <c r="X30" i="32"/>
  <c r="X47" i="32" s="1"/>
  <c r="W40" i="35"/>
  <c r="X30" i="33"/>
  <c r="X47" i="33" s="1"/>
  <c r="X30" i="35"/>
  <c r="X47" i="35" s="1"/>
  <c r="Y32" i="32"/>
  <c r="Y31" i="32"/>
  <c r="Y32" i="35"/>
  <c r="Y31" i="35"/>
  <c r="Y32" i="33"/>
  <c r="Y31" i="33"/>
  <c r="Y32" i="34"/>
  <c r="Y31" i="34"/>
  <c r="W96" i="33"/>
  <c r="W98" i="33" s="1"/>
  <c r="W100" i="33" s="1"/>
  <c r="W101" i="33" s="1"/>
  <c r="W102" i="33" s="1"/>
  <c r="W110" i="33" s="1"/>
  <c r="W53" i="33"/>
  <c r="C54" i="32"/>
  <c r="AH88" i="33"/>
  <c r="AH89" i="33"/>
  <c r="AA92" i="33"/>
  <c r="AA71" i="33" s="1"/>
  <c r="AA97" i="33" s="1"/>
  <c r="AA91" i="33"/>
  <c r="Z70" i="33"/>
  <c r="W42" i="32"/>
  <c r="AH88" i="34"/>
  <c r="AH89" i="34"/>
  <c r="V103" i="35"/>
  <c r="V104" i="35" s="1"/>
  <c r="V112" i="35"/>
  <c r="V110" i="35"/>
  <c r="V108" i="35"/>
  <c r="W96" i="35"/>
  <c r="W98" i="35" s="1"/>
  <c r="W100" i="35" s="1"/>
  <c r="W101" i="35" s="1"/>
  <c r="W102" i="35" s="1"/>
  <c r="X45" i="34"/>
  <c r="X24" i="34"/>
  <c r="X43" i="34" s="1"/>
  <c r="X95" i="34"/>
  <c r="C54" i="34"/>
  <c r="W57" i="34"/>
  <c r="W48" i="34"/>
  <c r="W55" i="34"/>
  <c r="X94" i="32"/>
  <c r="X46" i="32"/>
  <c r="W57" i="33"/>
  <c r="W48" i="33"/>
  <c r="W55" i="33"/>
  <c r="Y26" i="33"/>
  <c r="Y38" i="33"/>
  <c r="Y34" i="33" s="1"/>
  <c r="Y28" i="33"/>
  <c r="AH86" i="34"/>
  <c r="AH85" i="34"/>
  <c r="W43" i="35"/>
  <c r="W42" i="35"/>
  <c r="X94" i="35"/>
  <c r="X46" i="35"/>
  <c r="W53" i="34"/>
  <c r="X45" i="32"/>
  <c r="X24" i="32"/>
  <c r="X43" i="32" s="1"/>
  <c r="X95" i="32"/>
  <c r="X46" i="33"/>
  <c r="X94" i="33"/>
  <c r="W57" i="35"/>
  <c r="W48" i="35"/>
  <c r="W55" i="35"/>
  <c r="AE92" i="35"/>
  <c r="AE91" i="35"/>
  <c r="Y38" i="34"/>
  <c r="Y34" i="34" s="1"/>
  <c r="Y26" i="34"/>
  <c r="Y28" i="34"/>
  <c r="Y26" i="35"/>
  <c r="Y28" i="35"/>
  <c r="Y38" i="35"/>
  <c r="Y34" i="35" s="1"/>
  <c r="W55" i="32"/>
  <c r="W48" i="32"/>
  <c r="W57" i="32"/>
  <c r="W96" i="34"/>
  <c r="W98" i="34" s="1"/>
  <c r="W100" i="34" s="1"/>
  <c r="AE89" i="32"/>
  <c r="AE88" i="32"/>
  <c r="AD92" i="32"/>
  <c r="AD71" i="32" s="1"/>
  <c r="AD97" i="32" s="1"/>
  <c r="AD91" i="32"/>
  <c r="Y38" i="32"/>
  <c r="Y34" i="32" s="1"/>
  <c r="Y26" i="32"/>
  <c r="Y28" i="32"/>
  <c r="AB92" i="34"/>
  <c r="AB71" i="34" s="1"/>
  <c r="AB97" i="34" s="1"/>
  <c r="AB91" i="34"/>
  <c r="AA70" i="34"/>
  <c r="X95" i="33"/>
  <c r="X24" i="33"/>
  <c r="X45" i="33"/>
  <c r="V103" i="33"/>
  <c r="V104" i="33" s="1"/>
  <c r="V108" i="33"/>
  <c r="V112" i="33"/>
  <c r="V110" i="33"/>
  <c r="AH83" i="33"/>
  <c r="AH82" i="33"/>
  <c r="X94" i="34"/>
  <c r="X40" i="34"/>
  <c r="X46" i="34"/>
  <c r="AD89" i="35"/>
  <c r="AD71" i="35" s="1"/>
  <c r="AD97" i="35" s="1"/>
  <c r="AD88" i="35"/>
  <c r="AC70" i="35"/>
  <c r="X45" i="35"/>
  <c r="X24" i="35"/>
  <c r="X43" i="35" s="1"/>
  <c r="X95" i="35"/>
  <c r="W103" i="32"/>
  <c r="W104" i="32" s="1"/>
  <c r="W110" i="32"/>
  <c r="W112" i="32"/>
  <c r="W108" i="32"/>
  <c r="W42" i="34"/>
  <c r="AF85" i="32"/>
  <c r="AF86" i="32"/>
  <c r="H47" i="31"/>
  <c r="H80" i="31"/>
  <c r="H146" i="31"/>
  <c r="E120" i="31"/>
  <c r="E129" i="31"/>
  <c r="F129" i="31"/>
  <c r="G113" i="31"/>
  <c r="G120" i="31" s="1"/>
  <c r="G47" i="31"/>
  <c r="H113" i="31"/>
  <c r="H120" i="31" s="1"/>
  <c r="M78" i="2"/>
  <c r="O84" i="2"/>
  <c r="P90" i="2"/>
  <c r="N81" i="2"/>
  <c r="L75" i="2"/>
  <c r="P87" i="2"/>
  <c r="X40" i="32" l="1"/>
  <c r="X53" i="34"/>
  <c r="X40" i="35"/>
  <c r="X53" i="33"/>
  <c r="X40" i="33"/>
  <c r="Y30" i="33"/>
  <c r="Y47" i="33" s="1"/>
  <c r="W112" i="33"/>
  <c r="W103" i="33"/>
  <c r="W104" i="33" s="1"/>
  <c r="W108" i="33"/>
  <c r="Z32" i="34"/>
  <c r="Z31" i="34"/>
  <c r="Y30" i="32"/>
  <c r="Y47" i="32" s="1"/>
  <c r="Z32" i="32"/>
  <c r="Z31" i="32"/>
  <c r="Z32" i="35"/>
  <c r="Z31" i="35"/>
  <c r="Z32" i="33"/>
  <c r="Z31" i="33"/>
  <c r="Y30" i="34"/>
  <c r="Y47" i="34" s="1"/>
  <c r="Y30" i="35"/>
  <c r="Y47" i="35" s="1"/>
  <c r="X96" i="34"/>
  <c r="X98" i="34" s="1"/>
  <c r="X100" i="34" s="1"/>
  <c r="X101" i="34" s="1"/>
  <c r="X102" i="34" s="1"/>
  <c r="X112" i="34" s="1"/>
  <c r="X42" i="34"/>
  <c r="AB91" i="33"/>
  <c r="AB92" i="33"/>
  <c r="AB71" i="33" s="1"/>
  <c r="AB97" i="33" s="1"/>
  <c r="AA70" i="33"/>
  <c r="Z26" i="32"/>
  <c r="Z38" i="32"/>
  <c r="Z34" i="32" s="1"/>
  <c r="Z28" i="32"/>
  <c r="Z26" i="35"/>
  <c r="Z28" i="35"/>
  <c r="Z38" i="35"/>
  <c r="Z34" i="35" s="1"/>
  <c r="Y94" i="34"/>
  <c r="Y46" i="34"/>
  <c r="X96" i="33"/>
  <c r="X98" i="33" s="1"/>
  <c r="X100" i="33" s="1"/>
  <c r="X101" i="33" s="1"/>
  <c r="X102" i="33" s="1"/>
  <c r="X42" i="35"/>
  <c r="X53" i="32"/>
  <c r="AG86" i="32"/>
  <c r="AG85" i="32"/>
  <c r="Y24" i="32"/>
  <c r="Y43" i="32" s="1"/>
  <c r="Y95" i="32"/>
  <c r="Y45" i="32"/>
  <c r="AF89" i="32"/>
  <c r="AF88" i="32"/>
  <c r="Y95" i="35"/>
  <c r="Y45" i="35"/>
  <c r="Y24" i="35"/>
  <c r="AF91" i="35"/>
  <c r="AF92" i="35"/>
  <c r="X42" i="33"/>
  <c r="X53" i="35"/>
  <c r="Z38" i="33"/>
  <c r="Z34" i="33" s="1"/>
  <c r="Z26" i="33"/>
  <c r="Z28" i="33"/>
  <c r="X96" i="32"/>
  <c r="X98" i="32" s="1"/>
  <c r="X100" i="32" s="1"/>
  <c r="X101" i="32" s="1"/>
  <c r="X102" i="32" s="1"/>
  <c r="Z38" i="34"/>
  <c r="Z34" i="34" s="1"/>
  <c r="Z26" i="34"/>
  <c r="Z28" i="34"/>
  <c r="X42" i="32"/>
  <c r="W110" i="35"/>
  <c r="W108" i="35"/>
  <c r="W103" i="35"/>
  <c r="W104" i="35" s="1"/>
  <c r="W112" i="35"/>
  <c r="AC92" i="34"/>
  <c r="AC71" i="34" s="1"/>
  <c r="AC97" i="34" s="1"/>
  <c r="AC91" i="34"/>
  <c r="AB70" i="34"/>
  <c r="Y46" i="32"/>
  <c r="Y94" i="32"/>
  <c r="X57" i="33"/>
  <c r="X55" i="33"/>
  <c r="X48" i="33"/>
  <c r="X57" i="35"/>
  <c r="X48" i="35"/>
  <c r="X55" i="35"/>
  <c r="Y46" i="33"/>
  <c r="Y94" i="33"/>
  <c r="AE88" i="35"/>
  <c r="AE89" i="35"/>
  <c r="AE71" i="35" s="1"/>
  <c r="AE97" i="35" s="1"/>
  <c r="AD70" i="35"/>
  <c r="X55" i="34"/>
  <c r="X48" i="34"/>
  <c r="X57" i="34"/>
  <c r="AE91" i="32"/>
  <c r="AE92" i="32"/>
  <c r="AE71" i="32" s="1"/>
  <c r="AE97" i="32" s="1"/>
  <c r="W101" i="34"/>
  <c r="W102" i="34" s="1"/>
  <c r="Y94" i="35"/>
  <c r="Y46" i="35"/>
  <c r="Y43" i="35"/>
  <c r="Y95" i="34"/>
  <c r="Y45" i="34"/>
  <c r="Y24" i="34"/>
  <c r="Y43" i="34" s="1"/>
  <c r="X43" i="33"/>
  <c r="X96" i="35"/>
  <c r="X98" i="35" s="1"/>
  <c r="X100" i="35" s="1"/>
  <c r="X101" i="35" s="1"/>
  <c r="X102" i="35" s="1"/>
  <c r="Y24" i="33"/>
  <c r="Y43" i="33" s="1"/>
  <c r="Y95" i="33"/>
  <c r="Y45" i="33"/>
  <c r="X48" i="32"/>
  <c r="X55" i="32"/>
  <c r="X57" i="32"/>
  <c r="AD70" i="32"/>
  <c r="I146" i="31"/>
  <c r="I80" i="31"/>
  <c r="G80" i="31"/>
  <c r="I14" i="31"/>
  <c r="I113" i="31"/>
  <c r="G129" i="31"/>
  <c r="J14" i="31"/>
  <c r="H129" i="31"/>
  <c r="G146" i="31"/>
  <c r="Q90" i="2"/>
  <c r="Q87" i="2"/>
  <c r="P84" i="2"/>
  <c r="M75" i="2"/>
  <c r="N78" i="2"/>
  <c r="O81" i="2"/>
  <c r="Y40" i="35" l="1"/>
  <c r="Z30" i="35"/>
  <c r="Z47" i="35" s="1"/>
  <c r="Y53" i="35"/>
  <c r="Y40" i="32"/>
  <c r="Y42" i="32" s="1"/>
  <c r="Z30" i="33"/>
  <c r="Z47" i="33" s="1"/>
  <c r="Z30" i="32"/>
  <c r="Z47" i="32" s="1"/>
  <c r="Y40" i="33"/>
  <c r="X108" i="34"/>
  <c r="AA32" i="34"/>
  <c r="AA31" i="34"/>
  <c r="X110" i="34"/>
  <c r="Y40" i="34"/>
  <c r="Y42" i="34" s="1"/>
  <c r="AA32" i="32"/>
  <c r="AA31" i="32"/>
  <c r="AA32" i="33"/>
  <c r="AA31" i="33"/>
  <c r="X103" i="34"/>
  <c r="X104" i="34" s="1"/>
  <c r="AA32" i="35"/>
  <c r="AA31" i="35"/>
  <c r="Z30" i="34"/>
  <c r="Z47" i="34" s="1"/>
  <c r="Y42" i="35"/>
  <c r="I120" i="31"/>
  <c r="Y53" i="33"/>
  <c r="Y96" i="35"/>
  <c r="Y98" i="35" s="1"/>
  <c r="Y100" i="35" s="1"/>
  <c r="Y101" i="35" s="1"/>
  <c r="Y102" i="35" s="1"/>
  <c r="Y112" i="35" s="1"/>
  <c r="Y96" i="34"/>
  <c r="Y98" i="34" s="1"/>
  <c r="Y100" i="34" s="1"/>
  <c r="Y101" i="34" s="1"/>
  <c r="Y102" i="34" s="1"/>
  <c r="Y108" i="34" s="1"/>
  <c r="Y96" i="32"/>
  <c r="Y98" i="32" s="1"/>
  <c r="Y100" i="32" s="1"/>
  <c r="Y101" i="32" s="1"/>
  <c r="Y102" i="32" s="1"/>
  <c r="Y108" i="32" s="1"/>
  <c r="AC92" i="33"/>
  <c r="AC71" i="33" s="1"/>
  <c r="AC97" i="33" s="1"/>
  <c r="AB70" i="33"/>
  <c r="AC91" i="33"/>
  <c r="Y53" i="34"/>
  <c r="Y42" i="33"/>
  <c r="W103" i="34"/>
  <c r="W104" i="34" s="1"/>
  <c r="W112" i="34"/>
  <c r="W110" i="34"/>
  <c r="W108" i="34"/>
  <c r="Y55" i="35"/>
  <c r="Y48" i="35"/>
  <c r="Y57" i="35"/>
  <c r="Z95" i="34"/>
  <c r="Z45" i="34"/>
  <c r="Z24" i="34"/>
  <c r="Z43" i="34" s="1"/>
  <c r="X108" i="35"/>
  <c r="X103" i="35"/>
  <c r="X104" i="35" s="1"/>
  <c r="X112" i="35"/>
  <c r="X110" i="35"/>
  <c r="AF92" i="32"/>
  <c r="AF91" i="32"/>
  <c r="AF70" i="32" s="1"/>
  <c r="AE70" i="32"/>
  <c r="Y96" i="33"/>
  <c r="Y98" i="33" s="1"/>
  <c r="Y100" i="33" s="1"/>
  <c r="Y101" i="33" s="1"/>
  <c r="Y102" i="33" s="1"/>
  <c r="Y53" i="32"/>
  <c r="AD91" i="34"/>
  <c r="AD92" i="34"/>
  <c r="AD71" i="34" s="1"/>
  <c r="AD97" i="34" s="1"/>
  <c r="AC70" i="34"/>
  <c r="Z94" i="34"/>
  <c r="Z46" i="34"/>
  <c r="Z95" i="33"/>
  <c r="Z24" i="33"/>
  <c r="Z45" i="33"/>
  <c r="X108" i="33"/>
  <c r="X103" i="33"/>
  <c r="X104" i="33" s="1"/>
  <c r="X112" i="33"/>
  <c r="X110" i="33"/>
  <c r="AA38" i="32"/>
  <c r="AA34" i="32" s="1"/>
  <c r="AA28" i="32"/>
  <c r="AA26" i="32"/>
  <c r="AG92" i="35"/>
  <c r="AG91" i="35"/>
  <c r="Z40" i="35"/>
  <c r="Z94" i="35"/>
  <c r="Z46" i="35"/>
  <c r="Z94" i="32"/>
  <c r="Z46" i="32"/>
  <c r="Z40" i="32"/>
  <c r="Z46" i="33"/>
  <c r="Z94" i="33"/>
  <c r="Z96" i="33" s="1"/>
  <c r="Z98" i="33" s="1"/>
  <c r="Z100" i="33" s="1"/>
  <c r="Z101" i="33" s="1"/>
  <c r="Z102" i="33" s="1"/>
  <c r="AG89" i="32"/>
  <c r="AG88" i="32"/>
  <c r="AF89" i="35"/>
  <c r="AF71" i="35" s="1"/>
  <c r="AF97" i="35" s="1"/>
  <c r="AF88" i="35"/>
  <c r="AE70" i="35"/>
  <c r="Y55" i="33"/>
  <c r="Y48" i="33"/>
  <c r="Y57" i="33"/>
  <c r="Y55" i="32"/>
  <c r="Y48" i="32"/>
  <c r="Y57" i="32"/>
  <c r="AA38" i="34"/>
  <c r="AA34" i="34" s="1"/>
  <c r="AA26" i="34"/>
  <c r="AA28" i="34"/>
  <c r="X112" i="32"/>
  <c r="X108" i="32"/>
  <c r="X110" i="32"/>
  <c r="X103" i="32"/>
  <c r="X104" i="32" s="1"/>
  <c r="AF71" i="32"/>
  <c r="AF97" i="32" s="1"/>
  <c r="Y48" i="34"/>
  <c r="Y55" i="34"/>
  <c r="Y57" i="34"/>
  <c r="AA38" i="35"/>
  <c r="AA34" i="35" s="1"/>
  <c r="AA28" i="35"/>
  <c r="AA26" i="35"/>
  <c r="Z95" i="32"/>
  <c r="Z45" i="32"/>
  <c r="Z24" i="32"/>
  <c r="Z43" i="32" s="1"/>
  <c r="AA26" i="33"/>
  <c r="AA38" i="33"/>
  <c r="AA34" i="33" s="1"/>
  <c r="AA28" i="33"/>
  <c r="AH86" i="32"/>
  <c r="AH85" i="32"/>
  <c r="Y110" i="34"/>
  <c r="Y103" i="34"/>
  <c r="Y104" i="34" s="1"/>
  <c r="Z45" i="35"/>
  <c r="Z24" i="35"/>
  <c r="Z43" i="35" s="1"/>
  <c r="Z95" i="35"/>
  <c r="K14" i="31"/>
  <c r="I129" i="31"/>
  <c r="J47" i="31"/>
  <c r="J113" i="31"/>
  <c r="J129" i="31" s="1"/>
  <c r="J146" i="31"/>
  <c r="I47" i="31"/>
  <c r="O78" i="2"/>
  <c r="R87" i="2"/>
  <c r="R90" i="2"/>
  <c r="Q84" i="2"/>
  <c r="N75" i="2"/>
  <c r="P81" i="2"/>
  <c r="Z40" i="33" l="1"/>
  <c r="Z53" i="33"/>
  <c r="AA30" i="33"/>
  <c r="AA47" i="33" s="1"/>
  <c r="Z40" i="34"/>
  <c r="AA30" i="32"/>
  <c r="AA47" i="32" s="1"/>
  <c r="AB32" i="35"/>
  <c r="AB31" i="35"/>
  <c r="AB32" i="32"/>
  <c r="AB31" i="32"/>
  <c r="AB32" i="33"/>
  <c r="AB31" i="33"/>
  <c r="AA30" i="35"/>
  <c r="AA47" i="35" s="1"/>
  <c r="AB32" i="34"/>
  <c r="AB31" i="34"/>
  <c r="AA30" i="34"/>
  <c r="AA47" i="34" s="1"/>
  <c r="Y110" i="32"/>
  <c r="Y103" i="32"/>
  <c r="Y104" i="32" s="1"/>
  <c r="Y103" i="35"/>
  <c r="Y104" i="35" s="1"/>
  <c r="Y112" i="34"/>
  <c r="Y108" i="35"/>
  <c r="Y110" i="35"/>
  <c r="Y112" i="32"/>
  <c r="Z42" i="33"/>
  <c r="Z42" i="34"/>
  <c r="Z43" i="33"/>
  <c r="AC70" i="33"/>
  <c r="AD92" i="33"/>
  <c r="AD71" i="33" s="1"/>
  <c r="AD97" i="33" s="1"/>
  <c r="AD91" i="33"/>
  <c r="Z53" i="32"/>
  <c r="Z53" i="35"/>
  <c r="Z96" i="34"/>
  <c r="Z98" i="34" s="1"/>
  <c r="Z100" i="34" s="1"/>
  <c r="Z101" i="34" s="1"/>
  <c r="Z102" i="34" s="1"/>
  <c r="Z103" i="34" s="1"/>
  <c r="Z104" i="34" s="1"/>
  <c r="AA40" i="35"/>
  <c r="AA94" i="35"/>
  <c r="AA46" i="35"/>
  <c r="AA94" i="34"/>
  <c r="AA46" i="34"/>
  <c r="AG88" i="35"/>
  <c r="AG89" i="35"/>
  <c r="AG71" i="35" s="1"/>
  <c r="AG97" i="35" s="1"/>
  <c r="AF70" i="35"/>
  <c r="AH92" i="35"/>
  <c r="AH91" i="35"/>
  <c r="AA40" i="32"/>
  <c r="AA94" i="32"/>
  <c r="AA46" i="32"/>
  <c r="Z57" i="34"/>
  <c r="Z55" i="34"/>
  <c r="Z48" i="34"/>
  <c r="AE91" i="34"/>
  <c r="AE92" i="34"/>
  <c r="AE71" i="34" s="1"/>
  <c r="AE97" i="34" s="1"/>
  <c r="AD70" i="34"/>
  <c r="AA40" i="33"/>
  <c r="AA94" i="33"/>
  <c r="AA46" i="33"/>
  <c r="Z108" i="33"/>
  <c r="Z103" i="33"/>
  <c r="Z104" i="33" s="1"/>
  <c r="Z112" i="33"/>
  <c r="Z110" i="33"/>
  <c r="Z42" i="32"/>
  <c r="Z48" i="35"/>
  <c r="Z55" i="35"/>
  <c r="Z57" i="35"/>
  <c r="Z53" i="34"/>
  <c r="AA95" i="35"/>
  <c r="AA45" i="35"/>
  <c r="AA24" i="35"/>
  <c r="AH89" i="32"/>
  <c r="AH88" i="32"/>
  <c r="Z96" i="35"/>
  <c r="Z98" i="35" s="1"/>
  <c r="Z100" i="35" s="1"/>
  <c r="Z101" i="35" s="1"/>
  <c r="Z102" i="35" s="1"/>
  <c r="Y112" i="33"/>
  <c r="Y103" i="33"/>
  <c r="Y104" i="33" s="1"/>
  <c r="Y110" i="33"/>
  <c r="Y108" i="33"/>
  <c r="AB26" i="33"/>
  <c r="AB38" i="33"/>
  <c r="AB34" i="33" s="1"/>
  <c r="AB28" i="33"/>
  <c r="AA24" i="33"/>
  <c r="AA43" i="33" s="1"/>
  <c r="AA45" i="33"/>
  <c r="AA95" i="33"/>
  <c r="AB28" i="34"/>
  <c r="AB26" i="34"/>
  <c r="AB38" i="34"/>
  <c r="AB34" i="34" s="1"/>
  <c r="Z55" i="32"/>
  <c r="Z48" i="32"/>
  <c r="Z57" i="32"/>
  <c r="AA95" i="32"/>
  <c r="AA45" i="32"/>
  <c r="AA24" i="32"/>
  <c r="AA43" i="32" s="1"/>
  <c r="AB38" i="35"/>
  <c r="AB34" i="35" s="1"/>
  <c r="AB28" i="35"/>
  <c r="AB26" i="35"/>
  <c r="AA45" i="34"/>
  <c r="AA24" i="34"/>
  <c r="AA43" i="34" s="1"/>
  <c r="AA95" i="34"/>
  <c r="Z57" i="33"/>
  <c r="Z48" i="33"/>
  <c r="Z55" i="33"/>
  <c r="Z96" i="32"/>
  <c r="Z98" i="32" s="1"/>
  <c r="Z100" i="32" s="1"/>
  <c r="Z101" i="32" s="1"/>
  <c r="Z102" i="32" s="1"/>
  <c r="Z42" i="35"/>
  <c r="AB38" i="32"/>
  <c r="AB34" i="32" s="1"/>
  <c r="AB26" i="32"/>
  <c r="AB28" i="32"/>
  <c r="AG92" i="32"/>
  <c r="AG71" i="32" s="1"/>
  <c r="AG97" i="32" s="1"/>
  <c r="AG91" i="32"/>
  <c r="J80" i="31"/>
  <c r="K47" i="31"/>
  <c r="K146" i="31"/>
  <c r="J120" i="31"/>
  <c r="K80" i="31"/>
  <c r="S90" i="2"/>
  <c r="O75" i="2"/>
  <c r="S87" i="2"/>
  <c r="R84" i="2"/>
  <c r="P78" i="2"/>
  <c r="Q81" i="2"/>
  <c r="AA53" i="35" l="1"/>
  <c r="AB30" i="33"/>
  <c r="AB47" i="33" s="1"/>
  <c r="AB30" i="35"/>
  <c r="AB47" i="35" s="1"/>
  <c r="AA40" i="34"/>
  <c r="AB30" i="34"/>
  <c r="AB47" i="34" s="1"/>
  <c r="Z108" i="34"/>
  <c r="Z112" i="34"/>
  <c r="Z110" i="34"/>
  <c r="AC32" i="34"/>
  <c r="AC31" i="34"/>
  <c r="AC32" i="33"/>
  <c r="AC30" i="33" s="1"/>
  <c r="AC47" i="33" s="1"/>
  <c r="AC31" i="33"/>
  <c r="AB30" i="32"/>
  <c r="AB47" i="32" s="1"/>
  <c r="AC32" i="32"/>
  <c r="AC31" i="32"/>
  <c r="AC32" i="35"/>
  <c r="AC30" i="35" s="1"/>
  <c r="AC47" i="35" s="1"/>
  <c r="AC31" i="35"/>
  <c r="AD70" i="33"/>
  <c r="AE92" i="33"/>
  <c r="AE71" i="33" s="1"/>
  <c r="AE97" i="33" s="1"/>
  <c r="AE91" i="33"/>
  <c r="AC26" i="32"/>
  <c r="AC28" i="32"/>
  <c r="AC38" i="32"/>
  <c r="AC34" i="32" s="1"/>
  <c r="AB94" i="33"/>
  <c r="AB40" i="33"/>
  <c r="AB46" i="33"/>
  <c r="AA96" i="33"/>
  <c r="AA98" i="33" s="1"/>
  <c r="AA100" i="33" s="1"/>
  <c r="AA101" i="33" s="1"/>
  <c r="AA102" i="33" s="1"/>
  <c r="AF91" i="34"/>
  <c r="AF92" i="34"/>
  <c r="AF71" i="34" s="1"/>
  <c r="AF97" i="34" s="1"/>
  <c r="AE70" i="34"/>
  <c r="AA53" i="32"/>
  <c r="AH89" i="35"/>
  <c r="AH71" i="35" s="1"/>
  <c r="AH97" i="35" s="1"/>
  <c r="AH88" i="35"/>
  <c r="AH70" i="35" s="1"/>
  <c r="AG70" i="35"/>
  <c r="AA53" i="34"/>
  <c r="AA96" i="35"/>
  <c r="AA98" i="35" s="1"/>
  <c r="AA100" i="35" s="1"/>
  <c r="AA101" i="35" s="1"/>
  <c r="AA102" i="35" s="1"/>
  <c r="Z103" i="32"/>
  <c r="Z104" i="32" s="1"/>
  <c r="Z110" i="32"/>
  <c r="Z108" i="32"/>
  <c r="Z112" i="32"/>
  <c r="AB24" i="35"/>
  <c r="AB43" i="35" s="1"/>
  <c r="AB95" i="35"/>
  <c r="AB45" i="35"/>
  <c r="AB45" i="32"/>
  <c r="AB24" i="32"/>
  <c r="AB53" i="32" s="1"/>
  <c r="AB95" i="32"/>
  <c r="AC26" i="35"/>
  <c r="AC28" i="35"/>
  <c r="AC38" i="35"/>
  <c r="AC34" i="35" s="1"/>
  <c r="AB94" i="34"/>
  <c r="AB46" i="34"/>
  <c r="AB40" i="34"/>
  <c r="AB95" i="33"/>
  <c r="AB45" i="33"/>
  <c r="AB24" i="33"/>
  <c r="AB53" i="33" s="1"/>
  <c r="AA42" i="33"/>
  <c r="AA57" i="32"/>
  <c r="AA48" i="32"/>
  <c r="AA55" i="32"/>
  <c r="AA42" i="34"/>
  <c r="AA43" i="35"/>
  <c r="AA42" i="35"/>
  <c r="AB40" i="32"/>
  <c r="AB94" i="32"/>
  <c r="AB96" i="32" s="1"/>
  <c r="AB98" i="32" s="1"/>
  <c r="AB100" i="32" s="1"/>
  <c r="AB101" i="32" s="1"/>
  <c r="AB102" i="32" s="1"/>
  <c r="AB46" i="32"/>
  <c r="AB46" i="35"/>
  <c r="AB40" i="35"/>
  <c r="AB94" i="35"/>
  <c r="AB96" i="35" s="1"/>
  <c r="AB98" i="35" s="1"/>
  <c r="AB100" i="35" s="1"/>
  <c r="AB101" i="35" s="1"/>
  <c r="AB102" i="35" s="1"/>
  <c r="AB95" i="34"/>
  <c r="AB45" i="34"/>
  <c r="AB24" i="34"/>
  <c r="AB53" i="34" s="1"/>
  <c r="Z110" i="35"/>
  <c r="Z103" i="35"/>
  <c r="Z104" i="35" s="1"/>
  <c r="Z112" i="35"/>
  <c r="Z108" i="35"/>
  <c r="AA53" i="33"/>
  <c r="AA96" i="32"/>
  <c r="AA98" i="32" s="1"/>
  <c r="AA100" i="32" s="1"/>
  <c r="AA101" i="32" s="1"/>
  <c r="AA102" i="32" s="1"/>
  <c r="AA48" i="34"/>
  <c r="AA57" i="34"/>
  <c r="AA55" i="34"/>
  <c r="AA55" i="35"/>
  <c r="AA57" i="35"/>
  <c r="AA48" i="35"/>
  <c r="AH92" i="32"/>
  <c r="AH71" i="32" s="1"/>
  <c r="AH97" i="32" s="1"/>
  <c r="AH91" i="32"/>
  <c r="AH70" i="32" s="1"/>
  <c r="AC38" i="34"/>
  <c r="AC34" i="34" s="1"/>
  <c r="AC28" i="34"/>
  <c r="AC26" i="34"/>
  <c r="AC38" i="33"/>
  <c r="AC34" i="33" s="1"/>
  <c r="AC26" i="33"/>
  <c r="AC28" i="33"/>
  <c r="AA55" i="33"/>
  <c r="AA57" i="33"/>
  <c r="AA48" i="33"/>
  <c r="AA42" i="32"/>
  <c r="AA96" i="34"/>
  <c r="AA98" i="34" s="1"/>
  <c r="AA100" i="34" s="1"/>
  <c r="AA101" i="34" s="1"/>
  <c r="AA102" i="34" s="1"/>
  <c r="AG70" i="32"/>
  <c r="L14" i="31"/>
  <c r="L80" i="31"/>
  <c r="L113" i="31"/>
  <c r="L120" i="31" s="1"/>
  <c r="M14" i="31"/>
  <c r="K113" i="31"/>
  <c r="L146" i="31"/>
  <c r="R81" i="2"/>
  <c r="T87" i="2"/>
  <c r="Q78" i="2"/>
  <c r="S84" i="2"/>
  <c r="P75" i="2"/>
  <c r="T90" i="2"/>
  <c r="AD32" i="35" l="1"/>
  <c r="AD31" i="35"/>
  <c r="AD32" i="34"/>
  <c r="AD30" i="34" s="1"/>
  <c r="AD47" i="34" s="1"/>
  <c r="AD31" i="34"/>
  <c r="AD32" i="33"/>
  <c r="AD31" i="33"/>
  <c r="AD32" i="32"/>
  <c r="AD30" i="32" s="1"/>
  <c r="AD47" i="32" s="1"/>
  <c r="AD31" i="32"/>
  <c r="AC30" i="32"/>
  <c r="AC47" i="32" s="1"/>
  <c r="AC30" i="34"/>
  <c r="AC47" i="34" s="1"/>
  <c r="AB42" i="35"/>
  <c r="AB53" i="35"/>
  <c r="AB42" i="34"/>
  <c r="AE70" i="33"/>
  <c r="AF92" i="33"/>
  <c r="AF71" i="33" s="1"/>
  <c r="AF97" i="33" s="1"/>
  <c r="AF91" i="33"/>
  <c r="AB42" i="32"/>
  <c r="AB43" i="32"/>
  <c r="AB96" i="34"/>
  <c r="AB98" i="34" s="1"/>
  <c r="AB100" i="34" s="1"/>
  <c r="AB101" i="34" s="1"/>
  <c r="AB102" i="34" s="1"/>
  <c r="AB110" i="34" s="1"/>
  <c r="AD38" i="33"/>
  <c r="AD34" i="33" s="1"/>
  <c r="AD26" i="33"/>
  <c r="AD28" i="33"/>
  <c r="AD38" i="34"/>
  <c r="AD34" i="34" s="1"/>
  <c r="AD26" i="34"/>
  <c r="AD28" i="34"/>
  <c r="AA110" i="33"/>
  <c r="AA108" i="33"/>
  <c r="AA103" i="33"/>
  <c r="AA104" i="33" s="1"/>
  <c r="AA112" i="33"/>
  <c r="AB42" i="33"/>
  <c r="AC95" i="32"/>
  <c r="AC45" i="32"/>
  <c r="AC24" i="32"/>
  <c r="AC43" i="32" s="1"/>
  <c r="AC95" i="33"/>
  <c r="AC24" i="33"/>
  <c r="AC53" i="33" s="1"/>
  <c r="AC45" i="33"/>
  <c r="AC94" i="34"/>
  <c r="AC40" i="34"/>
  <c r="AC46" i="34"/>
  <c r="AA103" i="32"/>
  <c r="AA104" i="32" s="1"/>
  <c r="AA110" i="32"/>
  <c r="AA112" i="32"/>
  <c r="AA108" i="32"/>
  <c r="AB55" i="35"/>
  <c r="AB48" i="35"/>
  <c r="AB57" i="35"/>
  <c r="AB43" i="34"/>
  <c r="AC94" i="35"/>
  <c r="AC46" i="35"/>
  <c r="AC40" i="35"/>
  <c r="AB96" i="33"/>
  <c r="AB98" i="33" s="1"/>
  <c r="AB100" i="33" s="1"/>
  <c r="AB101" i="33" s="1"/>
  <c r="AB102" i="33" s="1"/>
  <c r="AA103" i="34"/>
  <c r="AA104" i="34" s="1"/>
  <c r="AA112" i="34"/>
  <c r="AA110" i="34"/>
  <c r="AA108" i="34"/>
  <c r="AC40" i="33"/>
  <c r="AC94" i="33"/>
  <c r="AC46" i="33"/>
  <c r="AC43" i="33"/>
  <c r="AB103" i="35"/>
  <c r="AB104" i="35" s="1"/>
  <c r="AB108" i="35"/>
  <c r="AB112" i="35"/>
  <c r="AB110" i="35"/>
  <c r="AD26" i="35"/>
  <c r="AD28" i="35"/>
  <c r="AD38" i="35"/>
  <c r="AD34" i="35" s="1"/>
  <c r="AA110" i="35"/>
  <c r="AA108" i="35"/>
  <c r="AA103" i="35"/>
  <c r="AA104" i="35" s="1"/>
  <c r="AA112" i="35"/>
  <c r="AB43" i="33"/>
  <c r="AC40" i="32"/>
  <c r="AC53" i="32"/>
  <c r="AC46" i="32"/>
  <c r="AC94" i="32"/>
  <c r="AC96" i="32" s="1"/>
  <c r="AC98" i="32" s="1"/>
  <c r="AC100" i="32" s="1"/>
  <c r="AC101" i="32" s="1"/>
  <c r="AC102" i="32" s="1"/>
  <c r="AC45" i="34"/>
  <c r="AC24" i="34"/>
  <c r="AC43" i="34" s="1"/>
  <c r="AC95" i="34"/>
  <c r="AB48" i="32"/>
  <c r="AB55" i="32"/>
  <c r="AB57" i="32"/>
  <c r="AB57" i="34"/>
  <c r="AB55" i="34"/>
  <c r="AB48" i="34"/>
  <c r="AC24" i="35"/>
  <c r="AC43" i="35" s="1"/>
  <c r="AC95" i="35"/>
  <c r="AC45" i="35"/>
  <c r="AG91" i="34"/>
  <c r="AG92" i="34"/>
  <c r="AG71" i="34" s="1"/>
  <c r="AG97" i="34" s="1"/>
  <c r="AF70" i="34"/>
  <c r="AB57" i="33"/>
  <c r="AB55" i="33"/>
  <c r="AB48" i="33"/>
  <c r="AD26" i="32"/>
  <c r="AD28" i="32"/>
  <c r="AD38" i="32"/>
  <c r="AD34" i="32" s="1"/>
  <c r="AB110" i="32"/>
  <c r="AB112" i="32"/>
  <c r="AB103" i="32"/>
  <c r="AB104" i="32" s="1"/>
  <c r="AB108" i="32"/>
  <c r="M146" i="31"/>
  <c r="K120" i="31"/>
  <c r="K129" i="31"/>
  <c r="M18" i="30" s="1"/>
  <c r="L129" i="31"/>
  <c r="M47" i="31"/>
  <c r="L47" i="31"/>
  <c r="N14" i="31"/>
  <c r="M113" i="31"/>
  <c r="M120" i="31" s="1"/>
  <c r="U90" i="2"/>
  <c r="R78" i="2"/>
  <c r="Q75" i="2"/>
  <c r="U87" i="2"/>
  <c r="T84" i="2"/>
  <c r="S81" i="2"/>
  <c r="AE32" i="32" l="1"/>
  <c r="AE31" i="32"/>
  <c r="AE32" i="33"/>
  <c r="AE31" i="33"/>
  <c r="G6" i="30"/>
  <c r="AE32" i="35"/>
  <c r="AE31" i="35"/>
  <c r="AE32" i="34"/>
  <c r="AE30" i="34" s="1"/>
  <c r="AE47" i="34" s="1"/>
  <c r="AE31" i="34"/>
  <c r="AD30" i="33"/>
  <c r="AD47" i="33" s="1"/>
  <c r="AD30" i="35"/>
  <c r="AD47" i="35" s="1"/>
  <c r="AB108" i="34"/>
  <c r="AB103" i="34"/>
  <c r="AB104" i="34" s="1"/>
  <c r="AB112" i="34"/>
  <c r="AF70" i="33"/>
  <c r="AG92" i="33"/>
  <c r="AG71" i="33" s="1"/>
  <c r="AG97" i="33" s="1"/>
  <c r="AG91" i="33"/>
  <c r="AC96" i="33"/>
  <c r="AC98" i="33" s="1"/>
  <c r="AC100" i="33" s="1"/>
  <c r="AC101" i="33" s="1"/>
  <c r="AC102" i="33" s="1"/>
  <c r="AC103" i="33" s="1"/>
  <c r="AC104" i="33" s="1"/>
  <c r="AC96" i="34"/>
  <c r="AC98" i="34" s="1"/>
  <c r="AC100" i="34" s="1"/>
  <c r="AC101" i="34" s="1"/>
  <c r="AC102" i="34" s="1"/>
  <c r="AC112" i="34" s="1"/>
  <c r="AC96" i="35"/>
  <c r="AC98" i="35" s="1"/>
  <c r="AC100" i="35" s="1"/>
  <c r="AC101" i="35" s="1"/>
  <c r="AC102" i="35" s="1"/>
  <c r="AC110" i="35" s="1"/>
  <c r="AE26" i="32"/>
  <c r="AE38" i="32"/>
  <c r="AE34" i="32" s="1"/>
  <c r="AE28" i="32"/>
  <c r="AC108" i="32"/>
  <c r="AC110" i="32"/>
  <c r="AC112" i="32"/>
  <c r="AC103" i="32"/>
  <c r="AC104" i="32" s="1"/>
  <c r="AD24" i="32"/>
  <c r="AD53" i="32" s="1"/>
  <c r="AD95" i="32"/>
  <c r="AD45" i="32"/>
  <c r="AC55" i="32"/>
  <c r="AC48" i="32"/>
  <c r="AC57" i="32"/>
  <c r="AD40" i="35"/>
  <c r="AD94" i="35"/>
  <c r="AD46" i="35"/>
  <c r="AC48" i="33"/>
  <c r="AC57" i="33"/>
  <c r="AC55" i="33"/>
  <c r="AC53" i="35"/>
  <c r="AC48" i="34"/>
  <c r="AC55" i="34"/>
  <c r="AC57" i="34"/>
  <c r="AD94" i="34"/>
  <c r="AD46" i="34"/>
  <c r="AD40" i="34"/>
  <c r="AC110" i="33"/>
  <c r="AC42" i="34"/>
  <c r="AE38" i="33"/>
  <c r="AE34" i="33" s="1"/>
  <c r="AE26" i="33"/>
  <c r="AE28" i="33"/>
  <c r="AE26" i="35"/>
  <c r="AE38" i="35"/>
  <c r="AE34" i="35" s="1"/>
  <c r="AE28" i="35"/>
  <c r="AC42" i="35"/>
  <c r="AD40" i="32"/>
  <c r="AD94" i="32"/>
  <c r="AD46" i="32"/>
  <c r="AH92" i="34"/>
  <c r="AH71" i="34" s="1"/>
  <c r="AH97" i="34" s="1"/>
  <c r="AH91" i="34"/>
  <c r="AH70" i="34" s="1"/>
  <c r="AG70" i="34"/>
  <c r="AC42" i="32"/>
  <c r="AD24" i="35"/>
  <c r="AD43" i="35" s="1"/>
  <c r="AD95" i="35"/>
  <c r="AD45" i="35"/>
  <c r="AC42" i="33"/>
  <c r="AC57" i="35"/>
  <c r="AC55" i="35"/>
  <c r="AC48" i="35"/>
  <c r="AC53" i="34"/>
  <c r="AE26" i="34"/>
  <c r="AE38" i="34"/>
  <c r="AE34" i="34" s="1"/>
  <c r="AE28" i="34"/>
  <c r="AD45" i="33"/>
  <c r="AD24" i="33"/>
  <c r="AD43" i="33" s="1"/>
  <c r="AD95" i="33"/>
  <c r="AB108" i="33"/>
  <c r="AB103" i="33"/>
  <c r="AB104" i="33" s="1"/>
  <c r="AB112" i="33"/>
  <c r="AB110" i="33"/>
  <c r="AD95" i="34"/>
  <c r="AD24" i="34"/>
  <c r="AD43" i="34" s="1"/>
  <c r="AD45" i="34"/>
  <c r="AD46" i="33"/>
  <c r="AD40" i="33"/>
  <c r="AD94" i="33"/>
  <c r="M129" i="31"/>
  <c r="N80" i="31"/>
  <c r="N113" i="31"/>
  <c r="N129" i="31" s="1"/>
  <c r="M80" i="31"/>
  <c r="O14" i="31"/>
  <c r="N47" i="31"/>
  <c r="N146" i="31"/>
  <c r="T81" i="2"/>
  <c r="R75" i="2"/>
  <c r="U84" i="2"/>
  <c r="S78" i="2"/>
  <c r="V90" i="2"/>
  <c r="V87" i="2"/>
  <c r="AC112" i="35" l="1"/>
  <c r="AF32" i="35"/>
  <c r="AF31" i="35"/>
  <c r="AF32" i="32"/>
  <c r="AF31" i="32"/>
  <c r="AE30" i="33"/>
  <c r="AE47" i="33" s="1"/>
  <c r="AF32" i="34"/>
  <c r="AF31" i="34"/>
  <c r="AE30" i="35"/>
  <c r="AE47" i="35" s="1"/>
  <c r="AF32" i="33"/>
  <c r="AF31" i="33"/>
  <c r="AE30" i="32"/>
  <c r="AE47" i="32" s="1"/>
  <c r="AC110" i="34"/>
  <c r="AC103" i="34"/>
  <c r="AC104" i="34" s="1"/>
  <c r="AD96" i="34"/>
  <c r="AD98" i="34" s="1"/>
  <c r="AD100" i="34" s="1"/>
  <c r="AD101" i="34" s="1"/>
  <c r="AD102" i="34" s="1"/>
  <c r="AC108" i="34"/>
  <c r="AD42" i="32"/>
  <c r="AC112" i="33"/>
  <c r="AC103" i="35"/>
  <c r="AC104" i="35" s="1"/>
  <c r="AG70" i="33"/>
  <c r="AH91" i="33"/>
  <c r="AH70" i="33" s="1"/>
  <c r="AD43" i="32"/>
  <c r="AC108" i="33"/>
  <c r="AH92" i="33"/>
  <c r="AH71" i="33" s="1"/>
  <c r="AH97" i="33" s="1"/>
  <c r="AD53" i="33"/>
  <c r="AD42" i="33"/>
  <c r="AD53" i="35"/>
  <c r="AC108" i="35"/>
  <c r="AD57" i="33"/>
  <c r="AD55" i="33"/>
  <c r="AD48" i="33"/>
  <c r="AF28" i="34"/>
  <c r="AF38" i="34"/>
  <c r="AF34" i="34" s="1"/>
  <c r="AF26" i="34"/>
  <c r="AD55" i="32"/>
  <c r="AD48" i="32"/>
  <c r="AD57" i="32"/>
  <c r="AF26" i="33"/>
  <c r="AF38" i="33"/>
  <c r="AF34" i="33" s="1"/>
  <c r="AF28" i="33"/>
  <c r="AD53" i="34"/>
  <c r="AD96" i="35"/>
  <c r="AD98" i="35" s="1"/>
  <c r="AD100" i="35" s="1"/>
  <c r="AD101" i="35" s="1"/>
  <c r="AD102" i="35" s="1"/>
  <c r="AF26" i="35"/>
  <c r="AF28" i="35"/>
  <c r="AF38" i="35"/>
  <c r="AF34" i="35" s="1"/>
  <c r="AF26" i="32"/>
  <c r="AF38" i="32"/>
  <c r="AF34" i="32" s="1"/>
  <c r="AF28" i="32"/>
  <c r="AE40" i="34"/>
  <c r="AE46" i="34"/>
  <c r="AE94" i="34"/>
  <c r="AE24" i="33"/>
  <c r="AE43" i="33" s="1"/>
  <c r="AE95" i="33"/>
  <c r="AE45" i="33"/>
  <c r="AD42" i="34"/>
  <c r="AD96" i="33"/>
  <c r="AD98" i="33" s="1"/>
  <c r="AD100" i="33" s="1"/>
  <c r="AD101" i="33" s="1"/>
  <c r="AD102" i="33" s="1"/>
  <c r="AE95" i="34"/>
  <c r="AE24" i="34"/>
  <c r="AE53" i="34" s="1"/>
  <c r="AE45" i="34"/>
  <c r="AD96" i="32"/>
  <c r="AD98" i="32" s="1"/>
  <c r="AD100" i="32" s="1"/>
  <c r="AD101" i="32" s="1"/>
  <c r="AD102" i="32" s="1"/>
  <c r="AE46" i="35"/>
  <c r="AE94" i="35"/>
  <c r="AE94" i="33"/>
  <c r="AE46" i="33"/>
  <c r="AE40" i="33"/>
  <c r="AD48" i="34"/>
  <c r="AD57" i="34"/>
  <c r="AD55" i="34"/>
  <c r="AD42" i="35"/>
  <c r="AE94" i="32"/>
  <c r="AE46" i="32"/>
  <c r="AE40" i="32"/>
  <c r="AE24" i="35"/>
  <c r="AE43" i="35" s="1"/>
  <c r="AE45" i="35"/>
  <c r="AE95" i="35"/>
  <c r="AD110" i="34"/>
  <c r="AD108" i="34"/>
  <c r="AD103" i="34"/>
  <c r="AD104" i="34" s="1"/>
  <c r="AD112" i="34"/>
  <c r="AD48" i="35"/>
  <c r="AD57" i="35"/>
  <c r="AD55" i="35"/>
  <c r="AE45" i="32"/>
  <c r="AE95" i="32"/>
  <c r="AE24" i="32"/>
  <c r="O113" i="31"/>
  <c r="O80" i="31"/>
  <c r="O47" i="31"/>
  <c r="N120" i="31"/>
  <c r="O146" i="31"/>
  <c r="P14" i="31"/>
  <c r="W87" i="2"/>
  <c r="V84" i="2"/>
  <c r="U81" i="2"/>
  <c r="S75" i="2"/>
  <c r="T78" i="2"/>
  <c r="W90" i="2"/>
  <c r="AG32" i="32" l="1"/>
  <c r="AG30" i="32" s="1"/>
  <c r="AG47" i="32" s="1"/>
  <c r="AG31" i="32"/>
  <c r="AF30" i="32"/>
  <c r="AF47" i="32" s="1"/>
  <c r="AG32" i="35"/>
  <c r="AG30" i="35" s="1"/>
  <c r="AG47" i="35" s="1"/>
  <c r="AG31" i="35"/>
  <c r="AF30" i="34"/>
  <c r="AF47" i="34" s="1"/>
  <c r="AG32" i="33"/>
  <c r="AG31" i="33"/>
  <c r="AG32" i="34"/>
  <c r="AG30" i="34" s="1"/>
  <c r="AG47" i="34" s="1"/>
  <c r="AG31" i="34"/>
  <c r="AE53" i="32"/>
  <c r="AE40" i="35"/>
  <c r="AE42" i="35" s="1"/>
  <c r="AF30" i="33"/>
  <c r="AF47" i="33" s="1"/>
  <c r="AF30" i="35"/>
  <c r="AF47" i="35" s="1"/>
  <c r="AE96" i="33"/>
  <c r="AE98" i="33" s="1"/>
  <c r="AE100" i="33" s="1"/>
  <c r="AE101" i="33" s="1"/>
  <c r="AE102" i="33" s="1"/>
  <c r="AE112" i="33" s="1"/>
  <c r="AE53" i="33"/>
  <c r="AE43" i="32"/>
  <c r="AE96" i="34"/>
  <c r="AE98" i="34" s="1"/>
  <c r="AE100" i="34" s="1"/>
  <c r="AE101" i="34" s="1"/>
  <c r="AE102" i="34" s="1"/>
  <c r="AE108" i="34" s="1"/>
  <c r="AE53" i="35"/>
  <c r="AD108" i="32"/>
  <c r="AD112" i="32"/>
  <c r="AD103" i="32"/>
  <c r="AD104" i="32" s="1"/>
  <c r="AD110" i="32"/>
  <c r="AD110" i="33"/>
  <c r="AD103" i="33"/>
  <c r="AD104" i="33" s="1"/>
  <c r="AD108" i="33"/>
  <c r="AD112" i="33"/>
  <c r="AE42" i="34"/>
  <c r="AF94" i="34"/>
  <c r="AF40" i="34"/>
  <c r="AF46" i="34"/>
  <c r="AE42" i="32"/>
  <c r="AE42" i="33"/>
  <c r="AE96" i="35"/>
  <c r="AE98" i="35" s="1"/>
  <c r="AE100" i="35" s="1"/>
  <c r="AE101" i="35" s="1"/>
  <c r="AE102" i="35" s="1"/>
  <c r="AE43" i="34"/>
  <c r="AG38" i="32"/>
  <c r="AG34" i="32" s="1"/>
  <c r="AG28" i="32"/>
  <c r="AG26" i="32"/>
  <c r="AG26" i="35"/>
  <c r="AG28" i="35"/>
  <c r="AG38" i="35"/>
  <c r="AG34" i="35" s="1"/>
  <c r="AG26" i="33"/>
  <c r="AG38" i="33"/>
  <c r="AG34" i="33" s="1"/>
  <c r="AG28" i="33"/>
  <c r="AG28" i="34"/>
  <c r="AG26" i="34"/>
  <c r="AG38" i="34"/>
  <c r="AG34" i="34" s="1"/>
  <c r="AF94" i="32"/>
  <c r="AF40" i="32"/>
  <c r="AF46" i="32"/>
  <c r="AF94" i="33"/>
  <c r="AF40" i="33"/>
  <c r="AF46" i="33"/>
  <c r="AE57" i="32"/>
  <c r="AE48" i="32"/>
  <c r="AE55" i="32"/>
  <c r="AE48" i="33"/>
  <c r="AE57" i="33"/>
  <c r="AE55" i="33"/>
  <c r="AF24" i="35"/>
  <c r="AF43" i="35" s="1"/>
  <c r="AF95" i="35"/>
  <c r="AF45" i="35"/>
  <c r="AE96" i="32"/>
  <c r="AE98" i="32" s="1"/>
  <c r="AE100" i="32" s="1"/>
  <c r="AE101" i="32" s="1"/>
  <c r="AE102" i="32" s="1"/>
  <c r="AE103" i="33"/>
  <c r="AE104" i="33" s="1"/>
  <c r="AE57" i="35"/>
  <c r="AE55" i="35"/>
  <c r="AE48" i="35"/>
  <c r="AE55" i="34"/>
  <c r="AE57" i="34"/>
  <c r="AE48" i="34"/>
  <c r="AF45" i="32"/>
  <c r="AF24" i="32"/>
  <c r="AF43" i="32" s="1"/>
  <c r="AF95" i="32"/>
  <c r="AD103" i="35"/>
  <c r="AD104" i="35" s="1"/>
  <c r="AD112" i="35"/>
  <c r="AD110" i="35"/>
  <c r="AD108" i="35"/>
  <c r="AF45" i="33"/>
  <c r="AF24" i="33"/>
  <c r="AF53" i="33" s="1"/>
  <c r="AF95" i="33"/>
  <c r="AF24" i="34"/>
  <c r="AF43" i="34" s="1"/>
  <c r="AF95" i="34"/>
  <c r="AF45" i="34"/>
  <c r="AF40" i="35"/>
  <c r="AF42" i="35" s="1"/>
  <c r="AF94" i="35"/>
  <c r="AF46" i="35"/>
  <c r="AF53" i="35"/>
  <c r="Q14" i="31"/>
  <c r="P47" i="31"/>
  <c r="P80" i="31"/>
  <c r="P146" i="31"/>
  <c r="P113" i="31"/>
  <c r="O120" i="31"/>
  <c r="O129" i="31"/>
  <c r="T75" i="2"/>
  <c r="X90" i="2"/>
  <c r="V81" i="2"/>
  <c r="X87" i="2"/>
  <c r="W84" i="2"/>
  <c r="U78" i="2"/>
  <c r="AE108" i="33" l="1"/>
  <c r="AE110" i="33"/>
  <c r="AG30" i="33"/>
  <c r="AG47" i="33" s="1"/>
  <c r="AH32" i="34"/>
  <c r="AH31" i="34"/>
  <c r="AH32" i="32"/>
  <c r="AH30" i="32" s="1"/>
  <c r="AH47" i="32" s="1"/>
  <c r="AH31" i="32"/>
  <c r="AH32" i="33"/>
  <c r="AH31" i="33"/>
  <c r="AH32" i="35"/>
  <c r="AH30" i="35" s="1"/>
  <c r="AH47" i="35" s="1"/>
  <c r="AH31" i="35"/>
  <c r="AE110" i="34"/>
  <c r="AF96" i="35"/>
  <c r="AF98" i="35" s="1"/>
  <c r="AF100" i="35" s="1"/>
  <c r="AF101" i="35" s="1"/>
  <c r="AF102" i="35" s="1"/>
  <c r="AF108" i="35" s="1"/>
  <c r="AE112" i="34"/>
  <c r="AE103" i="34"/>
  <c r="AE104" i="34" s="1"/>
  <c r="AE108" i="32"/>
  <c r="AE110" i="32"/>
  <c r="AE103" i="32"/>
  <c r="AE104" i="32" s="1"/>
  <c r="AE112" i="32"/>
  <c r="AF42" i="33"/>
  <c r="AF42" i="32"/>
  <c r="AG24" i="34"/>
  <c r="AG43" i="34" s="1"/>
  <c r="AG95" i="34"/>
  <c r="AG45" i="34"/>
  <c r="AG24" i="33"/>
  <c r="AG43" i="33" s="1"/>
  <c r="AG95" i="33"/>
  <c r="AG45" i="33"/>
  <c r="AG45" i="32"/>
  <c r="AG95" i="32"/>
  <c r="AG24" i="32"/>
  <c r="AG43" i="32" s="1"/>
  <c r="AE110" i="35"/>
  <c r="AE108" i="35"/>
  <c r="AE103" i="35"/>
  <c r="AE104" i="35" s="1"/>
  <c r="AE112" i="35"/>
  <c r="AF42" i="34"/>
  <c r="AF96" i="33"/>
  <c r="AF98" i="33" s="1"/>
  <c r="AF100" i="33" s="1"/>
  <c r="AF101" i="33" s="1"/>
  <c r="AF102" i="33" s="1"/>
  <c r="AF53" i="32"/>
  <c r="AH28" i="34"/>
  <c r="AH38" i="34"/>
  <c r="AH34" i="34" s="1"/>
  <c r="AH26" i="34"/>
  <c r="AG40" i="35"/>
  <c r="AG94" i="35"/>
  <c r="AG46" i="35"/>
  <c r="AH26" i="32"/>
  <c r="AH28" i="32"/>
  <c r="AH38" i="32"/>
  <c r="AH34" i="32" s="1"/>
  <c r="AF96" i="34"/>
  <c r="AF98" i="34" s="1"/>
  <c r="AF100" i="34" s="1"/>
  <c r="AF101" i="34" s="1"/>
  <c r="AF102" i="34" s="1"/>
  <c r="AF55" i="35"/>
  <c r="AF48" i="35"/>
  <c r="AF57" i="35"/>
  <c r="AF43" i="33"/>
  <c r="AF96" i="32"/>
  <c r="AF98" i="32" s="1"/>
  <c r="AF100" i="32" s="1"/>
  <c r="AF101" i="32" s="1"/>
  <c r="AF102" i="32" s="1"/>
  <c r="AH38" i="33"/>
  <c r="AH34" i="33" s="1"/>
  <c r="AH26" i="33"/>
  <c r="AH28" i="33"/>
  <c r="AH38" i="35"/>
  <c r="AH34" i="35" s="1"/>
  <c r="AH28" i="35"/>
  <c r="AH26" i="35"/>
  <c r="AG46" i="32"/>
  <c r="AG40" i="32"/>
  <c r="AG94" i="32"/>
  <c r="AG96" i="32" s="1"/>
  <c r="AG98" i="32" s="1"/>
  <c r="AG100" i="32" s="1"/>
  <c r="AG101" i="32" s="1"/>
  <c r="AG102" i="32" s="1"/>
  <c r="AF53" i="34"/>
  <c r="AF55" i="33"/>
  <c r="AF48" i="33"/>
  <c r="AF57" i="33"/>
  <c r="AF48" i="32"/>
  <c r="AF55" i="32"/>
  <c r="AF57" i="32"/>
  <c r="AG46" i="34"/>
  <c r="AG40" i="34"/>
  <c r="AG42" i="34" s="1"/>
  <c r="AG94" i="34"/>
  <c r="AG40" i="33"/>
  <c r="AG94" i="33"/>
  <c r="AG46" i="33"/>
  <c r="AG95" i="35"/>
  <c r="AG45" i="35"/>
  <c r="AG24" i="35"/>
  <c r="AG43" i="35" s="1"/>
  <c r="AF57" i="34"/>
  <c r="AF48" i="34"/>
  <c r="AF55" i="34"/>
  <c r="Q47" i="31"/>
  <c r="P120" i="31"/>
  <c r="P129" i="31"/>
  <c r="Q113" i="31"/>
  <c r="R14" i="31"/>
  <c r="Q80" i="31"/>
  <c r="Q146" i="31"/>
  <c r="U75" i="2"/>
  <c r="Y87" i="2"/>
  <c r="W81" i="2"/>
  <c r="Y90" i="2"/>
  <c r="V78" i="2"/>
  <c r="X84" i="2"/>
  <c r="AF110" i="35" l="1"/>
  <c r="AF112" i="35"/>
  <c r="AG42" i="33"/>
  <c r="AF103" i="35"/>
  <c r="AF104" i="35" s="1"/>
  <c r="AH30" i="33"/>
  <c r="AH47" i="33" s="1"/>
  <c r="AH30" i="34"/>
  <c r="AH47" i="34" s="1"/>
  <c r="AG96" i="33"/>
  <c r="AG98" i="33" s="1"/>
  <c r="AG100" i="33" s="1"/>
  <c r="AG101" i="33" s="1"/>
  <c r="AG102" i="33" s="1"/>
  <c r="AG110" i="33" s="1"/>
  <c r="AG53" i="33"/>
  <c r="AG53" i="35"/>
  <c r="AG53" i="34"/>
  <c r="AG96" i="34"/>
  <c r="AG98" i="34" s="1"/>
  <c r="AG100" i="34" s="1"/>
  <c r="AG101" i="34" s="1"/>
  <c r="AG102" i="34" s="1"/>
  <c r="AG110" i="34" s="1"/>
  <c r="AG108" i="33"/>
  <c r="AG57" i="32"/>
  <c r="AG55" i="32"/>
  <c r="AG48" i="32"/>
  <c r="AF110" i="34"/>
  <c r="AF112" i="34"/>
  <c r="AF108" i="34"/>
  <c r="AF103" i="34"/>
  <c r="AF104" i="34" s="1"/>
  <c r="AG55" i="35"/>
  <c r="AG48" i="35"/>
  <c r="AG57" i="35"/>
  <c r="AH95" i="34"/>
  <c r="AH45" i="34"/>
  <c r="AH24" i="34"/>
  <c r="AG48" i="34"/>
  <c r="AG55" i="34"/>
  <c r="AG57" i="34"/>
  <c r="AG53" i="32"/>
  <c r="AH24" i="35"/>
  <c r="AH53" i="35" s="1"/>
  <c r="AH95" i="35"/>
  <c r="AH45" i="35"/>
  <c r="AH45" i="33"/>
  <c r="AH24" i="33"/>
  <c r="AH53" i="33" s="1"/>
  <c r="AH95" i="33"/>
  <c r="AH40" i="32"/>
  <c r="AH94" i="32"/>
  <c r="AH46" i="32"/>
  <c r="AG96" i="35"/>
  <c r="AG98" i="35" s="1"/>
  <c r="AG100" i="35" s="1"/>
  <c r="AG101" i="35" s="1"/>
  <c r="AG102" i="35" s="1"/>
  <c r="AH94" i="34"/>
  <c r="AH46" i="34"/>
  <c r="AG103" i="32"/>
  <c r="AG104" i="32" s="1"/>
  <c r="AG112" i="32"/>
  <c r="AG110" i="32"/>
  <c r="AG108" i="32"/>
  <c r="AH40" i="33"/>
  <c r="AH42" i="33" s="1"/>
  <c r="AH94" i="33"/>
  <c r="AH46" i="33"/>
  <c r="AH43" i="33"/>
  <c r="AG57" i="33"/>
  <c r="AG55" i="33"/>
  <c r="AG48" i="33"/>
  <c r="AG42" i="32"/>
  <c r="AH43" i="35"/>
  <c r="AH94" i="35"/>
  <c r="AH40" i="35"/>
  <c r="AH42" i="35" s="1"/>
  <c r="AH46" i="35"/>
  <c r="AF103" i="32"/>
  <c r="AF104" i="32" s="1"/>
  <c r="AF108" i="32"/>
  <c r="AF112" i="32"/>
  <c r="AF110" i="32"/>
  <c r="AH24" i="32"/>
  <c r="AH53" i="32" s="1"/>
  <c r="AH95" i="32"/>
  <c r="AH45" i="32"/>
  <c r="AG42" i="35"/>
  <c r="AF103" i="33"/>
  <c r="AF104" i="33" s="1"/>
  <c r="AF112" i="33"/>
  <c r="AF110" i="33"/>
  <c r="AF108" i="33"/>
  <c r="S14" i="31"/>
  <c r="R146" i="31"/>
  <c r="R113" i="31"/>
  <c r="R47" i="31"/>
  <c r="R80" i="31"/>
  <c r="Q120" i="31"/>
  <c r="Q129" i="31"/>
  <c r="Y84" i="2"/>
  <c r="X81" i="2"/>
  <c r="W78" i="2"/>
  <c r="Z87" i="2"/>
  <c r="Z90" i="2"/>
  <c r="V75" i="2"/>
  <c r="AG112" i="33" l="1"/>
  <c r="AG103" i="33"/>
  <c r="AG104" i="33" s="1"/>
  <c r="AH96" i="35"/>
  <c r="AH98" i="35" s="1"/>
  <c r="AH100" i="35" s="1"/>
  <c r="AH101" i="35" s="1"/>
  <c r="AH102" i="35" s="1"/>
  <c r="AH103" i="35" s="1"/>
  <c r="AH104" i="35" s="1"/>
  <c r="AH53" i="34"/>
  <c r="AH40" i="34"/>
  <c r="AG112" i="34"/>
  <c r="AH96" i="34"/>
  <c r="AH98" i="34" s="1"/>
  <c r="AH100" i="34" s="1"/>
  <c r="AH101" i="34" s="1"/>
  <c r="AH102" i="34" s="1"/>
  <c r="AH110" i="34" s="1"/>
  <c r="AG103" i="34"/>
  <c r="AG104" i="34" s="1"/>
  <c r="AH42" i="34"/>
  <c r="C60" i="34" s="1"/>
  <c r="AG108" i="34"/>
  <c r="AH43" i="34"/>
  <c r="C51" i="34" s="1"/>
  <c r="I6" i="30" s="1"/>
  <c r="AH96" i="33"/>
  <c r="AH98" i="33" s="1"/>
  <c r="AH100" i="33" s="1"/>
  <c r="AH101" i="33" s="1"/>
  <c r="AH102" i="33" s="1"/>
  <c r="AH55" i="32"/>
  <c r="AH48" i="32"/>
  <c r="AH57" i="32"/>
  <c r="C58" i="32"/>
  <c r="C56" i="32"/>
  <c r="AH43" i="32"/>
  <c r="AH57" i="35"/>
  <c r="AH48" i="35"/>
  <c r="AH55" i="35"/>
  <c r="C56" i="35"/>
  <c r="C58" i="35"/>
  <c r="C62" i="35"/>
  <c r="C51" i="35"/>
  <c r="C50" i="33"/>
  <c r="C60" i="33"/>
  <c r="AH108" i="34"/>
  <c r="C60" i="35"/>
  <c r="C50" i="35"/>
  <c r="C62" i="33"/>
  <c r="C51" i="33"/>
  <c r="AH57" i="34"/>
  <c r="AH48" i="34"/>
  <c r="AH55" i="34"/>
  <c r="C58" i="34"/>
  <c r="M6" i="30" s="1"/>
  <c r="C56" i="34"/>
  <c r="C50" i="34"/>
  <c r="AH96" i="32"/>
  <c r="AH98" i="32" s="1"/>
  <c r="AH100" i="32" s="1"/>
  <c r="AH101" i="32" s="1"/>
  <c r="AH102" i="32" s="1"/>
  <c r="AH108" i="35"/>
  <c r="AH110" i="35"/>
  <c r="AH57" i="33"/>
  <c r="AH55" i="33"/>
  <c r="AH48" i="33"/>
  <c r="C58" i="33"/>
  <c r="C56" i="33"/>
  <c r="C62" i="34"/>
  <c r="K6" i="30" s="1"/>
  <c r="AG108" i="35"/>
  <c r="AG103" i="35"/>
  <c r="AG104" i="35" s="1"/>
  <c r="AG112" i="35"/>
  <c r="AG110" i="35"/>
  <c r="AH42" i="32"/>
  <c r="S80" i="31"/>
  <c r="T14" i="31"/>
  <c r="S47" i="31"/>
  <c r="S113" i="31"/>
  <c r="R120" i="31"/>
  <c r="R129" i="31"/>
  <c r="S146" i="31"/>
  <c r="E7" i="30"/>
  <c r="E5" i="30"/>
  <c r="E4" i="30"/>
  <c r="AA90" i="2"/>
  <c r="AA87" i="2"/>
  <c r="W75" i="2"/>
  <c r="Y81" i="2"/>
  <c r="Z84" i="2"/>
  <c r="X78" i="2"/>
  <c r="AH112" i="35" l="1"/>
  <c r="AH112" i="34"/>
  <c r="AH103" i="34"/>
  <c r="AH104" i="34" s="1"/>
  <c r="AH112" i="33"/>
  <c r="AH110" i="33"/>
  <c r="AH108" i="33"/>
  <c r="AH103" i="33"/>
  <c r="AH104" i="33" s="1"/>
  <c r="AH112" i="32"/>
  <c r="AH110" i="32"/>
  <c r="AH108" i="32"/>
  <c r="AH103" i="32"/>
  <c r="AH104" i="32" s="1"/>
  <c r="C51" i="32"/>
  <c r="C62" i="32"/>
  <c r="C60" i="32"/>
  <c r="C50" i="32"/>
  <c r="T113" i="31"/>
  <c r="S120" i="31"/>
  <c r="S129" i="31"/>
  <c r="U14" i="31"/>
  <c r="T47" i="31"/>
  <c r="T80" i="31"/>
  <c r="T146" i="31"/>
  <c r="E6" i="30"/>
  <c r="Y78" i="2"/>
  <c r="AA84" i="2"/>
  <c r="X75" i="2"/>
  <c r="Z81" i="2"/>
  <c r="U47" i="31" l="1"/>
  <c r="U80" i="31"/>
  <c r="U113" i="31"/>
  <c r="U146" i="31"/>
  <c r="V14" i="31"/>
  <c r="T120" i="31"/>
  <c r="T129" i="31"/>
  <c r="AA81" i="2"/>
  <c r="Z78" i="2"/>
  <c r="Y75" i="2"/>
  <c r="V47" i="31" l="1"/>
  <c r="V113" i="31"/>
  <c r="V80" i="31"/>
  <c r="V146" i="31"/>
  <c r="U120" i="31"/>
  <c r="U129" i="31"/>
  <c r="Z75" i="2"/>
  <c r="AA78" i="2"/>
  <c r="V120" i="31" l="1"/>
  <c r="V129" i="31"/>
  <c r="W14" i="31"/>
  <c r="AC14" i="31"/>
  <c r="E15" i="30" s="1"/>
  <c r="AA75" i="2"/>
  <c r="W146" i="31" l="1"/>
  <c r="AC146" i="31"/>
  <c r="E19" i="30" s="1"/>
  <c r="W113" i="31"/>
  <c r="AC113" i="31"/>
  <c r="W47" i="31"/>
  <c r="E16" i="30"/>
  <c r="W80" i="31"/>
  <c r="AC80" i="31"/>
  <c r="E17" i="30" s="1"/>
  <c r="Z129" i="31" l="1"/>
  <c r="Y129" i="31"/>
  <c r="AB129" i="31"/>
  <c r="AA129" i="31"/>
  <c r="X129" i="31"/>
  <c r="B125" i="31"/>
  <c r="I18" i="30" s="1"/>
  <c r="AC120" i="31"/>
  <c r="E18" i="30"/>
  <c r="W120" i="31"/>
  <c r="W129" i="31"/>
  <c r="F77" i="2"/>
  <c r="E77" i="2"/>
  <c r="D77" i="2"/>
  <c r="D71" i="2" s="1"/>
  <c r="D97" i="2" s="1"/>
  <c r="F76" i="2"/>
  <c r="B127" i="31" l="1"/>
  <c r="G18" i="30" s="1"/>
  <c r="B123" i="31"/>
  <c r="K18" i="30" s="1"/>
  <c r="J6" i="30"/>
  <c r="F6" i="30"/>
  <c r="H6" i="30"/>
  <c r="L6" i="30"/>
  <c r="G76" i="2"/>
  <c r="G77" i="2"/>
  <c r="H76" i="2" l="1"/>
  <c r="H77" i="2"/>
  <c r="I76" i="2" l="1"/>
  <c r="I77" i="2"/>
  <c r="J77" i="2" l="1"/>
  <c r="J76" i="2"/>
  <c r="K76" i="2" l="1"/>
  <c r="L77" i="2" s="1"/>
  <c r="K77" i="2"/>
  <c r="D24" i="2" l="1"/>
  <c r="D27" i="2"/>
  <c r="D95" i="2"/>
  <c r="L76" i="2"/>
  <c r="D30" i="2" l="1"/>
  <c r="M77" i="2"/>
  <c r="M76" i="2"/>
  <c r="N77" i="2" l="1"/>
  <c r="N76" i="2"/>
  <c r="O76" i="2" s="1"/>
  <c r="D47" i="2"/>
  <c r="D45" i="2"/>
  <c r="C96" i="2"/>
  <c r="C98" i="2" s="1"/>
  <c r="C100" i="2" s="1"/>
  <c r="C101" i="2" s="1"/>
  <c r="C102" i="2" s="1"/>
  <c r="C112" i="2" l="1"/>
  <c r="C110" i="2"/>
  <c r="C108" i="2"/>
  <c r="C103" i="2"/>
  <c r="C104" i="2" s="1"/>
  <c r="D72" i="2"/>
  <c r="O77" i="2"/>
  <c r="P77" i="2"/>
  <c r="P76" i="2"/>
  <c r="Q76" i="2" s="1"/>
  <c r="Q77" i="2" l="1"/>
  <c r="R76" i="2"/>
  <c r="R77" i="2"/>
  <c r="S77" i="2" l="1"/>
  <c r="S76" i="2"/>
  <c r="T77" i="2" l="1"/>
  <c r="T76" i="2"/>
  <c r="U76" i="2" l="1"/>
  <c r="U77" i="2"/>
  <c r="V77" i="2" l="1"/>
  <c r="V76" i="2"/>
  <c r="W76" i="2" l="1"/>
  <c r="W77" i="2"/>
  <c r="X76" i="2" l="1"/>
  <c r="X77" i="2"/>
  <c r="Y76" i="2" l="1"/>
  <c r="Y77" i="2"/>
  <c r="Z76" i="2" l="1"/>
  <c r="AA76" i="2" s="1"/>
  <c r="Z77" i="2"/>
  <c r="AB77" i="2" l="1"/>
  <c r="AB76" i="2"/>
  <c r="AA77" i="2"/>
  <c r="F70" i="2" l="1"/>
  <c r="D28" i="2"/>
  <c r="E31" i="2" s="1"/>
  <c r="E26" i="2" l="1"/>
  <c r="E32" i="2"/>
  <c r="E38" i="2"/>
  <c r="E34" i="2" s="1"/>
  <c r="E25" i="2"/>
  <c r="F80" i="2"/>
  <c r="G79" i="2"/>
  <c r="G80" i="2"/>
  <c r="E80" i="2"/>
  <c r="E71" i="2" s="1"/>
  <c r="E97" i="2" s="1"/>
  <c r="E24" i="2" l="1"/>
  <c r="E27" i="2"/>
  <c r="E28" i="2" s="1"/>
  <c r="F31" i="2" s="1"/>
  <c r="E30" i="2"/>
  <c r="E95" i="2"/>
  <c r="G70" i="2"/>
  <c r="H80" i="2"/>
  <c r="H79" i="2"/>
  <c r="I80" i="2" s="1"/>
  <c r="F26" i="2" l="1"/>
  <c r="F25" i="2" s="1"/>
  <c r="F32" i="2"/>
  <c r="F38" i="2"/>
  <c r="F34" i="2" s="1"/>
  <c r="E72" i="2"/>
  <c r="E45" i="2"/>
  <c r="E47" i="2"/>
  <c r="I79" i="2"/>
  <c r="F27" i="2" l="1"/>
  <c r="F28" i="2" s="1"/>
  <c r="G31" i="2" s="1"/>
  <c r="F24" i="2"/>
  <c r="J80" i="2"/>
  <c r="F83" i="2"/>
  <c r="F71" i="2" s="1"/>
  <c r="F97" i="2" s="1"/>
  <c r="H83" i="2"/>
  <c r="H82" i="2"/>
  <c r="G83" i="2"/>
  <c r="J79" i="2"/>
  <c r="K80" i="2" s="1"/>
  <c r="G26" i="2" l="1"/>
  <c r="G25" i="2" s="1"/>
  <c r="G32" i="2"/>
  <c r="G38" i="2"/>
  <c r="G34" i="2" s="1"/>
  <c r="F95" i="2"/>
  <c r="F30" i="2"/>
  <c r="H70" i="2"/>
  <c r="K79" i="2"/>
  <c r="L80" i="2" s="1"/>
  <c r="F45" i="2"/>
  <c r="F72" i="2"/>
  <c r="I83" i="2"/>
  <c r="I82" i="2"/>
  <c r="J82" i="2" s="1"/>
  <c r="G24" i="2" l="1"/>
  <c r="G27" i="2"/>
  <c r="G28" i="2" s="1"/>
  <c r="H31" i="2" s="1"/>
  <c r="F47" i="2"/>
  <c r="L79" i="2"/>
  <c r="M79" i="2" s="1"/>
  <c r="J83" i="2"/>
  <c r="K82" i="2"/>
  <c r="L82" i="2" s="1"/>
  <c r="M82" i="2" s="1"/>
  <c r="K83" i="2"/>
  <c r="H26" i="2" l="1"/>
  <c r="H32" i="2"/>
  <c r="H38" i="2"/>
  <c r="H34" i="2" s="1"/>
  <c r="H25" i="2"/>
  <c r="M80" i="2"/>
  <c r="M83" i="2"/>
  <c r="L83" i="2"/>
  <c r="N83" i="2"/>
  <c r="N79" i="2"/>
  <c r="N80" i="2"/>
  <c r="N82" i="2"/>
  <c r="H24" i="2" l="1"/>
  <c r="H27" i="2"/>
  <c r="H28" i="2" s="1"/>
  <c r="I31" i="2" s="1"/>
  <c r="O79" i="2"/>
  <c r="O80" i="2"/>
  <c r="O83" i="2"/>
  <c r="O82" i="2"/>
  <c r="I26" i="2" l="1"/>
  <c r="I24" i="2" s="1"/>
  <c r="I32" i="2"/>
  <c r="I38" i="2"/>
  <c r="I34" i="2" s="1"/>
  <c r="P82" i="2"/>
  <c r="Q83" i="2" s="1"/>
  <c r="P83" i="2"/>
  <c r="P80" i="2"/>
  <c r="P79" i="2"/>
  <c r="I27" i="2" l="1"/>
  <c r="I28" i="2" s="1"/>
  <c r="J31" i="2" s="1"/>
  <c r="Q82" i="2"/>
  <c r="R82" i="2" s="1"/>
  <c r="S82" i="2" s="1"/>
  <c r="Q80" i="2"/>
  <c r="Q79" i="2"/>
  <c r="J26" i="2" l="1"/>
  <c r="J24" i="2" s="1"/>
  <c r="J32" i="2"/>
  <c r="J38" i="2"/>
  <c r="J34" i="2" s="1"/>
  <c r="S83" i="2"/>
  <c r="R83" i="2"/>
  <c r="T82" i="2"/>
  <c r="T83" i="2"/>
  <c r="R80" i="2"/>
  <c r="R79" i="2"/>
  <c r="J27" i="2" l="1"/>
  <c r="J28" i="2" s="1"/>
  <c r="K31" i="2" s="1"/>
  <c r="J72" i="2"/>
  <c r="U83" i="2"/>
  <c r="U82" i="2"/>
  <c r="S79" i="2"/>
  <c r="S80" i="2"/>
  <c r="K26" i="2" l="1"/>
  <c r="K24" i="2" s="1"/>
  <c r="K32" i="2"/>
  <c r="K38" i="2"/>
  <c r="K34" i="2" s="1"/>
  <c r="T80" i="2"/>
  <c r="T79" i="2"/>
  <c r="V83" i="2"/>
  <c r="V82" i="2"/>
  <c r="K27" i="2" l="1"/>
  <c r="K28" i="2" s="1"/>
  <c r="L31" i="2" s="1"/>
  <c r="K72" i="2"/>
  <c r="W83" i="2"/>
  <c r="W82" i="2"/>
  <c r="U80" i="2"/>
  <c r="U79" i="2"/>
  <c r="L26" i="2" l="1"/>
  <c r="L24" i="2" s="1"/>
  <c r="L32" i="2"/>
  <c r="L38" i="2"/>
  <c r="L34" i="2" s="1"/>
  <c r="X82" i="2"/>
  <c r="X83" i="2"/>
  <c r="V80" i="2"/>
  <c r="V79" i="2"/>
  <c r="L27" i="2" l="1"/>
  <c r="L28" i="2" s="1"/>
  <c r="M31" i="2" s="1"/>
  <c r="L72" i="2"/>
  <c r="W79" i="2"/>
  <c r="W80" i="2"/>
  <c r="Y83" i="2"/>
  <c r="Y82" i="2"/>
  <c r="M26" i="2" l="1"/>
  <c r="M24" i="2" s="1"/>
  <c r="M32" i="2"/>
  <c r="M38" i="2"/>
  <c r="M34" i="2" s="1"/>
  <c r="X80" i="2"/>
  <c r="X79" i="2"/>
  <c r="Z83" i="2"/>
  <c r="Z82" i="2"/>
  <c r="AA82" i="2" s="1"/>
  <c r="AB83" i="2" l="1"/>
  <c r="AB82" i="2"/>
  <c r="M27" i="2"/>
  <c r="M28" i="2" s="1"/>
  <c r="N31" i="2" s="1"/>
  <c r="M72" i="2"/>
  <c r="AA83" i="2"/>
  <c r="Y79" i="2"/>
  <c r="Y80" i="2"/>
  <c r="N26" i="2" l="1"/>
  <c r="N24" i="2" s="1"/>
  <c r="N32" i="2"/>
  <c r="N38" i="2"/>
  <c r="N34" i="2" s="1"/>
  <c r="Z80" i="2"/>
  <c r="Z79" i="2"/>
  <c r="AA79" i="2" s="1"/>
  <c r="AB80" i="2" l="1"/>
  <c r="AB79" i="2"/>
  <c r="N27" i="2"/>
  <c r="N28" i="2" s="1"/>
  <c r="O31" i="2" s="1"/>
  <c r="N72" i="2"/>
  <c r="AA80" i="2"/>
  <c r="O26" i="2" l="1"/>
  <c r="O24" i="2" s="1"/>
  <c r="O32" i="2"/>
  <c r="O38" i="2"/>
  <c r="O34" i="2" s="1"/>
  <c r="O27" i="2" l="1"/>
  <c r="O28" i="2" s="1"/>
  <c r="P31" i="2" s="1"/>
  <c r="O72" i="2"/>
  <c r="G95" i="2"/>
  <c r="H86" i="2"/>
  <c r="G86" i="2"/>
  <c r="G71" i="2" s="1"/>
  <c r="G97" i="2" s="1"/>
  <c r="I85" i="2"/>
  <c r="I86" i="2"/>
  <c r="P26" i="2" l="1"/>
  <c r="P24" i="2" s="1"/>
  <c r="P32" i="2"/>
  <c r="P38" i="2"/>
  <c r="P34" i="2" s="1"/>
  <c r="G30" i="2"/>
  <c r="J86" i="2"/>
  <c r="I70" i="2"/>
  <c r="J85" i="2"/>
  <c r="K85" i="2" s="1"/>
  <c r="P27" i="2" l="1"/>
  <c r="P28" i="2" s="1"/>
  <c r="Q31" i="2" s="1"/>
  <c r="P72" i="2"/>
  <c r="G72" i="2"/>
  <c r="G45" i="2"/>
  <c r="G47" i="2"/>
  <c r="L85" i="2"/>
  <c r="M86" i="2" s="1"/>
  <c r="L86" i="2"/>
  <c r="K86" i="2"/>
  <c r="Q26" i="2" l="1"/>
  <c r="Q24" i="2" s="1"/>
  <c r="Q32" i="2"/>
  <c r="J88" i="2"/>
  <c r="K89" i="2" s="1"/>
  <c r="Q38" i="2"/>
  <c r="Q34" i="2" s="1"/>
  <c r="I89" i="2"/>
  <c r="H89" i="2"/>
  <c r="H71" i="2" s="1"/>
  <c r="H97" i="2" s="1"/>
  <c r="J89" i="2"/>
  <c r="H95" i="2"/>
  <c r="M85" i="2"/>
  <c r="K88" i="2" l="1"/>
  <c r="L88" i="2" s="1"/>
  <c r="J70" i="2"/>
  <c r="N85" i="2"/>
  <c r="O86" i="2" s="1"/>
  <c r="Q27" i="2"/>
  <c r="Q28" i="2" s="1"/>
  <c r="R31" i="2" s="1"/>
  <c r="Q72" i="2"/>
  <c r="H30" i="2"/>
  <c r="M89" i="2"/>
  <c r="L89" i="2"/>
  <c r="N86" i="2"/>
  <c r="O85" i="2" l="1"/>
  <c r="M88" i="2"/>
  <c r="N88" i="2" s="1"/>
  <c r="O88" i="2" s="1"/>
  <c r="R26" i="2"/>
  <c r="R32" i="2"/>
  <c r="R38" i="2"/>
  <c r="R34" i="2" s="1"/>
  <c r="H47" i="2"/>
  <c r="P86" i="2"/>
  <c r="P85" i="2"/>
  <c r="R24" i="2" l="1"/>
  <c r="B3" i="30"/>
  <c r="O89" i="2"/>
  <c r="N89" i="2"/>
  <c r="R27" i="2"/>
  <c r="R28" i="2" s="1"/>
  <c r="S31" i="2" s="1"/>
  <c r="R72" i="2"/>
  <c r="Q85" i="2"/>
  <c r="R86" i="2" s="1"/>
  <c r="P89" i="2"/>
  <c r="P88" i="2"/>
  <c r="Q86" i="2"/>
  <c r="S26" i="2" l="1"/>
  <c r="S24" i="2" s="1"/>
  <c r="S32" i="2"/>
  <c r="S38" i="2"/>
  <c r="S34" i="2" s="1"/>
  <c r="R85" i="2"/>
  <c r="S85" i="2" s="1"/>
  <c r="Q89" i="2"/>
  <c r="Q88" i="2"/>
  <c r="R88" i="2" s="1"/>
  <c r="S27" i="2" l="1"/>
  <c r="S28" i="2" s="1"/>
  <c r="T31" i="2" s="1"/>
  <c r="S72" i="2"/>
  <c r="S86" i="2"/>
  <c r="T85" i="2"/>
  <c r="U85" i="2" s="1"/>
  <c r="T86" i="2"/>
  <c r="R89" i="2"/>
  <c r="S88" i="2"/>
  <c r="S89" i="2"/>
  <c r="T26" i="2" l="1"/>
  <c r="T24" i="2" s="1"/>
  <c r="T32" i="2"/>
  <c r="T38" i="2"/>
  <c r="T34" i="2" s="1"/>
  <c r="U86" i="2"/>
  <c r="V85" i="2"/>
  <c r="V86" i="2"/>
  <c r="T89" i="2"/>
  <c r="T88" i="2"/>
  <c r="T27" i="2" l="1"/>
  <c r="T28" i="2" s="1"/>
  <c r="U31" i="2" s="1"/>
  <c r="T72" i="2"/>
  <c r="U88" i="2"/>
  <c r="U89" i="2"/>
  <c r="W85" i="2"/>
  <c r="W86" i="2"/>
  <c r="U26" i="2" l="1"/>
  <c r="U24" i="2" s="1"/>
  <c r="U32" i="2"/>
  <c r="U38" i="2"/>
  <c r="U34" i="2" s="1"/>
  <c r="V89" i="2"/>
  <c r="V88" i="2"/>
  <c r="X86" i="2"/>
  <c r="X85" i="2"/>
  <c r="U27" i="2" l="1"/>
  <c r="U28" i="2" s="1"/>
  <c r="V31" i="2" s="1"/>
  <c r="U72" i="2"/>
  <c r="Y85" i="2"/>
  <c r="Y86" i="2"/>
  <c r="W89" i="2"/>
  <c r="W88" i="2"/>
  <c r="V26" i="2" l="1"/>
  <c r="V24" i="2" s="1"/>
  <c r="V32" i="2"/>
  <c r="V38" i="2"/>
  <c r="V34" i="2" s="1"/>
  <c r="Z86" i="2"/>
  <c r="Z85" i="2"/>
  <c r="AA85" i="2" s="1"/>
  <c r="X89" i="2"/>
  <c r="X88" i="2"/>
  <c r="AB86" i="2" l="1"/>
  <c r="AB85" i="2"/>
  <c r="V27" i="2"/>
  <c r="V28" i="2" s="1"/>
  <c r="W31" i="2" s="1"/>
  <c r="V72" i="2"/>
  <c r="Y89" i="2"/>
  <c r="Y88" i="2"/>
  <c r="AA86" i="2"/>
  <c r="W26" i="2" l="1"/>
  <c r="W24" i="2" s="1"/>
  <c r="W32" i="2"/>
  <c r="W38" i="2"/>
  <c r="W34" i="2" s="1"/>
  <c r="Z88" i="2"/>
  <c r="AA88" i="2" s="1"/>
  <c r="Z89" i="2"/>
  <c r="AB89" i="2" l="1"/>
  <c r="AB88" i="2"/>
  <c r="W27" i="2"/>
  <c r="W28" i="2" s="1"/>
  <c r="X31" i="2" s="1"/>
  <c r="W72" i="2"/>
  <c r="AA89" i="2"/>
  <c r="X26" i="2" l="1"/>
  <c r="X24" i="2" s="1"/>
  <c r="X32" i="2"/>
  <c r="X38" i="2"/>
  <c r="X34" i="2" s="1"/>
  <c r="X27" i="2" l="1"/>
  <c r="X28" i="2" s="1"/>
  <c r="Y31" i="2" s="1"/>
  <c r="X72" i="2"/>
  <c r="H45" i="2"/>
  <c r="H72" i="2"/>
  <c r="Y26" i="2" l="1"/>
  <c r="Y24" i="2" s="1"/>
  <c r="Y32" i="2"/>
  <c r="Y38" i="2"/>
  <c r="Y34" i="2" s="1"/>
  <c r="I95" i="2"/>
  <c r="K91" i="2"/>
  <c r="I92" i="2"/>
  <c r="I71" i="2" s="1"/>
  <c r="I97" i="2" s="1"/>
  <c r="K92" i="2"/>
  <c r="K71" i="2" s="1"/>
  <c r="K97" i="2" s="1"/>
  <c r="J92" i="2"/>
  <c r="J71" i="2" s="1"/>
  <c r="J97" i="2" s="1"/>
  <c r="Y27" i="2" l="1"/>
  <c r="Y28" i="2" s="1"/>
  <c r="Z31" i="2" s="1"/>
  <c r="Y72" i="2"/>
  <c r="I30" i="2"/>
  <c r="I45" i="2"/>
  <c r="K70" i="2"/>
  <c r="L92" i="2"/>
  <c r="L71" i="2" s="1"/>
  <c r="L97" i="2" s="1"/>
  <c r="I72" i="2"/>
  <c r="L91" i="2"/>
  <c r="Z26" i="2" l="1"/>
  <c r="Z24" i="2" s="1"/>
  <c r="Z32" i="2"/>
  <c r="Z38" i="2"/>
  <c r="Z34" i="2" s="1"/>
  <c r="J95" i="2"/>
  <c r="I47" i="2"/>
  <c r="L70" i="2"/>
  <c r="M92" i="2"/>
  <c r="M71" i="2" s="1"/>
  <c r="M97" i="2" s="1"/>
  <c r="M91" i="2"/>
  <c r="Z27" i="2" l="1"/>
  <c r="Z28" i="2" s="1"/>
  <c r="Z72" i="2"/>
  <c r="J30" i="2"/>
  <c r="K95" i="2"/>
  <c r="J45" i="2"/>
  <c r="M70" i="2"/>
  <c r="N91" i="2"/>
  <c r="N92" i="2"/>
  <c r="N71" i="2" s="1"/>
  <c r="N97" i="2" s="1"/>
  <c r="AA32" i="2" l="1"/>
  <c r="AA31" i="2"/>
  <c r="AA26" i="2"/>
  <c r="AA28" i="2"/>
  <c r="AA38" i="2"/>
  <c r="AA34" i="2" s="1"/>
  <c r="K30" i="2"/>
  <c r="L45" i="2"/>
  <c r="K45" i="2"/>
  <c r="J47" i="2"/>
  <c r="N70" i="2"/>
  <c r="O92" i="2"/>
  <c r="O71" i="2" s="1"/>
  <c r="O97" i="2" s="1"/>
  <c r="O91" i="2"/>
  <c r="P91" i="2" s="1"/>
  <c r="P70" i="2" s="1"/>
  <c r="AB32" i="2" l="1"/>
  <c r="AB31" i="2"/>
  <c r="AA30" i="2"/>
  <c r="AA47" i="2" s="1"/>
  <c r="AA94" i="2"/>
  <c r="AA46" i="2"/>
  <c r="AB38" i="2"/>
  <c r="AB34" i="2" s="1"/>
  <c r="AB26" i="2"/>
  <c r="AB24" i="2" s="1"/>
  <c r="AA95" i="2"/>
  <c r="AA24" i="2"/>
  <c r="AA43" i="2" s="1"/>
  <c r="AA45" i="2"/>
  <c r="AA57" i="2" s="1"/>
  <c r="L30" i="2"/>
  <c r="L95" i="2"/>
  <c r="M95" i="2"/>
  <c r="Q91" i="2"/>
  <c r="Q70" i="2" s="1"/>
  <c r="P92" i="2"/>
  <c r="P71" i="2" s="1"/>
  <c r="P97" i="2" s="1"/>
  <c r="K47" i="2"/>
  <c r="O70" i="2"/>
  <c r="Q92" i="2"/>
  <c r="Q71" i="2" s="1"/>
  <c r="Q97" i="2" s="1"/>
  <c r="AA40" i="2" l="1"/>
  <c r="AA42" i="2" s="1"/>
  <c r="AA53" i="2"/>
  <c r="AA55" i="2"/>
  <c r="AA48" i="2"/>
  <c r="AA96" i="2"/>
  <c r="M30" i="2"/>
  <c r="M47" i="2" s="1"/>
  <c r="N95" i="2"/>
  <c r="M45" i="2"/>
  <c r="L47" i="2"/>
  <c r="R91" i="2"/>
  <c r="R70" i="2" s="1"/>
  <c r="R92" i="2"/>
  <c r="R71" i="2" s="1"/>
  <c r="R97" i="2" s="1"/>
  <c r="AB72" i="2" l="1"/>
  <c r="C106" i="2" s="1"/>
  <c r="AB27" i="2"/>
  <c r="AB28" i="2" s="1"/>
  <c r="N30" i="2"/>
  <c r="O95" i="2"/>
  <c r="N45" i="2"/>
  <c r="S92" i="2"/>
  <c r="S71" i="2" s="1"/>
  <c r="S97" i="2" s="1"/>
  <c r="S91" i="2"/>
  <c r="S70" i="2" s="1"/>
  <c r="AC32" i="2" l="1"/>
  <c r="AC31" i="2"/>
  <c r="O30" i="2"/>
  <c r="O45" i="2"/>
  <c r="P95" i="2"/>
  <c r="T91" i="2"/>
  <c r="U92" i="2" s="1"/>
  <c r="U71" i="2" s="1"/>
  <c r="U97" i="2" s="1"/>
  <c r="T92" i="2"/>
  <c r="T71" i="2" s="1"/>
  <c r="T97" i="2" s="1"/>
  <c r="N47" i="2"/>
  <c r="AC27" i="2" l="1"/>
  <c r="AC72" i="2"/>
  <c r="U91" i="2"/>
  <c r="V92" i="2" s="1"/>
  <c r="V71" i="2" s="1"/>
  <c r="V97" i="2" s="1"/>
  <c r="P30" i="2"/>
  <c r="T70" i="2"/>
  <c r="Q95" i="2"/>
  <c r="P45" i="2"/>
  <c r="O47" i="2"/>
  <c r="U70" i="2" l="1"/>
  <c r="V91" i="2"/>
  <c r="W92" i="2" s="1"/>
  <c r="W71" i="2" s="1"/>
  <c r="W97" i="2" s="1"/>
  <c r="Q30" i="2"/>
  <c r="R95" i="2"/>
  <c r="Q45" i="2"/>
  <c r="P47" i="2"/>
  <c r="V70" i="2" l="1"/>
  <c r="W91" i="2"/>
  <c r="X92" i="2" s="1"/>
  <c r="X71" i="2" s="1"/>
  <c r="X97" i="2" s="1"/>
  <c r="R30" i="2"/>
  <c r="E3" i="30" s="1"/>
  <c r="S95" i="2"/>
  <c r="R45" i="2"/>
  <c r="Q47" i="2"/>
  <c r="W70" i="2" l="1"/>
  <c r="X91" i="2"/>
  <c r="Y91" i="2" s="1"/>
  <c r="S30" i="2"/>
  <c r="T95" i="2"/>
  <c r="S45" i="2"/>
  <c r="R47" i="2"/>
  <c r="Y92" i="2" l="1"/>
  <c r="Y71" i="2" s="1"/>
  <c r="Y97" i="2" s="1"/>
  <c r="X70" i="2"/>
  <c r="T30" i="2"/>
  <c r="T47" i="2" s="1"/>
  <c r="U95" i="2"/>
  <c r="T45" i="2"/>
  <c r="S47" i="2"/>
  <c r="Y70" i="2"/>
  <c r="Z91" i="2"/>
  <c r="AA91" i="2" s="1"/>
  <c r="Z92" i="2"/>
  <c r="Z71" i="2" s="1"/>
  <c r="Z97" i="2" s="1"/>
  <c r="AB92" i="2" l="1"/>
  <c r="AA70" i="2"/>
  <c r="AB91" i="2"/>
  <c r="U30" i="2"/>
  <c r="U45" i="2"/>
  <c r="V95" i="2"/>
  <c r="Z70" i="2"/>
  <c r="AA92" i="2"/>
  <c r="AA71" i="2" s="1"/>
  <c r="AA97" i="2" s="1"/>
  <c r="AA98" i="2" s="1"/>
  <c r="AA100" i="2" s="1"/>
  <c r="AA101" i="2" s="1"/>
  <c r="AA102" i="2" s="1"/>
  <c r="AA112" i="2" l="1"/>
  <c r="AA103" i="2"/>
  <c r="AA104" i="2" s="1"/>
  <c r="AA110" i="2"/>
  <c r="AA108" i="2"/>
  <c r="V30" i="2"/>
  <c r="V45" i="2"/>
  <c r="U47" i="2"/>
  <c r="W45" i="2" l="1"/>
  <c r="V47" i="2"/>
  <c r="W95" i="2"/>
  <c r="W30" i="2"/>
  <c r="X95" i="2"/>
  <c r="X30" i="2" l="1"/>
  <c r="Y45" i="2"/>
  <c r="X45" i="2"/>
  <c r="W47" i="2"/>
  <c r="Y30" i="2" l="1"/>
  <c r="Z45" i="2"/>
  <c r="Y95" i="2"/>
  <c r="X47" i="2"/>
  <c r="Z95" i="2" l="1"/>
  <c r="Z30" i="2"/>
  <c r="Y47" i="2"/>
  <c r="Z47" i="2" l="1"/>
  <c r="AB30" i="2" l="1"/>
  <c r="AC30" i="2" l="1"/>
  <c r="AB47" i="2"/>
  <c r="AC47" i="2" l="1"/>
  <c r="F19" i="31" l="1"/>
  <c r="F20" i="31" s="1"/>
  <c r="S19" i="31"/>
  <c r="S20" i="31" s="1"/>
  <c r="G19" i="31"/>
  <c r="G20" i="31" s="1"/>
  <c r="Q19" i="31"/>
  <c r="Q20" i="31" s="1"/>
  <c r="K19" i="31"/>
  <c r="K20" i="31" s="1"/>
  <c r="J19" i="31"/>
  <c r="J20" i="31" s="1"/>
  <c r="I19" i="31"/>
  <c r="I20" i="31" s="1"/>
  <c r="O19" i="31"/>
  <c r="O20" i="31" s="1"/>
  <c r="N19" i="31"/>
  <c r="N20" i="31" s="1"/>
  <c r="W19" i="31"/>
  <c r="W20" i="31" s="1"/>
  <c r="E19" i="31"/>
  <c r="E20" i="31" s="1"/>
  <c r="U19" i="31"/>
  <c r="U20" i="31" s="1"/>
  <c r="M19" i="31"/>
  <c r="M20" i="31" s="1"/>
  <c r="R19" i="31"/>
  <c r="R20" i="31" s="1"/>
  <c r="V19" i="31"/>
  <c r="V20" i="31" s="1"/>
  <c r="T19" i="31"/>
  <c r="T20" i="31" s="1"/>
  <c r="P19" i="31"/>
  <c r="P20" i="31" s="1"/>
  <c r="D19" i="31"/>
  <c r="D20" i="31" s="1"/>
  <c r="H19" i="31"/>
  <c r="H20" i="31" s="1"/>
  <c r="L19" i="31"/>
  <c r="L20" i="31" s="1"/>
  <c r="E53" i="2"/>
  <c r="F53" i="2"/>
  <c r="G53" i="2"/>
  <c r="H53" i="2"/>
  <c r="I53" i="2"/>
  <c r="J53" i="2"/>
  <c r="K53" i="2"/>
  <c r="L53" i="2"/>
  <c r="M53" i="2"/>
  <c r="N53" i="2"/>
  <c r="O53" i="2"/>
  <c r="P53" i="2"/>
  <c r="Q53" i="2"/>
  <c r="R53" i="2"/>
  <c r="S53" i="2"/>
  <c r="T53" i="2"/>
  <c r="U53" i="2"/>
  <c r="V53" i="2"/>
  <c r="W53" i="2"/>
  <c r="X53" i="2"/>
  <c r="Y53" i="2"/>
  <c r="Z53" i="2"/>
  <c r="N6" i="36" l="1"/>
  <c r="N7" i="36" s="1"/>
  <c r="N8" i="37"/>
  <c r="N9" i="37" s="1"/>
  <c r="V6" i="36"/>
  <c r="V7" i="36" s="1"/>
  <c r="V8" i="37"/>
  <c r="V9" i="37" s="1"/>
  <c r="W6" i="36"/>
  <c r="W7" i="36" s="1"/>
  <c r="W8" i="37"/>
  <c r="W9" i="37" s="1"/>
  <c r="Q6" i="36"/>
  <c r="Q7" i="36" s="1"/>
  <c r="Q8" i="37"/>
  <c r="Q9" i="37" s="1"/>
  <c r="S6" i="36"/>
  <c r="S7" i="36" s="1"/>
  <c r="S8" i="37"/>
  <c r="S9" i="37" s="1"/>
  <c r="J6" i="36"/>
  <c r="J7" i="36" s="1"/>
  <c r="J8" i="37"/>
  <c r="J9" i="37" s="1"/>
  <c r="X6" i="36"/>
  <c r="X8" i="37"/>
  <c r="X9" i="37" s="1"/>
  <c r="G6" i="36"/>
  <c r="G7" i="36" s="1"/>
  <c r="G8" i="37"/>
  <c r="G9" i="37" s="1"/>
  <c r="K6" i="36"/>
  <c r="K7" i="36" s="1"/>
  <c r="K8" i="37"/>
  <c r="K9" i="37" s="1"/>
  <c r="I6" i="36"/>
  <c r="I7" i="36" s="1"/>
  <c r="I8" i="37"/>
  <c r="I9" i="37" s="1"/>
  <c r="T6" i="36"/>
  <c r="T7" i="36" s="1"/>
  <c r="T8" i="37"/>
  <c r="T9" i="37" s="1"/>
  <c r="Y6" i="36"/>
  <c r="Y7" i="36" s="1"/>
  <c r="Y8" i="37"/>
  <c r="Y9" i="37" s="1"/>
  <c r="L6" i="36"/>
  <c r="L7" i="36" s="1"/>
  <c r="L8" i="37"/>
  <c r="L9" i="37" s="1"/>
  <c r="U6" i="36"/>
  <c r="U7" i="36" s="1"/>
  <c r="U8" i="37"/>
  <c r="U9" i="37" s="1"/>
  <c r="R6" i="36"/>
  <c r="R7" i="36" s="1"/>
  <c r="R8" i="37"/>
  <c r="R9" i="37" s="1"/>
  <c r="O6" i="36"/>
  <c r="O8" i="37"/>
  <c r="O9" i="37" s="1"/>
  <c r="P6" i="36"/>
  <c r="P7" i="36" s="1"/>
  <c r="P8" i="37"/>
  <c r="P9" i="37" s="1"/>
  <c r="M6" i="36"/>
  <c r="M7" i="36" s="1"/>
  <c r="M8" i="37"/>
  <c r="M9" i="37" s="1"/>
  <c r="H6" i="36"/>
  <c r="H8" i="37"/>
  <c r="H9" i="37" s="1"/>
  <c r="E65" i="2"/>
  <c r="I65" i="2"/>
  <c r="C64" i="2" s="1"/>
  <c r="N3" i="30" s="1"/>
  <c r="D67" i="2"/>
  <c r="F65" i="2"/>
  <c r="D65" i="2"/>
  <c r="C65" i="2"/>
  <c r="G65" i="2"/>
  <c r="H65" i="2"/>
  <c r="N67" i="2"/>
  <c r="C66" i="2" s="1"/>
  <c r="O3" i="30" s="1"/>
  <c r="H67" i="2"/>
  <c r="L67" i="2"/>
  <c r="E67" i="2"/>
  <c r="I67" i="2"/>
  <c r="F67" i="2"/>
  <c r="J67" i="2"/>
  <c r="M67" i="2"/>
  <c r="G67" i="2"/>
  <c r="K67" i="2"/>
  <c r="AC19" i="31"/>
  <c r="AC20" i="31" s="1"/>
  <c r="O7" i="36"/>
  <c r="H7" i="36"/>
  <c r="X7" i="36"/>
  <c r="D53" i="2"/>
  <c r="C54" i="2"/>
  <c r="O94" i="2"/>
  <c r="O96" i="2" s="1"/>
  <c r="O98" i="2" s="1"/>
  <c r="O100" i="2" s="1"/>
  <c r="O101" i="2" s="1"/>
  <c r="O102" i="2" s="1"/>
  <c r="O46" i="2"/>
  <c r="O57" i="2" s="1"/>
  <c r="O43" i="2"/>
  <c r="O40" i="2"/>
  <c r="O42" i="2" s="1"/>
  <c r="K94" i="2"/>
  <c r="K96" i="2" s="1"/>
  <c r="K98" i="2" s="1"/>
  <c r="K100" i="2" s="1"/>
  <c r="K101" i="2" s="1"/>
  <c r="K102" i="2" s="1"/>
  <c r="K40" i="2"/>
  <c r="K42" i="2" s="1"/>
  <c r="K43" i="2"/>
  <c r="K46" i="2"/>
  <c r="K57" i="2" s="1"/>
  <c r="G94" i="2"/>
  <c r="G96" i="2" s="1"/>
  <c r="G98" i="2" s="1"/>
  <c r="G100" i="2" s="1"/>
  <c r="G101" i="2" s="1"/>
  <c r="G102" i="2" s="1"/>
  <c r="G46" i="2"/>
  <c r="G57" i="2" s="1"/>
  <c r="G40" i="2"/>
  <c r="G42" i="2" s="1"/>
  <c r="G43" i="2"/>
  <c r="L22" i="31"/>
  <c r="L21" i="31"/>
  <c r="T21" i="31"/>
  <c r="T22" i="31"/>
  <c r="U21" i="31"/>
  <c r="U22" i="31"/>
  <c r="O22" i="31"/>
  <c r="O21" i="31"/>
  <c r="Q22" i="31"/>
  <c r="Q21" i="31"/>
  <c r="R94" i="2"/>
  <c r="R96" i="2" s="1"/>
  <c r="R98" i="2" s="1"/>
  <c r="R100" i="2" s="1"/>
  <c r="R101" i="2" s="1"/>
  <c r="R102" i="2" s="1"/>
  <c r="R46" i="2"/>
  <c r="R57" i="2" s="1"/>
  <c r="R40" i="2"/>
  <c r="R42" i="2" s="1"/>
  <c r="R43" i="2"/>
  <c r="F94" i="2"/>
  <c r="F96" i="2" s="1"/>
  <c r="F98" i="2" s="1"/>
  <c r="F100" i="2" s="1"/>
  <c r="F101" i="2" s="1"/>
  <c r="F102" i="2" s="1"/>
  <c r="F43" i="2"/>
  <c r="F46" i="2"/>
  <c r="F57" i="2" s="1"/>
  <c r="F40" i="2"/>
  <c r="F42" i="2" s="1"/>
  <c r="H22" i="31"/>
  <c r="H21" i="31"/>
  <c r="V22" i="31"/>
  <c r="V21" i="31"/>
  <c r="E21" i="31"/>
  <c r="E22" i="31"/>
  <c r="I22" i="31"/>
  <c r="I21" i="31"/>
  <c r="G21" i="31"/>
  <c r="G22" i="31"/>
  <c r="W94" i="2"/>
  <c r="W96" i="2" s="1"/>
  <c r="W98" i="2" s="1"/>
  <c r="W100" i="2" s="1"/>
  <c r="W101" i="2" s="1"/>
  <c r="W102" i="2" s="1"/>
  <c r="W46" i="2"/>
  <c r="W57" i="2" s="1"/>
  <c r="W43" i="2"/>
  <c r="W40" i="2"/>
  <c r="W42" i="2" s="1"/>
  <c r="V94" i="2"/>
  <c r="V96" i="2" s="1"/>
  <c r="V98" i="2" s="1"/>
  <c r="V100" i="2" s="1"/>
  <c r="V101" i="2" s="1"/>
  <c r="V102" i="2" s="1"/>
  <c r="V43" i="2"/>
  <c r="V40" i="2"/>
  <c r="V42" i="2" s="1"/>
  <c r="V46" i="2"/>
  <c r="V57" i="2" s="1"/>
  <c r="J94" i="2"/>
  <c r="J96" i="2" s="1"/>
  <c r="J98" i="2" s="1"/>
  <c r="J100" i="2" s="1"/>
  <c r="J101" i="2" s="1"/>
  <c r="J102" i="2" s="1"/>
  <c r="J40" i="2"/>
  <c r="J42" i="2" s="1"/>
  <c r="J46" i="2"/>
  <c r="J57" i="2" s="1"/>
  <c r="J43" i="2"/>
  <c r="Y46" i="2"/>
  <c r="Y57" i="2" s="1"/>
  <c r="Y40" i="2"/>
  <c r="Y42" i="2" s="1"/>
  <c r="Y94" i="2"/>
  <c r="Y96" i="2" s="1"/>
  <c r="Y98" i="2" s="1"/>
  <c r="Y100" i="2" s="1"/>
  <c r="Y101" i="2" s="1"/>
  <c r="Y102" i="2" s="1"/>
  <c r="Y43" i="2"/>
  <c r="U94" i="2"/>
  <c r="U96" i="2" s="1"/>
  <c r="U98" i="2" s="1"/>
  <c r="U100" i="2" s="1"/>
  <c r="U101" i="2" s="1"/>
  <c r="U102" i="2" s="1"/>
  <c r="U40" i="2"/>
  <c r="U42" i="2" s="1"/>
  <c r="U46" i="2"/>
  <c r="U57" i="2" s="1"/>
  <c r="U43" i="2"/>
  <c r="Q94" i="2"/>
  <c r="Q96" i="2" s="1"/>
  <c r="Q98" i="2" s="1"/>
  <c r="Q100" i="2" s="1"/>
  <c r="Q101" i="2" s="1"/>
  <c r="Q102" i="2" s="1"/>
  <c r="Q43" i="2"/>
  <c r="Q46" i="2"/>
  <c r="Q57" i="2" s="1"/>
  <c r="Q40" i="2"/>
  <c r="Q42" i="2" s="1"/>
  <c r="M94" i="2"/>
  <c r="M96" i="2" s="1"/>
  <c r="M98" i="2" s="1"/>
  <c r="M100" i="2" s="1"/>
  <c r="M101" i="2" s="1"/>
  <c r="M102" i="2" s="1"/>
  <c r="M46" i="2"/>
  <c r="M57" i="2" s="1"/>
  <c r="M40" i="2"/>
  <c r="M42" i="2" s="1"/>
  <c r="M43" i="2"/>
  <c r="I94" i="2"/>
  <c r="I96" i="2" s="1"/>
  <c r="I98" i="2" s="1"/>
  <c r="I100" i="2" s="1"/>
  <c r="I101" i="2" s="1"/>
  <c r="I102" i="2" s="1"/>
  <c r="I40" i="2"/>
  <c r="I42" i="2" s="1"/>
  <c r="I43" i="2"/>
  <c r="I46" i="2"/>
  <c r="I57" i="2" s="1"/>
  <c r="E94" i="2"/>
  <c r="E96" i="2" s="1"/>
  <c r="E98" i="2" s="1"/>
  <c r="E100" i="2" s="1"/>
  <c r="E101" i="2" s="1"/>
  <c r="E102" i="2" s="1"/>
  <c r="E46" i="2"/>
  <c r="E57" i="2" s="1"/>
  <c r="E40" i="2"/>
  <c r="E42" i="2" s="1"/>
  <c r="E43" i="2"/>
  <c r="F8" i="37"/>
  <c r="F9" i="37" s="1"/>
  <c r="R22" i="31"/>
  <c r="R21" i="31"/>
  <c r="W22" i="31"/>
  <c r="W21" i="31"/>
  <c r="J22" i="31"/>
  <c r="J21" i="31"/>
  <c r="S22" i="31"/>
  <c r="S21" i="31"/>
  <c r="S94" i="2"/>
  <c r="S96" i="2" s="1"/>
  <c r="S98" i="2" s="1"/>
  <c r="S100" i="2" s="1"/>
  <c r="S101" i="2" s="1"/>
  <c r="S102" i="2" s="1"/>
  <c r="S46" i="2"/>
  <c r="S57" i="2" s="1"/>
  <c r="S40" i="2"/>
  <c r="S42" i="2" s="1"/>
  <c r="S43" i="2"/>
  <c r="Z94" i="2"/>
  <c r="Z96" i="2" s="1"/>
  <c r="Z98" i="2" s="1"/>
  <c r="Z100" i="2" s="1"/>
  <c r="Z101" i="2" s="1"/>
  <c r="Z102" i="2" s="1"/>
  <c r="Z40" i="2"/>
  <c r="Z42" i="2" s="1"/>
  <c r="Z46" i="2"/>
  <c r="Z57" i="2" s="1"/>
  <c r="Z43" i="2"/>
  <c r="N94" i="2"/>
  <c r="N96" i="2" s="1"/>
  <c r="N98" i="2" s="1"/>
  <c r="N100" i="2" s="1"/>
  <c r="N101" i="2" s="1"/>
  <c r="N102" i="2" s="1"/>
  <c r="N46" i="2"/>
  <c r="N57" i="2" s="1"/>
  <c r="N40" i="2"/>
  <c r="N42" i="2" s="1"/>
  <c r="N43" i="2"/>
  <c r="X94" i="2"/>
  <c r="X96" i="2" s="1"/>
  <c r="X98" i="2" s="1"/>
  <c r="X100" i="2" s="1"/>
  <c r="X101" i="2" s="1"/>
  <c r="X102" i="2" s="1"/>
  <c r="X40" i="2"/>
  <c r="X42" i="2" s="1"/>
  <c r="X46" i="2"/>
  <c r="X57" i="2" s="1"/>
  <c r="X43" i="2"/>
  <c r="T94" i="2"/>
  <c r="T96" i="2" s="1"/>
  <c r="T98" i="2" s="1"/>
  <c r="T100" i="2" s="1"/>
  <c r="T101" i="2" s="1"/>
  <c r="T102" i="2" s="1"/>
  <c r="T43" i="2"/>
  <c r="T46" i="2"/>
  <c r="T57" i="2" s="1"/>
  <c r="T40" i="2"/>
  <c r="T42" i="2" s="1"/>
  <c r="P40" i="2"/>
  <c r="P42" i="2" s="1"/>
  <c r="P94" i="2"/>
  <c r="P96" i="2" s="1"/>
  <c r="P98" i="2" s="1"/>
  <c r="P100" i="2" s="1"/>
  <c r="P101" i="2" s="1"/>
  <c r="P102" i="2" s="1"/>
  <c r="P46" i="2"/>
  <c r="P57" i="2" s="1"/>
  <c r="P43" i="2"/>
  <c r="L94" i="2"/>
  <c r="L96" i="2" s="1"/>
  <c r="L98" i="2" s="1"/>
  <c r="L100" i="2" s="1"/>
  <c r="L101" i="2" s="1"/>
  <c r="L102" i="2" s="1"/>
  <c r="L46" i="2"/>
  <c r="L57" i="2" s="1"/>
  <c r="L43" i="2"/>
  <c r="L40" i="2"/>
  <c r="L42" i="2" s="1"/>
  <c r="H94" i="2"/>
  <c r="H96" i="2" s="1"/>
  <c r="H98" i="2" s="1"/>
  <c r="H100" i="2" s="1"/>
  <c r="H101" i="2" s="1"/>
  <c r="H102" i="2" s="1"/>
  <c r="H40" i="2"/>
  <c r="H42" i="2" s="1"/>
  <c r="H46" i="2"/>
  <c r="H57" i="2" s="1"/>
  <c r="H43" i="2"/>
  <c r="D94" i="2"/>
  <c r="D46" i="2"/>
  <c r="C67" i="2"/>
  <c r="D40" i="2"/>
  <c r="D42" i="2" s="1"/>
  <c r="D43" i="2"/>
  <c r="P22" i="31"/>
  <c r="P21" i="31"/>
  <c r="M22" i="31"/>
  <c r="M21" i="31"/>
  <c r="N22" i="31"/>
  <c r="N21" i="31"/>
  <c r="K22" i="31"/>
  <c r="K21" i="31"/>
  <c r="F22" i="31"/>
  <c r="F21" i="31"/>
  <c r="C11" i="37" l="1"/>
  <c r="C58" i="37" s="1"/>
  <c r="C12" i="37"/>
  <c r="B58" i="37" s="1"/>
  <c r="D96" i="2"/>
  <c r="D98" i="2" s="1"/>
  <c r="D100" i="2" s="1"/>
  <c r="D101" i="2" s="1"/>
  <c r="D102" i="2" s="1"/>
  <c r="D108" i="2" s="1"/>
  <c r="D3" i="30"/>
  <c r="F6" i="36"/>
  <c r="F7" i="36" s="1"/>
  <c r="C9" i="36" s="1"/>
  <c r="C56" i="36" s="1"/>
  <c r="K29" i="31"/>
  <c r="O29" i="31"/>
  <c r="S29" i="31"/>
  <c r="W29" i="31"/>
  <c r="AA29" i="31"/>
  <c r="K30" i="31"/>
  <c r="O30" i="31"/>
  <c r="S30" i="31"/>
  <c r="W30" i="31"/>
  <c r="AA30" i="31"/>
  <c r="L29" i="31"/>
  <c r="P29" i="31"/>
  <c r="T29" i="31"/>
  <c r="X29" i="31"/>
  <c r="AB29" i="31"/>
  <c r="L30" i="31"/>
  <c r="P30" i="31"/>
  <c r="T30" i="31"/>
  <c r="X30" i="31"/>
  <c r="AB30" i="31"/>
  <c r="I29" i="31"/>
  <c r="M29" i="31"/>
  <c r="Q29" i="31"/>
  <c r="U29" i="31"/>
  <c r="Y29" i="31"/>
  <c r="I30" i="31"/>
  <c r="M30" i="31"/>
  <c r="Q30" i="31"/>
  <c r="U30" i="31"/>
  <c r="Y30" i="31"/>
  <c r="J29" i="31"/>
  <c r="N29" i="31"/>
  <c r="R29" i="31"/>
  <c r="V29" i="31"/>
  <c r="Z29" i="31"/>
  <c r="J30" i="31"/>
  <c r="N30" i="31"/>
  <c r="R30" i="31"/>
  <c r="V30" i="31"/>
  <c r="Z30" i="31"/>
  <c r="B26" i="31"/>
  <c r="I15" i="30" s="1"/>
  <c r="B25" i="31"/>
  <c r="H15" i="30" s="1"/>
  <c r="C61" i="2"/>
  <c r="C63" i="2"/>
  <c r="D57" i="2"/>
  <c r="T103" i="2"/>
  <c r="T104" i="2" s="1"/>
  <c r="T112" i="2"/>
  <c r="T110" i="2"/>
  <c r="T108" i="2"/>
  <c r="Z112" i="2"/>
  <c r="Z103" i="2"/>
  <c r="Z104" i="2" s="1"/>
  <c r="Z110" i="2"/>
  <c r="Z108" i="2"/>
  <c r="S55" i="2"/>
  <c r="S48" i="2"/>
  <c r="E110" i="2"/>
  <c r="E103" i="2"/>
  <c r="E104" i="2" s="1"/>
  <c r="E112" i="2"/>
  <c r="E108" i="2"/>
  <c r="U110" i="2"/>
  <c r="U103" i="2"/>
  <c r="U104" i="2" s="1"/>
  <c r="U112" i="2"/>
  <c r="U108" i="2"/>
  <c r="J48" i="2"/>
  <c r="J55" i="2"/>
  <c r="V110" i="2"/>
  <c r="V112" i="2"/>
  <c r="V103" i="2"/>
  <c r="V104" i="2" s="1"/>
  <c r="V108" i="2"/>
  <c r="W55" i="2"/>
  <c r="W48" i="2"/>
  <c r="F110" i="2"/>
  <c r="F103" i="2"/>
  <c r="F104" i="2" s="1"/>
  <c r="F112" i="2"/>
  <c r="F108" i="2"/>
  <c r="G55" i="2"/>
  <c r="G48" i="2"/>
  <c r="H110" i="2"/>
  <c r="H112" i="2"/>
  <c r="H103" i="2"/>
  <c r="H104" i="2" s="1"/>
  <c r="H108" i="2"/>
  <c r="L55" i="2"/>
  <c r="L48" i="2"/>
  <c r="P48" i="2"/>
  <c r="P55" i="2"/>
  <c r="T55" i="2"/>
  <c r="T48" i="2"/>
  <c r="X103" i="2"/>
  <c r="X104" i="2" s="1"/>
  <c r="X112" i="2"/>
  <c r="X110" i="2"/>
  <c r="X108" i="2"/>
  <c r="N55" i="2"/>
  <c r="N48" i="2"/>
  <c r="Z48" i="2"/>
  <c r="Z55" i="2"/>
  <c r="S110" i="2"/>
  <c r="S112" i="2"/>
  <c r="S103" i="2"/>
  <c r="S104" i="2" s="1"/>
  <c r="S108" i="2"/>
  <c r="I55" i="2"/>
  <c r="I48" i="2"/>
  <c r="I110" i="2"/>
  <c r="I103" i="2"/>
  <c r="I104" i="2" s="1"/>
  <c r="I112" i="2"/>
  <c r="I108" i="2"/>
  <c r="M48" i="2"/>
  <c r="M55" i="2"/>
  <c r="Q55" i="2"/>
  <c r="Q48" i="2"/>
  <c r="Y48" i="2"/>
  <c r="Y55" i="2"/>
  <c r="V48" i="2"/>
  <c r="V55" i="2"/>
  <c r="W103" i="2"/>
  <c r="W104" i="2" s="1"/>
  <c r="W110" i="2"/>
  <c r="W112" i="2"/>
  <c r="W108" i="2"/>
  <c r="R112" i="2"/>
  <c r="R103" i="2"/>
  <c r="R104" i="2" s="1"/>
  <c r="R110" i="2"/>
  <c r="R108" i="2"/>
  <c r="G112" i="2"/>
  <c r="G110" i="2"/>
  <c r="G103" i="2"/>
  <c r="G104" i="2" s="1"/>
  <c r="G108" i="2"/>
  <c r="L112" i="2"/>
  <c r="L110" i="2"/>
  <c r="L103" i="2"/>
  <c r="L104" i="2" s="1"/>
  <c r="L108" i="2"/>
  <c r="X55" i="2"/>
  <c r="X48" i="2"/>
  <c r="D21" i="31"/>
  <c r="H29" i="31"/>
  <c r="E30" i="31"/>
  <c r="E29" i="31"/>
  <c r="D29" i="31"/>
  <c r="G29" i="31"/>
  <c r="G30" i="31"/>
  <c r="F30" i="31"/>
  <c r="H30" i="31"/>
  <c r="D22" i="31"/>
  <c r="F29" i="31"/>
  <c r="D30" i="31"/>
  <c r="M110" i="2"/>
  <c r="M103" i="2"/>
  <c r="M104" i="2" s="1"/>
  <c r="M112" i="2"/>
  <c r="M108" i="2"/>
  <c r="U55" i="2"/>
  <c r="U48" i="2"/>
  <c r="F48" i="2"/>
  <c r="F55" i="2"/>
  <c r="K48" i="2"/>
  <c r="K55" i="2"/>
  <c r="K112" i="2"/>
  <c r="K103" i="2"/>
  <c r="K104" i="2" s="1"/>
  <c r="K110" i="2"/>
  <c r="K108" i="2"/>
  <c r="O48" i="2"/>
  <c r="O55" i="2"/>
  <c r="P103" i="2"/>
  <c r="P104" i="2" s="1"/>
  <c r="P112" i="2"/>
  <c r="P110" i="2"/>
  <c r="P108" i="2"/>
  <c r="D55" i="2"/>
  <c r="D48" i="2"/>
  <c r="H48" i="2"/>
  <c r="H55" i="2"/>
  <c r="N103" i="2"/>
  <c r="N104" i="2" s="1"/>
  <c r="N110" i="2"/>
  <c r="N112" i="2"/>
  <c r="N108" i="2"/>
  <c r="AC21" i="31"/>
  <c r="AC22" i="31"/>
  <c r="D15" i="30"/>
  <c r="E48" i="2"/>
  <c r="E55" i="2"/>
  <c r="Q103" i="2"/>
  <c r="Q104" i="2" s="1"/>
  <c r="Q112" i="2"/>
  <c r="Q110" i="2"/>
  <c r="Q108" i="2"/>
  <c r="Y103" i="2"/>
  <c r="Y104" i="2" s="1"/>
  <c r="Y112" i="2"/>
  <c r="Y110" i="2"/>
  <c r="Y108" i="2"/>
  <c r="J110" i="2"/>
  <c r="J112" i="2"/>
  <c r="J103" i="2"/>
  <c r="J104" i="2" s="1"/>
  <c r="J108" i="2"/>
  <c r="R48" i="2"/>
  <c r="R55" i="2"/>
  <c r="O110" i="2"/>
  <c r="O112" i="2"/>
  <c r="O103" i="2"/>
  <c r="O104" i="2" s="1"/>
  <c r="O108" i="2"/>
  <c r="M15" i="30" l="1"/>
  <c r="P3" i="30"/>
  <c r="B27" i="31"/>
  <c r="F15" i="30" s="1"/>
  <c r="B23" i="31"/>
  <c r="J15" i="30" s="1"/>
  <c r="B28" i="31"/>
  <c r="G15" i="30" s="1"/>
  <c r="B24" i="31"/>
  <c r="K15" i="30" s="1"/>
  <c r="C109" i="2"/>
  <c r="C10" i="36"/>
  <c r="B56" i="36" s="1"/>
  <c r="L15" i="30"/>
  <c r="D110" i="2"/>
  <c r="C111" i="2" s="1"/>
  <c r="Q3" i="30" s="1"/>
  <c r="D112" i="2"/>
  <c r="C113" i="2" s="1"/>
  <c r="R3" i="30" s="1"/>
  <c r="D103" i="2"/>
  <c r="D104" i="2" s="1"/>
  <c r="T16" i="36" l="1"/>
  <c r="T17" i="36" s="1"/>
  <c r="T18" i="37"/>
  <c r="T19" i="37" s="1"/>
  <c r="R16" i="36"/>
  <c r="R18" i="37"/>
  <c r="R19" i="37" s="1"/>
  <c r="X16" i="36"/>
  <c r="X18" i="37"/>
  <c r="X19" i="37" s="1"/>
  <c r="K26" i="36"/>
  <c r="K28" i="37"/>
  <c r="K29" i="37" s="1"/>
  <c r="J26" i="36"/>
  <c r="J28" i="37"/>
  <c r="J29" i="37" s="1"/>
  <c r="Q26" i="36"/>
  <c r="Q28" i="37"/>
  <c r="Q29" i="37" s="1"/>
  <c r="V26" i="36"/>
  <c r="V27" i="36" s="1"/>
  <c r="V28" i="37"/>
  <c r="V29" i="37" s="1"/>
  <c r="T26" i="36"/>
  <c r="T28" i="37"/>
  <c r="T29" i="37" s="1"/>
  <c r="X46" i="36"/>
  <c r="X47" i="36" s="1"/>
  <c r="X48" i="37"/>
  <c r="X49" i="37" s="1"/>
  <c r="T46" i="36"/>
  <c r="T48" i="37"/>
  <c r="T49" i="37" s="1"/>
  <c r="H46" i="36"/>
  <c r="H48" i="37"/>
  <c r="H49" i="37" s="1"/>
  <c r="Y46" i="36"/>
  <c r="Y47" i="36" s="1"/>
  <c r="Y48" i="37"/>
  <c r="Y49" i="37" s="1"/>
  <c r="V46" i="36"/>
  <c r="V48" i="37"/>
  <c r="V49" i="37" s="1"/>
  <c r="O16" i="36"/>
  <c r="O18" i="37"/>
  <c r="O19" i="37" s="1"/>
  <c r="Y16" i="36"/>
  <c r="Y17" i="36" s="1"/>
  <c r="Y18" i="37"/>
  <c r="Y19" i="37" s="1"/>
  <c r="I16" i="36"/>
  <c r="I18" i="37"/>
  <c r="I19" i="37" s="1"/>
  <c r="I26" i="36"/>
  <c r="I28" i="37"/>
  <c r="I29" i="37" s="1"/>
  <c r="M26" i="36"/>
  <c r="M28" i="37"/>
  <c r="M29" i="37" s="1"/>
  <c r="U26" i="36"/>
  <c r="U28" i="37"/>
  <c r="U29" i="37" s="1"/>
  <c r="O26" i="36"/>
  <c r="O28" i="37"/>
  <c r="O29" i="37" s="1"/>
  <c r="O46" i="36"/>
  <c r="O48" i="37"/>
  <c r="O49" i="37" s="1"/>
  <c r="L46" i="36"/>
  <c r="L48" i="37"/>
  <c r="L49" i="37" s="1"/>
  <c r="J46" i="36"/>
  <c r="J47" i="36" s="1"/>
  <c r="J48" i="37"/>
  <c r="J49" i="37" s="1"/>
  <c r="I46" i="36"/>
  <c r="I48" i="37"/>
  <c r="I49" i="37" s="1"/>
  <c r="U46" i="36"/>
  <c r="U48" i="37"/>
  <c r="U49" i="37" s="1"/>
  <c r="H16" i="36"/>
  <c r="H18" i="37"/>
  <c r="H19" i="37" s="1"/>
  <c r="U16" i="36"/>
  <c r="U18" i="37"/>
  <c r="U19" i="37" s="1"/>
  <c r="Q16" i="36"/>
  <c r="Q18" i="37"/>
  <c r="Q19" i="37" s="1"/>
  <c r="V16" i="36"/>
  <c r="V17" i="36" s="1"/>
  <c r="V18" i="37"/>
  <c r="V19" i="37" s="1"/>
  <c r="G26" i="36"/>
  <c r="G28" i="37"/>
  <c r="G29" i="37" s="1"/>
  <c r="H26" i="36"/>
  <c r="H28" i="37"/>
  <c r="H29" i="37" s="1"/>
  <c r="X26" i="36"/>
  <c r="X27" i="36" s="1"/>
  <c r="X28" i="37"/>
  <c r="X29" i="37" s="1"/>
  <c r="N26" i="36"/>
  <c r="N28" i="37"/>
  <c r="N29" i="37" s="1"/>
  <c r="R26" i="36"/>
  <c r="R28" i="37"/>
  <c r="R29" i="37" s="1"/>
  <c r="P46" i="36"/>
  <c r="P48" i="37"/>
  <c r="P49" i="37" s="1"/>
  <c r="K46" i="36"/>
  <c r="K48" i="37"/>
  <c r="K49" i="37" s="1"/>
  <c r="S46" i="36"/>
  <c r="S47" i="36" s="1"/>
  <c r="S48" i="37"/>
  <c r="S49" i="37" s="1"/>
  <c r="R46" i="36"/>
  <c r="R47" i="36" s="1"/>
  <c r="R48" i="37"/>
  <c r="R49" i="37" s="1"/>
  <c r="N46" i="36"/>
  <c r="N48" i="37"/>
  <c r="N49" i="37" s="1"/>
  <c r="G16" i="36"/>
  <c r="G18" i="37"/>
  <c r="G19" i="37" s="1"/>
  <c r="S16" i="36"/>
  <c r="S18" i="37"/>
  <c r="S19" i="37" s="1"/>
  <c r="L16" i="36"/>
  <c r="L18" i="37"/>
  <c r="L19" i="37" s="1"/>
  <c r="P16" i="36"/>
  <c r="P18" i="37"/>
  <c r="P19" i="37" s="1"/>
  <c r="K16" i="36"/>
  <c r="K18" i="37"/>
  <c r="K19" i="37" s="1"/>
  <c r="M16" i="36"/>
  <c r="M18" i="37"/>
  <c r="M19" i="37" s="1"/>
  <c r="N16" i="36"/>
  <c r="N18" i="37"/>
  <c r="N19" i="37" s="1"/>
  <c r="W16" i="36"/>
  <c r="W18" i="37"/>
  <c r="W19" i="37" s="1"/>
  <c r="J16" i="36"/>
  <c r="J18" i="37"/>
  <c r="J19" i="37" s="1"/>
  <c r="W26" i="36"/>
  <c r="W28" i="37"/>
  <c r="W29" i="37" s="1"/>
  <c r="P26" i="36"/>
  <c r="P27" i="36" s="1"/>
  <c r="P28" i="37"/>
  <c r="P29" i="37" s="1"/>
  <c r="S26" i="36"/>
  <c r="S27" i="36" s="1"/>
  <c r="S28" i="37"/>
  <c r="S29" i="37" s="1"/>
  <c r="Y26" i="36"/>
  <c r="Y27" i="36" s="1"/>
  <c r="Y28" i="37"/>
  <c r="Y29" i="37" s="1"/>
  <c r="L26" i="36"/>
  <c r="L28" i="37"/>
  <c r="L29" i="37" s="1"/>
  <c r="Q46" i="36"/>
  <c r="Q48" i="37"/>
  <c r="Q49" i="37" s="1"/>
  <c r="M46" i="36"/>
  <c r="M47" i="36" s="1"/>
  <c r="M48" i="37"/>
  <c r="M49" i="37" s="1"/>
  <c r="W46" i="36"/>
  <c r="W48" i="37"/>
  <c r="W49" i="37" s="1"/>
  <c r="G46" i="36"/>
  <c r="G48" i="37"/>
  <c r="G49" i="37" s="1"/>
  <c r="K17" i="36"/>
  <c r="M17" i="36"/>
  <c r="W17" i="36"/>
  <c r="J17" i="36"/>
  <c r="G17" i="36"/>
  <c r="R17" i="36"/>
  <c r="X17" i="36"/>
  <c r="G27" i="36"/>
  <c r="H27" i="36"/>
  <c r="N27" i="36"/>
  <c r="R27" i="36"/>
  <c r="T47" i="36"/>
  <c r="H47" i="36"/>
  <c r="V47" i="36"/>
  <c r="H17" i="36"/>
  <c r="S17" i="36"/>
  <c r="I17" i="36"/>
  <c r="W27" i="36"/>
  <c r="L27" i="36"/>
  <c r="O47" i="36"/>
  <c r="L47" i="36"/>
  <c r="I47" i="36"/>
  <c r="U47" i="36"/>
  <c r="O17" i="36"/>
  <c r="L17" i="36"/>
  <c r="U17" i="36"/>
  <c r="P17" i="36"/>
  <c r="Q17" i="36"/>
  <c r="K27" i="36"/>
  <c r="J27" i="36"/>
  <c r="Q27" i="36"/>
  <c r="T27" i="36"/>
  <c r="P47" i="36"/>
  <c r="K47" i="36"/>
  <c r="N47" i="36"/>
  <c r="N17" i="36"/>
  <c r="I27" i="36"/>
  <c r="M27" i="36"/>
  <c r="U27" i="36"/>
  <c r="O27" i="36"/>
  <c r="Q47" i="36"/>
  <c r="W47" i="36"/>
  <c r="G47" i="36"/>
  <c r="V153" i="31"/>
  <c r="V154" i="31"/>
  <c r="R153" i="31"/>
  <c r="R154" i="31"/>
  <c r="F154" i="31"/>
  <c r="F153" i="31"/>
  <c r="W153" i="31"/>
  <c r="W154" i="31"/>
  <c r="T153" i="31"/>
  <c r="T154" i="31"/>
  <c r="M153" i="31"/>
  <c r="M154" i="31"/>
  <c r="J154" i="31"/>
  <c r="J153" i="31"/>
  <c r="H154" i="31"/>
  <c r="H153" i="31"/>
  <c r="G153" i="31"/>
  <c r="G154" i="31"/>
  <c r="S154" i="31"/>
  <c r="S153" i="31"/>
  <c r="N154" i="31"/>
  <c r="N153" i="31"/>
  <c r="I154" i="31"/>
  <c r="I153" i="31"/>
  <c r="Q154" i="31"/>
  <c r="Q153" i="31"/>
  <c r="P153" i="31"/>
  <c r="P154" i="31"/>
  <c r="L154" i="31"/>
  <c r="L153" i="31"/>
  <c r="N7" i="30"/>
  <c r="O7" i="30"/>
  <c r="O154" i="31"/>
  <c r="O153" i="31"/>
  <c r="K153" i="31"/>
  <c r="K154" i="31"/>
  <c r="U154" i="31"/>
  <c r="U153" i="31"/>
  <c r="F48" i="37"/>
  <c r="F49" i="37" s="1"/>
  <c r="E154" i="31"/>
  <c r="E153" i="31"/>
  <c r="J54" i="31"/>
  <c r="J55" i="31"/>
  <c r="S54" i="31"/>
  <c r="S55" i="31"/>
  <c r="N55" i="31"/>
  <c r="N54" i="31"/>
  <c r="O55" i="31"/>
  <c r="O54" i="31"/>
  <c r="T55" i="31"/>
  <c r="T54" i="31"/>
  <c r="I88" i="31"/>
  <c r="I87" i="31"/>
  <c r="H88" i="31"/>
  <c r="H87" i="31"/>
  <c r="O87" i="31"/>
  <c r="O88" i="31"/>
  <c r="T88" i="31"/>
  <c r="T87" i="31"/>
  <c r="R88" i="31"/>
  <c r="R87" i="31"/>
  <c r="N4" i="30"/>
  <c r="O4" i="30"/>
  <c r="I54" i="31"/>
  <c r="I55" i="31"/>
  <c r="K54" i="31"/>
  <c r="K55" i="31"/>
  <c r="L54" i="31"/>
  <c r="L55" i="31"/>
  <c r="U55" i="31"/>
  <c r="U54" i="31"/>
  <c r="H54" i="31"/>
  <c r="H55" i="31"/>
  <c r="G88" i="31"/>
  <c r="G87" i="31"/>
  <c r="K88" i="31"/>
  <c r="K87" i="31"/>
  <c r="F28" i="37"/>
  <c r="F29" i="37" s="1"/>
  <c r="S88" i="31"/>
  <c r="S87" i="31"/>
  <c r="M87" i="31"/>
  <c r="M88" i="31"/>
  <c r="R55" i="31"/>
  <c r="R54" i="31"/>
  <c r="E54" i="31"/>
  <c r="E55" i="31"/>
  <c r="P55" i="31"/>
  <c r="P54" i="31"/>
  <c r="V55" i="31"/>
  <c r="V54" i="31"/>
  <c r="F18" i="37"/>
  <c r="F19" i="37" s="1"/>
  <c r="O5" i="30"/>
  <c r="E88" i="31"/>
  <c r="E87" i="31"/>
  <c r="F88" i="31"/>
  <c r="F87" i="31"/>
  <c r="V88" i="31"/>
  <c r="V87" i="31"/>
  <c r="L88" i="31"/>
  <c r="L87" i="31"/>
  <c r="P87" i="31"/>
  <c r="P88" i="31"/>
  <c r="F54" i="31"/>
  <c r="F55" i="31"/>
  <c r="M55" i="31"/>
  <c r="M54" i="31"/>
  <c r="Q54" i="31"/>
  <c r="Q55" i="31"/>
  <c r="W55" i="31"/>
  <c r="W54" i="31"/>
  <c r="G54" i="31"/>
  <c r="G55" i="31"/>
  <c r="N5" i="30"/>
  <c r="U87" i="31"/>
  <c r="U88" i="31"/>
  <c r="N88" i="31"/>
  <c r="N87" i="31"/>
  <c r="Q88" i="31"/>
  <c r="Q87" i="31"/>
  <c r="W87" i="31"/>
  <c r="W88" i="31"/>
  <c r="J88" i="31"/>
  <c r="J87" i="31"/>
  <c r="C21" i="37" l="1"/>
  <c r="C59" i="37" s="1"/>
  <c r="C22" i="37"/>
  <c r="B59" i="37" s="1"/>
  <c r="C32" i="37"/>
  <c r="B60" i="37" s="1"/>
  <c r="C31" i="37"/>
  <c r="C60" i="37" s="1"/>
  <c r="C51" i="37"/>
  <c r="C62" i="37" s="1"/>
  <c r="C52" i="37"/>
  <c r="B62" i="37" s="1"/>
  <c r="F16" i="36"/>
  <c r="K62" i="31"/>
  <c r="O62" i="31"/>
  <c r="S62" i="31"/>
  <c r="W62" i="31"/>
  <c r="AA62" i="31"/>
  <c r="K63" i="31"/>
  <c r="O63" i="31"/>
  <c r="S63" i="31"/>
  <c r="W63" i="31"/>
  <c r="AA63" i="31"/>
  <c r="L62" i="31"/>
  <c r="P62" i="31"/>
  <c r="T62" i="31"/>
  <c r="X62" i="31"/>
  <c r="AB62" i="31"/>
  <c r="L63" i="31"/>
  <c r="P63" i="31"/>
  <c r="T63" i="31"/>
  <c r="X63" i="31"/>
  <c r="AB63" i="31"/>
  <c r="I62" i="31"/>
  <c r="M62" i="31"/>
  <c r="Q62" i="31"/>
  <c r="U62" i="31"/>
  <c r="Y62" i="31"/>
  <c r="I63" i="31"/>
  <c r="M63" i="31"/>
  <c r="Q63" i="31"/>
  <c r="U63" i="31"/>
  <c r="Y63" i="31"/>
  <c r="J62" i="31"/>
  <c r="N62" i="31"/>
  <c r="R62" i="31"/>
  <c r="V62" i="31"/>
  <c r="Z62" i="31"/>
  <c r="J63" i="31"/>
  <c r="N63" i="31"/>
  <c r="R63" i="31"/>
  <c r="V63" i="31"/>
  <c r="Z63" i="31"/>
  <c r="J95" i="31"/>
  <c r="N95" i="31"/>
  <c r="R95" i="31"/>
  <c r="V95" i="31"/>
  <c r="Z95" i="31"/>
  <c r="K95" i="31"/>
  <c r="O95" i="31"/>
  <c r="S95" i="31"/>
  <c r="L95" i="31"/>
  <c r="P95" i="31"/>
  <c r="T95" i="31"/>
  <c r="X95" i="31"/>
  <c r="F26" i="36"/>
  <c r="F27" i="36" s="1"/>
  <c r="I95" i="31"/>
  <c r="M95" i="31"/>
  <c r="Q95" i="31"/>
  <c r="AA95" i="31"/>
  <c r="K96" i="31"/>
  <c r="O96" i="31"/>
  <c r="S96" i="31"/>
  <c r="W96" i="31"/>
  <c r="AA96" i="31"/>
  <c r="U95" i="31"/>
  <c r="AB95" i="31"/>
  <c r="L96" i="31"/>
  <c r="P96" i="31"/>
  <c r="T96" i="31"/>
  <c r="X96" i="31"/>
  <c r="AB96" i="31"/>
  <c r="W95" i="31"/>
  <c r="I96" i="31"/>
  <c r="M96" i="31"/>
  <c r="Q96" i="31"/>
  <c r="U96" i="31"/>
  <c r="Y96" i="31"/>
  <c r="Y95" i="31"/>
  <c r="J96" i="31"/>
  <c r="N96" i="31"/>
  <c r="R96" i="31"/>
  <c r="V96" i="31"/>
  <c r="Z96" i="31"/>
  <c r="F46" i="36"/>
  <c r="F47" i="36" s="1"/>
  <c r="C50" i="36" s="1"/>
  <c r="B60" i="36" s="1"/>
  <c r="F161" i="31"/>
  <c r="J161" i="31"/>
  <c r="N161" i="31"/>
  <c r="R161" i="31"/>
  <c r="V161" i="31"/>
  <c r="Z161" i="31"/>
  <c r="F162" i="31"/>
  <c r="J162" i="31"/>
  <c r="N162" i="31"/>
  <c r="R162" i="31"/>
  <c r="V162" i="31"/>
  <c r="Z162" i="31"/>
  <c r="D161" i="31"/>
  <c r="G161" i="31"/>
  <c r="K161" i="31"/>
  <c r="O161" i="31"/>
  <c r="S161" i="31"/>
  <c r="W161" i="31"/>
  <c r="AA161" i="31"/>
  <c r="G162" i="31"/>
  <c r="K162" i="31"/>
  <c r="O162" i="31"/>
  <c r="S162" i="31"/>
  <c r="W162" i="31"/>
  <c r="AA162" i="31"/>
  <c r="H161" i="31"/>
  <c r="L161" i="31"/>
  <c r="P161" i="31"/>
  <c r="T161" i="31"/>
  <c r="X161" i="31"/>
  <c r="AB161" i="31"/>
  <c r="H162" i="31"/>
  <c r="L162" i="31"/>
  <c r="P162" i="31"/>
  <c r="T162" i="31"/>
  <c r="X162" i="31"/>
  <c r="AB162" i="31"/>
  <c r="E161" i="31"/>
  <c r="I161" i="31"/>
  <c r="M161" i="31"/>
  <c r="Q161" i="31"/>
  <c r="U161" i="31"/>
  <c r="Y161" i="31"/>
  <c r="E162" i="31"/>
  <c r="I162" i="31"/>
  <c r="M162" i="31"/>
  <c r="Q162" i="31"/>
  <c r="U162" i="31"/>
  <c r="Y162" i="31"/>
  <c r="D162" i="31"/>
  <c r="B58" i="31"/>
  <c r="H16" i="30" s="1"/>
  <c r="B59" i="31"/>
  <c r="I16" i="30" s="1"/>
  <c r="B92" i="31"/>
  <c r="I17" i="30" s="1"/>
  <c r="B91" i="31"/>
  <c r="H17" i="30" s="1"/>
  <c r="B158" i="31"/>
  <c r="I19" i="30" s="1"/>
  <c r="B157" i="31"/>
  <c r="H19" i="30" s="1"/>
  <c r="F17" i="36"/>
  <c r="K5" i="30"/>
  <c r="J5" i="30"/>
  <c r="K7" i="30"/>
  <c r="I7" i="30"/>
  <c r="I4" i="30"/>
  <c r="K4" i="30"/>
  <c r="M4" i="30"/>
  <c r="L4" i="30"/>
  <c r="M5" i="30"/>
  <c r="L5" i="30"/>
  <c r="J4" i="30"/>
  <c r="H4" i="30"/>
  <c r="M7" i="30"/>
  <c r="L7" i="30"/>
  <c r="J7" i="30"/>
  <c r="H7" i="30"/>
  <c r="D153" i="31"/>
  <c r="D154" i="31"/>
  <c r="G7" i="30"/>
  <c r="L19" i="30"/>
  <c r="AC153" i="31"/>
  <c r="AC154" i="31"/>
  <c r="D19" i="30"/>
  <c r="D7" i="30"/>
  <c r="F7" i="30"/>
  <c r="I5" i="30"/>
  <c r="AC54" i="31"/>
  <c r="AC55" i="31"/>
  <c r="D16" i="30"/>
  <c r="D96" i="31"/>
  <c r="M17" i="30" s="1"/>
  <c r="E96" i="31"/>
  <c r="E95" i="31"/>
  <c r="G96" i="31"/>
  <c r="D88" i="31"/>
  <c r="H96" i="31"/>
  <c r="D95" i="31"/>
  <c r="L17" i="30" s="1"/>
  <c r="D87" i="31"/>
  <c r="H95" i="31"/>
  <c r="F96" i="31"/>
  <c r="G95" i="31"/>
  <c r="F95" i="31"/>
  <c r="G4" i="30"/>
  <c r="H5" i="30"/>
  <c r="D5" i="30"/>
  <c r="F5" i="30"/>
  <c r="AC88" i="31"/>
  <c r="AC87" i="31"/>
  <c r="D17" i="30"/>
  <c r="F4" i="30"/>
  <c r="G5" i="30"/>
  <c r="D55" i="31"/>
  <c r="B60" i="31" s="1"/>
  <c r="D63" i="31"/>
  <c r="D62" i="31"/>
  <c r="G63" i="31"/>
  <c r="E63" i="31"/>
  <c r="D54" i="31"/>
  <c r="F63" i="31"/>
  <c r="H62" i="31"/>
  <c r="H63" i="31"/>
  <c r="G62" i="31"/>
  <c r="E62" i="31"/>
  <c r="F62" i="31"/>
  <c r="D4" i="30"/>
  <c r="B61" i="31" l="1"/>
  <c r="G16" i="30" s="1"/>
  <c r="B57" i="31"/>
  <c r="K16" i="30" s="1"/>
  <c r="B160" i="31"/>
  <c r="G19" i="30" s="1"/>
  <c r="B156" i="31"/>
  <c r="K19" i="30" s="1"/>
  <c r="F16" i="30"/>
  <c r="B56" i="31"/>
  <c r="J16" i="30" s="1"/>
  <c r="B89" i="31"/>
  <c r="J17" i="30" s="1"/>
  <c r="B93" i="31"/>
  <c r="F17" i="30" s="1"/>
  <c r="B94" i="31"/>
  <c r="G17" i="30" s="1"/>
  <c r="B90" i="31"/>
  <c r="K17" i="30" s="1"/>
  <c r="B159" i="31"/>
  <c r="F19" i="30" s="1"/>
  <c r="B155" i="31"/>
  <c r="J19" i="30" s="1"/>
  <c r="M16" i="30"/>
  <c r="M19" i="30"/>
  <c r="C49" i="36"/>
  <c r="C60" i="36" s="1"/>
  <c r="C30" i="36"/>
  <c r="B58" i="36" s="1"/>
  <c r="C29" i="36"/>
  <c r="C58" i="36" s="1"/>
  <c r="C20" i="36"/>
  <c r="B57" i="36" s="1"/>
  <c r="C19" i="36"/>
  <c r="C57" i="36" s="1"/>
  <c r="L16" i="30"/>
  <c r="Q7" i="30"/>
  <c r="R7" i="30"/>
  <c r="Q5" i="30"/>
  <c r="R5" i="30"/>
  <c r="R4" i="30"/>
  <c r="Q4" i="30"/>
  <c r="P7" i="30" l="1"/>
  <c r="P5" i="30"/>
  <c r="P4" i="30"/>
  <c r="AB43" i="2"/>
  <c r="AC38" i="2"/>
  <c r="AC34" i="2" s="1"/>
  <c r="AC26" i="2"/>
  <c r="AB45" i="2"/>
  <c r="AB95" i="2"/>
  <c r="AB70" i="2"/>
  <c r="AB71" i="2"/>
  <c r="AB97" i="2" s="1"/>
  <c r="AC80" i="2"/>
  <c r="AC83" i="2"/>
  <c r="AC86" i="2"/>
  <c r="AC89" i="2"/>
  <c r="AC77" i="2"/>
  <c r="AC92" i="2"/>
  <c r="AC78" i="2"/>
  <c r="AC79" i="2" s="1"/>
  <c r="AD78" i="2"/>
  <c r="AC75" i="2"/>
  <c r="AC76" i="2" s="1"/>
  <c r="AC81" i="2"/>
  <c r="AC82" i="2" s="1"/>
  <c r="AD83" i="2" s="1"/>
  <c r="AC84" i="2"/>
  <c r="AC87" i="2"/>
  <c r="AD87" i="2" s="1"/>
  <c r="AC90" i="2"/>
  <c r="AC91" i="2" s="1"/>
  <c r="AD90" i="2"/>
  <c r="AE90" i="2" s="1"/>
  <c r="AC28" i="2"/>
  <c r="AD31" i="2" s="1"/>
  <c r="AD26" i="2" l="1"/>
  <c r="AD32" i="2"/>
  <c r="AD30" i="2" s="1"/>
  <c r="AD47" i="2" s="1"/>
  <c r="AB40" i="2"/>
  <c r="AB42" i="2" s="1"/>
  <c r="AD28" i="2"/>
  <c r="AD38" i="2"/>
  <c r="AC53" i="2"/>
  <c r="AC71" i="2"/>
  <c r="AC97" i="2" s="1"/>
  <c r="AC45" i="2"/>
  <c r="AC24" i="2"/>
  <c r="AD45" i="2"/>
  <c r="AD24" i="2"/>
  <c r="AC95" i="2"/>
  <c r="AF90" i="2"/>
  <c r="AE87" i="2"/>
  <c r="AE78" i="2"/>
  <c r="AD79" i="2"/>
  <c r="AE80" i="2" s="1"/>
  <c r="AD92" i="2"/>
  <c r="AD95" i="2"/>
  <c r="AD77" i="2"/>
  <c r="AC88" i="2"/>
  <c r="AD91" i="2"/>
  <c r="AE92" i="2" s="1"/>
  <c r="AC85" i="2"/>
  <c r="AD84" i="2"/>
  <c r="AD80" i="2"/>
  <c r="AC46" i="2"/>
  <c r="AD81" i="2"/>
  <c r="AD75" i="2"/>
  <c r="AC94" i="2"/>
  <c r="AB46" i="2"/>
  <c r="AC43" i="2"/>
  <c r="G3" i="30" s="1"/>
  <c r="AC40" i="2"/>
  <c r="AC42" i="2" s="1"/>
  <c r="AB53" i="2"/>
  <c r="AB94" i="2"/>
  <c r="AB96" i="2" s="1"/>
  <c r="AB98" i="2" s="1"/>
  <c r="AB100" i="2" s="1"/>
  <c r="AD34" i="2" l="1"/>
  <c r="F3" i="30"/>
  <c r="AE32" i="2"/>
  <c r="AE31" i="2"/>
  <c r="AE26" i="2"/>
  <c r="AE24" i="2" s="1"/>
  <c r="AE38" i="2"/>
  <c r="AE34" i="2" s="1"/>
  <c r="AD53" i="2"/>
  <c r="AC96" i="2"/>
  <c r="AE28" i="2"/>
  <c r="AD43" i="2"/>
  <c r="AC98" i="2"/>
  <c r="AC100" i="2" s="1"/>
  <c r="AC101" i="2" s="1"/>
  <c r="AC102" i="2" s="1"/>
  <c r="AD76" i="2"/>
  <c r="AE75" i="2"/>
  <c r="AF26" i="2"/>
  <c r="AF24" i="2" s="1"/>
  <c r="AF87" i="2"/>
  <c r="AD82" i="2"/>
  <c r="AE81" i="2"/>
  <c r="AD89" i="2"/>
  <c r="AE79" i="2"/>
  <c r="AF78" i="2"/>
  <c r="AE95" i="2"/>
  <c r="AE45" i="2"/>
  <c r="AE91" i="2"/>
  <c r="AB101" i="2"/>
  <c r="AB102" i="2" s="1"/>
  <c r="AB55" i="2"/>
  <c r="AB48" i="2"/>
  <c r="AB57" i="2"/>
  <c r="AC57" i="2"/>
  <c r="AC48" i="2"/>
  <c r="AC55" i="2"/>
  <c r="AE84" i="2"/>
  <c r="AD85" i="2"/>
  <c r="AE86" i="2" s="1"/>
  <c r="AE46" i="2"/>
  <c r="AE94" i="2"/>
  <c r="AE43" i="2"/>
  <c r="AF91" i="2"/>
  <c r="AG90" i="2"/>
  <c r="AD86" i="2"/>
  <c r="AD88" i="2"/>
  <c r="AE89" i="2" s="1"/>
  <c r="AC70" i="2"/>
  <c r="AD40" i="2" l="1"/>
  <c r="AD42" i="2" s="1"/>
  <c r="AD46" i="2"/>
  <c r="AD94" i="2"/>
  <c r="AD96" i="2" s="1"/>
  <c r="AF32" i="2"/>
  <c r="AF31" i="2"/>
  <c r="AE30" i="2"/>
  <c r="AF28" i="2"/>
  <c r="AF38" i="2"/>
  <c r="AF34" i="2" s="1"/>
  <c r="AD71" i="2"/>
  <c r="AD97" i="2" s="1"/>
  <c r="AE96" i="2"/>
  <c r="AG92" i="2"/>
  <c r="AC112" i="2"/>
  <c r="AC103" i="2"/>
  <c r="AC104" i="2" s="1"/>
  <c r="AC108" i="2"/>
  <c r="AC110" i="2"/>
  <c r="AB110" i="2"/>
  <c r="AB112" i="2"/>
  <c r="AB103" i="2"/>
  <c r="AB104" i="2" s="1"/>
  <c r="AB108" i="2"/>
  <c r="AF80" i="2"/>
  <c r="AE88" i="2"/>
  <c r="AF88" i="2" s="1"/>
  <c r="AF46" i="2"/>
  <c r="AF94" i="2"/>
  <c r="AG91" i="2"/>
  <c r="AH92" i="2" s="1"/>
  <c r="AH90" i="2"/>
  <c r="AG87" i="2"/>
  <c r="AF92" i="2"/>
  <c r="AE57" i="2"/>
  <c r="AE82" i="2"/>
  <c r="AF83" i="2" s="1"/>
  <c r="AF81" i="2"/>
  <c r="AF45" i="2"/>
  <c r="AF95" i="2"/>
  <c r="AE76" i="2"/>
  <c r="AF75" i="2"/>
  <c r="AE85" i="2"/>
  <c r="AF84" i="2"/>
  <c r="AF79" i="2"/>
  <c r="AG78" i="2"/>
  <c r="AE83" i="2"/>
  <c r="AG26" i="2"/>
  <c r="AG24" i="2" s="1"/>
  <c r="AG38" i="2"/>
  <c r="AG34" i="2" s="1"/>
  <c r="AG28" i="2"/>
  <c r="AD70" i="2"/>
  <c r="AE77" i="2"/>
  <c r="AD55" i="2" l="1"/>
  <c r="AD57" i="2"/>
  <c r="AD48" i="2"/>
  <c r="AD98" i="2"/>
  <c r="AD100" i="2" s="1"/>
  <c r="AH32" i="2"/>
  <c r="AH30" i="2" s="1"/>
  <c r="AH47" i="2" s="1"/>
  <c r="AH31" i="2"/>
  <c r="AG32" i="2"/>
  <c r="AG31" i="2"/>
  <c r="AE47" i="2"/>
  <c r="AE53" i="2"/>
  <c r="AE40" i="2"/>
  <c r="AE42" i="2" s="1"/>
  <c r="AF53" i="2"/>
  <c r="AF30" i="2"/>
  <c r="AF43" i="2"/>
  <c r="AF89" i="2"/>
  <c r="AE70" i="2"/>
  <c r="AG89" i="2"/>
  <c r="AE71" i="2"/>
  <c r="AE97" i="2" s="1"/>
  <c r="AE98" i="2" s="1"/>
  <c r="AE100" i="2" s="1"/>
  <c r="AE101" i="2" s="1"/>
  <c r="AE102" i="2" s="1"/>
  <c r="AG79" i="2"/>
  <c r="AH80" i="2" s="1"/>
  <c r="AH78" i="2"/>
  <c r="AF76" i="2"/>
  <c r="AG77" i="2" s="1"/>
  <c r="AG75" i="2"/>
  <c r="AF82" i="2"/>
  <c r="AG81" i="2"/>
  <c r="AH91" i="2"/>
  <c r="AG80" i="2"/>
  <c r="AH26" i="2"/>
  <c r="AH24" i="2" s="1"/>
  <c r="AH28" i="2"/>
  <c r="AH38" i="2"/>
  <c r="AH34" i="2" s="1"/>
  <c r="AG46" i="2"/>
  <c r="AG43" i="2"/>
  <c r="AG94" i="2"/>
  <c r="AF85" i="2"/>
  <c r="AG86" i="2" s="1"/>
  <c r="AG84" i="2"/>
  <c r="AD101" i="2"/>
  <c r="AD102" i="2" s="1"/>
  <c r="AF96" i="2"/>
  <c r="AF57" i="2"/>
  <c r="AF77" i="2"/>
  <c r="AG95" i="2"/>
  <c r="AG45" i="2"/>
  <c r="AF86" i="2"/>
  <c r="AG88" i="2"/>
  <c r="AH89" i="2" s="1"/>
  <c r="AH87" i="2"/>
  <c r="AG30" i="2" l="1"/>
  <c r="AF47" i="2"/>
  <c r="AF40" i="2"/>
  <c r="AF42" i="2" s="1"/>
  <c r="AE55" i="2"/>
  <c r="AE48" i="2"/>
  <c r="AH88" i="2"/>
  <c r="AD112" i="2"/>
  <c r="AD103" i="2"/>
  <c r="AD104" i="2" s="1"/>
  <c r="AD108" i="2"/>
  <c r="AD110" i="2"/>
  <c r="AE112" i="2"/>
  <c r="AE108" i="2"/>
  <c r="AE103" i="2"/>
  <c r="AE104" i="2" s="1"/>
  <c r="AE110" i="2"/>
  <c r="AG96" i="2"/>
  <c r="AH46" i="2"/>
  <c r="AH53" i="2"/>
  <c r="AH43" i="2"/>
  <c r="AH94" i="2"/>
  <c r="AH40" i="2"/>
  <c r="AH42" i="2" s="1"/>
  <c r="AF70" i="2"/>
  <c r="AF71" i="2"/>
  <c r="AF97" i="2" s="1"/>
  <c r="AF98" i="2" s="1"/>
  <c r="AF100" i="2" s="1"/>
  <c r="AH84" i="2"/>
  <c r="AG85" i="2"/>
  <c r="AH86" i="2" s="1"/>
  <c r="AG82" i="2"/>
  <c r="AH83" i="2" s="1"/>
  <c r="AH81" i="2"/>
  <c r="AH79" i="2"/>
  <c r="AH45" i="2"/>
  <c r="AH95" i="2"/>
  <c r="AG57" i="2"/>
  <c r="AG76" i="2"/>
  <c r="AH75" i="2"/>
  <c r="AH76" i="2" s="1"/>
  <c r="AG83" i="2"/>
  <c r="AG71" i="2" s="1"/>
  <c r="AG97" i="2" s="1"/>
  <c r="AF48" i="2" l="1"/>
  <c r="AF55" i="2"/>
  <c r="AG47" i="2"/>
  <c r="AG40" i="2"/>
  <c r="AG42" i="2" s="1"/>
  <c r="C50" i="2" s="1"/>
  <c r="H3" i="30" s="1"/>
  <c r="AG53" i="2"/>
  <c r="AG70" i="2"/>
  <c r="AH85" i="2"/>
  <c r="C60" i="2"/>
  <c r="J3" i="30" s="1"/>
  <c r="C58" i="2"/>
  <c r="M3" i="30" s="1"/>
  <c r="C56" i="2"/>
  <c r="L3" i="30" s="1"/>
  <c r="AH82" i="2"/>
  <c r="AH70" i="2" s="1"/>
  <c r="C62" i="2"/>
  <c r="K3" i="30" s="1"/>
  <c r="C51" i="2"/>
  <c r="I3" i="30" s="1"/>
  <c r="AF101" i="2"/>
  <c r="AF102" i="2" s="1"/>
  <c r="AH77" i="2"/>
  <c r="AH71" i="2" s="1"/>
  <c r="AH97" i="2" s="1"/>
  <c r="AH48" i="2"/>
  <c r="AH55" i="2"/>
  <c r="AH57" i="2"/>
  <c r="AH96" i="2"/>
  <c r="AG98" i="2"/>
  <c r="AG100" i="2" s="1"/>
  <c r="AG48" i="2" l="1"/>
  <c r="AG55" i="2"/>
  <c r="AF103" i="2"/>
  <c r="AF104" i="2" s="1"/>
  <c r="AF108" i="2"/>
  <c r="AF112" i="2"/>
  <c r="AF110" i="2"/>
  <c r="AG101" i="2"/>
  <c r="AG102" i="2" s="1"/>
  <c r="AH98" i="2"/>
  <c r="AH100" i="2" s="1"/>
  <c r="AG112" i="2" l="1"/>
  <c r="AG110" i="2"/>
  <c r="AG103" i="2"/>
  <c r="AG104" i="2" s="1"/>
  <c r="AG108" i="2"/>
  <c r="AH101" i="2"/>
  <c r="AH102" i="2" s="1"/>
  <c r="AH108" i="2" l="1"/>
  <c r="AH103" i="2"/>
  <c r="AH104" i="2" s="1"/>
  <c r="AH112" i="2"/>
  <c r="AH110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Andrea M. Bassi</author>
  </authors>
  <commentList>
    <comment ref="C104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Andrea M. Bassi:</t>
        </r>
        <r>
          <rPr>
            <sz val="9"/>
            <color indexed="81"/>
            <rFont val="Tahoma"/>
            <family val="2"/>
          </rPr>
          <t xml:space="preserve">
Avoided soil loss not considered to avoid double counting with additional productivity and production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Andrea M. Bassi</author>
  </authors>
  <commentList>
    <comment ref="C104" authorId="0" shapeId="0" xr:uid="{4661680C-E1E4-453E-A5A6-C3054E100806}">
      <text>
        <r>
          <rPr>
            <b/>
            <sz val="9"/>
            <color indexed="81"/>
            <rFont val="Tahoma"/>
            <family val="2"/>
          </rPr>
          <t>Andrea M. Bassi:</t>
        </r>
        <r>
          <rPr>
            <sz val="9"/>
            <color indexed="81"/>
            <rFont val="Tahoma"/>
            <family val="2"/>
          </rPr>
          <t xml:space="preserve">
Avoided soil loss not considered to avoid double counting with additional productivity and production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Andrea M. Bassi</author>
  </authors>
  <commentList>
    <comment ref="C104" authorId="0" shapeId="0" xr:uid="{ED2B201B-7298-4CAA-B606-105AF758A727}">
      <text>
        <r>
          <rPr>
            <b/>
            <sz val="9"/>
            <color indexed="81"/>
            <rFont val="Tahoma"/>
            <family val="2"/>
          </rPr>
          <t>Andrea M. Bassi:</t>
        </r>
        <r>
          <rPr>
            <sz val="9"/>
            <color indexed="81"/>
            <rFont val="Tahoma"/>
            <family val="2"/>
          </rPr>
          <t xml:space="preserve">
Avoided soil loss not considered to avoid double counting with additional productivity and production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Andrea M. Bassi</author>
  </authors>
  <commentList>
    <comment ref="C104" authorId="0" shapeId="0" xr:uid="{3FC143EB-0E57-4A0E-9B13-932A2EB2C97F}">
      <text>
        <r>
          <rPr>
            <b/>
            <sz val="9"/>
            <color indexed="81"/>
            <rFont val="Tahoma"/>
            <family val="2"/>
          </rPr>
          <t>Andrea M. Bassi:</t>
        </r>
        <r>
          <rPr>
            <sz val="9"/>
            <color indexed="81"/>
            <rFont val="Tahoma"/>
            <family val="2"/>
          </rPr>
          <t xml:space="preserve">
Avoided soil loss not considered to avoid double counting with additional productivity and production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Andrea M. Bassi</author>
  </authors>
  <commentList>
    <comment ref="C104" authorId="0" shapeId="0" xr:uid="{8C4CC598-5ADE-497B-B3B3-3E024FC03382}">
      <text>
        <r>
          <rPr>
            <b/>
            <sz val="9"/>
            <color indexed="81"/>
            <rFont val="Tahoma"/>
            <family val="2"/>
          </rPr>
          <t>Andrea M. Bassi:</t>
        </r>
        <r>
          <rPr>
            <sz val="9"/>
            <color indexed="81"/>
            <rFont val="Tahoma"/>
            <family val="2"/>
          </rPr>
          <t xml:space="preserve">
Avoided soil loss not considered to avoid double counting with additional productivity and production</t>
        </r>
      </text>
    </comment>
  </commentList>
</comments>
</file>

<file path=xl/sharedStrings.xml><?xml version="1.0" encoding="utf-8"?>
<sst xmlns="http://schemas.openxmlformats.org/spreadsheetml/2006/main" count="1254" uniqueCount="182">
  <si>
    <t>Burkina Faso</t>
  </si>
  <si>
    <t>Annual Budget (USD $)</t>
  </si>
  <si>
    <t>Y1</t>
  </si>
  <si>
    <t>Y2</t>
  </si>
  <si>
    <t>Y3</t>
  </si>
  <si>
    <t>Y4</t>
  </si>
  <si>
    <t>Y5</t>
  </si>
  <si>
    <t>Y6</t>
  </si>
  <si>
    <t>Value</t>
  </si>
  <si>
    <t>Unit</t>
  </si>
  <si>
    <t>Investment</t>
  </si>
  <si>
    <t>Capital cost</t>
  </si>
  <si>
    <t>USD</t>
  </si>
  <si>
    <t>Units</t>
  </si>
  <si>
    <t>Mali</t>
  </si>
  <si>
    <t>Budget for Operations</t>
  </si>
  <si>
    <t>Y7</t>
  </si>
  <si>
    <t>Y8</t>
  </si>
  <si>
    <t>Y9</t>
  </si>
  <si>
    <t>Y10</t>
  </si>
  <si>
    <t>Y11</t>
  </si>
  <si>
    <t>Y12</t>
  </si>
  <si>
    <t>Y13</t>
  </si>
  <si>
    <t>Y14</t>
  </si>
  <si>
    <t>Y15</t>
  </si>
  <si>
    <t>Y16</t>
  </si>
  <si>
    <t>Y17</t>
  </si>
  <si>
    <t>Y18</t>
  </si>
  <si>
    <t>Y19</t>
  </si>
  <si>
    <t>Y20</t>
  </si>
  <si>
    <t>Y21</t>
  </si>
  <si>
    <t>Y22</t>
  </si>
  <si>
    <t>Y23</t>
  </si>
  <si>
    <t>Y24</t>
  </si>
  <si>
    <t>Y25</t>
  </si>
  <si>
    <t>Y26</t>
  </si>
  <si>
    <t>Revenues</t>
  </si>
  <si>
    <t>USD/Year</t>
  </si>
  <si>
    <t>Distribution of budget across different interventions</t>
  </si>
  <si>
    <t>Discounting time series</t>
  </si>
  <si>
    <t>Year of discounting</t>
  </si>
  <si>
    <t>Year of operations</t>
  </si>
  <si>
    <t>Discounted net benefits</t>
  </si>
  <si>
    <t>Discount rate investments</t>
  </si>
  <si>
    <t>Discount rate externalities</t>
  </si>
  <si>
    <t>Discounting multiplier invesment and O&amp;M</t>
  </si>
  <si>
    <t>Discounting multiplier externalities</t>
  </si>
  <si>
    <t>Discounted investment and cost</t>
  </si>
  <si>
    <t>Financing:</t>
  </si>
  <si>
    <t>CPLTD</t>
  </si>
  <si>
    <t>Interest</t>
  </si>
  <si>
    <t>$</t>
  </si>
  <si>
    <t>Tenor</t>
  </si>
  <si>
    <t>Grace Period</t>
  </si>
  <si>
    <t>Cost of financing</t>
  </si>
  <si>
    <t>Total cost (O&amp;M)</t>
  </si>
  <si>
    <t>Margin / (EBITDA)</t>
  </si>
  <si>
    <t>(-) Interest expenses</t>
  </si>
  <si>
    <t>Operational Result (EBT)</t>
  </si>
  <si>
    <t>Profit before tax</t>
  </si>
  <si>
    <t>Project cashflow / Net revenue</t>
  </si>
  <si>
    <t>(+) Extraord. Income</t>
  </si>
  <si>
    <t>(-) Income tax</t>
  </si>
  <si>
    <t>Net profit</t>
  </si>
  <si>
    <t>Free Cash Flow</t>
  </si>
  <si>
    <t>Free Cash Flow (including externalities)</t>
  </si>
  <si>
    <t>Total Debt</t>
  </si>
  <si>
    <t>Dmnl</t>
  </si>
  <si>
    <t>%</t>
  </si>
  <si>
    <t>Years</t>
  </si>
  <si>
    <t>Discounted revenues</t>
  </si>
  <si>
    <t>Revenues generated</t>
  </si>
  <si>
    <t>Value of externalities</t>
  </si>
  <si>
    <t>Total investment</t>
  </si>
  <si>
    <t>Total items in year 1</t>
  </si>
  <si>
    <t>Budget available per year (for 6 years)</t>
  </si>
  <si>
    <t>Payback period</t>
  </si>
  <si>
    <t>Payback Period (Years)</t>
  </si>
  <si>
    <t>total</t>
  </si>
  <si>
    <t>Discount rate</t>
  </si>
  <si>
    <t>Total</t>
  </si>
  <si>
    <t>Net Benefit (including externalities)</t>
  </si>
  <si>
    <t>Net Benefit (excluding externalities)</t>
  </si>
  <si>
    <t>IRR</t>
  </si>
  <si>
    <t>NPV</t>
  </si>
  <si>
    <t>S-IRR</t>
  </si>
  <si>
    <t>BCR</t>
  </si>
  <si>
    <t>S-BCR</t>
  </si>
  <si>
    <t>S-NPV</t>
  </si>
  <si>
    <t>S-Payback Period</t>
  </si>
  <si>
    <t>S_NPV</t>
  </si>
  <si>
    <t>S-Payback Period (Years)</t>
  </si>
  <si>
    <t>Undiscounted net benefit with externalities</t>
  </si>
  <si>
    <t>Undiscounted net benefit without externalities</t>
  </si>
  <si>
    <t>Program</t>
  </si>
  <si>
    <t>S-IRR (lifetime)</t>
  </si>
  <si>
    <t>IRR (lifetime)</t>
  </si>
  <si>
    <t xml:space="preserve">S-Payback Period (Years) </t>
  </si>
  <si>
    <t>Investment available for the country</t>
  </si>
  <si>
    <t>Benefit to cost ratio (lifetime) / undiscounted</t>
  </si>
  <si>
    <t>Benefit to cost ratio (annual) / discounted</t>
  </si>
  <si>
    <t>Benefit to cost ratio (annual) / undiscounted</t>
  </si>
  <si>
    <t>Benefit to cost ratio (lifetime) / discounted</t>
  </si>
  <si>
    <t>S-IRR (5 years)</t>
  </si>
  <si>
    <t>IRR (5 years)</t>
  </si>
  <si>
    <t>Payback Period</t>
  </si>
  <si>
    <t>Income tax</t>
  </si>
  <si>
    <t>S-Benefit to cost ratio (annual) / discounted</t>
  </si>
  <si>
    <t>S-Benefit to cost ratio (lifetime) / discounted</t>
  </si>
  <si>
    <t>Total outstanding loan</t>
  </si>
  <si>
    <t>Interest rate Smallholders</t>
  </si>
  <si>
    <t>Interest rate SME</t>
  </si>
  <si>
    <t>Interest rate Cooperatives</t>
  </si>
  <si>
    <t>Debt Service Coverage Ratio - Farmers organizations</t>
  </si>
  <si>
    <t>Debt Coverage Ratio (DCR) (annual) - Farmers organizations</t>
  </si>
  <si>
    <t>Debt Coverage Ratio (DCR) (average) - Farmers organizations</t>
  </si>
  <si>
    <t>Debt Coverage Ratio (DCR) (annual) - MSMEs</t>
  </si>
  <si>
    <t>Debt Coverage Ratio (DCR) (average) - MSMEs</t>
  </si>
  <si>
    <t>Debt Coverage Ratio (DCR) (annual) - COOPERATIVES</t>
  </si>
  <si>
    <t>Debt Coverage Ratio (DCR) (average) - COOPERATIVES</t>
  </si>
  <si>
    <t>Debt Service Coverage Ratio - MSMEs</t>
  </si>
  <si>
    <t>Debt Service Coverage Ratio - COOPERATIVES</t>
  </si>
  <si>
    <t>Value chain #</t>
  </si>
  <si>
    <t>Ghana</t>
  </si>
  <si>
    <t>Ivory Coast</t>
  </si>
  <si>
    <t>Senegal</t>
  </si>
  <si>
    <t>Costs</t>
  </si>
  <si>
    <t>N/A</t>
  </si>
  <si>
    <t>Cost of the project</t>
  </si>
  <si>
    <t>Benefits</t>
  </si>
  <si>
    <t>Net annual benefits</t>
  </si>
  <si>
    <t>Minigrids</t>
  </si>
  <si>
    <t>O&amp;M costs</t>
  </si>
  <si>
    <t>Share of O&amp;M costs</t>
  </si>
  <si>
    <t>kWh per year</t>
  </si>
  <si>
    <t>minigrid</t>
  </si>
  <si>
    <t>Budget for new minigrid</t>
  </si>
  <si>
    <t>O&amp;M cost</t>
  </si>
  <si>
    <t>Burkina Faso 25 years</t>
  </si>
  <si>
    <t>Ghana 25 years</t>
  </si>
  <si>
    <t>Ivory Coast 25 years</t>
  </si>
  <si>
    <t>Mali 25 years</t>
  </si>
  <si>
    <t>Senegal 25 years</t>
  </si>
  <si>
    <t>Y27</t>
  </si>
  <si>
    <t>Y28</t>
  </si>
  <si>
    <t>Y29</t>
  </si>
  <si>
    <t>Y30</t>
  </si>
  <si>
    <t>Total minigrids (new investment)</t>
  </si>
  <si>
    <t>Total minigrids</t>
  </si>
  <si>
    <t>Energy price increase</t>
  </si>
  <si>
    <t>Direct benefits</t>
  </si>
  <si>
    <t>Indirect Benefits</t>
  </si>
  <si>
    <t>Indirect benefits</t>
  </si>
  <si>
    <t>Discounted externalities (Indirect benefits and Direct benefits)</t>
  </si>
  <si>
    <t>Total Indirect benefits and Direct benefits</t>
  </si>
  <si>
    <t>Indirect benefitss</t>
  </si>
  <si>
    <t>Average additional monthly income generated (USD)</t>
  </si>
  <si>
    <t>https://www.gogla.org/sites/default/files/resource_docs/powering_opportunity_west_africa_eng_0.pdf</t>
  </si>
  <si>
    <t>Assumed households served by 8 kWh</t>
  </si>
  <si>
    <t>Months in a year</t>
  </si>
  <si>
    <t>Project contribution</t>
  </si>
  <si>
    <t>One minigrid</t>
  </si>
  <si>
    <t>revenues -20%</t>
  </si>
  <si>
    <t>Time (years)</t>
  </si>
  <si>
    <t>Carbon Price</t>
  </si>
  <si>
    <t>Initial value</t>
  </si>
  <si>
    <t xml:space="preserve"> USD/ton</t>
  </si>
  <si>
    <t>Annual rate of change</t>
  </si>
  <si>
    <t>%/year</t>
  </si>
  <si>
    <t>Carbon price</t>
  </si>
  <si>
    <t>Carbon avoided</t>
  </si>
  <si>
    <t>Avoided carbon</t>
  </si>
  <si>
    <t>Avoided carbon emission</t>
  </si>
  <si>
    <t>Electricity cost BAU</t>
  </si>
  <si>
    <t>USD/minigrid</t>
  </si>
  <si>
    <t xml:space="preserve">Average additional income generated </t>
  </si>
  <si>
    <t>Emission savings</t>
  </si>
  <si>
    <t>Ton/minigrid/year</t>
  </si>
  <si>
    <t>USD/minigrid/year</t>
  </si>
  <si>
    <t xml:space="preserve">Total avoided tons of CO2 per kWh </t>
  </si>
  <si>
    <t xml:space="preserve"> (solar) USD/kWh</t>
  </si>
  <si>
    <t>(diesel) USD/kWh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</si>
</sst>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* #,##0.00\ &quot;€&quot;_-;\-* #,##0.00\ &quot;€&quot;_-;_-* &quot;-&quot;??\ &quot;€&quot;_-;_-@_-"/>
    <numFmt numFmtId="165" formatCode="0.0%"/>
    <numFmt numFmtId="166" formatCode="0.000"/>
    <numFmt numFmtId="167" formatCode="0.0"/>
    <numFmt numFmtId="168" formatCode="0\ &quot;years&quot;"/>
    <numFmt numFmtId="169" formatCode="&quot;$&quot;#,##0.00"/>
    <numFmt numFmtId="170" formatCode="&quot;$&quot;#,##0"/>
    <numFmt numFmtId="171" formatCode="#,##0.0"/>
    <numFmt numFmtId="172" formatCode="_([$$-409]* #,##0.00_);_([$$-409]* \(#,##0.00\);_([$$-409]* &quot;-&quot;??_);_(@_)"/>
    <numFmt numFmtId="173" formatCode="_(* #,##0_);_(* \(#,##0\);_(* &quot;-&quot;??_);_(@_)"/>
    <numFmt numFmtId="174" formatCode="_([$$-409]* #,##0_);_([$$-409]* \(#,##0\);_([$$-409]* &quot;-&quot;??_);_(@_)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u/>
      <sz val="10"/>
      <name val="Arial"/>
      <family val="2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8"/>
      <name val="Arial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b/>
      <sz val="20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color theme="1"/>
      <name val="Calibri"/>
      <family val="2"/>
      <scheme val="minor"/>
    </font>
    <font>
      <b/>
      <sz val="10"/>
      <color theme="0"/>
      <name val="Arial"/>
      <family val="2"/>
    </font>
    <font>
      <sz val="11"/>
      <color theme="0"/>
      <name val="Calibri"/>
      <family val="2"/>
      <scheme val="minor"/>
    </font>
    <font>
      <b/>
      <sz val="8"/>
      <name val="Arial"/>
      <family val="2"/>
    </font>
    <font>
      <b/>
      <sz val="8"/>
      <color theme="1"/>
      <name val="Calibri"/>
      <family val="2"/>
      <scheme val="minor"/>
    </font>
    <font>
      <b/>
      <sz val="8"/>
      <color theme="0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72C4F6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322">
    <xf numFmtId="0" fontId="0" fillId="0" borderId="0" xfId="0"/>
    <xf numFmtId="0" fontId="5" fillId="6" borderId="7" xfId="0" applyFont="1" applyFill="1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7" xfId="0" applyBorder="1" applyAlignment="1">
      <alignment horizontal="center"/>
    </xf>
    <xf numFmtId="0" fontId="2" fillId="0" borderId="0" xfId="0" applyFont="1"/>
    <xf numFmtId="0" fontId="0" fillId="8" borderId="16" xfId="0" applyFont="1" applyFill="1" applyBorder="1" applyAlignment="1"/>
    <xf numFmtId="0" fontId="5" fillId="0" borderId="7" xfId="0" applyFont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/>
    <xf numFmtId="0" fontId="0" fillId="0" borderId="7" xfId="0" applyFont="1" applyBorder="1" applyAlignment="1">
      <alignment horizontal="center"/>
    </xf>
    <xf numFmtId="0" fontId="0" fillId="0" borderId="0" xfId="0" applyFont="1"/>
    <xf numFmtId="2" fontId="2" fillId="0" borderId="0" xfId="0" applyNumberFormat="1" applyFont="1"/>
    <xf numFmtId="43" fontId="0" fillId="0" borderId="0" xfId="1" applyFont="1"/>
    <xf numFmtId="0" fontId="2" fillId="0" borderId="0" xfId="0" applyFont="1" applyAlignment="1">
      <alignment wrapText="1"/>
    </xf>
    <xf numFmtId="0" fontId="0" fillId="0" borderId="0" xfId="0" applyFont="1" applyAlignment="1">
      <alignment horizontal="center"/>
    </xf>
    <xf numFmtId="169" fontId="0" fillId="0" borderId="0" xfId="0" applyNumberFormat="1" applyFont="1"/>
    <xf numFmtId="169" fontId="0" fillId="0" borderId="0" xfId="0" applyNumberFormat="1" applyFont="1" applyAlignment="1">
      <alignment horizontal="right"/>
    </xf>
    <xf numFmtId="169" fontId="0" fillId="0" borderId="12" xfId="0" applyNumberFormat="1" applyFont="1" applyBorder="1" applyAlignment="1">
      <alignment horizontal="right"/>
    </xf>
    <xf numFmtId="170" fontId="0" fillId="0" borderId="0" xfId="0" applyNumberFormat="1" applyFont="1" applyAlignment="1">
      <alignment horizontal="right"/>
    </xf>
    <xf numFmtId="0" fontId="0" fillId="0" borderId="16" xfId="0" applyFont="1" applyBorder="1"/>
    <xf numFmtId="0" fontId="0" fillId="0" borderId="0" xfId="0" applyFont="1" applyFill="1"/>
    <xf numFmtId="0" fontId="0" fillId="10" borderId="0" xfId="0" applyFont="1" applyFill="1" applyAlignment="1">
      <alignment horizontal="left" indent="1"/>
    </xf>
    <xf numFmtId="0" fontId="0" fillId="10" borderId="14" xfId="0" applyFont="1" applyFill="1" applyBorder="1" applyAlignment="1">
      <alignment horizontal="center" vertical="center"/>
    </xf>
    <xf numFmtId="3" fontId="0" fillId="10" borderId="14" xfId="0" applyNumberFormat="1" applyFont="1" applyFill="1" applyBorder="1" applyAlignment="1">
      <alignment horizontal="center" vertical="center"/>
    </xf>
    <xf numFmtId="0" fontId="0" fillId="11" borderId="5" xfId="0" applyFont="1" applyFill="1" applyBorder="1" applyAlignment="1">
      <alignment horizontal="left" indent="1"/>
    </xf>
    <xf numFmtId="0" fontId="0" fillId="11" borderId="7" xfId="0" applyFont="1" applyFill="1" applyBorder="1" applyAlignment="1">
      <alignment horizontal="center" vertical="center"/>
    </xf>
    <xf numFmtId="3" fontId="13" fillId="11" borderId="7" xfId="0" applyNumberFormat="1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/>
    </xf>
    <xf numFmtId="3" fontId="13" fillId="0" borderId="5" xfId="0" applyNumberFormat="1" applyFont="1" applyFill="1" applyBorder="1" applyAlignment="1">
      <alignment horizontal="center" vertical="center" wrapText="1"/>
    </xf>
    <xf numFmtId="3" fontId="12" fillId="0" borderId="7" xfId="0" applyNumberFormat="1" applyFont="1" applyFill="1" applyBorder="1" applyAlignment="1">
      <alignment horizontal="center" vertical="center" wrapText="1"/>
    </xf>
    <xf numFmtId="3" fontId="13" fillId="0" borderId="7" xfId="0" applyNumberFormat="1" applyFont="1" applyFill="1" applyBorder="1" applyAlignment="1">
      <alignment horizontal="center" vertical="center" wrapText="1"/>
    </xf>
    <xf numFmtId="4" fontId="13" fillId="0" borderId="7" xfId="0" applyNumberFormat="1" applyFont="1" applyFill="1" applyBorder="1" applyAlignment="1">
      <alignment horizontal="center" vertical="center" wrapText="1"/>
    </xf>
    <xf numFmtId="0" fontId="0" fillId="12" borderId="0" xfId="0" applyFont="1" applyFill="1" applyBorder="1" applyAlignment="1">
      <alignment horizontal="left" indent="1"/>
    </xf>
    <xf numFmtId="2" fontId="0" fillId="0" borderId="16" xfId="0" applyNumberFormat="1" applyFont="1" applyBorder="1" applyAlignment="1">
      <alignment horizontal="center" vertical="center"/>
    </xf>
    <xf numFmtId="3" fontId="13" fillId="0" borderId="16" xfId="0" applyNumberFormat="1" applyFont="1" applyFill="1" applyBorder="1" applyAlignment="1">
      <alignment horizontal="center" vertical="center" wrapText="1"/>
    </xf>
    <xf numFmtId="168" fontId="11" fillId="13" borderId="8" xfId="0" applyNumberFormat="1" applyFont="1" applyFill="1" applyBorder="1" applyAlignment="1">
      <alignment horizontal="center"/>
    </xf>
    <xf numFmtId="170" fontId="11" fillId="13" borderId="16" xfId="3" applyNumberFormat="1" applyFont="1" applyFill="1" applyBorder="1" applyAlignment="1">
      <alignment horizontal="right"/>
    </xf>
    <xf numFmtId="170" fontId="11" fillId="13" borderId="5" xfId="3" applyNumberFormat="1" applyFont="1" applyFill="1" applyBorder="1" applyAlignment="1">
      <alignment horizontal="right"/>
    </xf>
    <xf numFmtId="169" fontId="8" fillId="0" borderId="0" xfId="0" applyNumberFormat="1" applyFont="1" applyAlignment="1">
      <alignment horizontal="right"/>
    </xf>
    <xf numFmtId="0" fontId="0" fillId="3" borderId="0" xfId="0" applyFont="1" applyFill="1" applyBorder="1" applyAlignment="1">
      <alignment horizontal="left" indent="1"/>
    </xf>
    <xf numFmtId="0" fontId="0" fillId="3" borderId="5" xfId="0" applyFont="1" applyFill="1" applyBorder="1" applyAlignment="1">
      <alignment horizontal="left" indent="1"/>
    </xf>
    <xf numFmtId="3" fontId="13" fillId="3" borderId="7" xfId="0" applyNumberFormat="1" applyFont="1" applyFill="1" applyBorder="1" applyAlignment="1">
      <alignment horizontal="center" vertical="center" wrapText="1"/>
    </xf>
    <xf numFmtId="0" fontId="0" fillId="3" borderId="15" xfId="0" applyFont="1" applyFill="1" applyBorder="1" applyAlignment="1">
      <alignment horizontal="left" indent="1"/>
    </xf>
    <xf numFmtId="0" fontId="14" fillId="0" borderId="5" xfId="0" applyFont="1" applyBorder="1" applyAlignment="1">
      <alignment horizontal="left" vertical="center"/>
    </xf>
    <xf numFmtId="3" fontId="13" fillId="3" borderId="5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166" fontId="0" fillId="0" borderId="0" xfId="0" applyNumberFormat="1" applyFont="1" applyAlignment="1">
      <alignment horizontal="center"/>
    </xf>
    <xf numFmtId="0" fontId="7" fillId="2" borderId="4" xfId="0" applyFont="1" applyFill="1" applyBorder="1" applyAlignment="1">
      <alignment vertical="center" wrapText="1"/>
    </xf>
    <xf numFmtId="0" fontId="0" fillId="0" borderId="7" xfId="0" applyFont="1" applyFill="1" applyBorder="1" applyAlignment="1">
      <alignment horizontal="left" indent="1"/>
    </xf>
    <xf numFmtId="172" fontId="0" fillId="0" borderId="0" xfId="3" applyNumberFormat="1" applyFont="1"/>
    <xf numFmtId="0" fontId="7" fillId="15" borderId="0" xfId="0" applyFont="1" applyFill="1" applyAlignment="1">
      <alignment horizontal="center" vertical="center" wrapText="1"/>
    </xf>
    <xf numFmtId="4" fontId="0" fillId="0" borderId="0" xfId="0" applyNumberFormat="1"/>
    <xf numFmtId="43" fontId="0" fillId="0" borderId="0" xfId="0" applyNumberFormat="1" applyFont="1"/>
    <xf numFmtId="2" fontId="0" fillId="0" borderId="0" xfId="0" applyNumberFormat="1"/>
    <xf numFmtId="43" fontId="0" fillId="0" borderId="0" xfId="0" applyNumberFormat="1"/>
    <xf numFmtId="2" fontId="0" fillId="0" borderId="16" xfId="0" applyNumberFormat="1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3" fillId="5" borderId="21" xfId="0" applyFont="1" applyFill="1" applyBorder="1" applyAlignment="1">
      <alignment vertical="center"/>
    </xf>
    <xf numFmtId="0" fontId="3" fillId="5" borderId="14" xfId="0" applyFont="1" applyFill="1" applyBorder="1" applyAlignment="1">
      <alignment horizontal="center"/>
    </xf>
    <xf numFmtId="0" fontId="5" fillId="6" borderId="7" xfId="0" applyFont="1" applyFill="1" applyBorder="1" applyAlignment="1">
      <alignment horizontal="center"/>
    </xf>
    <xf numFmtId="0" fontId="0" fillId="4" borderId="7" xfId="0" applyFill="1" applyBorder="1" applyAlignment="1">
      <alignment vertical="center"/>
    </xf>
    <xf numFmtId="0" fontId="0" fillId="4" borderId="7" xfId="0" applyFill="1" applyBorder="1" applyAlignment="1">
      <alignment horizontal="center"/>
    </xf>
    <xf numFmtId="43" fontId="0" fillId="0" borderId="7" xfId="0" applyNumberFormat="1" applyBorder="1" applyAlignment="1">
      <alignment vertical="center"/>
    </xf>
    <xf numFmtId="43" fontId="0" fillId="0" borderId="7" xfId="0" applyNumberFormat="1" applyBorder="1" applyAlignment="1">
      <alignment horizontal="center"/>
    </xf>
    <xf numFmtId="43" fontId="0" fillId="0" borderId="7" xfId="1" applyFont="1" applyBorder="1" applyAlignment="1">
      <alignment vertical="center"/>
    </xf>
    <xf numFmtId="43" fontId="5" fillId="0" borderId="7" xfId="1" quotePrefix="1" applyFont="1" applyBorder="1" applyAlignment="1">
      <alignment horizontal="right" vertical="center"/>
    </xf>
    <xf numFmtId="0" fontId="5" fillId="17" borderId="14" xfId="0" applyFont="1" applyFill="1" applyBorder="1" applyAlignment="1">
      <alignment horizontal="left" vertical="center"/>
    </xf>
    <xf numFmtId="9" fontId="5" fillId="17" borderId="7" xfId="2" applyFont="1" applyFill="1" applyBorder="1" applyAlignment="1">
      <alignment horizontal="right" vertical="center"/>
    </xf>
    <xf numFmtId="173" fontId="5" fillId="0" borderId="0" xfId="1" applyNumberFormat="1" applyFont="1" applyBorder="1" applyAlignment="1">
      <alignment vertical="center"/>
    </xf>
    <xf numFmtId="0" fontId="5" fillId="0" borderId="0" xfId="0" applyFont="1" applyAlignment="1">
      <alignment horizontal="center"/>
    </xf>
    <xf numFmtId="9" fontId="5" fillId="7" borderId="7" xfId="2" applyFont="1" applyFill="1" applyBorder="1" applyAlignment="1">
      <alignment horizontal="right" vertical="center"/>
    </xf>
    <xf numFmtId="43" fontId="5" fillId="17" borderId="7" xfId="1" applyFont="1" applyFill="1" applyBorder="1" applyAlignment="1"/>
    <xf numFmtId="43" fontId="5" fillId="0" borderId="0" xfId="1" applyFont="1" applyFill="1" applyBorder="1" applyAlignment="1"/>
    <xf numFmtId="43" fontId="5" fillId="7" borderId="7" xfId="1" applyFont="1" applyFill="1" applyBorder="1" applyAlignment="1"/>
    <xf numFmtId="0" fontId="0" fillId="0" borderId="0" xfId="0" applyAlignment="1"/>
    <xf numFmtId="0" fontId="0" fillId="0" borderId="0" xfId="0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left" vertical="center"/>
    </xf>
    <xf numFmtId="173" fontId="5" fillId="0" borderId="7" xfId="0" applyNumberFormat="1" applyFont="1" applyBorder="1" applyAlignment="1"/>
    <xf numFmtId="173" fontId="0" fillId="0" borderId="0" xfId="1" applyNumberFormat="1" applyFont="1" applyAlignment="1"/>
    <xf numFmtId="0" fontId="5" fillId="17" borderId="7" xfId="0" applyFont="1" applyFill="1" applyBorder="1" applyAlignment="1"/>
    <xf numFmtId="2" fontId="5" fillId="17" borderId="7" xfId="0" applyNumberFormat="1" applyFont="1" applyFill="1" applyBorder="1" applyAlignment="1"/>
    <xf numFmtId="2" fontId="5" fillId="0" borderId="0" xfId="0" applyNumberFormat="1" applyFont="1" applyAlignment="1"/>
    <xf numFmtId="2" fontId="5" fillId="7" borderId="7" xfId="0" applyNumberFormat="1" applyFont="1" applyFill="1" applyBorder="1" applyAlignment="1"/>
    <xf numFmtId="43" fontId="0" fillId="0" borderId="0" xfId="1" applyFont="1" applyAlignment="1"/>
    <xf numFmtId="4" fontId="0" fillId="0" borderId="7" xfId="0" applyNumberFormat="1" applyBorder="1" applyAlignment="1">
      <alignment horizontal="left" vertical="center"/>
    </xf>
    <xf numFmtId="0" fontId="4" fillId="18" borderId="8" xfId="0" applyFont="1" applyFill="1" applyBorder="1" applyAlignment="1">
      <alignment horizontal="center" vertical="center"/>
    </xf>
    <xf numFmtId="0" fontId="4" fillId="18" borderId="5" xfId="0" applyFont="1" applyFill="1" applyBorder="1" applyAlignment="1">
      <alignment horizontal="center" vertical="center"/>
    </xf>
    <xf numFmtId="0" fontId="5" fillId="18" borderId="7" xfId="0" applyFont="1" applyFill="1" applyBorder="1" applyAlignment="1">
      <alignment horizontal="center"/>
    </xf>
    <xf numFmtId="0" fontId="0" fillId="18" borderId="7" xfId="0" applyFill="1" applyBorder="1" applyAlignment="1">
      <alignment horizontal="center"/>
    </xf>
    <xf numFmtId="4" fontId="0" fillId="0" borderId="10" xfId="0" applyNumberFormat="1" applyBorder="1" applyAlignment="1">
      <alignment horizontal="left" vertical="center"/>
    </xf>
    <xf numFmtId="4" fontId="9" fillId="0" borderId="5" xfId="0" applyNumberFormat="1" applyFont="1" applyBorder="1" applyAlignment="1">
      <alignment horizontal="right" vertical="center"/>
    </xf>
    <xf numFmtId="43" fontId="2" fillId="0" borderId="7" xfId="0" applyNumberFormat="1" applyFont="1" applyBorder="1" applyAlignment="1">
      <alignment horizontal="center"/>
    </xf>
    <xf numFmtId="43" fontId="16" fillId="7" borderId="7" xfId="1" applyFont="1" applyFill="1" applyBorder="1" applyAlignment="1">
      <alignment horizontal="left" indent="1"/>
    </xf>
    <xf numFmtId="43" fontId="17" fillId="17" borderId="7" xfId="1" applyFont="1" applyFill="1" applyBorder="1"/>
    <xf numFmtId="43" fontId="17" fillId="17" borderId="8" xfId="1" applyFont="1" applyFill="1" applyBorder="1"/>
    <xf numFmtId="14" fontId="5" fillId="18" borderId="7" xfId="0" applyNumberFormat="1" applyFont="1" applyFill="1" applyBorder="1" applyAlignment="1">
      <alignment horizontal="center" vertical="center"/>
    </xf>
    <xf numFmtId="10" fontId="11" fillId="0" borderId="0" xfId="0" applyNumberFormat="1" applyFont="1" applyFill="1" applyBorder="1" applyAlignment="1">
      <alignment horizontal="center"/>
    </xf>
    <xf numFmtId="14" fontId="5" fillId="0" borderId="5" xfId="0" applyNumberFormat="1" applyFont="1" applyFill="1" applyBorder="1" applyAlignment="1">
      <alignment horizontal="center" vertical="center"/>
    </xf>
    <xf numFmtId="14" fontId="5" fillId="0" borderId="7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0" xfId="0" applyFill="1" applyAlignment="1"/>
    <xf numFmtId="0" fontId="0" fillId="0" borderId="0" xfId="0" applyFill="1"/>
    <xf numFmtId="0" fontId="18" fillId="0" borderId="0" xfId="0" applyFont="1" applyAlignment="1">
      <alignment horizontal="center"/>
    </xf>
    <xf numFmtId="171" fontId="13" fillId="0" borderId="7" xfId="0" applyNumberFormat="1" applyFont="1" applyFill="1" applyBorder="1" applyAlignment="1">
      <alignment horizontal="center" vertical="center" wrapText="1"/>
    </xf>
    <xf numFmtId="2" fontId="7" fillId="15" borderId="0" xfId="0" applyNumberFormat="1" applyFont="1" applyFill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0" fillId="11" borderId="5" xfId="0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2" fillId="16" borderId="5" xfId="0" applyFont="1" applyFill="1" applyBorder="1" applyAlignment="1">
      <alignment horizontal="left" indent="1"/>
    </xf>
    <xf numFmtId="3" fontId="12" fillId="16" borderId="7" xfId="0" applyNumberFormat="1" applyFont="1" applyFill="1" applyBorder="1" applyAlignment="1">
      <alignment horizontal="center" vertical="center" wrapText="1"/>
    </xf>
    <xf numFmtId="0" fontId="0" fillId="0" borderId="7" xfId="0" applyFont="1" applyBorder="1"/>
    <xf numFmtId="0" fontId="2" fillId="16" borderId="7" xfId="0" applyFont="1" applyFill="1" applyBorder="1" applyAlignment="1">
      <alignment horizontal="left" indent="1"/>
    </xf>
    <xf numFmtId="0" fontId="2" fillId="0" borderId="7" xfId="0" applyFont="1" applyFill="1" applyBorder="1" applyAlignment="1">
      <alignment horizontal="left" indent="1"/>
    </xf>
    <xf numFmtId="0" fontId="0" fillId="0" borderId="8" xfId="0" applyFont="1" applyFill="1" applyBorder="1" applyAlignment="1">
      <alignment horizontal="left" indent="1"/>
    </xf>
    <xf numFmtId="4" fontId="13" fillId="0" borderId="14" xfId="0" applyNumberFormat="1" applyFont="1" applyFill="1" applyBorder="1" applyAlignment="1">
      <alignment horizontal="center" vertical="center" wrapText="1"/>
    </xf>
    <xf numFmtId="0" fontId="2" fillId="16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168" fontId="11" fillId="0" borderId="0" xfId="0" applyNumberFormat="1" applyFont="1" applyFill="1" applyBorder="1" applyAlignment="1">
      <alignment horizontal="center"/>
    </xf>
    <xf numFmtId="9" fontId="0" fillId="0" borderId="0" xfId="0" applyNumberFormat="1" applyFont="1" applyFill="1" applyBorder="1" applyAlignment="1">
      <alignment horizontal="center"/>
    </xf>
    <xf numFmtId="0" fontId="2" fillId="0" borderId="8" xfId="0" applyFont="1" applyFill="1" applyBorder="1" applyAlignment="1">
      <alignment horizontal="left" indent="1"/>
    </xf>
    <xf numFmtId="0" fontId="0" fillId="0" borderId="7" xfId="0" applyFont="1" applyFill="1" applyBorder="1"/>
    <xf numFmtId="167" fontId="0" fillId="0" borderId="7" xfId="0" applyNumberFormat="1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/>
    </xf>
    <xf numFmtId="2" fontId="0" fillId="0" borderId="14" xfId="0" applyNumberFormat="1" applyFont="1" applyFill="1" applyBorder="1" applyAlignment="1">
      <alignment horizontal="center" vertical="center"/>
    </xf>
    <xf numFmtId="166" fontId="0" fillId="0" borderId="7" xfId="0" applyNumberFormat="1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right" vertical="center"/>
    </xf>
    <xf numFmtId="43" fontId="9" fillId="4" borderId="7" xfId="0" applyNumberFormat="1" applyFont="1" applyFill="1" applyBorder="1" applyAlignment="1">
      <alignment horizontal="right" vertical="center"/>
    </xf>
    <xf numFmtId="0" fontId="5" fillId="4" borderId="7" xfId="0" applyFont="1" applyFill="1" applyBorder="1" applyAlignment="1">
      <alignment horizontal="center"/>
    </xf>
    <xf numFmtId="3" fontId="12" fillId="18" borderId="7" xfId="0" applyNumberFormat="1" applyFont="1" applyFill="1" applyBorder="1" applyAlignment="1">
      <alignment horizontal="center" vertical="center" wrapText="1"/>
    </xf>
    <xf numFmtId="0" fontId="2" fillId="16" borderId="5" xfId="0" applyFont="1" applyFill="1" applyBorder="1"/>
    <xf numFmtId="3" fontId="12" fillId="16" borderId="5" xfId="0" applyNumberFormat="1" applyFont="1" applyFill="1" applyBorder="1" applyAlignment="1">
      <alignment horizontal="center" vertical="center" wrapText="1"/>
    </xf>
    <xf numFmtId="3" fontId="12" fillId="16" borderId="21" xfId="0" applyNumberFormat="1" applyFont="1" applyFill="1" applyBorder="1" applyAlignment="1">
      <alignment horizontal="center" vertical="center" wrapText="1"/>
    </xf>
    <xf numFmtId="0" fontId="0" fillId="18" borderId="7" xfId="0" applyFont="1" applyFill="1" applyBorder="1"/>
    <xf numFmtId="0" fontId="2" fillId="19" borderId="8" xfId="0" applyFont="1" applyFill="1" applyBorder="1" applyAlignment="1">
      <alignment horizontal="left" indent="1"/>
    </xf>
    <xf numFmtId="0" fontId="0" fillId="19" borderId="7" xfId="0" applyFont="1" applyFill="1" applyBorder="1" applyAlignment="1">
      <alignment horizontal="center" vertical="center"/>
    </xf>
    <xf numFmtId="3" fontId="13" fillId="19" borderId="7" xfId="0" applyNumberFormat="1" applyFont="1" applyFill="1" applyBorder="1" applyAlignment="1">
      <alignment horizontal="center" vertical="center" wrapText="1"/>
    </xf>
    <xf numFmtId="167" fontId="0" fillId="19" borderId="7" xfId="0" applyNumberFormat="1" applyFont="1" applyFill="1" applyBorder="1" applyAlignment="1">
      <alignment horizontal="center" vertical="center"/>
    </xf>
    <xf numFmtId="0" fontId="0" fillId="19" borderId="7" xfId="0" applyFont="1" applyFill="1" applyBorder="1" applyAlignment="1">
      <alignment horizontal="center"/>
    </xf>
    <xf numFmtId="9" fontId="13" fillId="19" borderId="7" xfId="2" applyFont="1" applyFill="1" applyBorder="1" applyAlignment="1">
      <alignment horizontal="center" vertical="center" wrapText="1"/>
    </xf>
    <xf numFmtId="0" fontId="0" fillId="0" borderId="0" xfId="0" applyFont="1" applyFill="1" applyBorder="1"/>
    <xf numFmtId="168" fontId="8" fillId="9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left"/>
    </xf>
    <xf numFmtId="0" fontId="7" fillId="14" borderId="7" xfId="0" applyFont="1" applyFill="1" applyBorder="1" applyAlignment="1">
      <alignment horizontal="center" vertical="center" wrapText="1"/>
    </xf>
    <xf numFmtId="2" fontId="0" fillId="19" borderId="7" xfId="0" applyNumberFormat="1" applyFont="1" applyFill="1" applyBorder="1" applyAlignment="1">
      <alignment horizontal="center" vertical="center"/>
    </xf>
    <xf numFmtId="4" fontId="0" fillId="19" borderId="7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11" fillId="0" borderId="15" xfId="0" applyFont="1" applyFill="1" applyBorder="1" applyAlignment="1">
      <alignment horizontal="left"/>
    </xf>
    <xf numFmtId="168" fontId="11" fillId="0" borderId="10" xfId="0" applyNumberFormat="1" applyFont="1" applyFill="1" applyBorder="1" applyAlignment="1">
      <alignment horizontal="center"/>
    </xf>
    <xf numFmtId="170" fontId="8" fillId="0" borderId="18" xfId="1" applyNumberFormat="1" applyFont="1" applyFill="1" applyBorder="1" applyAlignment="1">
      <alignment horizontal="right"/>
    </xf>
    <xf numFmtId="170" fontId="8" fillId="0" borderId="15" xfId="1" applyNumberFormat="1" applyFont="1" applyFill="1" applyBorder="1" applyAlignment="1">
      <alignment horizontal="right"/>
    </xf>
    <xf numFmtId="0" fontId="11" fillId="0" borderId="21" xfId="0" applyFont="1" applyFill="1" applyBorder="1" applyAlignment="1">
      <alignment horizontal="left"/>
    </xf>
    <xf numFmtId="168" fontId="11" fillId="0" borderId="14" xfId="0" applyNumberFormat="1" applyFont="1" applyFill="1" applyBorder="1" applyAlignment="1">
      <alignment horizontal="center"/>
    </xf>
    <xf numFmtId="170" fontId="8" fillId="0" borderId="19" xfId="1" applyNumberFormat="1" applyFont="1" applyFill="1" applyBorder="1" applyAlignment="1">
      <alignment horizontal="right"/>
    </xf>
    <xf numFmtId="170" fontId="8" fillId="0" borderId="21" xfId="1" applyNumberFormat="1" applyFont="1" applyFill="1" applyBorder="1" applyAlignment="1">
      <alignment horizontal="right"/>
    </xf>
    <xf numFmtId="0" fontId="0" fillId="12" borderId="0" xfId="0" applyFont="1" applyFill="1" applyBorder="1"/>
    <xf numFmtId="2" fontId="0" fillId="12" borderId="0" xfId="0" applyNumberFormat="1" applyFont="1" applyFill="1" applyBorder="1" applyAlignment="1">
      <alignment horizontal="center" vertical="center"/>
    </xf>
    <xf numFmtId="3" fontId="13" fillId="12" borderId="18" xfId="0" applyNumberFormat="1" applyFont="1" applyFill="1" applyBorder="1" applyAlignment="1">
      <alignment horizontal="center" vertical="center" wrapText="1"/>
    </xf>
    <xf numFmtId="1" fontId="11" fillId="0" borderId="8" xfId="2" applyNumberFormat="1" applyFont="1" applyFill="1" applyBorder="1" applyAlignment="1">
      <alignment horizontal="center"/>
    </xf>
    <xf numFmtId="1" fontId="11" fillId="0" borderId="16" xfId="2" applyNumberFormat="1" applyFont="1" applyFill="1" applyBorder="1" applyAlignment="1">
      <alignment horizontal="center"/>
    </xf>
    <xf numFmtId="1" fontId="11" fillId="0" borderId="5" xfId="2" applyNumberFormat="1" applyFont="1" applyFill="1" applyBorder="1" applyAlignment="1">
      <alignment horizontal="center"/>
    </xf>
    <xf numFmtId="0" fontId="8" fillId="0" borderId="10" xfId="0" applyFont="1" applyFill="1" applyBorder="1" applyAlignment="1">
      <alignment horizontal="left" indent="4"/>
    </xf>
    <xf numFmtId="10" fontId="11" fillId="0" borderId="10" xfId="0" applyNumberFormat="1" applyFont="1" applyFill="1" applyBorder="1" applyAlignment="1">
      <alignment horizontal="center"/>
    </xf>
    <xf numFmtId="170" fontId="8" fillId="0" borderId="0" xfId="0" applyNumberFormat="1" applyFont="1" applyFill="1" applyAlignment="1">
      <alignment horizontal="right"/>
    </xf>
    <xf numFmtId="3" fontId="8" fillId="0" borderId="0" xfId="0" applyNumberFormat="1" applyFont="1" applyFill="1" applyAlignment="1">
      <alignment horizontal="center"/>
    </xf>
    <xf numFmtId="3" fontId="8" fillId="0" borderId="18" xfId="0" applyNumberFormat="1" applyFont="1" applyFill="1" applyBorder="1" applyAlignment="1">
      <alignment horizontal="center"/>
    </xf>
    <xf numFmtId="3" fontId="8" fillId="0" borderId="15" xfId="0" applyNumberFormat="1" applyFont="1" applyFill="1" applyBorder="1" applyAlignment="1">
      <alignment horizontal="center"/>
    </xf>
    <xf numFmtId="1" fontId="11" fillId="0" borderId="11" xfId="0" applyNumberFormat="1" applyFont="1" applyFill="1" applyBorder="1" applyAlignment="1">
      <alignment horizontal="right"/>
    </xf>
    <xf numFmtId="169" fontId="11" fillId="0" borderId="12" xfId="0" applyNumberFormat="1" applyFont="1" applyFill="1" applyBorder="1" applyAlignment="1">
      <alignment horizontal="center"/>
    </xf>
    <xf numFmtId="169" fontId="8" fillId="0" borderId="0" xfId="3" applyNumberFormat="1" applyFont="1" applyFill="1" applyBorder="1" applyAlignment="1">
      <alignment horizontal="right"/>
    </xf>
    <xf numFmtId="170" fontId="8" fillId="0" borderId="0" xfId="3" applyNumberFormat="1" applyFont="1" applyFill="1" applyAlignment="1">
      <alignment horizontal="right"/>
    </xf>
    <xf numFmtId="170" fontId="8" fillId="0" borderId="12" xfId="3" applyNumberFormat="1" applyFont="1" applyFill="1" applyBorder="1" applyAlignment="1">
      <alignment horizontal="right"/>
    </xf>
    <xf numFmtId="1" fontId="11" fillId="0" borderId="14" xfId="0" applyNumberFormat="1" applyFont="1" applyFill="1" applyBorder="1" applyAlignment="1">
      <alignment horizontal="right"/>
    </xf>
    <xf numFmtId="169" fontId="11" fillId="0" borderId="21" xfId="0" applyNumberFormat="1" applyFont="1" applyFill="1" applyBorder="1" applyAlignment="1">
      <alignment horizontal="center"/>
    </xf>
    <xf numFmtId="169" fontId="8" fillId="0" borderId="19" xfId="0" applyNumberFormat="1" applyFont="1" applyFill="1" applyBorder="1" applyAlignment="1">
      <alignment horizontal="right"/>
    </xf>
    <xf numFmtId="170" fontId="8" fillId="0" borderId="19" xfId="3" applyNumberFormat="1" applyFont="1" applyFill="1" applyBorder="1" applyAlignment="1">
      <alignment horizontal="right"/>
    </xf>
    <xf numFmtId="170" fontId="8" fillId="0" borderId="21" xfId="3" applyNumberFormat="1" applyFont="1" applyFill="1" applyBorder="1" applyAlignment="1">
      <alignment horizontal="right"/>
    </xf>
    <xf numFmtId="1" fontId="11" fillId="0" borderId="12" xfId="0" applyNumberFormat="1" applyFont="1" applyFill="1" applyBorder="1" applyAlignment="1">
      <alignment horizontal="right"/>
    </xf>
    <xf numFmtId="168" fontId="11" fillId="0" borderId="12" xfId="0" applyNumberFormat="1" applyFont="1" applyFill="1" applyBorder="1" applyAlignment="1">
      <alignment horizontal="center"/>
    </xf>
    <xf numFmtId="170" fontId="8" fillId="0" borderId="20" xfId="0" applyNumberFormat="1" applyFont="1" applyFill="1" applyBorder="1" applyAlignment="1">
      <alignment horizontal="right"/>
    </xf>
    <xf numFmtId="3" fontId="8" fillId="0" borderId="0" xfId="0" applyNumberFormat="1" applyFont="1" applyFill="1" applyAlignment="1">
      <alignment horizontal="right"/>
    </xf>
    <xf numFmtId="169" fontId="11" fillId="0" borderId="11" xfId="0" applyNumberFormat="1" applyFont="1" applyFill="1" applyBorder="1" applyAlignment="1">
      <alignment horizontal="center"/>
    </xf>
    <xf numFmtId="169" fontId="8" fillId="0" borderId="20" xfId="0" applyNumberFormat="1" applyFont="1" applyFill="1" applyBorder="1" applyAlignment="1">
      <alignment horizontal="right"/>
    </xf>
    <xf numFmtId="169" fontId="8" fillId="0" borderId="0" xfId="3" applyNumberFormat="1" applyFont="1" applyFill="1" applyAlignment="1">
      <alignment horizontal="right"/>
    </xf>
    <xf numFmtId="1" fontId="11" fillId="0" borderId="21" xfId="0" applyNumberFormat="1" applyFont="1" applyFill="1" applyBorder="1" applyAlignment="1">
      <alignment horizontal="right"/>
    </xf>
    <xf numFmtId="169" fontId="8" fillId="0" borderId="17" xfId="0" applyNumberFormat="1" applyFont="1" applyFill="1" applyBorder="1" applyAlignment="1">
      <alignment horizontal="right"/>
    </xf>
    <xf numFmtId="169" fontId="8" fillId="0" borderId="19" xfId="3" applyNumberFormat="1" applyFont="1" applyFill="1" applyBorder="1" applyAlignment="1">
      <alignment horizontal="right"/>
    </xf>
    <xf numFmtId="3" fontId="8" fillId="0" borderId="18" xfId="0" applyNumberFormat="1" applyFont="1" applyFill="1" applyBorder="1" applyAlignment="1">
      <alignment horizontal="right"/>
    </xf>
    <xf numFmtId="1" fontId="8" fillId="0" borderId="21" xfId="0" applyNumberFormat="1" applyFont="1" applyFill="1" applyBorder="1" applyAlignment="1">
      <alignment horizontal="right"/>
    </xf>
    <xf numFmtId="169" fontId="8" fillId="0" borderId="21" xfId="0" applyNumberFormat="1" applyFont="1" applyFill="1" applyBorder="1" applyAlignment="1">
      <alignment horizontal="right"/>
    </xf>
    <xf numFmtId="0" fontId="11" fillId="13" borderId="7" xfId="0" applyFont="1" applyFill="1" applyBorder="1" applyAlignment="1">
      <alignment horizontal="left" indent="1"/>
    </xf>
    <xf numFmtId="0" fontId="2" fillId="0" borderId="5" xfId="0" applyFont="1" applyFill="1" applyBorder="1"/>
    <xf numFmtId="169" fontId="0" fillId="0" borderId="7" xfId="0" applyNumberFormat="1" applyFont="1" applyFill="1" applyBorder="1" applyAlignment="1">
      <alignment horizontal="center"/>
    </xf>
    <xf numFmtId="0" fontId="0" fillId="0" borderId="12" xfId="0" applyFont="1" applyFill="1" applyBorder="1"/>
    <xf numFmtId="169" fontId="0" fillId="0" borderId="7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/>
    </xf>
    <xf numFmtId="0" fontId="0" fillId="0" borderId="5" xfId="0" applyFont="1" applyFill="1" applyBorder="1"/>
    <xf numFmtId="170" fontId="0" fillId="0" borderId="7" xfId="1" applyNumberFormat="1" applyFont="1" applyFill="1" applyBorder="1" applyAlignment="1">
      <alignment horizontal="right" vertical="center"/>
    </xf>
    <xf numFmtId="0" fontId="11" fillId="19" borderId="16" xfId="0" applyFont="1" applyFill="1" applyBorder="1" applyAlignment="1">
      <alignment horizontal="left"/>
    </xf>
    <xf numFmtId="169" fontId="8" fillId="19" borderId="7" xfId="0" applyNumberFormat="1" applyFont="1" applyFill="1" applyBorder="1" applyAlignment="1">
      <alignment horizontal="center"/>
    </xf>
    <xf numFmtId="0" fontId="8" fillId="0" borderId="15" xfId="0" applyFont="1" applyFill="1" applyBorder="1"/>
    <xf numFmtId="10" fontId="8" fillId="0" borderId="13" xfId="2" applyNumberFormat="1" applyFont="1" applyFill="1" applyBorder="1" applyAlignment="1">
      <alignment horizontal="center"/>
    </xf>
    <xf numFmtId="170" fontId="8" fillId="0" borderId="7" xfId="0" applyNumberFormat="1" applyFont="1" applyFill="1" applyBorder="1" applyAlignment="1">
      <alignment horizontal="center"/>
    </xf>
    <xf numFmtId="0" fontId="2" fillId="16" borderId="8" xfId="0" applyFont="1" applyFill="1" applyBorder="1" applyAlignment="1">
      <alignment horizontal="left" vertical="center"/>
    </xf>
    <xf numFmtId="0" fontId="0" fillId="16" borderId="16" xfId="0" applyFont="1" applyFill="1" applyBorder="1"/>
    <xf numFmtId="2" fontId="0" fillId="16" borderId="16" xfId="0" applyNumberFormat="1" applyFont="1" applyFill="1" applyBorder="1" applyAlignment="1">
      <alignment horizontal="center" vertical="center"/>
    </xf>
    <xf numFmtId="3" fontId="13" fillId="16" borderId="16" xfId="0" applyNumberFormat="1" applyFont="1" applyFill="1" applyBorder="1" applyAlignment="1">
      <alignment horizontal="center" vertical="center" wrapText="1"/>
    </xf>
    <xf numFmtId="3" fontId="13" fillId="16" borderId="5" xfId="0" applyNumberFormat="1" applyFont="1" applyFill="1" applyBorder="1" applyAlignment="1">
      <alignment horizontal="center" vertical="center" wrapText="1"/>
    </xf>
    <xf numFmtId="165" fontId="0" fillId="0" borderId="0" xfId="0" applyNumberFormat="1" applyFont="1"/>
    <xf numFmtId="2" fontId="8" fillId="19" borderId="7" xfId="2" applyNumberFormat="1" applyFont="1" applyFill="1" applyBorder="1" applyAlignment="1">
      <alignment horizontal="center"/>
    </xf>
    <xf numFmtId="2" fontId="8" fillId="0" borderId="7" xfId="2" applyNumberFormat="1" applyFont="1" applyFill="1" applyBorder="1" applyAlignment="1">
      <alignment horizontal="center"/>
    </xf>
    <xf numFmtId="165" fontId="19" fillId="9" borderId="0" xfId="0" applyNumberFormat="1" applyFont="1" applyFill="1" applyBorder="1" applyAlignment="1">
      <alignment horizontal="center"/>
    </xf>
    <xf numFmtId="10" fontId="19" fillId="9" borderId="0" xfId="0" applyNumberFormat="1" applyFont="1" applyFill="1" applyAlignment="1">
      <alignment horizontal="center"/>
    </xf>
    <xf numFmtId="0" fontId="2" fillId="3" borderId="8" xfId="0" applyFont="1" applyFill="1" applyBorder="1" applyAlignment="1">
      <alignment horizontal="left" indent="1"/>
    </xf>
    <xf numFmtId="0" fontId="0" fillId="3" borderId="7" xfId="0" applyFont="1" applyFill="1" applyBorder="1" applyAlignment="1">
      <alignment horizontal="center"/>
    </xf>
    <xf numFmtId="9" fontId="13" fillId="3" borderId="7" xfId="2" applyFont="1" applyFill="1" applyBorder="1" applyAlignment="1">
      <alignment horizontal="center" vertical="center" wrapText="1"/>
    </xf>
    <xf numFmtId="9" fontId="0" fillId="3" borderId="7" xfId="2" applyFont="1" applyFill="1" applyBorder="1" applyAlignment="1">
      <alignment horizontal="center"/>
    </xf>
    <xf numFmtId="0" fontId="4" fillId="6" borderId="7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22" fillId="0" borderId="0" xfId="0" applyFont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23" fillId="5" borderId="0" xfId="0" applyFont="1" applyFill="1" applyBorder="1" applyAlignment="1">
      <alignment horizontal="center" vertical="center"/>
    </xf>
    <xf numFmtId="0" fontId="0" fillId="11" borderId="0" xfId="0" applyFill="1" applyBorder="1" applyAlignment="1">
      <alignment horizontal="center" vertical="center"/>
    </xf>
    <xf numFmtId="0" fontId="0" fillId="0" borderId="0" xfId="0" applyBorder="1" applyAlignment="1"/>
    <xf numFmtId="4" fontId="0" fillId="11" borderId="0" xfId="0" applyNumberFormat="1" applyFill="1" applyBorder="1" applyAlignment="1">
      <alignment horizontal="center" vertical="center"/>
    </xf>
    <xf numFmtId="0" fontId="2" fillId="0" borderId="0" xfId="0" applyFont="1" applyBorder="1" applyAlignment="1"/>
    <xf numFmtId="2" fontId="0" fillId="0" borderId="0" xfId="0" applyNumberFormat="1" applyFill="1"/>
    <xf numFmtId="0" fontId="5" fillId="4" borderId="5" xfId="0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0" xfId="0" applyBorder="1" applyAlignment="1">
      <alignment horizontal="left" indent="1"/>
    </xf>
    <xf numFmtId="0" fontId="2" fillId="19" borderId="0" xfId="0" applyFont="1" applyFill="1" applyAlignment="1">
      <alignment horizontal="center"/>
    </xf>
    <xf numFmtId="0" fontId="2" fillId="6" borderId="7" xfId="0" applyFont="1" applyFill="1" applyBorder="1" applyAlignment="1">
      <alignment horizontal="center"/>
    </xf>
    <xf numFmtId="173" fontId="0" fillId="0" borderId="0" xfId="0" applyNumberFormat="1"/>
    <xf numFmtId="0" fontId="24" fillId="21" borderId="0" xfId="6" applyFont="1" applyFill="1"/>
    <xf numFmtId="14" fontId="5" fillId="16" borderId="7" xfId="0" applyNumberFormat="1" applyFont="1" applyFill="1" applyBorder="1" applyAlignment="1">
      <alignment horizontal="center" vertical="center"/>
    </xf>
    <xf numFmtId="0" fontId="7" fillId="5" borderId="0" xfId="0" applyFont="1" applyFill="1"/>
    <xf numFmtId="0" fontId="26" fillId="0" borderId="0" xfId="0" applyFont="1"/>
    <xf numFmtId="9" fontId="2" fillId="0" borderId="0" xfId="2" applyFont="1"/>
    <xf numFmtId="9" fontId="0" fillId="0" borderId="0" xfId="2" applyFont="1"/>
    <xf numFmtId="172" fontId="2" fillId="0" borderId="0" xfId="3" applyNumberFormat="1" applyFont="1"/>
    <xf numFmtId="0" fontId="0" fillId="0" borderId="0" xfId="0" applyAlignment="1">
      <alignment horizontal="center" vertical="center" wrapText="1"/>
    </xf>
    <xf numFmtId="43" fontId="0" fillId="0" borderId="0" xfId="0" applyNumberFormat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9" fontId="0" fillId="0" borderId="0" xfId="2" applyFont="1" applyFill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43" fontId="0" fillId="0" borderId="0" xfId="0" applyNumberFormat="1" applyFill="1" applyAlignment="1">
      <alignment horizontal="center" vertical="center"/>
    </xf>
    <xf numFmtId="4" fontId="0" fillId="0" borderId="0" xfId="0" applyNumberFormat="1" applyFill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9" fontId="0" fillId="0" borderId="0" xfId="0" applyNumberFormat="1" applyFill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2" fontId="0" fillId="0" borderId="0" xfId="3" applyNumberFormat="1" applyFont="1" applyFill="1" applyAlignment="1">
      <alignment horizontal="center" vertical="center"/>
    </xf>
    <xf numFmtId="165" fontId="0" fillId="9" borderId="0" xfId="0" applyNumberFormat="1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 vertical="center" wrapText="1"/>
    </xf>
    <xf numFmtId="9" fontId="0" fillId="9" borderId="0" xfId="0" applyNumberFormat="1" applyFill="1"/>
    <xf numFmtId="165" fontId="0" fillId="21" borderId="0" xfId="2" applyNumberFormat="1" applyFont="1" applyFill="1" applyAlignment="1">
      <alignment horizontal="center"/>
    </xf>
    <xf numFmtId="173" fontId="0" fillId="0" borderId="0" xfId="1" applyNumberFormat="1" applyFont="1"/>
    <xf numFmtId="9" fontId="13" fillId="19" borderId="7" xfId="2" applyNumberFormat="1" applyFont="1" applyFill="1" applyBorder="1" applyAlignment="1">
      <alignment horizontal="center" vertical="center" wrapText="1"/>
    </xf>
    <xf numFmtId="165" fontId="0" fillId="0" borderId="0" xfId="2" applyNumberFormat="1" applyFont="1"/>
    <xf numFmtId="168" fontId="8" fillId="9" borderId="0" xfId="0" applyNumberFormat="1" applyFont="1" applyFill="1" applyAlignment="1">
      <alignment horizontal="center"/>
    </xf>
    <xf numFmtId="9" fontId="0" fillId="9" borderId="0" xfId="0" applyNumberFormat="1" applyFill="1" applyAlignment="1">
      <alignment horizontal="center"/>
    </xf>
    <xf numFmtId="165" fontId="19" fillId="9" borderId="0" xfId="0" applyNumberFormat="1" applyFont="1" applyFill="1" applyAlignment="1">
      <alignment horizontal="center"/>
    </xf>
    <xf numFmtId="174" fontId="0" fillId="0" borderId="0" xfId="3" applyNumberFormat="1" applyFont="1" applyAlignment="1">
      <alignment horizontal="center" vertical="center"/>
    </xf>
    <xf numFmtId="174" fontId="0" fillId="0" borderId="0" xfId="0" applyNumberFormat="1" applyAlignment="1">
      <alignment horizontal="center" vertical="center"/>
    </xf>
    <xf numFmtId="174" fontId="0" fillId="0" borderId="0" xfId="0" applyNumberFormat="1" applyFill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26" fillId="0" borderId="0" xfId="0" applyFont="1" applyFill="1"/>
    <xf numFmtId="14" fontId="5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7" fillId="22" borderId="0" xfId="0" applyFont="1" applyFill="1" applyBorder="1" applyAlignment="1">
      <alignment horizontal="center" vertical="center"/>
    </xf>
    <xf numFmtId="0" fontId="0" fillId="23" borderId="0" xfId="0" applyFill="1"/>
    <xf numFmtId="0" fontId="2" fillId="0" borderId="0" xfId="0" applyFont="1" applyAlignment="1">
      <alignment horizontal="center"/>
    </xf>
    <xf numFmtId="10" fontId="2" fillId="0" borderId="0" xfId="2" applyNumberFormat="1" applyFont="1"/>
    <xf numFmtId="10" fontId="1" fillId="0" borderId="0" xfId="2" applyNumberFormat="1" applyFont="1"/>
    <xf numFmtId="0" fontId="0" fillId="6" borderId="0" xfId="0" applyFill="1"/>
    <xf numFmtId="0" fontId="0" fillId="6" borderId="0" xfId="0" applyFill="1" applyAlignment="1">
      <alignment horizontal="center"/>
    </xf>
    <xf numFmtId="10" fontId="2" fillId="6" borderId="0" xfId="2" applyNumberFormat="1" applyFont="1" applyFill="1"/>
    <xf numFmtId="0" fontId="2" fillId="6" borderId="0" xfId="0" applyFont="1" applyFill="1"/>
    <xf numFmtId="2" fontId="2" fillId="6" borderId="0" xfId="0" applyNumberFormat="1" applyFont="1" applyFill="1"/>
    <xf numFmtId="0" fontId="0" fillId="14" borderId="0" xfId="0" applyFill="1"/>
    <xf numFmtId="0" fontId="0" fillId="14" borderId="0" xfId="0" applyFill="1" applyAlignment="1">
      <alignment horizontal="center"/>
    </xf>
    <xf numFmtId="2" fontId="0" fillId="14" borderId="0" xfId="0" applyNumberFormat="1" applyFill="1"/>
    <xf numFmtId="0" fontId="19" fillId="0" borderId="0" xfId="0" applyFont="1"/>
    <xf numFmtId="0" fontId="19" fillId="0" borderId="0" xfId="0" applyFont="1" applyAlignment="1">
      <alignment horizontal="center"/>
    </xf>
    <xf numFmtId="2" fontId="19" fillId="0" borderId="0" xfId="0" applyNumberFormat="1" applyFont="1"/>
    <xf numFmtId="2" fontId="0" fillId="11" borderId="0" xfId="0" applyNumberFormat="1" applyFill="1" applyAlignment="1">
      <alignment horizontal="center" vertical="center"/>
    </xf>
    <xf numFmtId="0" fontId="2" fillId="16" borderId="0" xfId="0" applyFont="1" applyFill="1" applyAlignment="1">
      <alignment horizontal="center"/>
    </xf>
    <xf numFmtId="0" fontId="2" fillId="16" borderId="0" xfId="0" applyFont="1" applyFill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2" fillId="19" borderId="13" xfId="0" applyFont="1" applyFill="1" applyBorder="1" applyAlignment="1">
      <alignment horizontal="left" vertical="center" indent="1"/>
    </xf>
    <xf numFmtId="0" fontId="2" fillId="19" borderId="11" xfId="0" applyFont="1" applyFill="1" applyBorder="1" applyAlignment="1">
      <alignment horizontal="left" vertical="center" indent="1"/>
    </xf>
    <xf numFmtId="0" fontId="2" fillId="19" borderId="10" xfId="0" applyFont="1" applyFill="1" applyBorder="1" applyAlignment="1">
      <alignment horizontal="left" vertical="center" indent="1"/>
    </xf>
    <xf numFmtId="0" fontId="5" fillId="4" borderId="8" xfId="0" applyFont="1" applyFill="1" applyBorder="1" applyAlignment="1">
      <alignment horizontal="left" vertical="center"/>
    </xf>
    <xf numFmtId="0" fontId="5" fillId="4" borderId="5" xfId="0" applyFont="1" applyFill="1" applyBorder="1" applyAlignment="1">
      <alignment horizontal="left" vertical="center"/>
    </xf>
    <xf numFmtId="0" fontId="9" fillId="0" borderId="8" xfId="0" applyFont="1" applyBorder="1" applyAlignment="1">
      <alignment horizontal="right" vertical="center"/>
    </xf>
    <xf numFmtId="0" fontId="9" fillId="0" borderId="5" xfId="0" applyFont="1" applyBorder="1" applyAlignment="1">
      <alignment horizontal="right" vertical="center"/>
    </xf>
    <xf numFmtId="0" fontId="4" fillId="6" borderId="8" xfId="0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/>
    </xf>
    <xf numFmtId="0" fontId="15" fillId="16" borderId="8" xfId="0" applyFont="1" applyFill="1" applyBorder="1" applyAlignment="1">
      <alignment horizontal="center" vertical="center"/>
    </xf>
    <xf numFmtId="0" fontId="15" fillId="16" borderId="16" xfId="0" applyFont="1" applyFill="1" applyBorder="1" applyAlignment="1">
      <alignment horizontal="center" vertical="center"/>
    </xf>
    <xf numFmtId="0" fontId="15" fillId="16" borderId="5" xfId="0" applyFont="1" applyFill="1" applyBorder="1" applyAlignment="1">
      <alignment horizontal="center" vertical="center"/>
    </xf>
    <xf numFmtId="0" fontId="15" fillId="16" borderId="7" xfId="0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22" fillId="20" borderId="0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left" vertical="center"/>
    </xf>
    <xf numFmtId="0" fontId="7" fillId="15" borderId="0" xfId="6" applyFont="1" applyFill="1" applyAlignment="1">
      <alignment horizontal="left"/>
    </xf>
    <xf numFmtId="0" fontId="25" fillId="6" borderId="7" xfId="0" applyFont="1" applyFill="1" applyBorder="1" applyAlignment="1">
      <alignment horizontal="center" vertical="center"/>
    </xf>
  </cellXfs>
  <cellStyles count="9">
    <cellStyle name="Comma" xfId="1" builtinId="3"/>
    <cellStyle name="Comma 5" xfId="8" xr:uid="{00000000-0005-0000-0000-000001000000}"/>
    <cellStyle name="Currency" xfId="3" builtinId="4"/>
    <cellStyle name="Normal" xfId="0" builtinId="0"/>
    <cellStyle name="Normal 2" xfId="6" xr:uid="{00000000-0005-0000-0000-000004000000}"/>
    <cellStyle name="Normal 3" xfId="5" xr:uid="{00000000-0005-0000-0000-000005000000}"/>
    <cellStyle name="Normal 6" xfId="7" xr:uid="{00000000-0005-0000-0000-000006000000}"/>
    <cellStyle name="Normal 9" xfId="4" xr:uid="{00000000-0005-0000-0000-000007000000}"/>
    <cellStyle name="Percent" xfId="2" builtinId="5"/>
  </cellStyles>
  <dxfs count="0"/>
  <tableStyles count="0" defaultTableStyle="TableStyleMedium2" defaultPivotStyle="PivotStyleLight16"/>
  <colors>
    <mruColors>
      <color rgb="FF72C4F6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2"/>
  <sheetViews>
    <sheetView topLeftCell="D1" zoomScale="64" zoomScaleNormal="64" workbookViewId="0">
      <selection activeCell="C3" sqref="C3"/>
    </sheetView>
  </sheetViews>
  <sheetFormatPr defaultRowHeight="15" x14ac:dyDescent="0.25"/>
  <cols>
    <col min="1" max="1" width="34.5703125" style="114" customWidth="1"/>
    <col min="2" max="6" width="18.7109375" customWidth="1"/>
    <col min="7" max="7" width="25" customWidth="1"/>
    <col min="8" max="9" width="18.7109375" customWidth="1"/>
    <col min="10" max="10" width="18.7109375" style="56" customWidth="1"/>
    <col min="11" max="18" width="18.7109375" customWidth="1"/>
  </cols>
  <sheetData>
    <row r="1" spans="1:18" x14ac:dyDescent="0.25">
      <c r="B1" s="299" t="s">
        <v>94</v>
      </c>
      <c r="C1" s="299"/>
      <c r="D1" s="299"/>
      <c r="E1" s="299"/>
      <c r="F1" s="299"/>
      <c r="G1" s="299"/>
      <c r="H1" s="299"/>
      <c r="I1" s="299"/>
      <c r="J1" s="299"/>
      <c r="K1" s="299"/>
      <c r="L1" s="299"/>
      <c r="M1" s="299"/>
      <c r="N1" s="299"/>
      <c r="O1" s="299"/>
      <c r="P1" s="299"/>
      <c r="Q1" s="299"/>
      <c r="R1" s="299"/>
    </row>
    <row r="2" spans="1:18" s="114" customFormat="1" ht="91.5" customHeight="1" x14ac:dyDescent="0.25">
      <c r="A2" s="53" t="s">
        <v>131</v>
      </c>
      <c r="B2" s="53" t="s">
        <v>73</v>
      </c>
      <c r="C2" s="53" t="s">
        <v>160</v>
      </c>
      <c r="D2" s="53" t="s">
        <v>71</v>
      </c>
      <c r="E2" s="53" t="s">
        <v>72</v>
      </c>
      <c r="F2" s="53" t="s">
        <v>92</v>
      </c>
      <c r="G2" s="53" t="s">
        <v>93</v>
      </c>
      <c r="H2" s="53" t="s">
        <v>88</v>
      </c>
      <c r="I2" s="53" t="s">
        <v>84</v>
      </c>
      <c r="J2" s="53" t="s">
        <v>95</v>
      </c>
      <c r="K2" s="53" t="s">
        <v>96</v>
      </c>
      <c r="L2" s="53" t="s">
        <v>108</v>
      </c>
      <c r="M2" s="53" t="s">
        <v>102</v>
      </c>
      <c r="N2" s="53" t="s">
        <v>97</v>
      </c>
      <c r="O2" s="53" t="s">
        <v>77</v>
      </c>
      <c r="P2" s="109" t="s">
        <v>113</v>
      </c>
      <c r="Q2" s="109" t="s">
        <v>120</v>
      </c>
      <c r="R2" s="109" t="s">
        <v>121</v>
      </c>
    </row>
    <row r="3" spans="1:18" x14ac:dyDescent="0.25">
      <c r="A3" s="114" t="s">
        <v>0</v>
      </c>
      <c r="B3" s="274">
        <f>SUM('Minigrids - BF'!$D$25:$R$26)</f>
        <v>17064688.498093128</v>
      </c>
      <c r="C3" s="274">
        <f>SUM('Minigrids - BF'!$C$23:$H$23)</f>
        <v>10944444.444444444</v>
      </c>
      <c r="D3" s="274">
        <f>SUM('Minigrids - BF'!$C$94:$Q$94)</f>
        <v>11090663.055813488</v>
      </c>
      <c r="E3" s="274">
        <f>SUM('Minigrids - BF'!$D$30:$R$30)</f>
        <v>14632665.364714976</v>
      </c>
      <c r="F3" s="274">
        <f>SUM('Minigrids - BF'!$D$42:$AC$42)</f>
        <v>24280956.179198273</v>
      </c>
      <c r="G3" s="274">
        <f>SUM('Minigrids - BF'!$D$43:$AC$43)</f>
        <v>-3411573.5950967306</v>
      </c>
      <c r="H3" s="275">
        <f>'Minigrids - BF'!$C$50</f>
        <v>8889393.9536502045</v>
      </c>
      <c r="I3" s="275">
        <f>'Minigrids - BF'!$C$51</f>
        <v>-5960753.5365487859</v>
      </c>
      <c r="J3" s="257">
        <f>'Minigrids - BF'!$C$60</f>
        <v>0.14283774852752684</v>
      </c>
      <c r="K3" s="257">
        <f>'Minigrids - BF'!$C$62</f>
        <v>4.7683715820312501E-9</v>
      </c>
      <c r="L3" s="254">
        <f>'Minigrids - BF'!$C$56</f>
        <v>1.6898777134369241</v>
      </c>
      <c r="M3" s="254">
        <f>'Minigrids - BF'!$C$58</f>
        <v>0.52665746005841496</v>
      </c>
      <c r="N3" s="262">
        <f>'Minigrids - BF'!$C$64</f>
        <v>7</v>
      </c>
      <c r="O3" s="254">
        <f>'Minigrids - BF'!$C$66</f>
        <v>12</v>
      </c>
      <c r="P3" s="263">
        <f>AVERAGE('Minigrids - BF'!$D$108:$O$108)</f>
        <v>0.83701490322764671</v>
      </c>
      <c r="Q3" s="255">
        <f>'Minigrids - BF'!$C$111</f>
        <v>0.83701490322764671</v>
      </c>
      <c r="R3" s="255">
        <f>'Minigrids - BF'!$C$113</f>
        <v>0.83701490322764671</v>
      </c>
    </row>
    <row r="4" spans="1:18" x14ac:dyDescent="0.25">
      <c r="A4" s="114" t="s">
        <v>123</v>
      </c>
      <c r="B4" s="274">
        <f>SUM('Minigrids - GH'!$D$25:$R$26)</f>
        <v>12798516.373569852</v>
      </c>
      <c r="C4" s="274">
        <f>SUM('Minigrids - GH'!$C$23:$H$23)</f>
        <v>8208333.333333334</v>
      </c>
      <c r="D4" s="274">
        <f>SUM('Minigrids - GH'!$C$94:$Q$94)</f>
        <v>8317997.2918601157</v>
      </c>
      <c r="E4" s="274">
        <f>SUM('Minigrids - GH'!$D$30:$R$30)</f>
        <v>10974499.023536235</v>
      </c>
      <c r="F4" s="274">
        <f>SUM('Minigrids - GH'!$D$42:$AC$42)</f>
        <v>18210717.134398695</v>
      </c>
      <c r="G4" s="274">
        <f>SUM('Minigrids - GH'!$D$43:$AC$43)</f>
        <v>-2558680.1963225482</v>
      </c>
      <c r="H4" s="275">
        <f>'Minigrids - GH'!$C$50</f>
        <v>2220686.4528859416</v>
      </c>
      <c r="I4" s="275">
        <f>'Minigrids - GH'!$C$51</f>
        <v>-4548484.3376746681</v>
      </c>
      <c r="J4" s="257">
        <f>'Minigrids - GH'!$C$60</f>
        <v>0.14283774852752684</v>
      </c>
      <c r="K4" s="257">
        <f>'Minigrids - GH'!$C$62</f>
        <v>4.7683715820312501E-9</v>
      </c>
      <c r="L4" s="254">
        <f>'Minigrids - GH'!$C$56</f>
        <v>1.4056529032081715</v>
      </c>
      <c r="M4" s="254">
        <f>'Minigrids - GH'!$C$58</f>
        <v>0.35636642283275333</v>
      </c>
      <c r="N4" s="262">
        <f>'Minigrids - GH'!$C$64</f>
        <v>7</v>
      </c>
      <c r="O4" s="254">
        <f>'Minigrids - GH'!$C$66</f>
        <v>12</v>
      </c>
      <c r="P4" s="263">
        <f>AVERAGE('Minigrids - GH'!$D$108:$O$108)</f>
        <v>0.7098460578716338</v>
      </c>
      <c r="Q4" s="255">
        <f>'Minigrids - GH'!$C$111</f>
        <v>0.7098460578716338</v>
      </c>
      <c r="R4" s="255">
        <f>'Minigrids - GH'!$C$113</f>
        <v>0.7098460578716338</v>
      </c>
    </row>
    <row r="5" spans="1:18" x14ac:dyDescent="0.25">
      <c r="A5" s="114" t="s">
        <v>124</v>
      </c>
      <c r="B5" s="274">
        <f>SUM('Minigrids - CIV'!$D$25:$R$26)</f>
        <v>12798516.373569852</v>
      </c>
      <c r="C5" s="274">
        <f>SUM('Minigrids - CIV'!$C$23:$H$23)</f>
        <v>8208333.333333334</v>
      </c>
      <c r="D5" s="274">
        <f>SUM('Minigrids - CIV'!$C$94:$Q$94)</f>
        <v>8317997.2918601157</v>
      </c>
      <c r="E5" s="274">
        <f>SUM('Minigrids - CIV'!$D$30:$R$30)</f>
        <v>10974499.023536235</v>
      </c>
      <c r="F5" s="274">
        <f>SUM('Minigrids - CIV'!$D$42:$AC$42)</f>
        <v>18210717.134398695</v>
      </c>
      <c r="G5" s="274">
        <f>SUM('Minigrids - CIV'!$D$43:$AC$43)</f>
        <v>-2558680.1963225482</v>
      </c>
      <c r="H5" s="275">
        <f>'Minigrids - CIV'!$C$50</f>
        <v>8237261.8974573137</v>
      </c>
      <c r="I5" s="275">
        <f>'Minigrids - CIV'!$C$51</f>
        <v>-4398082.9229763607</v>
      </c>
      <c r="J5" s="257">
        <f>'Minigrids - CIV'!$C$60</f>
        <v>0.14283774852752684</v>
      </c>
      <c r="K5" s="257">
        <f>'Minigrids - CIV'!$C$62</f>
        <v>4.7683715820312501E-9</v>
      </c>
      <c r="L5" s="254">
        <f>'Minigrids - CIV'!$C$56</f>
        <v>1.7468053551692362</v>
      </c>
      <c r="M5" s="254">
        <f>'Minigrids - CIV'!$C$58</f>
        <v>0.57894534868173164</v>
      </c>
      <c r="N5" s="262">
        <f>'Minigrids - CIV'!$C$64</f>
        <v>7</v>
      </c>
      <c r="O5" s="254">
        <f>'Minigrids - CIV'!$C$66</f>
        <v>12</v>
      </c>
      <c r="P5" s="263">
        <f>AVERAGE('Minigrids - CIV'!$D$108:$O$108)</f>
        <v>0.85721145332625215</v>
      </c>
      <c r="Q5" s="255">
        <f>'Minigrids - CIV'!$C$111</f>
        <v>0.85721145332625215</v>
      </c>
      <c r="R5" s="255">
        <f>'Minigrids - CIV'!$C$113</f>
        <v>0.85721145332625215</v>
      </c>
    </row>
    <row r="6" spans="1:18" x14ac:dyDescent="0.25">
      <c r="A6" s="114" t="s">
        <v>14</v>
      </c>
      <c r="B6" s="274">
        <f>SUM('Minigrids - ML'!$D$25:$R$26)</f>
        <v>17064688.498093128</v>
      </c>
      <c r="C6" s="274">
        <f>SUM('Minigrids - ML'!$C$23:$H$23)</f>
        <v>10944444.444444444</v>
      </c>
      <c r="D6" s="274">
        <f>SUM('Minigrids - ML'!$C$94:$Q$94)</f>
        <v>11090663.055813488</v>
      </c>
      <c r="E6" s="274">
        <f>SUM('Minigrids - ML'!$D$30:$R$30)</f>
        <v>14632665.364714976</v>
      </c>
      <c r="F6" s="274">
        <f>SUM('Minigrids - ML'!$D$42:$AC$42)</f>
        <v>24280956.179198273</v>
      </c>
      <c r="G6" s="274">
        <f>SUM('Minigrids - ML'!$D$43:$AC$43)</f>
        <v>-3411573.5950967306</v>
      </c>
      <c r="H6" s="275">
        <f>'Minigrids - ML'!$C$50</f>
        <v>10983015.863276418</v>
      </c>
      <c r="I6" s="275">
        <f>'Minigrids - ML'!$C$51</f>
        <v>-5864110.5639684796</v>
      </c>
      <c r="J6" s="257">
        <f>'Minigrids - ML'!$C$60</f>
        <v>0.14283774852752684</v>
      </c>
      <c r="K6" s="257">
        <f>'Minigrids - ML'!$C$62</f>
        <v>4.7683715820312501E-9</v>
      </c>
      <c r="L6" s="254">
        <f>'Minigrids - ML'!$C$56</f>
        <v>1.7468053551692371</v>
      </c>
      <c r="M6" s="254">
        <f>'Minigrids - ML'!$C$58</f>
        <v>0.57894534868173197</v>
      </c>
      <c r="N6" s="262">
        <f>'Minigrids - ML'!$C$64</f>
        <v>7</v>
      </c>
      <c r="O6" s="254">
        <f>'Minigrids - ML'!$C$66</f>
        <v>12</v>
      </c>
      <c r="P6" s="263">
        <f>AVERAGE('Minigrids - ML'!$D$108:$O$108)</f>
        <v>0.88263429746024658</v>
      </c>
      <c r="Q6" s="255">
        <f>'Minigrids - ML'!$C$111</f>
        <v>0.88263429746024658</v>
      </c>
      <c r="R6" s="255">
        <f>'Minigrids - ML'!$C$113</f>
        <v>0.88263429746024658</v>
      </c>
    </row>
    <row r="7" spans="1:18" x14ac:dyDescent="0.25">
      <c r="A7" s="114" t="s">
        <v>125</v>
      </c>
      <c r="B7" s="274">
        <f>SUM('Minigrids - SN'!$D$25:$R$26)</f>
        <v>17064688.498093128</v>
      </c>
      <c r="C7" s="274">
        <f>SUM('Minigrids - SN'!$C$23:$H$23)</f>
        <v>10944444.444444444</v>
      </c>
      <c r="D7" s="274">
        <f>SUM('Minigrids - SN'!$C$94:$Q$94)</f>
        <v>11090663.055813488</v>
      </c>
      <c r="E7" s="274">
        <f>SUM('Minigrids - SN'!$D$30:$R$30)</f>
        <v>14632665.364714976</v>
      </c>
      <c r="F7" s="274">
        <f>SUM('Minigrids - SN'!$D$42:$AC$42)</f>
        <v>24280956.179198273</v>
      </c>
      <c r="G7" s="274">
        <f>SUM('Minigrids - SN'!$D$43:$AC$43)</f>
        <v>-3411573.5950967306</v>
      </c>
      <c r="H7" s="275">
        <f>'Minigrids - SN'!$C$50</f>
        <v>10983015.863276418</v>
      </c>
      <c r="I7" s="275">
        <f>'Minigrids - SN'!$C$51</f>
        <v>-5864110.5639684796</v>
      </c>
      <c r="J7" s="257">
        <f>'Minigrids - SN'!$C$60</f>
        <v>0.14283774852752684</v>
      </c>
      <c r="K7" s="257">
        <f>'Minigrids - SN'!$C$62</f>
        <v>4.7683715820312501E-9</v>
      </c>
      <c r="L7" s="254">
        <f>'Minigrids - SN'!$C$56</f>
        <v>1.7468053551692371</v>
      </c>
      <c r="M7" s="254">
        <f>'Minigrids - SN'!$C$58</f>
        <v>0.57894534868173197</v>
      </c>
      <c r="N7" s="262">
        <f>'Minigrids - SN'!$C$64</f>
        <v>7</v>
      </c>
      <c r="O7" s="254">
        <f>'Minigrids - SN'!$C$66</f>
        <v>12</v>
      </c>
      <c r="P7" s="263">
        <f>AVERAGE('Minigrids - SN'!$D$108:$O$108)</f>
        <v>0.87282197165414355</v>
      </c>
      <c r="Q7" s="255">
        <f>'Minigrids - SN'!$C$111</f>
        <v>0.87282197165414355</v>
      </c>
      <c r="R7" s="255">
        <f>'Minigrids - SN'!$C$113</f>
        <v>0.87282197165414355</v>
      </c>
    </row>
    <row r="13" spans="1:18" x14ac:dyDescent="0.25">
      <c r="B13" s="298" t="s">
        <v>161</v>
      </c>
      <c r="C13" s="298"/>
      <c r="D13" s="298"/>
      <c r="E13" s="298"/>
      <c r="F13" s="298"/>
      <c r="G13" s="298"/>
      <c r="H13" s="298"/>
      <c r="I13" s="298"/>
      <c r="J13" s="298"/>
      <c r="K13" s="298"/>
      <c r="L13" s="298"/>
      <c r="M13" s="298"/>
    </row>
    <row r="14" spans="1:18" s="114" customFormat="1" ht="30" x14ac:dyDescent="0.25">
      <c r="A14" s="53" t="s">
        <v>131</v>
      </c>
      <c r="B14" s="53" t="s">
        <v>73</v>
      </c>
      <c r="C14" s="53" t="s">
        <v>160</v>
      </c>
      <c r="D14" s="53" t="s">
        <v>71</v>
      </c>
      <c r="E14" s="53" t="s">
        <v>72</v>
      </c>
      <c r="F14" s="53" t="s">
        <v>84</v>
      </c>
      <c r="G14" s="53" t="s">
        <v>90</v>
      </c>
      <c r="H14" s="53" t="s">
        <v>86</v>
      </c>
      <c r="I14" s="53" t="s">
        <v>87</v>
      </c>
      <c r="J14" s="109" t="s">
        <v>83</v>
      </c>
      <c r="K14" s="109" t="s">
        <v>85</v>
      </c>
      <c r="L14" s="53" t="s">
        <v>77</v>
      </c>
      <c r="M14" s="53" t="s">
        <v>91</v>
      </c>
    </row>
    <row r="15" spans="1:18" x14ac:dyDescent="0.25">
      <c r="A15" s="252" t="s">
        <v>0</v>
      </c>
      <c r="B15" s="274">
        <f>'Minigrids - 1 item'!$AC$10</f>
        <v>95763.499999999985</v>
      </c>
      <c r="C15" s="274">
        <f>'Minigrids - 1 item'!C8</f>
        <v>27361</v>
      </c>
      <c r="D15" s="274">
        <f>'Minigrids - 1 item'!$AC$20</f>
        <v>81088.399999999965</v>
      </c>
      <c r="E15" s="274">
        <f>'Minigrids - 1 item'!$AC$14</f>
        <v>100660.88100523554</v>
      </c>
      <c r="F15" s="275">
        <f>'Minigrids - 1 item'!$B$27</f>
        <v>-20211.381206328282</v>
      </c>
      <c r="G15" s="275">
        <f>'Minigrids - 1 item'!$B$28</f>
        <v>35854.42576632127</v>
      </c>
      <c r="H15" s="254">
        <f>'Minigrids - 1 item'!$B$25</f>
        <v>0.69335724056386927</v>
      </c>
      <c r="I15" s="255">
        <f>'Minigrids - 1 item'!$B$26</f>
        <v>1.5439756908617523</v>
      </c>
      <c r="J15" s="256">
        <f>'Minigrids - 1 item'!$B$23</f>
        <v>-5.2049860358238234E-2</v>
      </c>
      <c r="K15" s="257">
        <f>'Minigrids - 1 item'!$B$24</f>
        <v>0.1571242392063141</v>
      </c>
      <c r="L15" s="253" t="str">
        <f>'Minigrids - 1 item'!$B$29</f>
        <v>N/A</v>
      </c>
      <c r="M15" s="253">
        <f>'Minigrids - 1 item'!$B$30</f>
        <v>7</v>
      </c>
    </row>
    <row r="16" spans="1:18" x14ac:dyDescent="0.25">
      <c r="A16" s="252" t="s">
        <v>123</v>
      </c>
      <c r="B16" s="274">
        <f>'Minigrids - 1 item'!$AC$43</f>
        <v>95763.499999999985</v>
      </c>
      <c r="C16" s="274">
        <f>'Minigrids - 1 item'!C41</f>
        <v>27361</v>
      </c>
      <c r="D16" s="274">
        <f>'Minigrids - 1 item'!$AC$53</f>
        <v>81088.399999999965</v>
      </c>
      <c r="E16" s="274">
        <f>'Minigrids - 1 item'!$AC$47</f>
        <v>100660.88100523554</v>
      </c>
      <c r="F16" s="275">
        <f>'Minigrids - 1 item'!$B$60</f>
        <v>-22574.154763319322</v>
      </c>
      <c r="G16" s="275">
        <f>'Minigrids - 1 item'!$B$61</f>
        <v>14632.646417631344</v>
      </c>
      <c r="H16" s="254">
        <f>'Minigrids - 1 item'!$B$58</f>
        <v>0.57544807993704239</v>
      </c>
      <c r="I16" s="255">
        <f>'Minigrids - 1 item'!$B$59</f>
        <v>1.2751960459800746</v>
      </c>
      <c r="J16" s="256">
        <f>'Minigrids - 1 item'!$B$56</f>
        <v>-5.2049860358238234E-2</v>
      </c>
      <c r="K16" s="257">
        <f>'Minigrids - 1 item'!$B$57</f>
        <v>0.1571242392063141</v>
      </c>
      <c r="L16" s="253" t="str">
        <f>'Minigrids - 1 item'!$B$62</f>
        <v>N/A</v>
      </c>
      <c r="M16" s="253">
        <f>'Minigrids - 1 item'!$B$63</f>
        <v>7</v>
      </c>
    </row>
    <row r="17" spans="1:16" x14ac:dyDescent="0.25">
      <c r="A17" s="252" t="s">
        <v>124</v>
      </c>
      <c r="B17" s="274">
        <f>'Minigrids - 1 item'!$AC$76</f>
        <v>95763.499999999985</v>
      </c>
      <c r="C17" s="274">
        <f>'Minigrids - 1 item'!C74</f>
        <v>27361</v>
      </c>
      <c r="D17" s="274">
        <f>'Minigrids - 1 item'!$AC$86</f>
        <v>81088.399999999965</v>
      </c>
      <c r="E17" s="274">
        <f>'Minigrids - 1 item'!$AC$80</f>
        <v>100660.88100523554</v>
      </c>
      <c r="F17" s="275">
        <f>'Minigrids - 1 item'!$B$93</f>
        <v>-19435.815971935597</v>
      </c>
      <c r="G17" s="276">
        <f>'Minigrids - 1 item'!$B$94</f>
        <v>42850.010363344183</v>
      </c>
      <c r="H17" s="259">
        <f>'Minigrids - 1 item'!$B$91</f>
        <v>0.7227165379084971</v>
      </c>
      <c r="I17" s="260">
        <f>'Minigrids - 1 item'!$B$92</f>
        <v>1.611324949843183</v>
      </c>
      <c r="J17" s="256">
        <f>'Minigrids - 1 item'!$B$89</f>
        <v>-5.2049860358238234E-2</v>
      </c>
      <c r="K17" s="261">
        <f>'Minigrids - 1 item'!$B$90</f>
        <v>0.1571242392063141</v>
      </c>
      <c r="L17" s="258" t="str">
        <f>'Minigrids - 1 item'!$B$95</f>
        <v>N/A</v>
      </c>
      <c r="M17" s="258">
        <f>'Minigrids - 1 item'!$B$96</f>
        <v>7</v>
      </c>
      <c r="N17" s="106"/>
      <c r="O17" s="106"/>
      <c r="P17" s="106"/>
    </row>
    <row r="18" spans="1:16" x14ac:dyDescent="0.25">
      <c r="A18" s="252" t="s">
        <v>14</v>
      </c>
      <c r="B18" s="274">
        <f>'Minigrids - 1 item'!$AC$109</f>
        <v>95763.499999999985</v>
      </c>
      <c r="C18" s="274">
        <f>'Minigrids - 1 item'!C107</f>
        <v>27361</v>
      </c>
      <c r="D18" s="274">
        <f>'Minigrids - 1 item'!$AC$119</f>
        <v>81088.399999999965</v>
      </c>
      <c r="E18" s="274">
        <f>'Minigrids - 1 item'!$AC$113</f>
        <v>100660.88100523554</v>
      </c>
      <c r="F18" s="275">
        <f>'Minigrids - 1 item'!$B$126</f>
        <v>-19435.815971935597</v>
      </c>
      <c r="G18" s="276">
        <f>'Minigrids - 1 item'!$B$127</f>
        <v>42850.010363344183</v>
      </c>
      <c r="H18" s="259">
        <f>'Minigrids - 1 item'!$B$124</f>
        <v>0.7227165379084971</v>
      </c>
      <c r="I18" s="260">
        <f>'Minigrids - 1 item'!$B$125</f>
        <v>1.611324949843183</v>
      </c>
      <c r="J18" s="256">
        <f>'Minigrids - 1 item'!$B$122</f>
        <v>-5.2049860358238234E-2</v>
      </c>
      <c r="K18" s="261">
        <f>'Minigrids - 1 item'!$B$123</f>
        <v>0.1571242392063141</v>
      </c>
      <c r="L18" s="258" t="str">
        <f>'Minigrids - 1 item'!$B$128</f>
        <v>N/A</v>
      </c>
      <c r="M18" s="258">
        <f>'Minigrids - 1 item'!$B$129</f>
        <v>7</v>
      </c>
      <c r="N18" s="106"/>
      <c r="O18" s="106"/>
      <c r="P18" s="106"/>
    </row>
    <row r="19" spans="1:16" x14ac:dyDescent="0.25">
      <c r="A19" s="252" t="s">
        <v>125</v>
      </c>
      <c r="B19" s="274">
        <f>'Minigrids - 1 item'!$AC$142</f>
        <v>95763.499999999985</v>
      </c>
      <c r="C19" s="274">
        <f>'Minigrids - 1 item'!C140</f>
        <v>27361</v>
      </c>
      <c r="D19" s="274">
        <f>'Minigrids - 1 item'!$AC$152</f>
        <v>81088.399999999965</v>
      </c>
      <c r="E19" s="274">
        <f>'Minigrids - 1 item'!$AC$146</f>
        <v>100660.88100523554</v>
      </c>
      <c r="F19" s="275">
        <f>'Minigrids - 1 item'!$B$159</f>
        <v>-19435.815971935597</v>
      </c>
      <c r="G19" s="276">
        <f>'Minigrids - 1 item'!$B$160</f>
        <v>42850.010363344183</v>
      </c>
      <c r="H19" s="259">
        <f>'Minigrids - 1 item'!$B$157</f>
        <v>0.7227165379084971</v>
      </c>
      <c r="I19" s="260">
        <f>'Minigrids - 1 item'!$B$158</f>
        <v>1.611324949843183</v>
      </c>
      <c r="J19" s="256">
        <f>'Minigrids - 1 item'!$B$155</f>
        <v>-5.2049860358238234E-2</v>
      </c>
      <c r="K19" s="261">
        <f>'Minigrids - 1 item'!$B$156</f>
        <v>0.1571242392063141</v>
      </c>
      <c r="L19" s="258" t="str">
        <f>'Minigrids - 1 item'!$B$161</f>
        <v>N/A</v>
      </c>
      <c r="M19" s="258">
        <f>'Minigrids - 1 item'!$B$162</f>
        <v>7</v>
      </c>
      <c r="N19" s="106"/>
      <c r="O19" s="106"/>
      <c r="P19" s="106"/>
    </row>
    <row r="20" spans="1:16" x14ac:dyDescent="0.25">
      <c r="G20" s="106"/>
      <c r="H20" s="106"/>
      <c r="I20" s="106"/>
      <c r="J20" s="238"/>
      <c r="K20" s="106"/>
      <c r="L20" s="106"/>
      <c r="M20" s="106"/>
      <c r="N20" s="106"/>
      <c r="O20" s="106"/>
      <c r="P20" s="106"/>
    </row>
    <row r="21" spans="1:16" x14ac:dyDescent="0.25">
      <c r="G21" s="106"/>
      <c r="H21" s="106"/>
      <c r="I21" s="106"/>
      <c r="J21" s="238"/>
      <c r="K21" s="106"/>
      <c r="L21" s="106"/>
      <c r="M21" s="106"/>
      <c r="N21" s="106"/>
      <c r="O21" s="106"/>
      <c r="P21" s="106"/>
    </row>
    <row r="22" spans="1:16" x14ac:dyDescent="0.25">
      <c r="G22" s="106"/>
      <c r="H22" s="106"/>
      <c r="I22" s="106"/>
      <c r="J22" s="238"/>
      <c r="K22" s="106"/>
      <c r="L22" s="106"/>
      <c r="M22" s="106"/>
      <c r="N22" s="106"/>
      <c r="O22" s="106"/>
      <c r="P22" s="106"/>
    </row>
  </sheetData>
  <mergeCells count="2">
    <mergeCell ref="B13:M13"/>
    <mergeCell ref="B1:R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9889C1-6A42-48D6-AB42-3D5CF6566CB3}">
  <dimension ref="A1:AE63"/>
  <sheetViews>
    <sheetView topLeftCell="A55" workbookViewId="0">
      <selection activeCell="C58" sqref="C58"/>
    </sheetView>
  </sheetViews>
  <sheetFormatPr defaultRowHeight="15" x14ac:dyDescent="0.25"/>
  <cols>
    <col min="1" max="1" width="20.28515625" customWidth="1"/>
    <col min="2" max="2" width="16.28515625" customWidth="1"/>
    <col min="3" max="3" width="13.5703125" style="4" customWidth="1"/>
    <col min="6" max="6" width="9.5703125" bestFit="1" customWidth="1"/>
    <col min="7" max="7" width="11.7109375" bestFit="1" customWidth="1"/>
    <col min="8" max="30" width="9.5703125" bestFit="1" customWidth="1"/>
    <col min="31" max="31" width="9.140625" style="4"/>
  </cols>
  <sheetData>
    <row r="1" spans="1:31" ht="15.75" customHeight="1" x14ac:dyDescent="0.25">
      <c r="A1" s="321" t="s">
        <v>131</v>
      </c>
      <c r="B1" s="321"/>
      <c r="C1" s="248"/>
      <c r="E1" s="246">
        <v>44197</v>
      </c>
      <c r="F1" s="246">
        <v>44562</v>
      </c>
      <c r="G1" s="246">
        <v>44927</v>
      </c>
      <c r="H1" s="246">
        <v>45292</v>
      </c>
      <c r="I1" s="246">
        <v>45658</v>
      </c>
      <c r="J1" s="246">
        <v>46023</v>
      </c>
      <c r="K1" s="246">
        <v>46388</v>
      </c>
      <c r="L1" s="246">
        <v>46753</v>
      </c>
      <c r="M1" s="246">
        <v>47119</v>
      </c>
      <c r="N1" s="246">
        <v>47484</v>
      </c>
      <c r="O1" s="246">
        <v>47849</v>
      </c>
      <c r="P1" s="246">
        <v>48214</v>
      </c>
      <c r="Q1" s="246">
        <v>48580</v>
      </c>
      <c r="R1" s="246">
        <v>48945</v>
      </c>
      <c r="S1" s="246">
        <v>49310</v>
      </c>
      <c r="T1" s="246">
        <v>49675</v>
      </c>
      <c r="U1" s="246">
        <v>50041</v>
      </c>
      <c r="V1" s="246">
        <v>50406</v>
      </c>
      <c r="W1" s="246">
        <v>50771</v>
      </c>
      <c r="X1" s="246">
        <v>51136</v>
      </c>
      <c r="Y1" s="246">
        <v>51502</v>
      </c>
      <c r="Z1" s="246">
        <v>51867</v>
      </c>
      <c r="AA1" s="246">
        <v>52232</v>
      </c>
      <c r="AB1" s="246">
        <v>52597</v>
      </c>
      <c r="AC1" s="246">
        <v>52963</v>
      </c>
      <c r="AD1" s="246">
        <v>53328</v>
      </c>
      <c r="AE1" s="243"/>
    </row>
    <row r="2" spans="1:31" s="106" customFormat="1" ht="15.75" customHeight="1" x14ac:dyDescent="0.25">
      <c r="A2" s="277"/>
      <c r="B2" s="277"/>
      <c r="C2" s="278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79"/>
      <c r="AA2" s="279"/>
      <c r="AB2" s="279"/>
      <c r="AC2" s="279"/>
      <c r="AD2" s="279"/>
      <c r="AE2" s="280"/>
    </row>
    <row r="3" spans="1:31" s="106" customFormat="1" ht="15.75" customHeight="1" x14ac:dyDescent="0.25">
      <c r="A3" s="281" t="s">
        <v>162</v>
      </c>
      <c r="B3" s="277">
        <v>0.8</v>
      </c>
      <c r="C3" s="278"/>
      <c r="E3" s="279"/>
      <c r="F3" s="279"/>
      <c r="G3" s="279"/>
      <c r="H3" s="279"/>
      <c r="I3" s="279"/>
      <c r="J3" s="279"/>
      <c r="K3" s="279"/>
      <c r="L3" s="279"/>
      <c r="M3" s="279"/>
      <c r="N3" s="279"/>
      <c r="O3" s="279"/>
      <c r="P3" s="279"/>
      <c r="Q3" s="279"/>
      <c r="R3" s="279"/>
      <c r="S3" s="279"/>
      <c r="T3" s="279"/>
      <c r="U3" s="279"/>
      <c r="V3" s="279"/>
      <c r="W3" s="279"/>
      <c r="X3" s="279"/>
      <c r="Y3" s="279"/>
      <c r="Z3" s="279"/>
      <c r="AA3" s="279"/>
      <c r="AB3" s="279"/>
      <c r="AC3" s="279"/>
      <c r="AD3" s="279"/>
      <c r="AE3" s="280"/>
    </row>
    <row r="4" spans="1:31" ht="14.25" customHeight="1" x14ac:dyDescent="0.25"/>
    <row r="5" spans="1:31" x14ac:dyDescent="0.25">
      <c r="A5" s="320" t="s">
        <v>149</v>
      </c>
      <c r="B5" s="320"/>
      <c r="C5" s="320"/>
      <c r="D5" s="245">
        <v>1.81</v>
      </c>
    </row>
    <row r="6" spans="1:31" x14ac:dyDescent="0.25">
      <c r="A6" s="247" t="s">
        <v>0</v>
      </c>
    </row>
    <row r="7" spans="1:31" x14ac:dyDescent="0.25">
      <c r="A7" s="4" t="s">
        <v>128</v>
      </c>
      <c r="E7" s="54">
        <f>'Minigrids - 1 item'!C10</f>
        <v>27361</v>
      </c>
      <c r="F7" s="54">
        <f>'Minigrids - 1 item'!D10</f>
        <v>2736.1000000000004</v>
      </c>
      <c r="G7" s="54">
        <f>'Minigrids - 1 item'!E10</f>
        <v>2736.1000000000004</v>
      </c>
      <c r="H7" s="54">
        <f>'Minigrids - 1 item'!F10</f>
        <v>2736.1000000000004</v>
      </c>
      <c r="I7" s="54">
        <f>'Minigrids - 1 item'!G10</f>
        <v>2736.1000000000004</v>
      </c>
      <c r="J7" s="54">
        <f>'Minigrids - 1 item'!H10</f>
        <v>2736.1000000000004</v>
      </c>
      <c r="K7" s="54">
        <f>'Minigrids - 1 item'!I10</f>
        <v>2736.1000000000004</v>
      </c>
      <c r="L7" s="54">
        <f>'Minigrids - 1 item'!J10</f>
        <v>2736.1000000000004</v>
      </c>
      <c r="M7" s="54">
        <f>'Minigrids - 1 item'!K10</f>
        <v>2736.1000000000004</v>
      </c>
      <c r="N7" s="54">
        <f>'Minigrids - 1 item'!L10</f>
        <v>2736.1000000000004</v>
      </c>
      <c r="O7" s="54">
        <f>'Minigrids - 1 item'!M10</f>
        <v>2736.1000000000004</v>
      </c>
      <c r="P7" s="54">
        <f>'Minigrids - 1 item'!N10</f>
        <v>2736.1000000000004</v>
      </c>
      <c r="Q7" s="54">
        <f>'Minigrids - 1 item'!O10</f>
        <v>2736.1000000000004</v>
      </c>
      <c r="R7" s="54">
        <f>'Minigrids - 1 item'!P10</f>
        <v>2736.1000000000004</v>
      </c>
      <c r="S7" s="54">
        <f>'Minigrids - 1 item'!Q10</f>
        <v>2736.1000000000004</v>
      </c>
      <c r="T7" s="54">
        <f>'Minigrids - 1 item'!R10</f>
        <v>2736.1000000000004</v>
      </c>
      <c r="U7" s="54">
        <f>'Minigrids - 1 item'!S10</f>
        <v>2736.1000000000004</v>
      </c>
      <c r="V7" s="54">
        <f>'Minigrids - 1 item'!T10</f>
        <v>2736.1000000000004</v>
      </c>
      <c r="W7" s="54">
        <f>'Minigrids - 1 item'!U10</f>
        <v>2736.1000000000004</v>
      </c>
      <c r="X7" s="54">
        <f>'Minigrids - 1 item'!V10</f>
        <v>2736.1000000000004</v>
      </c>
      <c r="Y7" s="54">
        <f>'Minigrids - 1 item'!W10</f>
        <v>2736.1000000000004</v>
      </c>
      <c r="Z7" s="54">
        <f>'Minigrids - 1 item'!X10</f>
        <v>2736.1000000000004</v>
      </c>
      <c r="AA7" s="54">
        <f>'Minigrids - 1 item'!Y10</f>
        <v>2736.1000000000004</v>
      </c>
      <c r="AB7" s="54">
        <f>'Minigrids - 1 item'!Z10</f>
        <v>2736.1000000000004</v>
      </c>
      <c r="AC7" s="54">
        <f>'Minigrids - 1 item'!AA10</f>
        <v>2736.1000000000004</v>
      </c>
      <c r="AD7" s="54">
        <f>'Minigrids - 1 item'!AB10</f>
        <v>2736.1000000000004</v>
      </c>
      <c r="AE7" s="4" t="s">
        <v>12</v>
      </c>
    </row>
    <row r="8" spans="1:31" x14ac:dyDescent="0.25">
      <c r="A8" s="4" t="s">
        <v>129</v>
      </c>
      <c r="E8" s="244">
        <f>'Minigrids - 1 item'!C20*$D$5*$B$3</f>
        <v>0</v>
      </c>
      <c r="F8" s="244">
        <f>'Minigrids - 1 item'!D20*$D$5*$B$3</f>
        <v>4696.6401280000009</v>
      </c>
      <c r="G8" s="244">
        <f>'Minigrids - 1 item'!E20*$D$5*$B$3</f>
        <v>4696.6401280000009</v>
      </c>
      <c r="H8" s="244">
        <f>'Minigrids - 1 item'!F20*$D$5*$B$3</f>
        <v>4696.6401280000009</v>
      </c>
      <c r="I8" s="244">
        <f>'Minigrids - 1 item'!G20*$D$5*$B$3</f>
        <v>4696.6401280000009</v>
      </c>
      <c r="J8" s="244">
        <f>'Minigrids - 1 item'!H20*$D$5*$B$3</f>
        <v>4696.6401280000009</v>
      </c>
      <c r="K8" s="244">
        <f>'Minigrids - 1 item'!I20*$D$5*$B$3</f>
        <v>4696.6401280000009</v>
      </c>
      <c r="L8" s="244">
        <f>'Minigrids - 1 item'!J20*$D$5*$B$3</f>
        <v>4696.6401280000009</v>
      </c>
      <c r="M8" s="244">
        <f>'Minigrids - 1 item'!K20*$D$5*$B$3</f>
        <v>4696.6401280000009</v>
      </c>
      <c r="N8" s="244">
        <f>'Minigrids - 1 item'!L20*$D$5*$B$3</f>
        <v>4696.6401280000009</v>
      </c>
      <c r="O8" s="244">
        <f>'Minigrids - 1 item'!M20*$D$5*$B$3</f>
        <v>4696.6401280000009</v>
      </c>
      <c r="P8" s="244">
        <f>'Minigrids - 1 item'!N20*$D$5*$B$3</f>
        <v>4696.6401280000009</v>
      </c>
      <c r="Q8" s="244">
        <f>'Minigrids - 1 item'!O20*$D$5*$B$3</f>
        <v>4696.6401280000009</v>
      </c>
      <c r="R8" s="244">
        <f>'Minigrids - 1 item'!P20*$D$5*$B$3</f>
        <v>4696.6401280000009</v>
      </c>
      <c r="S8" s="244">
        <f>'Minigrids - 1 item'!Q20*$D$5*$B$3</f>
        <v>4696.6401280000009</v>
      </c>
      <c r="T8" s="244">
        <f>'Minigrids - 1 item'!R20*$D$5*$B$3</f>
        <v>4696.6401280000009</v>
      </c>
      <c r="U8" s="244">
        <f>'Minigrids - 1 item'!S20*$D$5*$B$3</f>
        <v>4696.6401280000009</v>
      </c>
      <c r="V8" s="244">
        <f>'Minigrids - 1 item'!T20*$D$5*$B$3</f>
        <v>4696.6401280000009</v>
      </c>
      <c r="W8" s="244">
        <f>'Minigrids - 1 item'!U20*$D$5*$B$3</f>
        <v>4696.6401280000009</v>
      </c>
      <c r="X8" s="244">
        <f>'Minigrids - 1 item'!V20*$D$5*$B$3</f>
        <v>4696.6401280000009</v>
      </c>
      <c r="Y8" s="244">
        <f>'Minigrids - 1 item'!W20*$D$5*$B$3</f>
        <v>4696.6401280000009</v>
      </c>
      <c r="Z8" s="244">
        <f>'Minigrids - 1 item'!X20*$D$5*$B$3</f>
        <v>4696.6401280000009</v>
      </c>
      <c r="AA8" s="244">
        <f>'Minigrids - 1 item'!Y20*$D$5*$B$3</f>
        <v>4696.6401280000009</v>
      </c>
      <c r="AB8" s="244">
        <f>'Minigrids - 1 item'!Z20*$D$5*$B$3</f>
        <v>4696.6401280000009</v>
      </c>
      <c r="AC8" s="244">
        <f>'Minigrids - 1 item'!AA20*$D$5*$B$3</f>
        <v>4696.6401280000009</v>
      </c>
      <c r="AD8" s="244">
        <f>'Minigrids - 1 item'!AB20*$D$5*$B$3</f>
        <v>4696.6401280000009</v>
      </c>
      <c r="AE8" s="4" t="s">
        <v>12</v>
      </c>
    </row>
    <row r="9" spans="1:31" x14ac:dyDescent="0.25">
      <c r="A9" s="4" t="s">
        <v>130</v>
      </c>
      <c r="E9" s="244">
        <f>E8-E7</f>
        <v>-27361</v>
      </c>
      <c r="F9" s="244">
        <f>F8-F7</f>
        <v>1960.5401280000005</v>
      </c>
      <c r="G9" s="244">
        <f t="shared" ref="G9:AD9" si="0">G8-G7</f>
        <v>1960.5401280000005</v>
      </c>
      <c r="H9" s="244">
        <f t="shared" si="0"/>
        <v>1960.5401280000005</v>
      </c>
      <c r="I9" s="244">
        <f t="shared" si="0"/>
        <v>1960.5401280000005</v>
      </c>
      <c r="J9" s="244">
        <f t="shared" si="0"/>
        <v>1960.5401280000005</v>
      </c>
      <c r="K9" s="244">
        <f t="shared" si="0"/>
        <v>1960.5401280000005</v>
      </c>
      <c r="L9" s="244">
        <f t="shared" si="0"/>
        <v>1960.5401280000005</v>
      </c>
      <c r="M9" s="244">
        <f t="shared" si="0"/>
        <v>1960.5401280000005</v>
      </c>
      <c r="N9" s="244">
        <f t="shared" si="0"/>
        <v>1960.5401280000005</v>
      </c>
      <c r="O9" s="244">
        <f t="shared" si="0"/>
        <v>1960.5401280000005</v>
      </c>
      <c r="P9" s="244">
        <f t="shared" si="0"/>
        <v>1960.5401280000005</v>
      </c>
      <c r="Q9" s="244">
        <f t="shared" si="0"/>
        <v>1960.5401280000005</v>
      </c>
      <c r="R9" s="244">
        <f t="shared" si="0"/>
        <v>1960.5401280000005</v>
      </c>
      <c r="S9" s="244">
        <f t="shared" si="0"/>
        <v>1960.5401280000005</v>
      </c>
      <c r="T9" s="244">
        <f t="shared" si="0"/>
        <v>1960.5401280000005</v>
      </c>
      <c r="U9" s="244">
        <f t="shared" si="0"/>
        <v>1960.5401280000005</v>
      </c>
      <c r="V9" s="244">
        <f t="shared" si="0"/>
        <v>1960.5401280000005</v>
      </c>
      <c r="W9" s="244">
        <f t="shared" si="0"/>
        <v>1960.5401280000005</v>
      </c>
      <c r="X9" s="244">
        <f t="shared" si="0"/>
        <v>1960.5401280000005</v>
      </c>
      <c r="Y9" s="244">
        <f t="shared" si="0"/>
        <v>1960.5401280000005</v>
      </c>
      <c r="Z9" s="244">
        <f t="shared" si="0"/>
        <v>1960.5401280000005</v>
      </c>
      <c r="AA9" s="244">
        <f t="shared" si="0"/>
        <v>1960.5401280000005</v>
      </c>
      <c r="AB9" s="244">
        <f t="shared" si="0"/>
        <v>1960.5401280000005</v>
      </c>
      <c r="AC9" s="244">
        <f t="shared" si="0"/>
        <v>1960.5401280000005</v>
      </c>
      <c r="AD9" s="244">
        <f t="shared" si="0"/>
        <v>1960.5401280000005</v>
      </c>
      <c r="AE9" s="4" t="s">
        <v>12</v>
      </c>
    </row>
    <row r="11" spans="1:31" x14ac:dyDescent="0.25">
      <c r="A11" s="4" t="s">
        <v>84</v>
      </c>
      <c r="C11" s="12">
        <f>XNPV(B$13,E9:AD9,$E$1:$AD$1)</f>
        <v>262.41368152114455</v>
      </c>
    </row>
    <row r="12" spans="1:31" x14ac:dyDescent="0.25">
      <c r="A12" s="4" t="s">
        <v>83</v>
      </c>
      <c r="C12" s="249">
        <f>XIRR(E9:AD9,$E$1:$AD$1,0.1)</f>
        <v>5.0954362750053411E-2</v>
      </c>
    </row>
    <row r="13" spans="1:31" x14ac:dyDescent="0.25">
      <c r="A13" s="4" t="s">
        <v>79</v>
      </c>
      <c r="B13">
        <v>0.05</v>
      </c>
    </row>
    <row r="14" spans="1:31" x14ac:dyDescent="0.25">
      <c r="A14" s="4"/>
    </row>
    <row r="15" spans="1:31" x14ac:dyDescent="0.25">
      <c r="A15" s="320" t="s">
        <v>149</v>
      </c>
      <c r="B15" s="320"/>
      <c r="C15" s="320"/>
      <c r="D15" s="245">
        <v>2.1800000000000002</v>
      </c>
    </row>
    <row r="16" spans="1:31" x14ac:dyDescent="0.25">
      <c r="A16" s="247" t="s">
        <v>123</v>
      </c>
    </row>
    <row r="17" spans="1:31" x14ac:dyDescent="0.25">
      <c r="A17" s="4" t="s">
        <v>128</v>
      </c>
      <c r="E17" s="54">
        <f>'Minigrids - 1 item'!C43</f>
        <v>27361</v>
      </c>
      <c r="F17" s="54">
        <f>'Minigrids - 1 item'!D43</f>
        <v>2736.1000000000004</v>
      </c>
      <c r="G17" s="54">
        <f>'Minigrids - 1 item'!E43</f>
        <v>2736.1000000000004</v>
      </c>
      <c r="H17" s="54">
        <f>'Minigrids - 1 item'!F43</f>
        <v>2736.1000000000004</v>
      </c>
      <c r="I17" s="54">
        <f>'Minigrids - 1 item'!G43</f>
        <v>2736.1000000000004</v>
      </c>
      <c r="J17" s="54">
        <f>'Minigrids - 1 item'!H43</f>
        <v>2736.1000000000004</v>
      </c>
      <c r="K17" s="54">
        <f>'Minigrids - 1 item'!I43</f>
        <v>2736.1000000000004</v>
      </c>
      <c r="L17" s="54">
        <f>'Minigrids - 1 item'!J43</f>
        <v>2736.1000000000004</v>
      </c>
      <c r="M17" s="54">
        <f>'Minigrids - 1 item'!K43</f>
        <v>2736.1000000000004</v>
      </c>
      <c r="N17" s="54">
        <f>'Minigrids - 1 item'!L43</f>
        <v>2736.1000000000004</v>
      </c>
      <c r="O17" s="54">
        <f>'Minigrids - 1 item'!M43</f>
        <v>2736.1000000000004</v>
      </c>
      <c r="P17" s="54">
        <f>'Minigrids - 1 item'!N43</f>
        <v>2736.1000000000004</v>
      </c>
      <c r="Q17" s="54">
        <f>'Minigrids - 1 item'!O43</f>
        <v>2736.1000000000004</v>
      </c>
      <c r="R17" s="54">
        <f>'Minigrids - 1 item'!P43</f>
        <v>2736.1000000000004</v>
      </c>
      <c r="S17" s="54">
        <f>'Minigrids - 1 item'!Q43</f>
        <v>2736.1000000000004</v>
      </c>
      <c r="T17" s="54">
        <f>'Minigrids - 1 item'!R43</f>
        <v>2736.1000000000004</v>
      </c>
      <c r="U17" s="54">
        <f>'Minigrids - 1 item'!S43</f>
        <v>2736.1000000000004</v>
      </c>
      <c r="V17" s="54">
        <f>'Minigrids - 1 item'!T43</f>
        <v>2736.1000000000004</v>
      </c>
      <c r="W17" s="54">
        <f>'Minigrids - 1 item'!U43</f>
        <v>2736.1000000000004</v>
      </c>
      <c r="X17" s="54">
        <f>'Minigrids - 1 item'!V43</f>
        <v>2736.1000000000004</v>
      </c>
      <c r="Y17" s="54">
        <f>'Minigrids - 1 item'!W43</f>
        <v>2736.1000000000004</v>
      </c>
      <c r="Z17" s="54">
        <f>'Minigrids - 1 item'!X43</f>
        <v>2736.1000000000004</v>
      </c>
      <c r="AA17" s="54">
        <f>'Minigrids - 1 item'!Y43</f>
        <v>2736.1000000000004</v>
      </c>
      <c r="AB17" s="54">
        <f>'Minigrids - 1 item'!Z43</f>
        <v>2736.1000000000004</v>
      </c>
      <c r="AC17" s="54">
        <f>'Minigrids - 1 item'!AA43</f>
        <v>2736.1000000000004</v>
      </c>
      <c r="AD17" s="54">
        <f>'Minigrids - 1 item'!AB43</f>
        <v>2736.1000000000004</v>
      </c>
      <c r="AE17" s="4" t="s">
        <v>12</v>
      </c>
    </row>
    <row r="18" spans="1:31" x14ac:dyDescent="0.25">
      <c r="A18" s="4" t="s">
        <v>129</v>
      </c>
      <c r="E18" s="57">
        <f>'Minigrids - 1 item'!C53*$D$15*$B$3</f>
        <v>0</v>
      </c>
      <c r="F18" s="57">
        <f>'Minigrids - 1 item'!D53*$D$15*$B$3</f>
        <v>5656.7267840000013</v>
      </c>
      <c r="G18" s="57">
        <f>'Minigrids - 1 item'!E53*$D$15*$B$3</f>
        <v>5656.7267840000013</v>
      </c>
      <c r="H18" s="57">
        <f>'Minigrids - 1 item'!F53*$D$15*$B$3</f>
        <v>5656.7267840000013</v>
      </c>
      <c r="I18" s="57">
        <f>'Minigrids - 1 item'!G53*$D$15*$B$3</f>
        <v>5656.7267840000013</v>
      </c>
      <c r="J18" s="57">
        <f>'Minigrids - 1 item'!H53*$D$15*$B$3</f>
        <v>5656.7267840000013</v>
      </c>
      <c r="K18" s="57">
        <f>'Minigrids - 1 item'!I53*$D$15*$B$3</f>
        <v>5656.7267840000013</v>
      </c>
      <c r="L18" s="57">
        <f>'Minigrids - 1 item'!J53*$D$15*$B$3</f>
        <v>5656.7267840000013</v>
      </c>
      <c r="M18" s="57">
        <f>'Minigrids - 1 item'!K53*$D$15*$B$3</f>
        <v>5656.7267840000013</v>
      </c>
      <c r="N18" s="57">
        <f>'Minigrids - 1 item'!L53*$D$15*$B$3</f>
        <v>5656.7267840000013</v>
      </c>
      <c r="O18" s="57">
        <f>'Minigrids - 1 item'!M53*$D$15*$B$3</f>
        <v>5656.7267840000013</v>
      </c>
      <c r="P18" s="57">
        <f>'Minigrids - 1 item'!N53*$D$15*$B$3</f>
        <v>5656.7267840000013</v>
      </c>
      <c r="Q18" s="57">
        <f>'Minigrids - 1 item'!O53*$D$15*$B$3</f>
        <v>5656.7267840000013</v>
      </c>
      <c r="R18" s="57">
        <f>'Minigrids - 1 item'!P53*$D$15*$B$3</f>
        <v>5656.7267840000013</v>
      </c>
      <c r="S18" s="57">
        <f>'Minigrids - 1 item'!Q53*$D$15*$B$3</f>
        <v>5656.7267840000013</v>
      </c>
      <c r="T18" s="57">
        <f>'Minigrids - 1 item'!R53*$D$15*$B$3</f>
        <v>5656.7267840000013</v>
      </c>
      <c r="U18" s="57">
        <f>'Minigrids - 1 item'!S53*$D$15*$B$3</f>
        <v>5656.7267840000013</v>
      </c>
      <c r="V18" s="57">
        <f>'Minigrids - 1 item'!T53*$D$15*$B$3</f>
        <v>5656.7267840000013</v>
      </c>
      <c r="W18" s="57">
        <f>'Minigrids - 1 item'!U53*$D$15*$B$3</f>
        <v>5656.7267840000013</v>
      </c>
      <c r="X18" s="57">
        <f>'Minigrids - 1 item'!V53*$D$15*$B$3</f>
        <v>5656.7267840000013</v>
      </c>
      <c r="Y18" s="57">
        <f>'Minigrids - 1 item'!W53*$D$15*$B$3</f>
        <v>5656.7267840000013</v>
      </c>
      <c r="Z18" s="57">
        <f>'Minigrids - 1 item'!X53*$D$15*$B$3</f>
        <v>5656.7267840000013</v>
      </c>
      <c r="AA18" s="57">
        <f>'Minigrids - 1 item'!Y53*$D$15*$B$3</f>
        <v>5656.7267840000013</v>
      </c>
      <c r="AB18" s="57">
        <f>'Minigrids - 1 item'!Z53*$D$15*$B$3</f>
        <v>5656.7267840000013</v>
      </c>
      <c r="AC18" s="57">
        <f>'Minigrids - 1 item'!AA53*$D$15*$B$3</f>
        <v>5656.7267840000013</v>
      </c>
      <c r="AD18" s="57">
        <f>'Minigrids - 1 item'!AB53*$D$15*$B$3</f>
        <v>5656.7267840000013</v>
      </c>
      <c r="AE18" s="4" t="s">
        <v>12</v>
      </c>
    </row>
    <row r="19" spans="1:31" x14ac:dyDescent="0.25">
      <c r="A19" s="4" t="s">
        <v>130</v>
      </c>
      <c r="E19" s="57">
        <f>E18-E17</f>
        <v>-27361</v>
      </c>
      <c r="F19" s="57">
        <f t="shared" ref="F19:AD19" si="1">F18-F17</f>
        <v>2920.626784000001</v>
      </c>
      <c r="G19" s="57">
        <f t="shared" si="1"/>
        <v>2920.626784000001</v>
      </c>
      <c r="H19" s="57">
        <f t="shared" si="1"/>
        <v>2920.626784000001</v>
      </c>
      <c r="I19" s="57">
        <f t="shared" si="1"/>
        <v>2920.626784000001</v>
      </c>
      <c r="J19" s="57">
        <f t="shared" si="1"/>
        <v>2920.626784000001</v>
      </c>
      <c r="K19" s="57">
        <f t="shared" si="1"/>
        <v>2920.626784000001</v>
      </c>
      <c r="L19" s="57">
        <f t="shared" si="1"/>
        <v>2920.626784000001</v>
      </c>
      <c r="M19" s="57">
        <f t="shared" si="1"/>
        <v>2920.626784000001</v>
      </c>
      <c r="N19" s="57">
        <f t="shared" si="1"/>
        <v>2920.626784000001</v>
      </c>
      <c r="O19" s="57">
        <f t="shared" si="1"/>
        <v>2920.626784000001</v>
      </c>
      <c r="P19" s="57">
        <f t="shared" si="1"/>
        <v>2920.626784000001</v>
      </c>
      <c r="Q19" s="57">
        <f t="shared" si="1"/>
        <v>2920.626784000001</v>
      </c>
      <c r="R19" s="57">
        <f t="shared" si="1"/>
        <v>2920.626784000001</v>
      </c>
      <c r="S19" s="57">
        <f t="shared" si="1"/>
        <v>2920.626784000001</v>
      </c>
      <c r="T19" s="57">
        <f t="shared" si="1"/>
        <v>2920.626784000001</v>
      </c>
      <c r="U19" s="57">
        <f t="shared" si="1"/>
        <v>2920.626784000001</v>
      </c>
      <c r="V19" s="57">
        <f t="shared" si="1"/>
        <v>2920.626784000001</v>
      </c>
      <c r="W19" s="57">
        <f t="shared" si="1"/>
        <v>2920.626784000001</v>
      </c>
      <c r="X19" s="57">
        <f t="shared" si="1"/>
        <v>2920.626784000001</v>
      </c>
      <c r="Y19" s="57">
        <f t="shared" si="1"/>
        <v>2920.626784000001</v>
      </c>
      <c r="Z19" s="57">
        <f t="shared" si="1"/>
        <v>2920.626784000001</v>
      </c>
      <c r="AA19" s="57">
        <f t="shared" si="1"/>
        <v>2920.626784000001</v>
      </c>
      <c r="AB19" s="57">
        <f t="shared" si="1"/>
        <v>2920.626784000001</v>
      </c>
      <c r="AC19" s="57">
        <f t="shared" si="1"/>
        <v>2920.626784000001</v>
      </c>
      <c r="AD19" s="57">
        <f t="shared" si="1"/>
        <v>2920.626784000001</v>
      </c>
      <c r="AE19" s="4" t="s">
        <v>12</v>
      </c>
    </row>
    <row r="21" spans="1:31" x14ac:dyDescent="0.25">
      <c r="A21" s="4" t="s">
        <v>84</v>
      </c>
      <c r="C21" s="12">
        <f>XNPV(B$23,E19:AD19,$E$1:$AD$1)</f>
        <v>190.43192267089006</v>
      </c>
    </row>
    <row r="22" spans="1:31" x14ac:dyDescent="0.25">
      <c r="A22" s="4" t="s">
        <v>83</v>
      </c>
      <c r="C22" s="249">
        <f>XIRR(E19:AD19,$E$1:$AD$1,0.1)</f>
        <v>9.5880588889122015E-2</v>
      </c>
    </row>
    <row r="23" spans="1:31" x14ac:dyDescent="0.25">
      <c r="A23" s="4" t="s">
        <v>79</v>
      </c>
      <c r="B23">
        <v>9.5000000000000001E-2</v>
      </c>
    </row>
    <row r="24" spans="1:31" x14ac:dyDescent="0.25">
      <c r="A24" s="4"/>
    </row>
    <row r="25" spans="1:31" x14ac:dyDescent="0.25">
      <c r="A25" s="320" t="s">
        <v>149</v>
      </c>
      <c r="B25" s="320"/>
      <c r="C25" s="320"/>
      <c r="D25" s="245">
        <v>1.73</v>
      </c>
    </row>
    <row r="26" spans="1:31" x14ac:dyDescent="0.25">
      <c r="A26" s="247" t="s">
        <v>124</v>
      </c>
    </row>
    <row r="27" spans="1:31" x14ac:dyDescent="0.25">
      <c r="A27" s="4" t="s">
        <v>128</v>
      </c>
      <c r="E27" s="54">
        <f>'Minigrids - 1 item'!C76</f>
        <v>27361</v>
      </c>
      <c r="F27" s="54">
        <f>'Minigrids - 1 item'!D76</f>
        <v>2736.1000000000004</v>
      </c>
      <c r="G27" s="54">
        <f>'Minigrids - 1 item'!E76</f>
        <v>2736.1000000000004</v>
      </c>
      <c r="H27" s="54">
        <f>'Minigrids - 1 item'!F76</f>
        <v>2736.1000000000004</v>
      </c>
      <c r="I27" s="54">
        <f>'Minigrids - 1 item'!G76</f>
        <v>2736.1000000000004</v>
      </c>
      <c r="J27" s="54">
        <f>'Minigrids - 1 item'!H76</f>
        <v>2736.1000000000004</v>
      </c>
      <c r="K27" s="54">
        <f>'Minigrids - 1 item'!I76</f>
        <v>2736.1000000000004</v>
      </c>
      <c r="L27" s="54">
        <f>'Minigrids - 1 item'!J76</f>
        <v>2736.1000000000004</v>
      </c>
      <c r="M27" s="54">
        <f>'Minigrids - 1 item'!K76</f>
        <v>2736.1000000000004</v>
      </c>
      <c r="N27" s="54">
        <f>'Minigrids - 1 item'!L76</f>
        <v>2736.1000000000004</v>
      </c>
      <c r="O27" s="54">
        <f>'Minigrids - 1 item'!M76</f>
        <v>2736.1000000000004</v>
      </c>
      <c r="P27" s="54">
        <f>'Minigrids - 1 item'!N76</f>
        <v>2736.1000000000004</v>
      </c>
      <c r="Q27" s="54">
        <f>'Minigrids - 1 item'!O76</f>
        <v>2736.1000000000004</v>
      </c>
      <c r="R27" s="54">
        <f>'Minigrids - 1 item'!P76</f>
        <v>2736.1000000000004</v>
      </c>
      <c r="S27" s="54">
        <f>'Minigrids - 1 item'!Q76</f>
        <v>2736.1000000000004</v>
      </c>
      <c r="T27" s="54">
        <f>'Minigrids - 1 item'!R76</f>
        <v>2736.1000000000004</v>
      </c>
      <c r="U27" s="54">
        <f>'Minigrids - 1 item'!S76</f>
        <v>2736.1000000000004</v>
      </c>
      <c r="V27" s="54">
        <f>'Minigrids - 1 item'!T76</f>
        <v>2736.1000000000004</v>
      </c>
      <c r="W27" s="54">
        <f>'Minigrids - 1 item'!U76</f>
        <v>2736.1000000000004</v>
      </c>
      <c r="X27" s="54">
        <f>'Minigrids - 1 item'!V76</f>
        <v>2736.1000000000004</v>
      </c>
      <c r="Y27" s="54">
        <f>'Minigrids - 1 item'!W76</f>
        <v>2736.1000000000004</v>
      </c>
      <c r="Z27" s="54">
        <f>'Minigrids - 1 item'!X76</f>
        <v>2736.1000000000004</v>
      </c>
      <c r="AA27" s="54">
        <f>'Minigrids - 1 item'!Y76</f>
        <v>2736.1000000000004</v>
      </c>
      <c r="AB27" s="54">
        <f>'Minigrids - 1 item'!Z76</f>
        <v>2736.1000000000004</v>
      </c>
      <c r="AC27" s="54">
        <f>'Minigrids - 1 item'!AA76</f>
        <v>2736.1000000000004</v>
      </c>
      <c r="AD27" s="54">
        <f>'Minigrids - 1 item'!AB76</f>
        <v>2736.1000000000004</v>
      </c>
      <c r="AE27" s="4" t="s">
        <v>12</v>
      </c>
    </row>
    <row r="28" spans="1:31" x14ac:dyDescent="0.25">
      <c r="A28" s="4" t="s">
        <v>129</v>
      </c>
      <c r="E28" s="57">
        <f>'Minigrids - 1 item'!C86*$D$25*$B$3</f>
        <v>0</v>
      </c>
      <c r="F28" s="57">
        <f>'Minigrids - 1 item'!D86*$D$25*$B$3</f>
        <v>4489.0538240000005</v>
      </c>
      <c r="G28" s="57">
        <f>'Minigrids - 1 item'!E86*$D$25*$B$3</f>
        <v>4489.0538240000005</v>
      </c>
      <c r="H28" s="57">
        <f>'Minigrids - 1 item'!F86*$D$25*$B$3</f>
        <v>4489.0538240000005</v>
      </c>
      <c r="I28" s="57">
        <f>'Minigrids - 1 item'!G86*$D$25*$B$3</f>
        <v>4489.0538240000005</v>
      </c>
      <c r="J28" s="57">
        <f>'Minigrids - 1 item'!H86*$D$25*$B$3</f>
        <v>4489.0538240000005</v>
      </c>
      <c r="K28" s="57">
        <f>'Minigrids - 1 item'!I86*$D$25*$B$3</f>
        <v>4489.0538240000005</v>
      </c>
      <c r="L28" s="57">
        <f>'Minigrids - 1 item'!J86*$D$25*$B$3</f>
        <v>4489.0538240000005</v>
      </c>
      <c r="M28" s="57">
        <f>'Minigrids - 1 item'!K86*$D$25*$B$3</f>
        <v>4489.0538240000005</v>
      </c>
      <c r="N28" s="57">
        <f>'Minigrids - 1 item'!L86*$D$25*$B$3</f>
        <v>4489.0538240000005</v>
      </c>
      <c r="O28" s="57">
        <f>'Minigrids - 1 item'!M86*$D$25*$B$3</f>
        <v>4489.0538240000005</v>
      </c>
      <c r="P28" s="57">
        <f>'Minigrids - 1 item'!N86*$D$25*$B$3</f>
        <v>4489.0538240000005</v>
      </c>
      <c r="Q28" s="57">
        <f>'Minigrids - 1 item'!O86*$D$25*$B$3</f>
        <v>4489.0538240000005</v>
      </c>
      <c r="R28" s="57">
        <f>'Minigrids - 1 item'!P86*$D$25*$B$3</f>
        <v>4489.0538240000005</v>
      </c>
      <c r="S28" s="57">
        <f>'Minigrids - 1 item'!Q86*$D$25*$B$3</f>
        <v>4489.0538240000005</v>
      </c>
      <c r="T28" s="57">
        <f>'Minigrids - 1 item'!R86*$D$25*$B$3</f>
        <v>4489.0538240000005</v>
      </c>
      <c r="U28" s="57">
        <f>'Minigrids - 1 item'!S86*$D$25*$B$3</f>
        <v>4489.0538240000005</v>
      </c>
      <c r="V28" s="57">
        <f>'Minigrids - 1 item'!T86*$D$25*$B$3</f>
        <v>4489.0538240000005</v>
      </c>
      <c r="W28" s="57">
        <f>'Minigrids - 1 item'!U86*$D$25*$B$3</f>
        <v>4489.0538240000005</v>
      </c>
      <c r="X28" s="57">
        <f>'Minigrids - 1 item'!V86*$D$25*$B$3</f>
        <v>4489.0538240000005</v>
      </c>
      <c r="Y28" s="57">
        <f>'Minigrids - 1 item'!W86*$D$25*$B$3</f>
        <v>4489.0538240000005</v>
      </c>
      <c r="Z28" s="57">
        <f>'Minigrids - 1 item'!X86*$D$25*$B$3</f>
        <v>4489.0538240000005</v>
      </c>
      <c r="AA28" s="57">
        <f>'Minigrids - 1 item'!Y86*$D$25*$B$3</f>
        <v>4489.0538240000005</v>
      </c>
      <c r="AB28" s="57">
        <f>'Minigrids - 1 item'!Z86*$D$25*$B$3</f>
        <v>4489.0538240000005</v>
      </c>
      <c r="AC28" s="57">
        <f>'Minigrids - 1 item'!AA86*$D$25*$B$3</f>
        <v>4489.0538240000005</v>
      </c>
      <c r="AD28" s="57">
        <f>'Minigrids - 1 item'!AB86*$D$25*$B$3</f>
        <v>4489.0538240000005</v>
      </c>
      <c r="AE28" s="4" t="s">
        <v>12</v>
      </c>
    </row>
    <row r="29" spans="1:31" x14ac:dyDescent="0.25">
      <c r="A29" s="4" t="s">
        <v>130</v>
      </c>
      <c r="E29" s="57">
        <f>E28-E27</f>
        <v>-27361</v>
      </c>
      <c r="F29" s="57">
        <f t="shared" ref="F29:AD29" si="2">F28-F27</f>
        <v>1752.9538240000002</v>
      </c>
      <c r="G29" s="57">
        <f t="shared" si="2"/>
        <v>1752.9538240000002</v>
      </c>
      <c r="H29" s="57">
        <f t="shared" si="2"/>
        <v>1752.9538240000002</v>
      </c>
      <c r="I29" s="57">
        <f t="shared" si="2"/>
        <v>1752.9538240000002</v>
      </c>
      <c r="J29" s="57">
        <f t="shared" si="2"/>
        <v>1752.9538240000002</v>
      </c>
      <c r="K29" s="57">
        <f t="shared" si="2"/>
        <v>1752.9538240000002</v>
      </c>
      <c r="L29" s="57">
        <f t="shared" si="2"/>
        <v>1752.9538240000002</v>
      </c>
      <c r="M29" s="57">
        <f t="shared" si="2"/>
        <v>1752.9538240000002</v>
      </c>
      <c r="N29" s="57">
        <f t="shared" si="2"/>
        <v>1752.9538240000002</v>
      </c>
      <c r="O29" s="57">
        <f t="shared" si="2"/>
        <v>1752.9538240000002</v>
      </c>
      <c r="P29" s="57">
        <f t="shared" si="2"/>
        <v>1752.9538240000002</v>
      </c>
      <c r="Q29" s="57">
        <f t="shared" si="2"/>
        <v>1752.9538240000002</v>
      </c>
      <c r="R29" s="57">
        <f t="shared" si="2"/>
        <v>1752.9538240000002</v>
      </c>
      <c r="S29" s="57">
        <f t="shared" si="2"/>
        <v>1752.9538240000002</v>
      </c>
      <c r="T29" s="57">
        <f t="shared" si="2"/>
        <v>1752.9538240000002</v>
      </c>
      <c r="U29" s="57">
        <f t="shared" si="2"/>
        <v>1752.9538240000002</v>
      </c>
      <c r="V29" s="57">
        <f t="shared" si="2"/>
        <v>1752.9538240000002</v>
      </c>
      <c r="W29" s="57">
        <f t="shared" si="2"/>
        <v>1752.9538240000002</v>
      </c>
      <c r="X29" s="57">
        <f t="shared" si="2"/>
        <v>1752.9538240000002</v>
      </c>
      <c r="Y29" s="57">
        <f t="shared" si="2"/>
        <v>1752.9538240000002</v>
      </c>
      <c r="Z29" s="57">
        <f t="shared" si="2"/>
        <v>1752.9538240000002</v>
      </c>
      <c r="AA29" s="57">
        <f t="shared" si="2"/>
        <v>1752.9538240000002</v>
      </c>
      <c r="AB29" s="57">
        <f t="shared" si="2"/>
        <v>1752.9538240000002</v>
      </c>
      <c r="AC29" s="57">
        <f t="shared" si="2"/>
        <v>1752.9538240000002</v>
      </c>
      <c r="AD29" s="57">
        <f t="shared" si="2"/>
        <v>1752.9538240000002</v>
      </c>
      <c r="AE29" s="4" t="s">
        <v>12</v>
      </c>
    </row>
    <row r="31" spans="1:31" x14ac:dyDescent="0.25">
      <c r="A31" s="4" t="s">
        <v>84</v>
      </c>
      <c r="C31" s="12">
        <f>XNPV(B$33,E29:AD29,$E$1:$AD$1)</f>
        <v>16.8006446118236</v>
      </c>
    </row>
    <row r="32" spans="1:31" x14ac:dyDescent="0.25">
      <c r="A32" s="4" t="s">
        <v>83</v>
      </c>
      <c r="C32" s="249">
        <f>XIRR(E29:AD29,$E$1:$AD$1,0.1)</f>
        <v>4.00580555200577E-2</v>
      </c>
    </row>
    <row r="33" spans="1:31" x14ac:dyDescent="0.25">
      <c r="A33" s="4" t="s">
        <v>79</v>
      </c>
      <c r="B33">
        <v>0.04</v>
      </c>
    </row>
    <row r="34" spans="1:31" x14ac:dyDescent="0.25">
      <c r="A34" s="4"/>
    </row>
    <row r="35" spans="1:31" x14ac:dyDescent="0.25">
      <c r="A35" s="320" t="s">
        <v>149</v>
      </c>
      <c r="B35" s="320"/>
      <c r="C35" s="320"/>
      <c r="D35" s="245">
        <v>1.73</v>
      </c>
    </row>
    <row r="36" spans="1:31" x14ac:dyDescent="0.25">
      <c r="A36" s="247" t="s">
        <v>14</v>
      </c>
    </row>
    <row r="37" spans="1:31" x14ac:dyDescent="0.25">
      <c r="A37" s="4" t="s">
        <v>128</v>
      </c>
      <c r="E37" s="54">
        <f>'Minigrids - 1 item'!C109</f>
        <v>27361</v>
      </c>
      <c r="F37" s="54">
        <f>'Minigrids - 1 item'!D109</f>
        <v>2736.1000000000004</v>
      </c>
      <c r="G37" s="54">
        <f>'Minigrids - 1 item'!E109</f>
        <v>2736.1000000000004</v>
      </c>
      <c r="H37" s="54">
        <f>'Minigrids - 1 item'!F109</f>
        <v>2736.1000000000004</v>
      </c>
      <c r="I37" s="54">
        <f>'Minigrids - 1 item'!G109</f>
        <v>2736.1000000000004</v>
      </c>
      <c r="J37" s="54">
        <f>'Minigrids - 1 item'!H109</f>
        <v>2736.1000000000004</v>
      </c>
      <c r="K37" s="54">
        <f>'Minigrids - 1 item'!I109</f>
        <v>2736.1000000000004</v>
      </c>
      <c r="L37" s="54">
        <f>'Minigrids - 1 item'!J109</f>
        <v>2736.1000000000004</v>
      </c>
      <c r="M37" s="54">
        <f>'Minigrids - 1 item'!K109</f>
        <v>2736.1000000000004</v>
      </c>
      <c r="N37" s="54">
        <f>'Minigrids - 1 item'!L109</f>
        <v>2736.1000000000004</v>
      </c>
      <c r="O37" s="54">
        <f>'Minigrids - 1 item'!M109</f>
        <v>2736.1000000000004</v>
      </c>
      <c r="P37" s="54">
        <f>'Minigrids - 1 item'!N109</f>
        <v>2736.1000000000004</v>
      </c>
      <c r="Q37" s="54">
        <f>'Minigrids - 1 item'!O109</f>
        <v>2736.1000000000004</v>
      </c>
      <c r="R37" s="54">
        <f>'Minigrids - 1 item'!P109</f>
        <v>2736.1000000000004</v>
      </c>
      <c r="S37" s="54">
        <f>'Minigrids - 1 item'!Q109</f>
        <v>2736.1000000000004</v>
      </c>
      <c r="T37" s="54">
        <f>'Minigrids - 1 item'!R109</f>
        <v>2736.1000000000004</v>
      </c>
      <c r="U37" s="54">
        <f>'Minigrids - 1 item'!S109</f>
        <v>2736.1000000000004</v>
      </c>
      <c r="V37" s="54">
        <f>'Minigrids - 1 item'!T109</f>
        <v>2736.1000000000004</v>
      </c>
      <c r="W37" s="54">
        <f>'Minigrids - 1 item'!U109</f>
        <v>2736.1000000000004</v>
      </c>
      <c r="X37" s="54">
        <f>'Minigrids - 1 item'!V109</f>
        <v>2736.1000000000004</v>
      </c>
      <c r="Y37" s="54">
        <f>'Minigrids - 1 item'!W109</f>
        <v>2736.1000000000004</v>
      </c>
      <c r="Z37" s="54">
        <f>'Minigrids - 1 item'!X109</f>
        <v>2736.1000000000004</v>
      </c>
      <c r="AA37" s="54">
        <f>'Minigrids - 1 item'!Y109</f>
        <v>2736.1000000000004</v>
      </c>
      <c r="AB37" s="54">
        <f>'Minigrids - 1 item'!Z109</f>
        <v>2736.1000000000004</v>
      </c>
      <c r="AC37" s="54">
        <f>'Minigrids - 1 item'!AA109</f>
        <v>2736.1000000000004</v>
      </c>
      <c r="AD37" s="54">
        <f>'Minigrids - 1 item'!AB109</f>
        <v>2736.1000000000004</v>
      </c>
      <c r="AE37" s="4" t="s">
        <v>12</v>
      </c>
    </row>
    <row r="38" spans="1:31" x14ac:dyDescent="0.25">
      <c r="A38" s="4" t="s">
        <v>129</v>
      </c>
      <c r="E38" s="57">
        <f>'Minigrids - 1 item'!C119*$D$35*$B$3</f>
        <v>0</v>
      </c>
      <c r="F38" s="57">
        <f>'Minigrids - 1 item'!D119*$D$35*$B$3</f>
        <v>4489.0538240000005</v>
      </c>
      <c r="G38" s="57">
        <f>'Minigrids - 1 item'!E119*$D$35*$B$3</f>
        <v>4489.0538240000005</v>
      </c>
      <c r="H38" s="57">
        <f>'Minigrids - 1 item'!F119*$D$35*$B$3</f>
        <v>4489.0538240000005</v>
      </c>
      <c r="I38" s="57">
        <f>'Minigrids - 1 item'!G119*$D$35*$B$3</f>
        <v>4489.0538240000005</v>
      </c>
      <c r="J38" s="57">
        <f>'Minigrids - 1 item'!H119*$D$35*$B$3</f>
        <v>4489.0538240000005</v>
      </c>
      <c r="K38" s="57">
        <f>'Minigrids - 1 item'!I119*$D$35*$B$3</f>
        <v>4489.0538240000005</v>
      </c>
      <c r="L38" s="57">
        <f>'Minigrids - 1 item'!J119*$D$35*$B$3</f>
        <v>4489.0538240000005</v>
      </c>
      <c r="M38" s="57">
        <f>'Minigrids - 1 item'!K119*$D$35*$B$3</f>
        <v>4489.0538240000005</v>
      </c>
      <c r="N38" s="57">
        <f>'Minigrids - 1 item'!L119*$D$35*$B$3</f>
        <v>4489.0538240000005</v>
      </c>
      <c r="O38" s="57">
        <f>'Minigrids - 1 item'!M119*$D$35*$B$3</f>
        <v>4489.0538240000005</v>
      </c>
      <c r="P38" s="57">
        <f>'Minigrids - 1 item'!N119*$D$35*$B$3</f>
        <v>4489.0538240000005</v>
      </c>
      <c r="Q38" s="57">
        <f>'Minigrids - 1 item'!O119*$D$35*$B$3</f>
        <v>4489.0538240000005</v>
      </c>
      <c r="R38" s="57">
        <f>'Minigrids - 1 item'!P119*$D$35*$B$3</f>
        <v>4489.0538240000005</v>
      </c>
      <c r="S38" s="57">
        <f>'Minigrids - 1 item'!Q119*$D$35*$B$3</f>
        <v>4489.0538240000005</v>
      </c>
      <c r="T38" s="57">
        <f>'Minigrids - 1 item'!R119*$D$35*$B$3</f>
        <v>4489.0538240000005</v>
      </c>
      <c r="U38" s="57">
        <f>'Minigrids - 1 item'!S119*$D$35*$B$3</f>
        <v>4489.0538240000005</v>
      </c>
      <c r="V38" s="57">
        <f>'Minigrids - 1 item'!T119*$D$35*$B$3</f>
        <v>4489.0538240000005</v>
      </c>
      <c r="W38" s="57">
        <f>'Minigrids - 1 item'!U119*$D$35*$B$3</f>
        <v>4489.0538240000005</v>
      </c>
      <c r="X38" s="57">
        <f>'Minigrids - 1 item'!V119*$D$35*$B$3</f>
        <v>4489.0538240000005</v>
      </c>
      <c r="Y38" s="57">
        <f>'Minigrids - 1 item'!W119*$D$35*$B$3</f>
        <v>4489.0538240000005</v>
      </c>
      <c r="Z38" s="57">
        <f>'Minigrids - 1 item'!X119*$D$35*$B$3</f>
        <v>4489.0538240000005</v>
      </c>
      <c r="AA38" s="57">
        <f>'Minigrids - 1 item'!Y119*$D$35*$B$3</f>
        <v>4489.0538240000005</v>
      </c>
      <c r="AB38" s="57">
        <f>'Minigrids - 1 item'!Z119*$D$35*$B$3</f>
        <v>4489.0538240000005</v>
      </c>
      <c r="AC38" s="57">
        <f>'Minigrids - 1 item'!AA119*$D$35*$B$3</f>
        <v>4489.0538240000005</v>
      </c>
      <c r="AD38" s="57">
        <f>'Minigrids - 1 item'!AB119*$D$35*$B$3</f>
        <v>4489.0538240000005</v>
      </c>
      <c r="AE38" s="4" t="s">
        <v>12</v>
      </c>
    </row>
    <row r="39" spans="1:31" x14ac:dyDescent="0.25">
      <c r="A39" s="4" t="s">
        <v>130</v>
      </c>
      <c r="E39" s="57">
        <f>E38-E37</f>
        <v>-27361</v>
      </c>
      <c r="F39" s="57">
        <f t="shared" ref="F39:AD39" si="3">F38-F37</f>
        <v>1752.9538240000002</v>
      </c>
      <c r="G39" s="57">
        <f t="shared" si="3"/>
        <v>1752.9538240000002</v>
      </c>
      <c r="H39" s="57">
        <f t="shared" si="3"/>
        <v>1752.9538240000002</v>
      </c>
      <c r="I39" s="57">
        <f t="shared" si="3"/>
        <v>1752.9538240000002</v>
      </c>
      <c r="J39" s="57">
        <f t="shared" si="3"/>
        <v>1752.9538240000002</v>
      </c>
      <c r="K39" s="57">
        <f t="shared" si="3"/>
        <v>1752.9538240000002</v>
      </c>
      <c r="L39" s="57">
        <f t="shared" si="3"/>
        <v>1752.9538240000002</v>
      </c>
      <c r="M39" s="57">
        <f t="shared" si="3"/>
        <v>1752.9538240000002</v>
      </c>
      <c r="N39" s="57">
        <f t="shared" si="3"/>
        <v>1752.9538240000002</v>
      </c>
      <c r="O39" s="57">
        <f t="shared" si="3"/>
        <v>1752.9538240000002</v>
      </c>
      <c r="P39" s="57">
        <f t="shared" si="3"/>
        <v>1752.9538240000002</v>
      </c>
      <c r="Q39" s="57">
        <f t="shared" si="3"/>
        <v>1752.9538240000002</v>
      </c>
      <c r="R39" s="57">
        <f t="shared" si="3"/>
        <v>1752.9538240000002</v>
      </c>
      <c r="S39" s="57">
        <f t="shared" si="3"/>
        <v>1752.9538240000002</v>
      </c>
      <c r="T39" s="57">
        <f t="shared" si="3"/>
        <v>1752.9538240000002</v>
      </c>
      <c r="U39" s="57">
        <f t="shared" si="3"/>
        <v>1752.9538240000002</v>
      </c>
      <c r="V39" s="57">
        <f t="shared" si="3"/>
        <v>1752.9538240000002</v>
      </c>
      <c r="W39" s="57">
        <f t="shared" si="3"/>
        <v>1752.9538240000002</v>
      </c>
      <c r="X39" s="57">
        <f t="shared" si="3"/>
        <v>1752.9538240000002</v>
      </c>
      <c r="Y39" s="57">
        <f t="shared" si="3"/>
        <v>1752.9538240000002</v>
      </c>
      <c r="Z39" s="57">
        <f t="shared" si="3"/>
        <v>1752.9538240000002</v>
      </c>
      <c r="AA39" s="57">
        <f t="shared" si="3"/>
        <v>1752.9538240000002</v>
      </c>
      <c r="AB39" s="57">
        <f t="shared" si="3"/>
        <v>1752.9538240000002</v>
      </c>
      <c r="AC39" s="57">
        <f t="shared" si="3"/>
        <v>1752.9538240000002</v>
      </c>
      <c r="AD39" s="57">
        <f t="shared" si="3"/>
        <v>1752.9538240000002</v>
      </c>
      <c r="AE39" s="4" t="s">
        <v>12</v>
      </c>
    </row>
    <row r="41" spans="1:31" x14ac:dyDescent="0.25">
      <c r="A41" s="4" t="s">
        <v>84</v>
      </c>
      <c r="C41" s="12">
        <f>XNPV(B$43,E39:AD39,$E$1:$AD$1)</f>
        <v>16.8006446118236</v>
      </c>
    </row>
    <row r="42" spans="1:31" x14ac:dyDescent="0.25">
      <c r="A42" s="4" t="s">
        <v>83</v>
      </c>
      <c r="C42" s="249">
        <f>XIRR(E39:AD39,$E$1:$AD$1,0.1)</f>
        <v>4.00580555200577E-2</v>
      </c>
    </row>
    <row r="43" spans="1:31" x14ac:dyDescent="0.25">
      <c r="A43" s="4" t="s">
        <v>79</v>
      </c>
      <c r="B43">
        <v>0.04</v>
      </c>
    </row>
    <row r="44" spans="1:31" x14ac:dyDescent="0.25">
      <c r="A44" s="4"/>
    </row>
    <row r="45" spans="1:31" x14ac:dyDescent="0.25">
      <c r="A45" s="320" t="s">
        <v>149</v>
      </c>
      <c r="B45" s="320"/>
      <c r="C45" s="320"/>
      <c r="D45" s="245">
        <v>1.73</v>
      </c>
    </row>
    <row r="46" spans="1:31" x14ac:dyDescent="0.25">
      <c r="A46" s="247" t="s">
        <v>125</v>
      </c>
    </row>
    <row r="47" spans="1:31" x14ac:dyDescent="0.25">
      <c r="A47" s="4" t="s">
        <v>128</v>
      </c>
      <c r="E47" s="54">
        <f>'Minigrids - 1 item'!C142</f>
        <v>27361</v>
      </c>
      <c r="F47" s="54">
        <f>'Minigrids - 1 item'!D142</f>
        <v>2736.1000000000004</v>
      </c>
      <c r="G47" s="54">
        <f>'Minigrids - 1 item'!E142</f>
        <v>2736.1000000000004</v>
      </c>
      <c r="H47" s="54">
        <f>'Minigrids - 1 item'!F142</f>
        <v>2736.1000000000004</v>
      </c>
      <c r="I47" s="54">
        <f>'Minigrids - 1 item'!G142</f>
        <v>2736.1000000000004</v>
      </c>
      <c r="J47" s="54">
        <f>'Minigrids - 1 item'!H142</f>
        <v>2736.1000000000004</v>
      </c>
      <c r="K47" s="54">
        <f>'Minigrids - 1 item'!I142</f>
        <v>2736.1000000000004</v>
      </c>
      <c r="L47" s="54">
        <f>'Minigrids - 1 item'!J142</f>
        <v>2736.1000000000004</v>
      </c>
      <c r="M47" s="54">
        <f>'Minigrids - 1 item'!K142</f>
        <v>2736.1000000000004</v>
      </c>
      <c r="N47" s="54">
        <f>'Minigrids - 1 item'!L142</f>
        <v>2736.1000000000004</v>
      </c>
      <c r="O47" s="54">
        <f>'Minigrids - 1 item'!M142</f>
        <v>2736.1000000000004</v>
      </c>
      <c r="P47" s="54">
        <f>'Minigrids - 1 item'!N142</f>
        <v>2736.1000000000004</v>
      </c>
      <c r="Q47" s="54">
        <f>'Minigrids - 1 item'!O142</f>
        <v>2736.1000000000004</v>
      </c>
      <c r="R47" s="54">
        <f>'Minigrids - 1 item'!P142</f>
        <v>2736.1000000000004</v>
      </c>
      <c r="S47" s="54">
        <f>'Minigrids - 1 item'!Q142</f>
        <v>2736.1000000000004</v>
      </c>
      <c r="T47" s="54">
        <f>'Minigrids - 1 item'!R142</f>
        <v>2736.1000000000004</v>
      </c>
      <c r="U47" s="54">
        <f>'Minigrids - 1 item'!S142</f>
        <v>2736.1000000000004</v>
      </c>
      <c r="V47" s="54">
        <f>'Minigrids - 1 item'!T142</f>
        <v>2736.1000000000004</v>
      </c>
      <c r="W47" s="54">
        <f>'Minigrids - 1 item'!U142</f>
        <v>2736.1000000000004</v>
      </c>
      <c r="X47" s="54">
        <f>'Minigrids - 1 item'!V142</f>
        <v>2736.1000000000004</v>
      </c>
      <c r="Y47" s="54">
        <f>'Minigrids - 1 item'!W142</f>
        <v>2736.1000000000004</v>
      </c>
      <c r="Z47" s="54">
        <f>'Minigrids - 1 item'!X142</f>
        <v>2736.1000000000004</v>
      </c>
      <c r="AA47" s="54">
        <f>'Minigrids - 1 item'!Y142</f>
        <v>2736.1000000000004</v>
      </c>
      <c r="AB47" s="54">
        <f>'Minigrids - 1 item'!Z142</f>
        <v>2736.1000000000004</v>
      </c>
      <c r="AC47" s="54">
        <f>'Minigrids - 1 item'!AA142</f>
        <v>2736.1000000000004</v>
      </c>
      <c r="AD47" s="54">
        <f>'Minigrids - 1 item'!AB142</f>
        <v>2736.1000000000004</v>
      </c>
      <c r="AE47" s="4" t="s">
        <v>12</v>
      </c>
    </row>
    <row r="48" spans="1:31" x14ac:dyDescent="0.25">
      <c r="A48" s="4" t="s">
        <v>129</v>
      </c>
      <c r="E48" s="57">
        <f>'Minigrids - 1 item'!C152*$D$45*$B$3</f>
        <v>0</v>
      </c>
      <c r="F48" s="57">
        <f>'Minigrids - 1 item'!D152*$D$45*$B$3</f>
        <v>4489.0538240000005</v>
      </c>
      <c r="G48" s="57">
        <f>'Minigrids - 1 item'!E152*$D$45*$B$3</f>
        <v>4489.0538240000005</v>
      </c>
      <c r="H48" s="57">
        <f>'Minigrids - 1 item'!F152*$D$45*$B$3</f>
        <v>4489.0538240000005</v>
      </c>
      <c r="I48" s="57">
        <f>'Minigrids - 1 item'!G152*$D$45*$B$3</f>
        <v>4489.0538240000005</v>
      </c>
      <c r="J48" s="57">
        <f>'Minigrids - 1 item'!H152*$D$45*$B$3</f>
        <v>4489.0538240000005</v>
      </c>
      <c r="K48" s="57">
        <f>'Minigrids - 1 item'!I152*$D$45*$B$3</f>
        <v>4489.0538240000005</v>
      </c>
      <c r="L48" s="57">
        <f>'Minigrids - 1 item'!J152*$D$45*$B$3</f>
        <v>4489.0538240000005</v>
      </c>
      <c r="M48" s="57">
        <f>'Minigrids - 1 item'!K152*$D$45*$B$3</f>
        <v>4489.0538240000005</v>
      </c>
      <c r="N48" s="57">
        <f>'Minigrids - 1 item'!L152*$D$45*$B$3</f>
        <v>4489.0538240000005</v>
      </c>
      <c r="O48" s="57">
        <f>'Minigrids - 1 item'!M152*$D$45*$B$3</f>
        <v>4489.0538240000005</v>
      </c>
      <c r="P48" s="57">
        <f>'Minigrids - 1 item'!N152*$D$45*$B$3</f>
        <v>4489.0538240000005</v>
      </c>
      <c r="Q48" s="57">
        <f>'Minigrids - 1 item'!O152*$D$45*$B$3</f>
        <v>4489.0538240000005</v>
      </c>
      <c r="R48" s="57">
        <f>'Minigrids - 1 item'!P152*$D$45*$B$3</f>
        <v>4489.0538240000005</v>
      </c>
      <c r="S48" s="57">
        <f>'Minigrids - 1 item'!Q152*$D$45*$B$3</f>
        <v>4489.0538240000005</v>
      </c>
      <c r="T48" s="57">
        <f>'Minigrids - 1 item'!R152*$D$45*$B$3</f>
        <v>4489.0538240000005</v>
      </c>
      <c r="U48" s="57">
        <f>'Minigrids - 1 item'!S152*$D$45*$B$3</f>
        <v>4489.0538240000005</v>
      </c>
      <c r="V48" s="57">
        <f>'Minigrids - 1 item'!T152*$D$45*$B$3</f>
        <v>4489.0538240000005</v>
      </c>
      <c r="W48" s="57">
        <f>'Minigrids - 1 item'!U152*$D$45*$B$3</f>
        <v>4489.0538240000005</v>
      </c>
      <c r="X48" s="57">
        <f>'Minigrids - 1 item'!V152*$D$45*$B$3</f>
        <v>4489.0538240000005</v>
      </c>
      <c r="Y48" s="57">
        <f>'Minigrids - 1 item'!W152*$D$45*$B$3</f>
        <v>4489.0538240000005</v>
      </c>
      <c r="Z48" s="57">
        <f>'Minigrids - 1 item'!X152*$D$45*$B$3</f>
        <v>4489.0538240000005</v>
      </c>
      <c r="AA48" s="57">
        <f>'Minigrids - 1 item'!Y152*$D$45*$B$3</f>
        <v>4489.0538240000005</v>
      </c>
      <c r="AB48" s="57">
        <f>'Minigrids - 1 item'!Z152*$D$45*$B$3</f>
        <v>4489.0538240000005</v>
      </c>
      <c r="AC48" s="57">
        <f>'Minigrids - 1 item'!AA152*$D$45*$B$3</f>
        <v>4489.0538240000005</v>
      </c>
      <c r="AD48" s="57">
        <f>'Minigrids - 1 item'!AB152*$D$45*$B$3</f>
        <v>4489.0538240000005</v>
      </c>
      <c r="AE48" s="4" t="s">
        <v>12</v>
      </c>
    </row>
    <row r="49" spans="1:31" x14ac:dyDescent="0.25">
      <c r="A49" s="4" t="s">
        <v>130</v>
      </c>
      <c r="E49" s="57">
        <f>E48-E47</f>
        <v>-27361</v>
      </c>
      <c r="F49" s="57">
        <f t="shared" ref="F49:AD49" si="4">F48-F47</f>
        <v>1752.9538240000002</v>
      </c>
      <c r="G49" s="57">
        <f t="shared" si="4"/>
        <v>1752.9538240000002</v>
      </c>
      <c r="H49" s="57">
        <f t="shared" si="4"/>
        <v>1752.9538240000002</v>
      </c>
      <c r="I49" s="57">
        <f t="shared" si="4"/>
        <v>1752.9538240000002</v>
      </c>
      <c r="J49" s="57">
        <f t="shared" si="4"/>
        <v>1752.9538240000002</v>
      </c>
      <c r="K49" s="57">
        <f t="shared" si="4"/>
        <v>1752.9538240000002</v>
      </c>
      <c r="L49" s="57">
        <f t="shared" si="4"/>
        <v>1752.9538240000002</v>
      </c>
      <c r="M49" s="57">
        <f t="shared" si="4"/>
        <v>1752.9538240000002</v>
      </c>
      <c r="N49" s="57">
        <f t="shared" si="4"/>
        <v>1752.9538240000002</v>
      </c>
      <c r="O49" s="57">
        <f t="shared" si="4"/>
        <v>1752.9538240000002</v>
      </c>
      <c r="P49" s="57">
        <f t="shared" si="4"/>
        <v>1752.9538240000002</v>
      </c>
      <c r="Q49" s="57">
        <f t="shared" si="4"/>
        <v>1752.9538240000002</v>
      </c>
      <c r="R49" s="57">
        <f t="shared" si="4"/>
        <v>1752.9538240000002</v>
      </c>
      <c r="S49" s="57">
        <f t="shared" si="4"/>
        <v>1752.9538240000002</v>
      </c>
      <c r="T49" s="57">
        <f t="shared" si="4"/>
        <v>1752.9538240000002</v>
      </c>
      <c r="U49" s="57">
        <f t="shared" si="4"/>
        <v>1752.9538240000002</v>
      </c>
      <c r="V49" s="57">
        <f t="shared" si="4"/>
        <v>1752.9538240000002</v>
      </c>
      <c r="W49" s="57">
        <f t="shared" si="4"/>
        <v>1752.9538240000002</v>
      </c>
      <c r="X49" s="57">
        <f t="shared" si="4"/>
        <v>1752.9538240000002</v>
      </c>
      <c r="Y49" s="57">
        <f t="shared" si="4"/>
        <v>1752.9538240000002</v>
      </c>
      <c r="Z49" s="57">
        <f t="shared" si="4"/>
        <v>1752.9538240000002</v>
      </c>
      <c r="AA49" s="57">
        <f t="shared" si="4"/>
        <v>1752.9538240000002</v>
      </c>
      <c r="AB49" s="57">
        <f t="shared" si="4"/>
        <v>1752.9538240000002</v>
      </c>
      <c r="AC49" s="57">
        <f t="shared" si="4"/>
        <v>1752.9538240000002</v>
      </c>
      <c r="AD49" s="57">
        <f t="shared" si="4"/>
        <v>1752.9538240000002</v>
      </c>
      <c r="AE49" s="4" t="s">
        <v>12</v>
      </c>
    </row>
    <row r="51" spans="1:31" x14ac:dyDescent="0.25">
      <c r="A51" s="4" t="s">
        <v>84</v>
      </c>
      <c r="C51" s="12">
        <f>XNPV(B$53,E49:AD49,$E$1:$AD$1)</f>
        <v>16.8006446118236</v>
      </c>
    </row>
    <row r="52" spans="1:31" x14ac:dyDescent="0.25">
      <c r="A52" s="4" t="s">
        <v>83</v>
      </c>
      <c r="C52" s="249">
        <f>XIRR(E49:AD49,$E$1:$AD$1,0.1)</f>
        <v>4.00580555200577E-2</v>
      </c>
    </row>
    <row r="53" spans="1:31" x14ac:dyDescent="0.25">
      <c r="A53" s="4" t="s">
        <v>79</v>
      </c>
      <c r="B53">
        <v>0.04</v>
      </c>
    </row>
    <row r="57" spans="1:31" x14ac:dyDescent="0.25">
      <c r="B57" s="242" t="s">
        <v>83</v>
      </c>
      <c r="C57" s="242" t="s">
        <v>84</v>
      </c>
    </row>
    <row r="58" spans="1:31" x14ac:dyDescent="0.25">
      <c r="A58" s="247" t="s">
        <v>0</v>
      </c>
      <c r="B58" s="250">
        <f>C12</f>
        <v>5.0954362750053411E-2</v>
      </c>
      <c r="C58" s="52">
        <f>C11</f>
        <v>262.41368152114455</v>
      </c>
    </row>
    <row r="59" spans="1:31" x14ac:dyDescent="0.25">
      <c r="A59" s="247" t="s">
        <v>123</v>
      </c>
      <c r="B59" s="270">
        <f>C22</f>
        <v>9.5880588889122015E-2</v>
      </c>
      <c r="C59" s="52">
        <f>C21</f>
        <v>190.43192267089006</v>
      </c>
    </row>
    <row r="60" spans="1:31" x14ac:dyDescent="0.25">
      <c r="A60" s="247" t="s">
        <v>124</v>
      </c>
      <c r="B60" s="250">
        <f>C32</f>
        <v>4.00580555200577E-2</v>
      </c>
      <c r="C60" s="52">
        <f>C31</f>
        <v>16.8006446118236</v>
      </c>
    </row>
    <row r="61" spans="1:31" x14ac:dyDescent="0.25">
      <c r="A61" s="247" t="s">
        <v>14</v>
      </c>
      <c r="B61" s="250">
        <f>C42</f>
        <v>4.00580555200577E-2</v>
      </c>
      <c r="C61" s="52">
        <f>C41</f>
        <v>16.8006446118236</v>
      </c>
    </row>
    <row r="62" spans="1:31" x14ac:dyDescent="0.25">
      <c r="A62" s="247" t="s">
        <v>125</v>
      </c>
      <c r="B62" s="250">
        <f>C52</f>
        <v>4.00580555200577E-2</v>
      </c>
      <c r="C62" s="52">
        <f>C51</f>
        <v>16.8006446118236</v>
      </c>
    </row>
    <row r="63" spans="1:31" x14ac:dyDescent="0.25">
      <c r="C63" s="251"/>
    </row>
  </sheetData>
  <mergeCells count="6">
    <mergeCell ref="A45:C45"/>
    <mergeCell ref="A1:B1"/>
    <mergeCell ref="A5:C5"/>
    <mergeCell ref="A15:C15"/>
    <mergeCell ref="A25:C25"/>
    <mergeCell ref="A35:C3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4986F3-E430-4D8D-8161-AA9B06B1907C}">
  <dimension ref="A1:AC12"/>
  <sheetViews>
    <sheetView zoomScale="57" zoomScaleNormal="57" workbookViewId="0">
      <selection activeCell="E9" sqref="E9:AC9"/>
    </sheetView>
  </sheetViews>
  <sheetFormatPr defaultRowHeight="15" x14ac:dyDescent="0.25"/>
  <cols>
    <col min="1" max="1" width="39.28515625" customWidth="1"/>
    <col min="2" max="2" width="14.7109375" style="8" bestFit="1" customWidth="1"/>
    <col min="4" max="4" width="10.85546875" bestFit="1" customWidth="1"/>
    <col min="5" max="5" width="10" bestFit="1" customWidth="1"/>
    <col min="6" max="9" width="9.5703125" bestFit="1" customWidth="1"/>
    <col min="10" max="24" width="10.5703125" bestFit="1" customWidth="1"/>
  </cols>
  <sheetData>
    <row r="1" spans="1:29" s="4" customFormat="1" x14ac:dyDescent="0.25">
      <c r="B1" s="8"/>
      <c r="D1" s="282" t="s">
        <v>163</v>
      </c>
      <c r="E1" s="282">
        <v>1</v>
      </c>
      <c r="F1" s="282">
        <v>2</v>
      </c>
      <c r="G1" s="282">
        <v>3</v>
      </c>
      <c r="H1" s="282">
        <v>4</v>
      </c>
      <c r="I1" s="282">
        <v>5</v>
      </c>
      <c r="J1" s="282">
        <v>6</v>
      </c>
      <c r="K1" s="282">
        <v>7</v>
      </c>
      <c r="L1" s="282">
        <v>8</v>
      </c>
      <c r="M1" s="282">
        <v>9</v>
      </c>
      <c r="N1" s="282">
        <v>10</v>
      </c>
      <c r="O1" s="282">
        <v>11</v>
      </c>
      <c r="P1" s="282">
        <v>12</v>
      </c>
      <c r="Q1" s="282">
        <v>13</v>
      </c>
      <c r="R1" s="282">
        <v>14</v>
      </c>
      <c r="S1" s="282">
        <v>15</v>
      </c>
      <c r="T1" s="282">
        <v>16</v>
      </c>
      <c r="U1" s="282">
        <v>17</v>
      </c>
      <c r="V1" s="282">
        <v>18</v>
      </c>
      <c r="W1" s="282">
        <v>19</v>
      </c>
      <c r="X1" s="282">
        <v>20</v>
      </c>
      <c r="Y1" s="282">
        <v>21</v>
      </c>
      <c r="Z1" s="282">
        <v>22</v>
      </c>
      <c r="AA1" s="282">
        <v>23</v>
      </c>
      <c r="AB1" s="282">
        <v>24</v>
      </c>
      <c r="AC1" s="282">
        <v>25</v>
      </c>
    </row>
    <row r="2" spans="1:29" s="4" customFormat="1" x14ac:dyDescent="0.25">
      <c r="A2" s="4" t="s">
        <v>164</v>
      </c>
      <c r="B2" s="283"/>
    </row>
    <row r="3" spans="1:29" s="4" customFormat="1" x14ac:dyDescent="0.25">
      <c r="A3" t="s">
        <v>165</v>
      </c>
      <c r="B3" s="8" t="s">
        <v>166</v>
      </c>
      <c r="C3">
        <v>40</v>
      </c>
      <c r="D3" s="284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</row>
    <row r="4" spans="1:29" s="4" customFormat="1" x14ac:dyDescent="0.25">
      <c r="A4" t="s">
        <v>167</v>
      </c>
      <c r="B4" s="8" t="s">
        <v>168</v>
      </c>
      <c r="C4" s="285">
        <v>2.5000000000000001E-2</v>
      </c>
      <c r="D4" s="284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</row>
    <row r="5" spans="1:29" s="4" customFormat="1" x14ac:dyDescent="0.25">
      <c r="A5" s="286" t="s">
        <v>169</v>
      </c>
      <c r="B5" s="287" t="s">
        <v>166</v>
      </c>
      <c r="C5" s="286"/>
      <c r="D5" s="288"/>
      <c r="E5" s="289">
        <f>C3</f>
        <v>40</v>
      </c>
      <c r="F5" s="290">
        <f t="shared" ref="F5:X5" si="0">E5*(1+$C$4)</f>
        <v>41</v>
      </c>
      <c r="G5" s="290">
        <f t="shared" si="0"/>
        <v>42.024999999999999</v>
      </c>
      <c r="H5" s="290">
        <f t="shared" si="0"/>
        <v>43.075624999999995</v>
      </c>
      <c r="I5" s="290">
        <f t="shared" si="0"/>
        <v>44.152515624999992</v>
      </c>
      <c r="J5" s="290">
        <f t="shared" si="0"/>
        <v>45.256328515624986</v>
      </c>
      <c r="K5" s="290">
        <f t="shared" si="0"/>
        <v>46.387736728515605</v>
      </c>
      <c r="L5" s="290">
        <f t="shared" si="0"/>
        <v>47.547430146728495</v>
      </c>
      <c r="M5" s="290">
        <f t="shared" si="0"/>
        <v>48.736115900396705</v>
      </c>
      <c r="N5" s="290">
        <f t="shared" si="0"/>
        <v>49.954518797906616</v>
      </c>
      <c r="O5" s="290">
        <f t="shared" si="0"/>
        <v>51.203381767854275</v>
      </c>
      <c r="P5" s="290">
        <f t="shared" si="0"/>
        <v>52.483466312050624</v>
      </c>
      <c r="Q5" s="290">
        <f t="shared" si="0"/>
        <v>53.795552969851883</v>
      </c>
      <c r="R5" s="290">
        <f t="shared" si="0"/>
        <v>55.140441794098173</v>
      </c>
      <c r="S5" s="290">
        <f t="shared" si="0"/>
        <v>56.518952838950625</v>
      </c>
      <c r="T5" s="290">
        <f t="shared" si="0"/>
        <v>57.931926659924386</v>
      </c>
      <c r="U5" s="290">
        <f t="shared" si="0"/>
        <v>59.380224826422491</v>
      </c>
      <c r="V5" s="290">
        <f t="shared" si="0"/>
        <v>60.864730447083048</v>
      </c>
      <c r="W5" s="290">
        <f t="shared" si="0"/>
        <v>62.386348708260115</v>
      </c>
      <c r="X5" s="290">
        <f t="shared" si="0"/>
        <v>63.946007425966613</v>
      </c>
      <c r="Y5" s="290">
        <f t="shared" ref="Y5" si="1">X5*(1+$C$4)</f>
        <v>65.544657611615776</v>
      </c>
      <c r="Z5" s="290">
        <f t="shared" ref="Z5" si="2">Y5*(1+$C$4)</f>
        <v>67.183274051906167</v>
      </c>
      <c r="AA5" s="290">
        <f t="shared" ref="AA5" si="3">Z5*(1+$C$4)</f>
        <v>68.862855903203823</v>
      </c>
      <c r="AB5" s="290">
        <f t="shared" ref="AB5" si="4">AA5*(1+$C$4)</f>
        <v>70.584427300783915</v>
      </c>
      <c r="AC5" s="290">
        <f t="shared" ref="AC5" si="5">AB5*(1+$C$4)</f>
        <v>72.349037983303504</v>
      </c>
    </row>
    <row r="6" spans="1:29" s="4" customFormat="1" x14ac:dyDescent="0.25">
      <c r="B6" s="283"/>
      <c r="D6" s="284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</row>
    <row r="7" spans="1:29" s="4" customFormat="1" x14ac:dyDescent="0.25">
      <c r="B7" s="283"/>
      <c r="D7" s="284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</row>
    <row r="8" spans="1:29" x14ac:dyDescent="0.25">
      <c r="A8" s="14" t="s">
        <v>170</v>
      </c>
      <c r="B8" s="283"/>
    </row>
    <row r="9" spans="1:29" s="294" customFormat="1" x14ac:dyDescent="0.25">
      <c r="A9" s="294" t="s">
        <v>131</v>
      </c>
      <c r="B9" s="295" t="s">
        <v>177</v>
      </c>
      <c r="E9" s="296">
        <f>Interventions!$L$13*Interventions!$L$15</f>
        <v>14.389760000000001</v>
      </c>
      <c r="F9" s="296">
        <f>Interventions!$L$13*Interventions!$L$15</f>
        <v>14.389760000000001</v>
      </c>
      <c r="G9" s="296">
        <f>Interventions!$L$13*Interventions!$L$15</f>
        <v>14.389760000000001</v>
      </c>
      <c r="H9" s="296">
        <f>Interventions!$L$13*Interventions!$L$15</f>
        <v>14.389760000000001</v>
      </c>
      <c r="I9" s="296">
        <f>Interventions!$L$13*Interventions!$L$15</f>
        <v>14.389760000000001</v>
      </c>
      <c r="J9" s="296">
        <f>Interventions!$L$13*Interventions!$L$15</f>
        <v>14.389760000000001</v>
      </c>
      <c r="K9" s="296">
        <f>Interventions!$L$13*Interventions!$L$15</f>
        <v>14.389760000000001</v>
      </c>
      <c r="L9" s="296">
        <f>Interventions!$L$13*Interventions!$L$15</f>
        <v>14.389760000000001</v>
      </c>
      <c r="M9" s="296">
        <f>Interventions!$L$13*Interventions!$L$15</f>
        <v>14.389760000000001</v>
      </c>
      <c r="N9" s="296">
        <f>Interventions!$L$13*Interventions!$L$15</f>
        <v>14.389760000000001</v>
      </c>
      <c r="O9" s="296">
        <f>Interventions!$L$13*Interventions!$L$15</f>
        <v>14.389760000000001</v>
      </c>
      <c r="P9" s="296">
        <f>Interventions!$L$13*Interventions!$L$15</f>
        <v>14.389760000000001</v>
      </c>
      <c r="Q9" s="296">
        <f>Interventions!$L$13*Interventions!$L$15</f>
        <v>14.389760000000001</v>
      </c>
      <c r="R9" s="296">
        <f>Interventions!$L$13*Interventions!$L$15</f>
        <v>14.389760000000001</v>
      </c>
      <c r="S9" s="296">
        <f>Interventions!$L$13*Interventions!$L$15</f>
        <v>14.389760000000001</v>
      </c>
      <c r="T9" s="296">
        <f>Interventions!$L$13*Interventions!$L$15</f>
        <v>14.389760000000001</v>
      </c>
      <c r="U9" s="296">
        <f>Interventions!$L$13*Interventions!$L$15</f>
        <v>14.389760000000001</v>
      </c>
      <c r="V9" s="296">
        <f>Interventions!$L$13*Interventions!$L$15</f>
        <v>14.389760000000001</v>
      </c>
      <c r="W9" s="296">
        <f>Interventions!$L$13*Interventions!$L$15</f>
        <v>14.389760000000001</v>
      </c>
      <c r="X9" s="296">
        <f>Interventions!$L$13*Interventions!$L$15</f>
        <v>14.389760000000001</v>
      </c>
      <c r="Y9" s="296">
        <f>Interventions!$L$13*Interventions!$L$15</f>
        <v>14.389760000000001</v>
      </c>
      <c r="Z9" s="296">
        <f>Interventions!$L$13*Interventions!$L$15</f>
        <v>14.389760000000001</v>
      </c>
      <c r="AA9" s="296">
        <f>Interventions!$L$13*Interventions!$L$15</f>
        <v>14.389760000000001</v>
      </c>
      <c r="AB9" s="296">
        <f>Interventions!$L$13*Interventions!$L$15</f>
        <v>14.389760000000001</v>
      </c>
      <c r="AC9" s="296">
        <f>Interventions!$L$13*Interventions!$L$15</f>
        <v>14.389760000000001</v>
      </c>
    </row>
    <row r="11" spans="1:29" x14ac:dyDescent="0.25">
      <c r="A11" s="4" t="s">
        <v>176</v>
      </c>
      <c r="B11" s="283"/>
    </row>
    <row r="12" spans="1:29" x14ac:dyDescent="0.25">
      <c r="A12" s="291" t="s">
        <v>131</v>
      </c>
      <c r="B12" s="292" t="s">
        <v>178</v>
      </c>
      <c r="C12" s="291"/>
      <c r="D12" s="291"/>
      <c r="E12" s="293">
        <f t="shared" ref="E12:X12" si="6">E9*E5</f>
        <v>575.59040000000005</v>
      </c>
      <c r="F12" s="293">
        <f t="shared" si="6"/>
        <v>589.98016000000007</v>
      </c>
      <c r="G12" s="293">
        <f t="shared" si="6"/>
        <v>604.72966399999996</v>
      </c>
      <c r="H12" s="293">
        <f t="shared" si="6"/>
        <v>619.84790559999999</v>
      </c>
      <c r="I12" s="293">
        <f t="shared" si="6"/>
        <v>635.34410323999998</v>
      </c>
      <c r="J12" s="293">
        <f t="shared" si="6"/>
        <v>651.22770582099986</v>
      </c>
      <c r="K12" s="293">
        <f t="shared" si="6"/>
        <v>667.5083984665248</v>
      </c>
      <c r="L12" s="293">
        <f t="shared" si="6"/>
        <v>684.19610842818781</v>
      </c>
      <c r="M12" s="293">
        <f t="shared" si="6"/>
        <v>701.30101113889248</v>
      </c>
      <c r="N12" s="293">
        <f t="shared" si="6"/>
        <v>718.83353641736471</v>
      </c>
      <c r="O12" s="293">
        <f t="shared" si="6"/>
        <v>736.80437482779871</v>
      </c>
      <c r="P12" s="293">
        <f t="shared" si="6"/>
        <v>755.22448419849366</v>
      </c>
      <c r="Q12" s="293">
        <f t="shared" si="6"/>
        <v>774.10509630345587</v>
      </c>
      <c r="R12" s="293">
        <f t="shared" si="6"/>
        <v>793.45772371104215</v>
      </c>
      <c r="S12" s="293">
        <f t="shared" si="6"/>
        <v>813.29416680381814</v>
      </c>
      <c r="T12" s="293">
        <f t="shared" si="6"/>
        <v>833.62652097391356</v>
      </c>
      <c r="U12" s="293">
        <f t="shared" si="6"/>
        <v>854.46718399826136</v>
      </c>
      <c r="V12" s="293">
        <f t="shared" si="6"/>
        <v>875.82886359821782</v>
      </c>
      <c r="W12" s="293">
        <f t="shared" si="6"/>
        <v>897.72458518817314</v>
      </c>
      <c r="X12" s="293">
        <f t="shared" si="6"/>
        <v>920.16769981787741</v>
      </c>
      <c r="Y12" s="293">
        <f t="shared" ref="Y12:AC12" si="7">Y9*Y5</f>
        <v>943.17189231332429</v>
      </c>
      <c r="Z12" s="293">
        <f t="shared" si="7"/>
        <v>966.75118962115732</v>
      </c>
      <c r="AA12" s="293">
        <f t="shared" si="7"/>
        <v>990.9199693616863</v>
      </c>
      <c r="AB12" s="293">
        <f t="shared" si="7"/>
        <v>1015.6929685957284</v>
      </c>
      <c r="AC12" s="293">
        <f t="shared" si="7"/>
        <v>1041.0852928106215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V114"/>
  <sheetViews>
    <sheetView topLeftCell="A49" zoomScale="66" zoomScaleNormal="66" workbookViewId="0">
      <selection activeCell="A34" sqref="A34:XFD37"/>
    </sheetView>
  </sheetViews>
  <sheetFormatPr defaultColWidth="9.140625" defaultRowHeight="15" x14ac:dyDescent="0.25"/>
  <cols>
    <col min="1" max="1" width="72.85546875" style="11" customWidth="1"/>
    <col min="2" max="2" width="21.28515625" style="11" customWidth="1"/>
    <col min="3" max="3" width="19.85546875" style="11" customWidth="1"/>
    <col min="4" max="4" width="20.7109375" style="11" customWidth="1"/>
    <col min="5" max="34" width="15.7109375" style="11" customWidth="1"/>
    <col min="35" max="16384" width="9.140625" style="11"/>
  </cols>
  <sheetData>
    <row r="1" spans="1:34" x14ac:dyDescent="0.25">
      <c r="A1" s="46" t="s">
        <v>41</v>
      </c>
      <c r="B1" s="46"/>
      <c r="C1" s="46"/>
      <c r="D1" s="46"/>
      <c r="E1" s="46" t="s">
        <v>2</v>
      </c>
      <c r="F1" s="47" t="s">
        <v>3</v>
      </c>
      <c r="G1" s="47" t="s">
        <v>4</v>
      </c>
      <c r="H1" s="47" t="s">
        <v>5</v>
      </c>
      <c r="I1" s="47" t="s">
        <v>6</v>
      </c>
      <c r="J1" s="48" t="s">
        <v>7</v>
      </c>
      <c r="K1" s="48" t="s">
        <v>16</v>
      </c>
      <c r="L1" s="48" t="s">
        <v>17</v>
      </c>
      <c r="M1" s="48" t="s">
        <v>18</v>
      </c>
      <c r="N1" s="48" t="s">
        <v>19</v>
      </c>
      <c r="O1" s="48" t="s">
        <v>20</v>
      </c>
      <c r="P1" s="48" t="s">
        <v>21</v>
      </c>
      <c r="Q1" s="48" t="s">
        <v>22</v>
      </c>
      <c r="R1" s="48" t="s">
        <v>23</v>
      </c>
      <c r="S1" s="48" t="s">
        <v>24</v>
      </c>
      <c r="T1" s="48" t="s">
        <v>25</v>
      </c>
      <c r="U1" s="48" t="s">
        <v>26</v>
      </c>
      <c r="V1" s="48" t="s">
        <v>27</v>
      </c>
      <c r="W1" s="48" t="s">
        <v>28</v>
      </c>
      <c r="X1" s="48" t="s">
        <v>29</v>
      </c>
      <c r="Y1" s="48" t="s">
        <v>30</v>
      </c>
      <c r="Z1" s="48" t="s">
        <v>31</v>
      </c>
      <c r="AA1" s="48" t="s">
        <v>32</v>
      </c>
      <c r="AB1" s="48" t="s">
        <v>33</v>
      </c>
      <c r="AC1" s="48" t="s">
        <v>34</v>
      </c>
      <c r="AD1" s="48" t="s">
        <v>35</v>
      </c>
      <c r="AE1" s="48" t="s">
        <v>143</v>
      </c>
      <c r="AF1" s="48" t="s">
        <v>144</v>
      </c>
      <c r="AG1" s="48" t="s">
        <v>145</v>
      </c>
      <c r="AH1" s="48" t="s">
        <v>146</v>
      </c>
    </row>
    <row r="2" spans="1:34" ht="49.5" customHeight="1" x14ac:dyDescent="0.25">
      <c r="A2" s="9" t="s">
        <v>38</v>
      </c>
      <c r="C2" s="153" t="s">
        <v>75</v>
      </c>
      <c r="D2" s="14"/>
      <c r="E2" s="4" t="s">
        <v>74</v>
      </c>
    </row>
    <row r="3" spans="1:34" x14ac:dyDescent="0.25">
      <c r="A3" s="11" t="s">
        <v>131</v>
      </c>
      <c r="B3" s="267">
        <v>0.1</v>
      </c>
      <c r="C3" s="268">
        <f>(((49250000/1800)*400))/6</f>
        <v>1824074.0740740739</v>
      </c>
      <c r="D3" s="13"/>
      <c r="E3" s="13">
        <f>C3/(Interventions!E6+Interventions!E7)</f>
        <v>60.606306723042223</v>
      </c>
    </row>
    <row r="5" spans="1:34" x14ac:dyDescent="0.25">
      <c r="A5" s="9" t="s">
        <v>39</v>
      </c>
      <c r="C5" s="55"/>
      <c r="D5" s="55"/>
    </row>
    <row r="6" spans="1:34" x14ac:dyDescent="0.25">
      <c r="A6" s="11" t="s">
        <v>43</v>
      </c>
      <c r="B6" s="219">
        <v>0.05</v>
      </c>
    </row>
    <row r="7" spans="1:34" x14ac:dyDescent="0.25">
      <c r="A7" s="11" t="s">
        <v>40</v>
      </c>
      <c r="B7"/>
      <c r="C7" s="15">
        <v>0</v>
      </c>
      <c r="D7" s="15">
        <v>1</v>
      </c>
      <c r="E7" s="15">
        <v>2</v>
      </c>
      <c r="F7" s="15">
        <v>3</v>
      </c>
      <c r="G7" s="15">
        <v>4</v>
      </c>
      <c r="H7" s="15">
        <v>5</v>
      </c>
      <c r="I7" s="15">
        <v>6</v>
      </c>
      <c r="J7" s="15">
        <v>7</v>
      </c>
      <c r="K7" s="15">
        <v>8</v>
      </c>
      <c r="L7" s="15">
        <v>9</v>
      </c>
      <c r="M7" s="15">
        <v>10</v>
      </c>
      <c r="N7" s="15">
        <v>11</v>
      </c>
      <c r="O7" s="15">
        <v>12</v>
      </c>
      <c r="P7" s="15">
        <v>13</v>
      </c>
      <c r="Q7" s="15">
        <v>14</v>
      </c>
      <c r="R7" s="15">
        <v>15</v>
      </c>
      <c r="S7" s="15">
        <v>16</v>
      </c>
      <c r="T7" s="15">
        <v>17</v>
      </c>
      <c r="U7" s="15">
        <v>18</v>
      </c>
      <c r="V7" s="15">
        <v>19</v>
      </c>
      <c r="W7" s="15">
        <v>20</v>
      </c>
      <c r="X7" s="15">
        <v>21</v>
      </c>
      <c r="Y7" s="15">
        <v>22</v>
      </c>
      <c r="Z7" s="15">
        <v>23</v>
      </c>
      <c r="AA7" s="15">
        <v>24</v>
      </c>
      <c r="AB7" s="15">
        <v>25</v>
      </c>
      <c r="AC7" s="15">
        <v>26</v>
      </c>
      <c r="AD7" s="15">
        <v>27</v>
      </c>
      <c r="AE7" s="15">
        <v>28</v>
      </c>
      <c r="AF7" s="15">
        <v>29</v>
      </c>
      <c r="AG7" s="15">
        <v>30</v>
      </c>
      <c r="AH7" s="15">
        <v>31</v>
      </c>
    </row>
    <row r="8" spans="1:34" x14ac:dyDescent="0.25">
      <c r="A8" s="11" t="s">
        <v>45</v>
      </c>
      <c r="B8"/>
      <c r="C8" s="49">
        <f>1/((1+$B$6)^C7)</f>
        <v>1</v>
      </c>
      <c r="D8" s="49">
        <f>1*((1-$B$6)^D7)</f>
        <v>0.95</v>
      </c>
      <c r="E8" s="49">
        <f t="shared" ref="E8:AB8" si="0">1*((1-$B$6)^E7)</f>
        <v>0.90249999999999997</v>
      </c>
      <c r="F8" s="49">
        <f t="shared" si="0"/>
        <v>0.85737499999999989</v>
      </c>
      <c r="G8" s="49">
        <f t="shared" si="0"/>
        <v>0.81450624999999999</v>
      </c>
      <c r="H8" s="49">
        <f t="shared" si="0"/>
        <v>0.77378093749999999</v>
      </c>
      <c r="I8" s="49">
        <f t="shared" si="0"/>
        <v>0.73509189062499991</v>
      </c>
      <c r="J8" s="49">
        <f t="shared" si="0"/>
        <v>0.69833729609374995</v>
      </c>
      <c r="K8" s="49">
        <f t="shared" si="0"/>
        <v>0.66342043128906247</v>
      </c>
      <c r="L8" s="49">
        <f t="shared" si="0"/>
        <v>0.6302494097246093</v>
      </c>
      <c r="M8" s="49">
        <f t="shared" si="0"/>
        <v>0.5987369392383789</v>
      </c>
      <c r="N8" s="49">
        <f t="shared" si="0"/>
        <v>0.56880009227645989</v>
      </c>
      <c r="O8" s="49">
        <f t="shared" si="0"/>
        <v>0.54036008766263688</v>
      </c>
      <c r="P8" s="49">
        <f t="shared" si="0"/>
        <v>0.51334208327950503</v>
      </c>
      <c r="Q8" s="49">
        <f t="shared" si="0"/>
        <v>0.48767497911552976</v>
      </c>
      <c r="R8" s="49">
        <f t="shared" si="0"/>
        <v>0.46329123015975332</v>
      </c>
      <c r="S8" s="49">
        <f t="shared" si="0"/>
        <v>0.44012666865176564</v>
      </c>
      <c r="T8" s="49">
        <f t="shared" si="0"/>
        <v>0.41812033521917735</v>
      </c>
      <c r="U8" s="49">
        <f t="shared" si="0"/>
        <v>0.39721431845821847</v>
      </c>
      <c r="V8" s="49">
        <f t="shared" si="0"/>
        <v>0.37735360253530753</v>
      </c>
      <c r="W8" s="49">
        <f t="shared" si="0"/>
        <v>0.35848592240854216</v>
      </c>
      <c r="X8" s="49">
        <f t="shared" si="0"/>
        <v>0.34056162628811509</v>
      </c>
      <c r="Y8" s="49">
        <f t="shared" si="0"/>
        <v>0.32353354497370929</v>
      </c>
      <c r="Z8" s="49">
        <f t="shared" si="0"/>
        <v>0.30735686772502385</v>
      </c>
      <c r="AA8" s="49">
        <f t="shared" si="0"/>
        <v>0.29198902433877266</v>
      </c>
      <c r="AB8" s="49">
        <f t="shared" si="0"/>
        <v>0.27738957312183399</v>
      </c>
      <c r="AC8" s="49">
        <f t="shared" ref="AC8:AD8" si="1">1*((1-$B$6)^AC7)</f>
        <v>0.26352009446574232</v>
      </c>
      <c r="AD8" s="49">
        <f t="shared" si="1"/>
        <v>0.2503440897424552</v>
      </c>
      <c r="AE8" s="49">
        <f t="shared" ref="AE8:AH8" si="2">1*((1-$B$6)^AE7)</f>
        <v>0.23782688525533241</v>
      </c>
      <c r="AF8" s="49">
        <f t="shared" si="2"/>
        <v>0.2259355409925658</v>
      </c>
      <c r="AG8" s="49">
        <f t="shared" si="2"/>
        <v>0.21463876394293749</v>
      </c>
      <c r="AH8" s="49">
        <f t="shared" si="2"/>
        <v>0.20390682574579064</v>
      </c>
    </row>
    <row r="9" spans="1:34" x14ac:dyDescent="0.25">
      <c r="A9" s="11" t="s">
        <v>44</v>
      </c>
      <c r="B9" s="219">
        <v>0</v>
      </c>
    </row>
    <row r="10" spans="1:34" x14ac:dyDescent="0.25">
      <c r="A10" s="11" t="s">
        <v>46</v>
      </c>
      <c r="C10" s="49">
        <f>1/((1+$B$6)^C9)</f>
        <v>1</v>
      </c>
      <c r="D10" s="49">
        <f>1*((1-$B$9)^D7)</f>
        <v>1</v>
      </c>
      <c r="E10" s="49">
        <f>1*((1-$B$9)^E7)</f>
        <v>1</v>
      </c>
      <c r="F10" s="49">
        <f t="shared" ref="F10:AB10" si="3">1*((1-$B$9)^F7)</f>
        <v>1</v>
      </c>
      <c r="G10" s="49">
        <f t="shared" si="3"/>
        <v>1</v>
      </c>
      <c r="H10" s="49">
        <f t="shared" si="3"/>
        <v>1</v>
      </c>
      <c r="I10" s="49">
        <f t="shared" si="3"/>
        <v>1</v>
      </c>
      <c r="J10" s="49">
        <f t="shared" si="3"/>
        <v>1</v>
      </c>
      <c r="K10" s="49">
        <f t="shared" si="3"/>
        <v>1</v>
      </c>
      <c r="L10" s="49">
        <f t="shared" si="3"/>
        <v>1</v>
      </c>
      <c r="M10" s="49">
        <f t="shared" si="3"/>
        <v>1</v>
      </c>
      <c r="N10" s="49">
        <f t="shared" si="3"/>
        <v>1</v>
      </c>
      <c r="O10" s="49">
        <f t="shared" si="3"/>
        <v>1</v>
      </c>
      <c r="P10" s="49">
        <f t="shared" si="3"/>
        <v>1</v>
      </c>
      <c r="Q10" s="49">
        <f t="shared" si="3"/>
        <v>1</v>
      </c>
      <c r="R10" s="49">
        <f t="shared" si="3"/>
        <v>1</v>
      </c>
      <c r="S10" s="49">
        <f t="shared" si="3"/>
        <v>1</v>
      </c>
      <c r="T10" s="49">
        <f t="shared" si="3"/>
        <v>1</v>
      </c>
      <c r="U10" s="49">
        <f t="shared" si="3"/>
        <v>1</v>
      </c>
      <c r="V10" s="49">
        <f t="shared" si="3"/>
        <v>1</v>
      </c>
      <c r="W10" s="49">
        <f t="shared" si="3"/>
        <v>1</v>
      </c>
      <c r="X10" s="49">
        <f t="shared" si="3"/>
        <v>1</v>
      </c>
      <c r="Y10" s="49">
        <f t="shared" si="3"/>
        <v>1</v>
      </c>
      <c r="Z10" s="49">
        <f t="shared" si="3"/>
        <v>1</v>
      </c>
      <c r="AA10" s="49">
        <f t="shared" si="3"/>
        <v>1</v>
      </c>
      <c r="AB10" s="49">
        <f t="shared" si="3"/>
        <v>1</v>
      </c>
      <c r="AC10" s="49">
        <f t="shared" ref="AC10:AD10" si="4">1*((1-$B$9)^AC7)</f>
        <v>1</v>
      </c>
      <c r="AD10" s="49">
        <f t="shared" si="4"/>
        <v>1</v>
      </c>
      <c r="AE10" s="49">
        <f t="shared" ref="AE10:AH10" si="5">1*((1-$B$9)^AE7)</f>
        <v>1</v>
      </c>
      <c r="AF10" s="49">
        <f t="shared" si="5"/>
        <v>1</v>
      </c>
      <c r="AG10" s="49">
        <f t="shared" si="5"/>
        <v>1</v>
      </c>
      <c r="AH10" s="49">
        <f t="shared" si="5"/>
        <v>1</v>
      </c>
    </row>
    <row r="11" spans="1:34" x14ac:dyDescent="0.25"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</row>
    <row r="12" spans="1:34" x14ac:dyDescent="0.25">
      <c r="A12" s="149" t="s">
        <v>52</v>
      </c>
      <c r="B12" s="148">
        <v>5</v>
      </c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</row>
    <row r="13" spans="1:34" x14ac:dyDescent="0.25">
      <c r="A13" s="149" t="s">
        <v>53</v>
      </c>
      <c r="B13" s="148">
        <v>3</v>
      </c>
      <c r="D13" s="124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</row>
    <row r="14" spans="1:34" x14ac:dyDescent="0.25">
      <c r="A14" s="149" t="s">
        <v>110</v>
      </c>
      <c r="B14" s="218">
        <v>0.05</v>
      </c>
      <c r="D14" s="124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</row>
    <row r="15" spans="1:34" x14ac:dyDescent="0.25">
      <c r="A15" s="149" t="s">
        <v>111</v>
      </c>
      <c r="B15" s="218">
        <v>0.05</v>
      </c>
      <c r="C15" s="215">
        <f>B15/B14</f>
        <v>1</v>
      </c>
      <c r="D15" s="124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</row>
    <row r="16" spans="1:34" x14ac:dyDescent="0.25">
      <c r="A16" s="149" t="s">
        <v>112</v>
      </c>
      <c r="B16" s="218">
        <v>0.05</v>
      </c>
      <c r="C16" s="215">
        <f>B16/B14</f>
        <v>1</v>
      </c>
      <c r="D16" s="124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</row>
    <row r="17" spans="1:34" x14ac:dyDescent="0.25">
      <c r="A17" s="147" t="s">
        <v>106</v>
      </c>
      <c r="B17" s="264">
        <v>0.13500000000000001</v>
      </c>
      <c r="D17" s="100"/>
      <c r="E17" s="100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</row>
    <row r="18" spans="1:34" x14ac:dyDescent="0.25">
      <c r="D18" s="125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</row>
    <row r="19" spans="1:34" ht="15.75" thickBot="1" x14ac:dyDescent="0.3"/>
    <row r="20" spans="1:34" x14ac:dyDescent="0.25">
      <c r="B20" s="300" t="s">
        <v>13</v>
      </c>
      <c r="C20" s="110"/>
      <c r="D20" s="301" t="s">
        <v>1</v>
      </c>
      <c r="E20" s="302"/>
      <c r="F20" s="302"/>
      <c r="G20" s="302"/>
      <c r="H20" s="302"/>
      <c r="I20" s="303"/>
      <c r="J20" s="50"/>
    </row>
    <row r="21" spans="1:34" x14ac:dyDescent="0.25">
      <c r="B21" s="300"/>
      <c r="C21" s="111"/>
      <c r="D21" s="46">
        <v>1</v>
      </c>
      <c r="E21" s="47">
        <v>2</v>
      </c>
      <c r="F21" s="46">
        <v>3</v>
      </c>
      <c r="G21" s="47">
        <v>4</v>
      </c>
      <c r="H21" s="46">
        <v>5</v>
      </c>
      <c r="I21" s="47">
        <v>6</v>
      </c>
      <c r="J21" s="46">
        <v>7</v>
      </c>
      <c r="K21" s="47">
        <v>8</v>
      </c>
      <c r="L21" s="46">
        <v>9</v>
      </c>
      <c r="M21" s="47">
        <v>10</v>
      </c>
      <c r="N21" s="46">
        <v>11</v>
      </c>
      <c r="O21" s="47">
        <v>12</v>
      </c>
      <c r="P21" s="46">
        <v>13</v>
      </c>
      <c r="Q21" s="47">
        <v>14</v>
      </c>
      <c r="R21" s="46">
        <v>15</v>
      </c>
      <c r="S21" s="47">
        <v>16</v>
      </c>
      <c r="T21" s="46">
        <v>17</v>
      </c>
      <c r="U21" s="47">
        <v>18</v>
      </c>
      <c r="V21" s="46">
        <v>19</v>
      </c>
      <c r="W21" s="47">
        <v>20</v>
      </c>
      <c r="X21" s="46">
        <v>21</v>
      </c>
      <c r="Y21" s="47">
        <v>22</v>
      </c>
      <c r="Z21" s="46">
        <v>23</v>
      </c>
      <c r="AA21" s="47">
        <v>24</v>
      </c>
      <c r="AB21" s="46">
        <v>25</v>
      </c>
      <c r="AC21" s="46">
        <v>26</v>
      </c>
      <c r="AD21" s="46">
        <v>27</v>
      </c>
      <c r="AE21" s="46">
        <v>28</v>
      </c>
      <c r="AF21" s="46">
        <v>29</v>
      </c>
      <c r="AG21" s="46">
        <v>30</v>
      </c>
      <c r="AH21" s="46">
        <v>31</v>
      </c>
    </row>
    <row r="22" spans="1:34" x14ac:dyDescent="0.25">
      <c r="B22" s="150"/>
      <c r="C22" s="99">
        <v>44197</v>
      </c>
      <c r="D22" s="99">
        <v>44562</v>
      </c>
      <c r="E22" s="99">
        <v>44927</v>
      </c>
      <c r="F22" s="99">
        <v>45292</v>
      </c>
      <c r="G22" s="99">
        <v>45658</v>
      </c>
      <c r="H22" s="99">
        <v>46023</v>
      </c>
      <c r="I22" s="99">
        <v>46388</v>
      </c>
      <c r="J22" s="99">
        <v>46753</v>
      </c>
      <c r="K22" s="99">
        <v>47119</v>
      </c>
      <c r="L22" s="99">
        <v>47484</v>
      </c>
      <c r="M22" s="99">
        <v>47849</v>
      </c>
      <c r="N22" s="99">
        <v>48214</v>
      </c>
      <c r="O22" s="99">
        <v>48580</v>
      </c>
      <c r="P22" s="99">
        <v>48945</v>
      </c>
      <c r="Q22" s="99">
        <v>49310</v>
      </c>
      <c r="R22" s="99">
        <v>49675</v>
      </c>
      <c r="S22" s="99">
        <v>50041</v>
      </c>
      <c r="T22" s="99">
        <v>50406</v>
      </c>
      <c r="U22" s="99">
        <v>50771</v>
      </c>
      <c r="V22" s="99">
        <v>51136</v>
      </c>
      <c r="W22" s="99">
        <v>51502</v>
      </c>
      <c r="X22" s="99">
        <v>51867</v>
      </c>
      <c r="Y22" s="99">
        <v>52232</v>
      </c>
      <c r="Z22" s="99">
        <v>52597</v>
      </c>
      <c r="AA22" s="99">
        <v>52963</v>
      </c>
      <c r="AB22" s="99">
        <v>53328</v>
      </c>
      <c r="AC22" s="99">
        <v>53693</v>
      </c>
      <c r="AD22" s="99">
        <v>54058</v>
      </c>
      <c r="AE22" s="99">
        <v>54424</v>
      </c>
      <c r="AF22" s="99">
        <v>54789</v>
      </c>
      <c r="AG22" s="99">
        <v>55154</v>
      </c>
      <c r="AH22" s="99">
        <v>55519</v>
      </c>
    </row>
    <row r="23" spans="1:34" x14ac:dyDescent="0.25">
      <c r="A23" s="140" t="s">
        <v>98</v>
      </c>
      <c r="B23" s="136" t="s">
        <v>12</v>
      </c>
      <c r="C23" s="136">
        <v>1824074.0740740739</v>
      </c>
      <c r="D23" s="136">
        <v>1824074.0740740739</v>
      </c>
      <c r="E23" s="136">
        <v>1824074.0740740739</v>
      </c>
      <c r="F23" s="136">
        <v>1824074.0740740739</v>
      </c>
      <c r="G23" s="136">
        <v>1824074.0740740739</v>
      </c>
      <c r="H23" s="136">
        <v>1824074.0740740739</v>
      </c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</row>
    <row r="24" spans="1:34" x14ac:dyDescent="0.25">
      <c r="A24" s="137" t="s">
        <v>10</v>
      </c>
      <c r="B24" s="138" t="s">
        <v>12</v>
      </c>
      <c r="C24" s="139">
        <f>SUM(C25:C26)</f>
        <v>1824074.0740740739</v>
      </c>
      <c r="D24" s="139">
        <f>SUM(D25:D26)</f>
        <v>1824074.0740740739</v>
      </c>
      <c r="E24" s="139">
        <f t="shared" ref="E24:H24" si="6">SUM(E25:E26)</f>
        <v>1824074.0740740739</v>
      </c>
      <c r="F24" s="139">
        <f t="shared" si="6"/>
        <v>1824074.0740740739</v>
      </c>
      <c r="G24" s="139">
        <f t="shared" si="6"/>
        <v>1824074.0740740742</v>
      </c>
      <c r="H24" s="139">
        <f t="shared" si="6"/>
        <v>1824074.0740740742</v>
      </c>
      <c r="I24" s="139">
        <f>I26</f>
        <v>794431.81277227646</v>
      </c>
      <c r="J24" s="139">
        <f t="shared" ref="J24:AH24" si="7">J26</f>
        <v>794431.81277227646</v>
      </c>
      <c r="K24" s="139">
        <f t="shared" si="7"/>
        <v>794431.81277227646</v>
      </c>
      <c r="L24" s="139">
        <f t="shared" si="7"/>
        <v>794431.81277227646</v>
      </c>
      <c r="M24" s="139">
        <f t="shared" si="7"/>
        <v>794431.81277227646</v>
      </c>
      <c r="N24" s="139">
        <f t="shared" si="7"/>
        <v>794431.81277227646</v>
      </c>
      <c r="O24" s="139">
        <f t="shared" si="7"/>
        <v>794431.81277227646</v>
      </c>
      <c r="P24" s="139">
        <f t="shared" si="7"/>
        <v>794431.81277227646</v>
      </c>
      <c r="Q24" s="139">
        <f t="shared" si="7"/>
        <v>794431.81277227646</v>
      </c>
      <c r="R24" s="139">
        <f t="shared" si="7"/>
        <v>794431.81277227646</v>
      </c>
      <c r="S24" s="139">
        <f t="shared" si="7"/>
        <v>794431.81277227646</v>
      </c>
      <c r="T24" s="139">
        <f t="shared" si="7"/>
        <v>794431.81277227646</v>
      </c>
      <c r="U24" s="139">
        <f t="shared" si="7"/>
        <v>794431.81277227646</v>
      </c>
      <c r="V24" s="139">
        <f t="shared" si="7"/>
        <v>794431.81277227646</v>
      </c>
      <c r="W24" s="139">
        <f t="shared" si="7"/>
        <v>794431.81277227646</v>
      </c>
      <c r="X24" s="139">
        <f t="shared" si="7"/>
        <v>794431.81277227646</v>
      </c>
      <c r="Y24" s="139">
        <f t="shared" si="7"/>
        <v>794431.81277227646</v>
      </c>
      <c r="Z24" s="139">
        <f t="shared" si="7"/>
        <v>794431.81277227646</v>
      </c>
      <c r="AA24" s="139">
        <f t="shared" si="7"/>
        <v>794431.81277227646</v>
      </c>
      <c r="AB24" s="139">
        <f t="shared" si="7"/>
        <v>794431.81277227646</v>
      </c>
      <c r="AC24" s="139">
        <f t="shared" si="7"/>
        <v>794431.81277227646</v>
      </c>
      <c r="AD24" s="139">
        <f t="shared" si="7"/>
        <v>628606.8969473606</v>
      </c>
      <c r="AE24" s="139">
        <f t="shared" si="7"/>
        <v>477856.9734701644</v>
      </c>
      <c r="AF24" s="139">
        <f t="shared" si="7"/>
        <v>340811.58849089511</v>
      </c>
      <c r="AG24" s="139">
        <f t="shared" si="7"/>
        <v>216224.87487337762</v>
      </c>
      <c r="AH24" s="139">
        <f t="shared" si="7"/>
        <v>102964.22613017984</v>
      </c>
    </row>
    <row r="25" spans="1:34" ht="14.45" customHeight="1" x14ac:dyDescent="0.25">
      <c r="A25" s="22" t="s">
        <v>136</v>
      </c>
      <c r="B25" s="23" t="s">
        <v>12</v>
      </c>
      <c r="C25" s="24">
        <f>C23</f>
        <v>1824074.0740740739</v>
      </c>
      <c r="D25" s="24">
        <f>D23-D26</f>
        <v>1658249.1582491582</v>
      </c>
      <c r="E25" s="24">
        <f t="shared" ref="E25:H25" si="8">E23-E26</f>
        <v>1507499.2347719618</v>
      </c>
      <c r="F25" s="24">
        <f t="shared" si="8"/>
        <v>1370453.8497926926</v>
      </c>
      <c r="G25" s="24">
        <f t="shared" si="8"/>
        <v>1245867.1361751752</v>
      </c>
      <c r="H25" s="24">
        <f t="shared" si="8"/>
        <v>1132606.4874319774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4">
        <v>0</v>
      </c>
      <c r="AG25" s="24">
        <v>0</v>
      </c>
      <c r="AH25" s="24">
        <v>0</v>
      </c>
    </row>
    <row r="26" spans="1:34" x14ac:dyDescent="0.25">
      <c r="A26" s="25" t="s">
        <v>15</v>
      </c>
      <c r="B26" s="26" t="s">
        <v>12</v>
      </c>
      <c r="C26" s="112"/>
      <c r="D26" s="27">
        <f>C28*(Interventions!$E$7)</f>
        <v>165824.91582491584</v>
      </c>
      <c r="E26" s="27">
        <f>D28*(Interventions!$E$7)</f>
        <v>316574.83930211206</v>
      </c>
      <c r="F26" s="27">
        <f>E28*(Interventions!$E$7)</f>
        <v>453620.22428138135</v>
      </c>
      <c r="G26" s="27">
        <f>F28*(Interventions!$E$7)</f>
        <v>578206.93789889885</v>
      </c>
      <c r="H26" s="27">
        <f>G28*(Interventions!$E$7)</f>
        <v>691467.58664209663</v>
      </c>
      <c r="I26" s="27">
        <f>H28*(Interventions!$E$7)</f>
        <v>794431.81277227646</v>
      </c>
      <c r="J26" s="27">
        <f>I28*(Interventions!$E$7)</f>
        <v>794431.81277227646</v>
      </c>
      <c r="K26" s="27">
        <f>J28*(Interventions!$E$7)</f>
        <v>794431.81277227646</v>
      </c>
      <c r="L26" s="27">
        <f>K28*(Interventions!$E$7)</f>
        <v>794431.81277227646</v>
      </c>
      <c r="M26" s="27">
        <f>L28*(Interventions!$E$7)</f>
        <v>794431.81277227646</v>
      </c>
      <c r="N26" s="27">
        <f>M28*(Interventions!$E$7)</f>
        <v>794431.81277227646</v>
      </c>
      <c r="O26" s="27">
        <f>N28*(Interventions!$E$7)</f>
        <v>794431.81277227646</v>
      </c>
      <c r="P26" s="27">
        <f>O28*(Interventions!$E$7)</f>
        <v>794431.81277227646</v>
      </c>
      <c r="Q26" s="27">
        <f>P28*(Interventions!$E$7)</f>
        <v>794431.81277227646</v>
      </c>
      <c r="R26" s="27">
        <f>Q28*(Interventions!$E$7)</f>
        <v>794431.81277227646</v>
      </c>
      <c r="S26" s="27">
        <f>R28*(Interventions!$E$7)</f>
        <v>794431.81277227646</v>
      </c>
      <c r="T26" s="27">
        <f>S28*(Interventions!$E$7)</f>
        <v>794431.81277227646</v>
      </c>
      <c r="U26" s="27">
        <f>T28*(Interventions!$E$7)</f>
        <v>794431.81277227646</v>
      </c>
      <c r="V26" s="27">
        <f>U28*(Interventions!$E$7)</f>
        <v>794431.81277227646</v>
      </c>
      <c r="W26" s="27">
        <f>V28*(Interventions!$E$7)</f>
        <v>794431.81277227646</v>
      </c>
      <c r="X26" s="27">
        <f>W28*(Interventions!$E$7)</f>
        <v>794431.81277227646</v>
      </c>
      <c r="Y26" s="27">
        <f>X28*(Interventions!$E$7)</f>
        <v>794431.81277227646</v>
      </c>
      <c r="Z26" s="27">
        <f>Y28*(Interventions!$E$7)</f>
        <v>794431.81277227646</v>
      </c>
      <c r="AA26" s="27">
        <f>Z28*(Interventions!$E$7)</f>
        <v>794431.81277227646</v>
      </c>
      <c r="AB26" s="27">
        <f>AA28*(Interventions!$E$7)</f>
        <v>794431.81277227646</v>
      </c>
      <c r="AC26" s="27">
        <f>AB28*(Interventions!$E$7)</f>
        <v>794431.81277227646</v>
      </c>
      <c r="AD26" s="27">
        <f>AC28*(Interventions!$E$7)</f>
        <v>628606.8969473606</v>
      </c>
      <c r="AE26" s="27">
        <f>AD28*(Interventions!$E$7)</f>
        <v>477856.9734701644</v>
      </c>
      <c r="AF26" s="27">
        <f>AE28*(Interventions!$E$7)</f>
        <v>340811.58849089511</v>
      </c>
      <c r="AG26" s="27">
        <f>AF28*(Interventions!$E$7)</f>
        <v>216224.87487337762</v>
      </c>
      <c r="AH26" s="27">
        <f>AG28*(Interventions!$E$7)</f>
        <v>102964.22613017984</v>
      </c>
    </row>
    <row r="27" spans="1:34" x14ac:dyDescent="0.25">
      <c r="A27" s="41" t="s">
        <v>147</v>
      </c>
      <c r="B27" s="10" t="s">
        <v>135</v>
      </c>
      <c r="C27" s="45">
        <f>E3</f>
        <v>60.606306723042223</v>
      </c>
      <c r="D27" s="45">
        <f>D25/(Interventions!$E$6+Interventions!$E$7)</f>
        <v>55.096642475492928</v>
      </c>
      <c r="E27" s="45">
        <f>E25/(Interventions!$E$6+Interventions!$E$7)</f>
        <v>50.08785679590266</v>
      </c>
      <c r="F27" s="45">
        <f>F25/(Interventions!$E$6+Interventions!$E$7)</f>
        <v>45.534415269002416</v>
      </c>
      <c r="G27" s="45">
        <f>G25/(Interventions!$E$6+Interventions!$E$7)</f>
        <v>41.394922971820385</v>
      </c>
      <c r="H27" s="45">
        <f>H25/(Interventions!$E$6+Interventions!$E$7)</f>
        <v>37.631748156200345</v>
      </c>
      <c r="I27" s="45">
        <f>I25/(Interventions!$E$6+Interventions!$E$7)</f>
        <v>0</v>
      </c>
      <c r="J27" s="45">
        <f>J25/(Interventions!$E$6+Interventions!$E$7)</f>
        <v>0</v>
      </c>
      <c r="K27" s="45">
        <f>K25/(Interventions!$E$6+Interventions!$E$7)</f>
        <v>0</v>
      </c>
      <c r="L27" s="45">
        <f>L25/(Interventions!$E$6+Interventions!$E$7)</f>
        <v>0</v>
      </c>
      <c r="M27" s="45">
        <f>M25/(Interventions!$E$6+Interventions!$E$7)</f>
        <v>0</v>
      </c>
      <c r="N27" s="45">
        <f>N25/(Interventions!$E$6+Interventions!$E$7)</f>
        <v>0</v>
      </c>
      <c r="O27" s="45">
        <f>O25/(Interventions!$E$6+Interventions!$E$7)</f>
        <v>0</v>
      </c>
      <c r="P27" s="45">
        <f>P25/(Interventions!$E$6+Interventions!$E$7)</f>
        <v>0</v>
      </c>
      <c r="Q27" s="45">
        <f>Q25/(Interventions!$E$6+Interventions!$E$7)</f>
        <v>0</v>
      </c>
      <c r="R27" s="45">
        <f>R25/(Interventions!$E$6+Interventions!$E$7)</f>
        <v>0</v>
      </c>
      <c r="S27" s="45">
        <f>S25/(Interventions!$E$6+Interventions!$E$7)</f>
        <v>0</v>
      </c>
      <c r="T27" s="45">
        <f>T25/(Interventions!$E$6+Interventions!$E$7)</f>
        <v>0</v>
      </c>
      <c r="U27" s="45">
        <f>U25/(Interventions!$E$6+Interventions!$E$7)</f>
        <v>0</v>
      </c>
      <c r="V27" s="45">
        <f>V25/(Interventions!$E$6+Interventions!$E$7)</f>
        <v>0</v>
      </c>
      <c r="W27" s="45">
        <f>W25/(Interventions!$E$6+Interventions!$E$7)</f>
        <v>0</v>
      </c>
      <c r="X27" s="45">
        <f>X25/(Interventions!$E$6+Interventions!$E$7)</f>
        <v>0</v>
      </c>
      <c r="Y27" s="45">
        <f>Y25/(Interventions!$E$6+Interventions!$E$7)</f>
        <v>0</v>
      </c>
      <c r="Z27" s="45">
        <f>Z25/(Interventions!$E$6+Interventions!$E$7)</f>
        <v>0</v>
      </c>
      <c r="AA27" s="45">
        <f>AA25/(Interventions!$E$6+Interventions!$E$7)</f>
        <v>0</v>
      </c>
      <c r="AB27" s="45">
        <f>AB25/(Interventions!$E$6+Interventions!$E$7)</f>
        <v>0</v>
      </c>
      <c r="AC27" s="45">
        <f>AC25/(Interventions!$E$6+Interventions!$E$7)</f>
        <v>0</v>
      </c>
      <c r="AD27" s="45">
        <f>AD25/(Interventions!$E$6+Interventions!$E$7)</f>
        <v>0</v>
      </c>
      <c r="AE27" s="45">
        <f>AE25/(Interventions!$E$6+Interventions!$E$7)</f>
        <v>0</v>
      </c>
      <c r="AF27" s="45">
        <f>AF25/(Interventions!$E$6+Interventions!$E$7)</f>
        <v>0</v>
      </c>
      <c r="AG27" s="45">
        <f>AG25/(Interventions!$E$6+Interventions!$E$7)</f>
        <v>0</v>
      </c>
      <c r="AH27" s="45">
        <f>AH25/(Interventions!$E$6+Interventions!$E$7)</f>
        <v>0</v>
      </c>
    </row>
    <row r="28" spans="1:34" x14ac:dyDescent="0.25">
      <c r="A28" s="43" t="s">
        <v>148</v>
      </c>
      <c r="B28" s="10" t="s">
        <v>135</v>
      </c>
      <c r="C28" s="42">
        <f>C27</f>
        <v>60.606306723042223</v>
      </c>
      <c r="D28" s="42">
        <f>C28+D27</f>
        <v>115.70294919853515</v>
      </c>
      <c r="E28" s="42">
        <f t="shared" ref="E28:H28" si="9">D28+E27</f>
        <v>165.79080599443782</v>
      </c>
      <c r="F28" s="42">
        <f t="shared" si="9"/>
        <v>211.32522126344023</v>
      </c>
      <c r="G28" s="42">
        <f t="shared" si="9"/>
        <v>252.72014423526062</v>
      </c>
      <c r="H28" s="42">
        <f t="shared" si="9"/>
        <v>290.35189239146098</v>
      </c>
      <c r="I28" s="42">
        <f t="shared" ref="I28" si="10">H28+I27</f>
        <v>290.35189239146098</v>
      </c>
      <c r="J28" s="42">
        <f t="shared" ref="J28" si="11">I28+J27</f>
        <v>290.35189239146098</v>
      </c>
      <c r="K28" s="42">
        <f t="shared" ref="K28" si="12">J28+K27</f>
        <v>290.35189239146098</v>
      </c>
      <c r="L28" s="42">
        <f t="shared" ref="L28" si="13">K28+L27</f>
        <v>290.35189239146098</v>
      </c>
      <c r="M28" s="42">
        <f t="shared" ref="M28" si="14">L28+M27</f>
        <v>290.35189239146098</v>
      </c>
      <c r="N28" s="42">
        <f t="shared" ref="N28" si="15">M28+N27</f>
        <v>290.35189239146098</v>
      </c>
      <c r="O28" s="42">
        <f t="shared" ref="O28" si="16">N28+O27</f>
        <v>290.35189239146098</v>
      </c>
      <c r="P28" s="42">
        <f t="shared" ref="P28" si="17">O28+P27</f>
        <v>290.35189239146098</v>
      </c>
      <c r="Q28" s="42">
        <f t="shared" ref="Q28" si="18">P28+Q27</f>
        <v>290.35189239146098</v>
      </c>
      <c r="R28" s="42">
        <f t="shared" ref="R28" si="19">Q28+R27</f>
        <v>290.35189239146098</v>
      </c>
      <c r="S28" s="42">
        <f t="shared" ref="S28" si="20">R28+S27</f>
        <v>290.35189239146098</v>
      </c>
      <c r="T28" s="42">
        <f t="shared" ref="T28" si="21">S28+T27</f>
        <v>290.35189239146098</v>
      </c>
      <c r="U28" s="42">
        <f t="shared" ref="U28" si="22">T28+U27</f>
        <v>290.35189239146098</v>
      </c>
      <c r="V28" s="42">
        <f t="shared" ref="V28" si="23">U28+V27</f>
        <v>290.35189239146098</v>
      </c>
      <c r="W28" s="42">
        <f t="shared" ref="W28" si="24">V28+W27</f>
        <v>290.35189239146098</v>
      </c>
      <c r="X28" s="42">
        <f t="shared" ref="X28" si="25">W28+X27</f>
        <v>290.35189239146098</v>
      </c>
      <c r="Y28" s="42">
        <f t="shared" ref="Y28" si="26">X28+Y27</f>
        <v>290.35189239146098</v>
      </c>
      <c r="Z28" s="42">
        <f t="shared" ref="Z28" si="27">Y28+Z27</f>
        <v>290.35189239146098</v>
      </c>
      <c r="AA28" s="42">
        <f t="shared" ref="AA28" si="28">Z28+AA27</f>
        <v>290.35189239146098</v>
      </c>
      <c r="AB28" s="42">
        <f t="shared" ref="AB28" si="29">AA28+AB27</f>
        <v>290.35189239146098</v>
      </c>
      <c r="AC28" s="42">
        <f>AB28-C27</f>
        <v>229.74558566841876</v>
      </c>
      <c r="AD28" s="42">
        <f t="shared" ref="AD28:AH28" si="30">AC28-D27</f>
        <v>174.64894319292583</v>
      </c>
      <c r="AE28" s="42">
        <f t="shared" si="30"/>
        <v>124.56108639702316</v>
      </c>
      <c r="AF28" s="42">
        <f t="shared" si="30"/>
        <v>79.026671128020752</v>
      </c>
      <c r="AG28" s="42">
        <f t="shared" si="30"/>
        <v>37.631748156200366</v>
      </c>
      <c r="AH28" s="42">
        <f t="shared" si="30"/>
        <v>0</v>
      </c>
    </row>
    <row r="29" spans="1:34" x14ac:dyDescent="0.25">
      <c r="A29" s="43"/>
      <c r="B29" s="10"/>
      <c r="C29" s="10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31"/>
      <c r="R29" s="31"/>
      <c r="S29" s="31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</row>
    <row r="30" spans="1:34" x14ac:dyDescent="0.25">
      <c r="A30" s="115" t="s">
        <v>152</v>
      </c>
      <c r="B30" s="122" t="s">
        <v>37</v>
      </c>
      <c r="C30" s="116">
        <f>C31+C32</f>
        <v>0</v>
      </c>
      <c r="D30" s="116">
        <f>D31+D32</f>
        <v>231248.84211189536</v>
      </c>
      <c r="E30" s="116">
        <f t="shared" ref="E30:AC30" si="31">E31+E32</f>
        <v>443139.99988387752</v>
      </c>
      <c r="F30" s="116">
        <f t="shared" si="31"/>
        <v>637420.82982528408</v>
      </c>
      <c r="G30" s="116">
        <f t="shared" si="31"/>
        <v>815683.21269414632</v>
      </c>
      <c r="H30" s="116">
        <f t="shared" si="31"/>
        <v>979377.5207320794</v>
      </c>
      <c r="I30" s="116">
        <f t="shared" si="31"/>
        <v>1129825.3281112106</v>
      </c>
      <c r="J30" s="116">
        <f t="shared" si="31"/>
        <v>1134552.4580302825</v>
      </c>
      <c r="K30" s="116">
        <f t="shared" si="31"/>
        <v>1139397.766197331</v>
      </c>
      <c r="L30" s="116">
        <f t="shared" si="31"/>
        <v>1144364.207068556</v>
      </c>
      <c r="M30" s="116">
        <f t="shared" si="31"/>
        <v>1149454.8089615616</v>
      </c>
      <c r="N30" s="116">
        <f t="shared" si="31"/>
        <v>1154672.6759018921</v>
      </c>
      <c r="O30" s="116">
        <f t="shared" si="31"/>
        <v>1160020.9895157311</v>
      </c>
      <c r="P30" s="116">
        <f t="shared" si="31"/>
        <v>1165503.0109699161</v>
      </c>
      <c r="Q30" s="116">
        <f t="shared" si="31"/>
        <v>1171122.0829604557</v>
      </c>
      <c r="R30" s="116">
        <f t="shared" si="31"/>
        <v>1176881.6317507587</v>
      </c>
      <c r="S30" s="116">
        <f t="shared" si="31"/>
        <v>1182785.1692608192</v>
      </c>
      <c r="T30" s="116">
        <f t="shared" si="31"/>
        <v>1188836.2952086315</v>
      </c>
      <c r="U30" s="116">
        <f t="shared" si="31"/>
        <v>1195038.6993051388</v>
      </c>
      <c r="V30" s="116">
        <f t="shared" si="31"/>
        <v>1201396.163504059</v>
      </c>
      <c r="W30" s="116">
        <f t="shared" si="31"/>
        <v>1207912.5643079521</v>
      </c>
      <c r="X30" s="116">
        <f t="shared" si="31"/>
        <v>1214591.8751319426</v>
      </c>
      <c r="Y30" s="116">
        <f t="shared" si="31"/>
        <v>1221438.1687265327</v>
      </c>
      <c r="Z30" s="116">
        <f t="shared" si="31"/>
        <v>1228455.6196609878</v>
      </c>
      <c r="AA30" s="116">
        <f t="shared" si="31"/>
        <v>1235648.5068688041</v>
      </c>
      <c r="AB30" s="116">
        <f t="shared" si="31"/>
        <v>1243021.2162568157</v>
      </c>
      <c r="AC30" s="116">
        <f t="shared" si="31"/>
        <v>940740.13134833355</v>
      </c>
      <c r="AD30" s="116">
        <f t="shared" ref="AD30:AH30" si="32">AD31+AD32</f>
        <v>744375.69756567676</v>
      </c>
      <c r="AE30" s="116">
        <f t="shared" si="32"/>
        <v>565862.57594507968</v>
      </c>
      <c r="AF30" s="116">
        <f t="shared" si="32"/>
        <v>403577.91992635507</v>
      </c>
      <c r="AG30" s="116">
        <f t="shared" si="32"/>
        <v>256046.41445478724</v>
      </c>
      <c r="AH30" s="116">
        <f t="shared" si="32"/>
        <v>121926.86402608918</v>
      </c>
    </row>
    <row r="31" spans="1:34" x14ac:dyDescent="0.25">
      <c r="A31" s="41" t="s">
        <v>172</v>
      </c>
      <c r="B31" s="28" t="s">
        <v>37</v>
      </c>
      <c r="C31" s="28"/>
      <c r="D31" s="42">
        <f>C28*'Carbon avoided'!E12</f>
        <v>34884.408329238562</v>
      </c>
      <c r="E31" s="42">
        <f>D28*'Carbon avoided'!F12</f>
        <v>68262.444480623642</v>
      </c>
      <c r="F31" s="42">
        <f>E28*'Carbon avoided'!G12</f>
        <v>100258.61840330556</v>
      </c>
      <c r="G31" s="42">
        <f>F28*'Carbon avoided'!H12</f>
        <v>130989.49580060001</v>
      </c>
      <c r="H31" s="42">
        <f>G28*'Carbon avoided'!I12</f>
        <v>160564.2534098351</v>
      </c>
      <c r="I31" s="42">
        <f>H28*'Carbon avoided'!J12</f>
        <v>189085.19676287696</v>
      </c>
      <c r="J31" s="42">
        <f>I28*'Carbon avoided'!K12</f>
        <v>193812.32668194888</v>
      </c>
      <c r="K31" s="42">
        <f>J28*'Carbon avoided'!L12</f>
        <v>198657.63484899755</v>
      </c>
      <c r="L31" s="42">
        <f>K28*'Carbon avoided'!M12</f>
        <v>203624.07572022249</v>
      </c>
      <c r="M31" s="42">
        <f>L28*'Carbon avoided'!N12</f>
        <v>208714.67761322804</v>
      </c>
      <c r="N31" s="42">
        <f>M28*'Carbon avoided'!O12</f>
        <v>213932.54455355869</v>
      </c>
      <c r="O31" s="42">
        <f>N28*'Carbon avoided'!P12</f>
        <v>219280.85816739764</v>
      </c>
      <c r="P31" s="42">
        <f>O28*'Carbon avoided'!Q12</f>
        <v>224762.87962158254</v>
      </c>
      <c r="Q31" s="42">
        <f>P28*'Carbon avoided'!R12</f>
        <v>230381.95161212209</v>
      </c>
      <c r="R31" s="42">
        <f>Q28*'Carbon avoided'!S12</f>
        <v>236141.50040242512</v>
      </c>
      <c r="S31" s="42">
        <f>R28*'Carbon avoided'!T12</f>
        <v>242045.03791248574</v>
      </c>
      <c r="T31" s="42">
        <f>S28*'Carbon avoided'!U12</f>
        <v>248096.16386029788</v>
      </c>
      <c r="U31" s="42">
        <f>T28*'Carbon avoided'!V12</f>
        <v>254298.56795680529</v>
      </c>
      <c r="V31" s="42">
        <f>U28*'Carbon avoided'!W12</f>
        <v>260656.03215572538</v>
      </c>
      <c r="W31" s="42">
        <f>V28*'Carbon avoided'!X12</f>
        <v>267172.43295961851</v>
      </c>
      <c r="X31" s="42">
        <f>W28*'Carbon avoided'!Y12</f>
        <v>273851.74378360895</v>
      </c>
      <c r="Y31" s="42">
        <f>X28*'Carbon avoided'!Z12</f>
        <v>280698.03737819917</v>
      </c>
      <c r="Z31" s="42">
        <f>Y28*'Carbon avoided'!AA12</f>
        <v>287715.48831265414</v>
      </c>
      <c r="AA31" s="42">
        <f>Z28*'Carbon avoided'!AB12</f>
        <v>294908.37552047049</v>
      </c>
      <c r="AB31" s="42">
        <f>AA28*'Carbon avoided'!AC12</f>
        <v>302281.08490848221</v>
      </c>
      <c r="AC31" s="42">
        <f>AB28*'Carbon avoided'!AD12</f>
        <v>0</v>
      </c>
      <c r="AD31" s="42">
        <f>AC28*'Carbon avoided'!AE12</f>
        <v>0</v>
      </c>
      <c r="AE31" s="42">
        <f>AD28*'Carbon avoided'!AF12</f>
        <v>0</v>
      </c>
      <c r="AF31" s="42">
        <f>AE28*'Carbon avoided'!AG12</f>
        <v>0</v>
      </c>
      <c r="AG31" s="42">
        <f>AF28*'Carbon avoided'!AH12</f>
        <v>0</v>
      </c>
      <c r="AH31" s="42">
        <f>AG28*'Carbon avoided'!AI12</f>
        <v>0</v>
      </c>
    </row>
    <row r="32" spans="1:34" x14ac:dyDescent="0.25">
      <c r="A32" s="41" t="s">
        <v>175</v>
      </c>
      <c r="B32" s="28" t="s">
        <v>37</v>
      </c>
      <c r="C32" s="28"/>
      <c r="D32" s="42">
        <f>C28*Interventions!$E$10</f>
        <v>196364.43378265679</v>
      </c>
      <c r="E32" s="42">
        <f>D28*Interventions!$E$10</f>
        <v>374877.55540325388</v>
      </c>
      <c r="F32" s="42">
        <f>E28*Interventions!$E$10</f>
        <v>537162.21142197854</v>
      </c>
      <c r="G32" s="42">
        <f>F28*Interventions!$E$10</f>
        <v>684693.71689354628</v>
      </c>
      <c r="H32" s="42">
        <f>G28*Interventions!$E$10</f>
        <v>818813.26732224436</v>
      </c>
      <c r="I32" s="42">
        <f>H28*Interventions!$E$10</f>
        <v>940740.13134833355</v>
      </c>
      <c r="J32" s="42">
        <f>I28*Interventions!$E$10</f>
        <v>940740.13134833355</v>
      </c>
      <c r="K32" s="42">
        <f>J28*Interventions!$E$10</f>
        <v>940740.13134833355</v>
      </c>
      <c r="L32" s="42">
        <f>K28*Interventions!$E$10</f>
        <v>940740.13134833355</v>
      </c>
      <c r="M32" s="42">
        <f>L28*Interventions!$E$10</f>
        <v>940740.13134833355</v>
      </c>
      <c r="N32" s="42">
        <f>M28*Interventions!$E$10</f>
        <v>940740.13134833355</v>
      </c>
      <c r="O32" s="42">
        <f>N28*Interventions!$E$10</f>
        <v>940740.13134833355</v>
      </c>
      <c r="P32" s="42">
        <f>O28*Interventions!$E$10</f>
        <v>940740.13134833355</v>
      </c>
      <c r="Q32" s="42">
        <f>P28*Interventions!$E$10</f>
        <v>940740.13134833355</v>
      </c>
      <c r="R32" s="42">
        <f>Q28*Interventions!$E$10</f>
        <v>940740.13134833355</v>
      </c>
      <c r="S32" s="42">
        <f>R28*Interventions!$E$10</f>
        <v>940740.13134833355</v>
      </c>
      <c r="T32" s="42">
        <f>S28*Interventions!$E$10</f>
        <v>940740.13134833355</v>
      </c>
      <c r="U32" s="42">
        <f>T28*Interventions!$E$10</f>
        <v>940740.13134833355</v>
      </c>
      <c r="V32" s="42">
        <f>U28*Interventions!$E$10</f>
        <v>940740.13134833355</v>
      </c>
      <c r="W32" s="42">
        <f>V28*Interventions!$E$10</f>
        <v>940740.13134833355</v>
      </c>
      <c r="X32" s="42">
        <f>W28*Interventions!$E$10</f>
        <v>940740.13134833355</v>
      </c>
      <c r="Y32" s="42">
        <f>X28*Interventions!$E$10</f>
        <v>940740.13134833355</v>
      </c>
      <c r="Z32" s="42">
        <f>Y28*Interventions!$E$10</f>
        <v>940740.13134833355</v>
      </c>
      <c r="AA32" s="42">
        <f>Z28*Interventions!$E$10</f>
        <v>940740.13134833355</v>
      </c>
      <c r="AB32" s="42">
        <f>AA28*Interventions!$E$10</f>
        <v>940740.13134833355</v>
      </c>
      <c r="AC32" s="42">
        <f>AB28*Interventions!$E$10</f>
        <v>940740.13134833355</v>
      </c>
      <c r="AD32" s="42">
        <f>AC28*Interventions!$E$10</f>
        <v>744375.69756567676</v>
      </c>
      <c r="AE32" s="42">
        <f>AD28*Interventions!$E$10</f>
        <v>565862.57594507968</v>
      </c>
      <c r="AF32" s="42">
        <f>AE28*Interventions!$E$10</f>
        <v>403577.91992635507</v>
      </c>
      <c r="AG32" s="42">
        <f>AF28*Interventions!$E$10</f>
        <v>256046.41445478724</v>
      </c>
      <c r="AH32" s="42">
        <f>AG28*Interventions!$E$10</f>
        <v>121926.86402608918</v>
      </c>
    </row>
    <row r="33" spans="1:34" x14ac:dyDescent="0.25">
      <c r="A33" s="44"/>
      <c r="B33" s="10"/>
      <c r="C33" s="10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</row>
    <row r="34" spans="1:34" x14ac:dyDescent="0.25">
      <c r="A34" s="115" t="s">
        <v>150</v>
      </c>
      <c r="B34" s="122" t="s">
        <v>37</v>
      </c>
      <c r="C34" s="116">
        <f t="shared" ref="C34" si="33">SUM(C35:C37)</f>
        <v>0</v>
      </c>
      <c r="D34" s="116">
        <f>SUM(D35:D38)</f>
        <v>196578.7376832295</v>
      </c>
      <c r="E34" s="116">
        <f t="shared" ref="E34:AH34" si="34">SUM(E35:E38)</f>
        <v>375286.6810316199</v>
      </c>
      <c r="F34" s="116">
        <f t="shared" si="34"/>
        <v>537748.44771197485</v>
      </c>
      <c r="G34" s="116">
        <f t="shared" si="34"/>
        <v>685440.96287593385</v>
      </c>
      <c r="H34" s="116">
        <f t="shared" si="34"/>
        <v>819706.88575226034</v>
      </c>
      <c r="I34" s="116">
        <f t="shared" si="34"/>
        <v>941766.81563982985</v>
      </c>
      <c r="J34" s="116">
        <f t="shared" si="34"/>
        <v>941766.81563982985</v>
      </c>
      <c r="K34" s="116">
        <f t="shared" si="34"/>
        <v>941766.81563982985</v>
      </c>
      <c r="L34" s="116">
        <f t="shared" si="34"/>
        <v>941766.81563982985</v>
      </c>
      <c r="M34" s="116">
        <f t="shared" si="34"/>
        <v>941766.81563982985</v>
      </c>
      <c r="N34" s="116">
        <f t="shared" si="34"/>
        <v>941766.81563982985</v>
      </c>
      <c r="O34" s="116">
        <f t="shared" si="34"/>
        <v>941766.81563982985</v>
      </c>
      <c r="P34" s="116">
        <f t="shared" si="34"/>
        <v>941766.81563982985</v>
      </c>
      <c r="Q34" s="116">
        <f t="shared" si="34"/>
        <v>941766.81563982985</v>
      </c>
      <c r="R34" s="116">
        <f t="shared" si="34"/>
        <v>941766.81563982985</v>
      </c>
      <c r="S34" s="116">
        <f t="shared" si="34"/>
        <v>941766.81563982985</v>
      </c>
      <c r="T34" s="116">
        <f t="shared" si="34"/>
        <v>941766.81563982985</v>
      </c>
      <c r="U34" s="116">
        <f t="shared" si="34"/>
        <v>941766.81563982985</v>
      </c>
      <c r="V34" s="116">
        <f t="shared" si="34"/>
        <v>941766.81563982985</v>
      </c>
      <c r="W34" s="116">
        <f t="shared" si="34"/>
        <v>941766.81563982985</v>
      </c>
      <c r="X34" s="116">
        <f t="shared" si="34"/>
        <v>941766.81563982985</v>
      </c>
      <c r="Y34" s="116">
        <f t="shared" si="34"/>
        <v>941766.81563982985</v>
      </c>
      <c r="Z34" s="116">
        <f t="shared" si="34"/>
        <v>941766.81563982985</v>
      </c>
      <c r="AA34" s="116">
        <f t="shared" si="34"/>
        <v>941766.81563982985</v>
      </c>
      <c r="AB34" s="116">
        <f t="shared" si="34"/>
        <v>941766.81563982985</v>
      </c>
      <c r="AC34" s="116">
        <f t="shared" si="34"/>
        <v>941766.81563982985</v>
      </c>
      <c r="AD34" s="116">
        <f t="shared" si="34"/>
        <v>745188.07795660035</v>
      </c>
      <c r="AE34" s="116">
        <f t="shared" si="34"/>
        <v>566480.13460820983</v>
      </c>
      <c r="AF34" s="116">
        <f t="shared" si="34"/>
        <v>404018.36792785494</v>
      </c>
      <c r="AG34" s="116">
        <f t="shared" si="34"/>
        <v>256325.85276389593</v>
      </c>
      <c r="AH34" s="116">
        <f t="shared" si="34"/>
        <v>122059.92988756951</v>
      </c>
    </row>
    <row r="35" spans="1:34" x14ac:dyDescent="0.25">
      <c r="A35" s="41"/>
      <c r="B35" s="28"/>
      <c r="C35" s="28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</row>
    <row r="36" spans="1:34" x14ac:dyDescent="0.25">
      <c r="A36" s="41"/>
      <c r="B36" s="28"/>
      <c r="C36" s="28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</row>
    <row r="37" spans="1:34" x14ac:dyDescent="0.25">
      <c r="A37" s="41"/>
      <c r="B37" s="28"/>
      <c r="C37" s="28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</row>
    <row r="38" spans="1:34" x14ac:dyDescent="0.25">
      <c r="A38" s="241" t="s">
        <v>36</v>
      </c>
      <c r="B38" s="28" t="s">
        <v>37</v>
      </c>
      <c r="C38" s="28"/>
      <c r="D38" s="42">
        <f>C28*Interventions!$E$14</f>
        <v>196578.7376832295</v>
      </c>
      <c r="E38" s="42">
        <f>D28*Interventions!$E$14</f>
        <v>375286.6810316199</v>
      </c>
      <c r="F38" s="42">
        <f>E28*Interventions!$E$14</f>
        <v>537748.44771197485</v>
      </c>
      <c r="G38" s="42">
        <f>F28*Interventions!$E$14</f>
        <v>685440.96287593385</v>
      </c>
      <c r="H38" s="42">
        <f>G28*Interventions!$E$14</f>
        <v>819706.88575226034</v>
      </c>
      <c r="I38" s="42">
        <f>H28*Interventions!$E$14</f>
        <v>941766.81563982985</v>
      </c>
      <c r="J38" s="42">
        <f>I28*Interventions!$E$14</f>
        <v>941766.81563982985</v>
      </c>
      <c r="K38" s="42">
        <f>J28*Interventions!$E$14</f>
        <v>941766.81563982985</v>
      </c>
      <c r="L38" s="42">
        <f>K28*Interventions!$E$14</f>
        <v>941766.81563982985</v>
      </c>
      <c r="M38" s="42">
        <f>L28*Interventions!$E$14</f>
        <v>941766.81563982985</v>
      </c>
      <c r="N38" s="42">
        <f>M28*Interventions!$E$14</f>
        <v>941766.81563982985</v>
      </c>
      <c r="O38" s="42">
        <f>N28*Interventions!$E$14</f>
        <v>941766.81563982985</v>
      </c>
      <c r="P38" s="42">
        <f>O28*Interventions!$E$14</f>
        <v>941766.81563982985</v>
      </c>
      <c r="Q38" s="42">
        <f>P28*Interventions!$E$14</f>
        <v>941766.81563982985</v>
      </c>
      <c r="R38" s="42">
        <f>Q28*Interventions!$E$14</f>
        <v>941766.81563982985</v>
      </c>
      <c r="S38" s="42">
        <f>R28*Interventions!$E$14</f>
        <v>941766.81563982985</v>
      </c>
      <c r="T38" s="42">
        <f>S28*Interventions!$E$14</f>
        <v>941766.81563982985</v>
      </c>
      <c r="U38" s="42">
        <f>T28*Interventions!$E$14</f>
        <v>941766.81563982985</v>
      </c>
      <c r="V38" s="42">
        <f>U28*Interventions!$E$14</f>
        <v>941766.81563982985</v>
      </c>
      <c r="W38" s="42">
        <f>V28*Interventions!$E$14</f>
        <v>941766.81563982985</v>
      </c>
      <c r="X38" s="42">
        <f>W28*Interventions!$E$14</f>
        <v>941766.81563982985</v>
      </c>
      <c r="Y38" s="42">
        <f>X28*Interventions!$E$14</f>
        <v>941766.81563982985</v>
      </c>
      <c r="Z38" s="42">
        <f>Y28*Interventions!$E$14</f>
        <v>941766.81563982985</v>
      </c>
      <c r="AA38" s="42">
        <f>Z28*Interventions!$E$14</f>
        <v>941766.81563982985</v>
      </c>
      <c r="AB38" s="42">
        <f>AA28*Interventions!$E$14</f>
        <v>941766.81563982985</v>
      </c>
      <c r="AC38" s="42">
        <f>AB28*Interventions!$E$14</f>
        <v>941766.81563982985</v>
      </c>
      <c r="AD38" s="42">
        <f>AC28*Interventions!$E$14</f>
        <v>745188.07795660035</v>
      </c>
      <c r="AE38" s="42">
        <f>AD28*Interventions!$E$14</f>
        <v>566480.13460820983</v>
      </c>
      <c r="AF38" s="42">
        <f>AE28*Interventions!$E$14</f>
        <v>404018.36792785494</v>
      </c>
      <c r="AG38" s="42">
        <f>AF28*Interventions!$E$14</f>
        <v>256325.85276389593</v>
      </c>
      <c r="AH38" s="42">
        <f>AG28*Interventions!$E$14</f>
        <v>122059.92988756951</v>
      </c>
    </row>
    <row r="39" spans="1:34" x14ac:dyDescent="0.25">
      <c r="A39" s="117"/>
      <c r="B39" s="28"/>
      <c r="C39" s="28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</row>
    <row r="40" spans="1:34" x14ac:dyDescent="0.25">
      <c r="A40" s="118" t="s">
        <v>154</v>
      </c>
      <c r="B40" s="122" t="s">
        <v>37</v>
      </c>
      <c r="C40" s="116">
        <f t="shared" ref="C40:AC40" si="35">C30+C34</f>
        <v>0</v>
      </c>
      <c r="D40" s="116">
        <f t="shared" si="35"/>
        <v>427827.57979512482</v>
      </c>
      <c r="E40" s="116">
        <f t="shared" si="35"/>
        <v>818426.68091549748</v>
      </c>
      <c r="F40" s="116">
        <f t="shared" si="35"/>
        <v>1175169.2775372588</v>
      </c>
      <c r="G40" s="116">
        <f t="shared" si="35"/>
        <v>1501124.1755700801</v>
      </c>
      <c r="H40" s="116">
        <f t="shared" si="35"/>
        <v>1799084.4064843399</v>
      </c>
      <c r="I40" s="116">
        <f t="shared" si="35"/>
        <v>2071592.1437510406</v>
      </c>
      <c r="J40" s="116">
        <f t="shared" si="35"/>
        <v>2076319.2736701122</v>
      </c>
      <c r="K40" s="116">
        <f t="shared" si="35"/>
        <v>2081164.581837161</v>
      </c>
      <c r="L40" s="116">
        <f t="shared" si="35"/>
        <v>2086131.0227083857</v>
      </c>
      <c r="M40" s="116">
        <f t="shared" si="35"/>
        <v>2091221.6246013916</v>
      </c>
      <c r="N40" s="116">
        <f t="shared" si="35"/>
        <v>2096439.4915417219</v>
      </c>
      <c r="O40" s="116">
        <f t="shared" si="35"/>
        <v>2101787.8051555608</v>
      </c>
      <c r="P40" s="116">
        <f t="shared" si="35"/>
        <v>2107269.8266097461</v>
      </c>
      <c r="Q40" s="116">
        <f t="shared" si="35"/>
        <v>2112888.8986002854</v>
      </c>
      <c r="R40" s="116">
        <f t="shared" si="35"/>
        <v>2118648.4473905885</v>
      </c>
      <c r="S40" s="116">
        <f t="shared" si="35"/>
        <v>2124551.9849006492</v>
      </c>
      <c r="T40" s="116">
        <f t="shared" si="35"/>
        <v>2130603.1108484613</v>
      </c>
      <c r="U40" s="116">
        <f t="shared" si="35"/>
        <v>2136805.5149449687</v>
      </c>
      <c r="V40" s="116">
        <f t="shared" si="35"/>
        <v>2143162.9791438887</v>
      </c>
      <c r="W40" s="116">
        <f t="shared" si="35"/>
        <v>2149679.379947782</v>
      </c>
      <c r="X40" s="116">
        <f t="shared" si="35"/>
        <v>2156358.6907717725</v>
      </c>
      <c r="Y40" s="116">
        <f t="shared" si="35"/>
        <v>2163204.9843663624</v>
      </c>
      <c r="Z40" s="116">
        <f t="shared" si="35"/>
        <v>2170222.4353008177</v>
      </c>
      <c r="AA40" s="116">
        <f t="shared" si="35"/>
        <v>2177415.3225086341</v>
      </c>
      <c r="AB40" s="116">
        <f t="shared" si="35"/>
        <v>2184788.0318966457</v>
      </c>
      <c r="AC40" s="116">
        <f t="shared" si="35"/>
        <v>1882506.9469881635</v>
      </c>
      <c r="AD40" s="116">
        <f t="shared" ref="AD40:AH40" si="36">AD30+AD34</f>
        <v>1489563.7755222772</v>
      </c>
      <c r="AE40" s="116">
        <f t="shared" si="36"/>
        <v>1132342.7105532894</v>
      </c>
      <c r="AF40" s="116">
        <f t="shared" si="36"/>
        <v>807596.28785421001</v>
      </c>
      <c r="AG40" s="116">
        <f t="shared" si="36"/>
        <v>512372.26721868315</v>
      </c>
      <c r="AH40" s="116">
        <f t="shared" si="36"/>
        <v>243986.79391365871</v>
      </c>
    </row>
    <row r="41" spans="1:34" s="21" customFormat="1" x14ac:dyDescent="0.25">
      <c r="A41" s="119"/>
      <c r="B41" s="123"/>
      <c r="C41" s="113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</row>
    <row r="42" spans="1:34" x14ac:dyDescent="0.25">
      <c r="A42" s="119" t="s">
        <v>92</v>
      </c>
      <c r="B42" s="28" t="s">
        <v>37</v>
      </c>
      <c r="C42" s="31">
        <f t="shared" ref="C42:AC42" si="37">C40-C24</f>
        <v>-1824074.0740740739</v>
      </c>
      <c r="D42" s="31">
        <f t="shared" si="37"/>
        <v>-1396246.4942789492</v>
      </c>
      <c r="E42" s="31">
        <f t="shared" si="37"/>
        <v>-1005647.3931585765</v>
      </c>
      <c r="F42" s="31">
        <f t="shared" si="37"/>
        <v>-648904.79653681512</v>
      </c>
      <c r="G42" s="31">
        <f t="shared" si="37"/>
        <v>-322949.8985039941</v>
      </c>
      <c r="H42" s="31">
        <f t="shared" si="37"/>
        <v>-24989.667589734308</v>
      </c>
      <c r="I42" s="31">
        <f t="shared" si="37"/>
        <v>1277160.3309787642</v>
      </c>
      <c r="J42" s="31">
        <f t="shared" si="37"/>
        <v>1281887.4608978359</v>
      </c>
      <c r="K42" s="31">
        <f t="shared" si="37"/>
        <v>1286732.7690648846</v>
      </c>
      <c r="L42" s="31">
        <f t="shared" si="37"/>
        <v>1291699.2099361094</v>
      </c>
      <c r="M42" s="31">
        <f t="shared" si="37"/>
        <v>1296789.8118291153</v>
      </c>
      <c r="N42" s="31">
        <f t="shared" si="37"/>
        <v>1302007.6787694455</v>
      </c>
      <c r="O42" s="31">
        <f t="shared" si="37"/>
        <v>1307355.9923832845</v>
      </c>
      <c r="P42" s="31">
        <f t="shared" si="37"/>
        <v>1312838.0138374697</v>
      </c>
      <c r="Q42" s="31">
        <f t="shared" si="37"/>
        <v>1318457.0858280091</v>
      </c>
      <c r="R42" s="31">
        <f t="shared" si="37"/>
        <v>1324216.6346183121</v>
      </c>
      <c r="S42" s="31">
        <f t="shared" si="37"/>
        <v>1330120.1721283728</v>
      </c>
      <c r="T42" s="31">
        <f t="shared" si="37"/>
        <v>1336171.2980761849</v>
      </c>
      <c r="U42" s="31">
        <f t="shared" si="37"/>
        <v>1342373.7021726924</v>
      </c>
      <c r="V42" s="31">
        <f t="shared" si="37"/>
        <v>1348731.1663716123</v>
      </c>
      <c r="W42" s="31">
        <f t="shared" si="37"/>
        <v>1355247.5671755057</v>
      </c>
      <c r="X42" s="31">
        <f t="shared" si="37"/>
        <v>1361926.8779994962</v>
      </c>
      <c r="Y42" s="31">
        <f t="shared" si="37"/>
        <v>1368773.1715940861</v>
      </c>
      <c r="Z42" s="31">
        <f t="shared" si="37"/>
        <v>1375790.6225285414</v>
      </c>
      <c r="AA42" s="31">
        <f t="shared" si="37"/>
        <v>1382983.5097363577</v>
      </c>
      <c r="AB42" s="31">
        <f t="shared" si="37"/>
        <v>1390356.2191243693</v>
      </c>
      <c r="AC42" s="31">
        <f t="shared" si="37"/>
        <v>1088075.1342158872</v>
      </c>
      <c r="AD42" s="31">
        <f t="shared" ref="AD42:AH42" si="38">AD40-AD24</f>
        <v>860956.87857491663</v>
      </c>
      <c r="AE42" s="31">
        <f t="shared" si="38"/>
        <v>654485.73708312493</v>
      </c>
      <c r="AF42" s="31">
        <f t="shared" si="38"/>
        <v>466784.6993633149</v>
      </c>
      <c r="AG42" s="31">
        <f t="shared" si="38"/>
        <v>296147.39234530553</v>
      </c>
      <c r="AH42" s="31">
        <f t="shared" si="38"/>
        <v>141022.56778347888</v>
      </c>
    </row>
    <row r="43" spans="1:34" x14ac:dyDescent="0.25">
      <c r="A43" s="119" t="s">
        <v>93</v>
      </c>
      <c r="B43" s="28" t="s">
        <v>37</v>
      </c>
      <c r="C43" s="31">
        <f t="shared" ref="C43:AC43" si="39">C34-C24</f>
        <v>-1824074.0740740739</v>
      </c>
      <c r="D43" s="31">
        <f t="shared" si="39"/>
        <v>-1627495.3363908445</v>
      </c>
      <c r="E43" s="31">
        <f t="shared" si="39"/>
        <v>-1448787.393042454</v>
      </c>
      <c r="F43" s="31">
        <f t="shared" si="39"/>
        <v>-1286325.6263620991</v>
      </c>
      <c r="G43" s="31">
        <f t="shared" si="39"/>
        <v>-1138633.1111981403</v>
      </c>
      <c r="H43" s="31">
        <f t="shared" si="39"/>
        <v>-1004367.1883218138</v>
      </c>
      <c r="I43" s="31">
        <f t="shared" si="39"/>
        <v>147335.00286755338</v>
      </c>
      <c r="J43" s="31">
        <f t="shared" si="39"/>
        <v>147335.00286755338</v>
      </c>
      <c r="K43" s="31">
        <f t="shared" si="39"/>
        <v>147335.00286755338</v>
      </c>
      <c r="L43" s="31">
        <f t="shared" si="39"/>
        <v>147335.00286755338</v>
      </c>
      <c r="M43" s="31">
        <f t="shared" si="39"/>
        <v>147335.00286755338</v>
      </c>
      <c r="N43" s="31">
        <f t="shared" si="39"/>
        <v>147335.00286755338</v>
      </c>
      <c r="O43" s="31">
        <f t="shared" si="39"/>
        <v>147335.00286755338</v>
      </c>
      <c r="P43" s="31">
        <f t="shared" si="39"/>
        <v>147335.00286755338</v>
      </c>
      <c r="Q43" s="31">
        <f t="shared" si="39"/>
        <v>147335.00286755338</v>
      </c>
      <c r="R43" s="31">
        <f t="shared" si="39"/>
        <v>147335.00286755338</v>
      </c>
      <c r="S43" s="31">
        <f t="shared" si="39"/>
        <v>147335.00286755338</v>
      </c>
      <c r="T43" s="31">
        <f t="shared" si="39"/>
        <v>147335.00286755338</v>
      </c>
      <c r="U43" s="31">
        <f t="shared" si="39"/>
        <v>147335.00286755338</v>
      </c>
      <c r="V43" s="31">
        <f t="shared" si="39"/>
        <v>147335.00286755338</v>
      </c>
      <c r="W43" s="31">
        <f t="shared" si="39"/>
        <v>147335.00286755338</v>
      </c>
      <c r="X43" s="31">
        <f t="shared" si="39"/>
        <v>147335.00286755338</v>
      </c>
      <c r="Y43" s="31">
        <f t="shared" si="39"/>
        <v>147335.00286755338</v>
      </c>
      <c r="Z43" s="31">
        <f t="shared" si="39"/>
        <v>147335.00286755338</v>
      </c>
      <c r="AA43" s="31">
        <f t="shared" si="39"/>
        <v>147335.00286755338</v>
      </c>
      <c r="AB43" s="31">
        <f t="shared" si="39"/>
        <v>147335.00286755338</v>
      </c>
      <c r="AC43" s="31">
        <f t="shared" si="39"/>
        <v>147335.00286755338</v>
      </c>
      <c r="AD43" s="31">
        <f t="shared" ref="AD43:AH43" si="40">AD34-AD24</f>
        <v>116581.18100923975</v>
      </c>
      <c r="AE43" s="31">
        <f t="shared" si="40"/>
        <v>88623.161138045427</v>
      </c>
      <c r="AF43" s="31">
        <f t="shared" si="40"/>
        <v>63206.779436959827</v>
      </c>
      <c r="AG43" s="31">
        <f t="shared" si="40"/>
        <v>40100.977890518319</v>
      </c>
      <c r="AH43" s="31">
        <f t="shared" si="40"/>
        <v>19095.703757389667</v>
      </c>
    </row>
    <row r="44" spans="1:34" x14ac:dyDescent="0.25">
      <c r="A44" s="127"/>
      <c r="B44" s="127"/>
      <c r="C44" s="127"/>
      <c r="D44" s="127"/>
      <c r="E44" s="127"/>
      <c r="F44" s="127"/>
      <c r="G44" s="127"/>
      <c r="H44" s="127"/>
      <c r="I44" s="127"/>
      <c r="J44" s="127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</row>
    <row r="45" spans="1:34" x14ac:dyDescent="0.25">
      <c r="A45" s="51" t="s">
        <v>47</v>
      </c>
      <c r="B45" s="28" t="s">
        <v>37</v>
      </c>
      <c r="C45" s="31">
        <f t="shared" ref="C45:AC45" si="41">(C25+C26)*C$8</f>
        <v>1824074.0740740739</v>
      </c>
      <c r="D45" s="31">
        <f t="shared" si="41"/>
        <v>1732870.3703703701</v>
      </c>
      <c r="E45" s="31">
        <f t="shared" si="41"/>
        <v>1646226.8518518517</v>
      </c>
      <c r="F45" s="31">
        <f t="shared" si="41"/>
        <v>1563915.5092592589</v>
      </c>
      <c r="G45" s="31">
        <f t="shared" si="41"/>
        <v>1485719.7337962964</v>
      </c>
      <c r="H45" s="31">
        <f t="shared" si="41"/>
        <v>1411433.7471064816</v>
      </c>
      <c r="I45" s="31">
        <f t="shared" si="41"/>
        <v>583980.38322341861</v>
      </c>
      <c r="J45" s="31">
        <f t="shared" si="41"/>
        <v>554781.3640622478</v>
      </c>
      <c r="K45" s="31">
        <f t="shared" si="41"/>
        <v>527042.29585913534</v>
      </c>
      <c r="L45" s="31">
        <f t="shared" si="41"/>
        <v>500690.1810661786</v>
      </c>
      <c r="M45" s="31">
        <f t="shared" si="41"/>
        <v>475655.67201286968</v>
      </c>
      <c r="N45" s="31">
        <f t="shared" si="41"/>
        <v>451872.88841222617</v>
      </c>
      <c r="O45" s="31">
        <f t="shared" si="41"/>
        <v>429279.24399161484</v>
      </c>
      <c r="P45" s="31">
        <f t="shared" si="41"/>
        <v>407815.2817920341</v>
      </c>
      <c r="Q45" s="31">
        <f t="shared" si="41"/>
        <v>387424.51770243235</v>
      </c>
      <c r="R45" s="31">
        <f t="shared" si="41"/>
        <v>368053.29181731079</v>
      </c>
      <c r="S45" s="31">
        <f t="shared" si="41"/>
        <v>349650.62722644524</v>
      </c>
      <c r="T45" s="31">
        <f t="shared" si="41"/>
        <v>332168.09586512297</v>
      </c>
      <c r="U45" s="31">
        <f t="shared" si="41"/>
        <v>315559.69107186684</v>
      </c>
      <c r="V45" s="31">
        <f t="shared" si="41"/>
        <v>299781.70651827345</v>
      </c>
      <c r="W45" s="31">
        <f t="shared" si="41"/>
        <v>284792.62119235977</v>
      </c>
      <c r="X45" s="31">
        <f t="shared" si="41"/>
        <v>270552.99013274186</v>
      </c>
      <c r="Y45" s="31">
        <f t="shared" si="41"/>
        <v>257025.34062610471</v>
      </c>
      <c r="Z45" s="31">
        <f t="shared" si="41"/>
        <v>244174.0735947995</v>
      </c>
      <c r="AA45" s="31">
        <f t="shared" si="41"/>
        <v>231965.36991505951</v>
      </c>
      <c r="AB45" s="31">
        <f t="shared" si="41"/>
        <v>220367.10141930651</v>
      </c>
      <c r="AC45" s="31">
        <f t="shared" si="41"/>
        <v>209348.7463483412</v>
      </c>
      <c r="AD45" s="31">
        <f t="shared" ref="AD45:AH45" si="42">(AD25+AD26)*AD$8</f>
        <v>157368.02142211632</v>
      </c>
      <c r="AE45" s="31">
        <f t="shared" si="42"/>
        <v>113647.23559794921</v>
      </c>
      <c r="AF45" s="31">
        <f t="shared" si="42"/>
        <v>77001.450622226097</v>
      </c>
      <c r="AG45" s="31">
        <f t="shared" si="42"/>
        <v>46410.239876538093</v>
      </c>
      <c r="AH45" s="31">
        <f t="shared" si="42"/>
        <v>20995.108515576765</v>
      </c>
    </row>
    <row r="46" spans="1:34" x14ac:dyDescent="0.25">
      <c r="A46" s="51" t="s">
        <v>70</v>
      </c>
      <c r="B46" s="28" t="s">
        <v>37</v>
      </c>
      <c r="C46" s="31">
        <f t="shared" ref="C46:AC46" si="43">C34*C$8</f>
        <v>0</v>
      </c>
      <c r="D46" s="31">
        <f t="shared" si="43"/>
        <v>186749.80079906801</v>
      </c>
      <c r="E46" s="31">
        <f t="shared" si="43"/>
        <v>338696.22963103693</v>
      </c>
      <c r="F46" s="31">
        <f t="shared" si="43"/>
        <v>461052.07535705436</v>
      </c>
      <c r="G46" s="31">
        <f t="shared" si="43"/>
        <v>558295.94826846605</v>
      </c>
      <c r="H46" s="31">
        <f t="shared" si="43"/>
        <v>634273.56253258942</v>
      </c>
      <c r="I46" s="31">
        <f t="shared" si="43"/>
        <v>692285.14903656824</v>
      </c>
      <c r="J46" s="31">
        <f t="shared" si="43"/>
        <v>657670.8915847399</v>
      </c>
      <c r="K46" s="31">
        <f t="shared" si="43"/>
        <v>624787.3470055029</v>
      </c>
      <c r="L46" s="31">
        <f t="shared" si="43"/>
        <v>593547.97965522774</v>
      </c>
      <c r="M46" s="31">
        <f t="shared" si="43"/>
        <v>563870.58067246643</v>
      </c>
      <c r="N46" s="31">
        <f t="shared" si="43"/>
        <v>535677.05163884303</v>
      </c>
      <c r="O46" s="31">
        <f t="shared" si="43"/>
        <v>508893.19905690086</v>
      </c>
      <c r="P46" s="31">
        <f t="shared" si="43"/>
        <v>483448.53910405579</v>
      </c>
      <c r="Q46" s="31">
        <f t="shared" si="43"/>
        <v>459276.11214885296</v>
      </c>
      <c r="R46" s="31">
        <f t="shared" si="43"/>
        <v>436312.30654141039</v>
      </c>
      <c r="S46" s="31">
        <f t="shared" si="43"/>
        <v>414496.69121433987</v>
      </c>
      <c r="T46" s="31">
        <f t="shared" si="43"/>
        <v>393771.85665362288</v>
      </c>
      <c r="U46" s="31">
        <f t="shared" si="43"/>
        <v>374083.26382094168</v>
      </c>
      <c r="V46" s="31">
        <f t="shared" si="43"/>
        <v>355379.10062989459</v>
      </c>
      <c r="W46" s="31">
        <f t="shared" si="43"/>
        <v>337610.14559839986</v>
      </c>
      <c r="X46" s="31">
        <f t="shared" si="43"/>
        <v>320729.63831847993</v>
      </c>
      <c r="Y46" s="31">
        <f t="shared" si="43"/>
        <v>304693.15640255588</v>
      </c>
      <c r="Z46" s="31">
        <f t="shared" si="43"/>
        <v>289458.49858242809</v>
      </c>
      <c r="AA46" s="31">
        <f t="shared" si="43"/>
        <v>274985.5736533067</v>
      </c>
      <c r="AB46" s="31">
        <f t="shared" si="43"/>
        <v>261236.29497064132</v>
      </c>
      <c r="AC46" s="31">
        <f t="shared" si="43"/>
        <v>248174.4802221093</v>
      </c>
      <c r="AD46" s="31">
        <f t="shared" ref="AD46:AH46" si="44">AD34*AD$8</f>
        <v>186553.43106297485</v>
      </c>
      <c r="AE46" s="31">
        <f t="shared" si="44"/>
        <v>134724.20597289197</v>
      </c>
      <c r="AF46" s="31">
        <f t="shared" si="44"/>
        <v>91282.108528713405</v>
      </c>
      <c r="AG46" s="31">
        <f t="shared" si="44"/>
        <v>55017.464203862008</v>
      </c>
      <c r="AH46" s="31">
        <f t="shared" si="44"/>
        <v>24888.852854128058</v>
      </c>
    </row>
    <row r="47" spans="1:34" x14ac:dyDescent="0.25">
      <c r="A47" s="51" t="s">
        <v>153</v>
      </c>
      <c r="B47" s="28" t="s">
        <v>37</v>
      </c>
      <c r="C47" s="31">
        <f t="shared" ref="C47:AC47" si="45">C30*C$10</f>
        <v>0</v>
      </c>
      <c r="D47" s="31">
        <f t="shared" si="45"/>
        <v>231248.84211189536</v>
      </c>
      <c r="E47" s="31">
        <f t="shared" si="45"/>
        <v>443139.99988387752</v>
      </c>
      <c r="F47" s="31">
        <f t="shared" si="45"/>
        <v>637420.82982528408</v>
      </c>
      <c r="G47" s="31">
        <f t="shared" si="45"/>
        <v>815683.21269414632</v>
      </c>
      <c r="H47" s="31">
        <f t="shared" si="45"/>
        <v>979377.5207320794</v>
      </c>
      <c r="I47" s="31">
        <f t="shared" si="45"/>
        <v>1129825.3281112106</v>
      </c>
      <c r="J47" s="31">
        <f t="shared" si="45"/>
        <v>1134552.4580302825</v>
      </c>
      <c r="K47" s="31">
        <f t="shared" si="45"/>
        <v>1139397.766197331</v>
      </c>
      <c r="L47" s="31">
        <f t="shared" si="45"/>
        <v>1144364.207068556</v>
      </c>
      <c r="M47" s="31">
        <f t="shared" si="45"/>
        <v>1149454.8089615616</v>
      </c>
      <c r="N47" s="31">
        <f t="shared" si="45"/>
        <v>1154672.6759018921</v>
      </c>
      <c r="O47" s="31">
        <f t="shared" si="45"/>
        <v>1160020.9895157311</v>
      </c>
      <c r="P47" s="31">
        <f t="shared" si="45"/>
        <v>1165503.0109699161</v>
      </c>
      <c r="Q47" s="31">
        <f t="shared" si="45"/>
        <v>1171122.0829604557</v>
      </c>
      <c r="R47" s="31">
        <f t="shared" si="45"/>
        <v>1176881.6317507587</v>
      </c>
      <c r="S47" s="31">
        <f t="shared" si="45"/>
        <v>1182785.1692608192</v>
      </c>
      <c r="T47" s="31">
        <f t="shared" si="45"/>
        <v>1188836.2952086315</v>
      </c>
      <c r="U47" s="31">
        <f t="shared" si="45"/>
        <v>1195038.6993051388</v>
      </c>
      <c r="V47" s="31">
        <f t="shared" si="45"/>
        <v>1201396.163504059</v>
      </c>
      <c r="W47" s="31">
        <f t="shared" si="45"/>
        <v>1207912.5643079521</v>
      </c>
      <c r="X47" s="31">
        <f t="shared" si="45"/>
        <v>1214591.8751319426</v>
      </c>
      <c r="Y47" s="31">
        <f t="shared" si="45"/>
        <v>1221438.1687265327</v>
      </c>
      <c r="Z47" s="31">
        <f t="shared" si="45"/>
        <v>1228455.6196609878</v>
      </c>
      <c r="AA47" s="31">
        <f t="shared" si="45"/>
        <v>1235648.5068688041</v>
      </c>
      <c r="AB47" s="31">
        <f t="shared" si="45"/>
        <v>1243021.2162568157</v>
      </c>
      <c r="AC47" s="31">
        <f t="shared" si="45"/>
        <v>940740.13134833355</v>
      </c>
      <c r="AD47" s="31">
        <f t="shared" ref="AD47:AH47" si="46">AD30*AD$10</f>
        <v>744375.69756567676</v>
      </c>
      <c r="AE47" s="31">
        <f t="shared" si="46"/>
        <v>565862.57594507968</v>
      </c>
      <c r="AF47" s="31">
        <f t="shared" si="46"/>
        <v>403577.91992635507</v>
      </c>
      <c r="AG47" s="31">
        <f t="shared" si="46"/>
        <v>256046.41445478724</v>
      </c>
      <c r="AH47" s="31">
        <f t="shared" si="46"/>
        <v>121926.86402608918</v>
      </c>
    </row>
    <row r="48" spans="1:34" x14ac:dyDescent="0.25">
      <c r="A48" s="119" t="s">
        <v>42</v>
      </c>
      <c r="B48" s="28" t="s">
        <v>37</v>
      </c>
      <c r="C48" s="31">
        <f>C47+C46-C45</f>
        <v>-1824074.0740740739</v>
      </c>
      <c r="D48" s="31">
        <f>D47+D46-D45</f>
        <v>-1314871.7274594067</v>
      </c>
      <c r="E48" s="31">
        <f>E47+E46-E45</f>
        <v>-864390.62233693723</v>
      </c>
      <c r="F48" s="31">
        <f t="shared" ref="F48:AC48" si="47">F47+F46-F45</f>
        <v>-465442.60407692054</v>
      </c>
      <c r="G48" s="31">
        <f t="shared" si="47"/>
        <v>-111740.57283368404</v>
      </c>
      <c r="H48" s="31">
        <f t="shared" si="47"/>
        <v>202217.33615818736</v>
      </c>
      <c r="I48" s="31">
        <f t="shared" si="47"/>
        <v>1238130.0939243603</v>
      </c>
      <c r="J48" s="31">
        <f t="shared" si="47"/>
        <v>1237441.9855527747</v>
      </c>
      <c r="K48" s="31">
        <f t="shared" si="47"/>
        <v>1237142.8173436988</v>
      </c>
      <c r="L48" s="31">
        <f t="shared" si="47"/>
        <v>1237222.0056576049</v>
      </c>
      <c r="M48" s="31">
        <f t="shared" si="47"/>
        <v>1237669.7176211583</v>
      </c>
      <c r="N48" s="31">
        <f t="shared" si="47"/>
        <v>1238476.8391285089</v>
      </c>
      <c r="O48" s="31">
        <f t="shared" si="47"/>
        <v>1239634.9445810171</v>
      </c>
      <c r="P48" s="31">
        <f t="shared" si="47"/>
        <v>1241136.2682819378</v>
      </c>
      <c r="Q48" s="31">
        <f t="shared" si="47"/>
        <v>1242973.6774068763</v>
      </c>
      <c r="R48" s="31">
        <f t="shared" si="47"/>
        <v>1245140.6464748583</v>
      </c>
      <c r="S48" s="31">
        <f t="shared" si="47"/>
        <v>1247631.2332487139</v>
      </c>
      <c r="T48" s="31">
        <f t="shared" si="47"/>
        <v>1250440.0559971314</v>
      </c>
      <c r="U48" s="31">
        <f t="shared" si="47"/>
        <v>1253562.2720542138</v>
      </c>
      <c r="V48" s="31">
        <f t="shared" si="47"/>
        <v>1256993.5576156802</v>
      </c>
      <c r="W48" s="31">
        <f t="shared" si="47"/>
        <v>1260730.0887139922</v>
      </c>
      <c r="X48" s="31">
        <f t="shared" si="47"/>
        <v>1264768.5233176807</v>
      </c>
      <c r="Y48" s="31">
        <f t="shared" si="47"/>
        <v>1269105.9845029837</v>
      </c>
      <c r="Z48" s="31">
        <f t="shared" si="47"/>
        <v>1273740.0446486163</v>
      </c>
      <c r="AA48" s="31">
        <f t="shared" si="47"/>
        <v>1278668.7106070512</v>
      </c>
      <c r="AB48" s="31">
        <f t="shared" si="47"/>
        <v>1283890.4098081505</v>
      </c>
      <c r="AC48" s="31">
        <f t="shared" si="47"/>
        <v>979565.86522210157</v>
      </c>
      <c r="AD48" s="31">
        <f t="shared" ref="AD48:AH48" si="48">AD47+AD46-AD45</f>
        <v>773561.10720653529</v>
      </c>
      <c r="AE48" s="31">
        <f t="shared" si="48"/>
        <v>586939.54632002243</v>
      </c>
      <c r="AF48" s="31">
        <f t="shared" si="48"/>
        <v>417858.57783284236</v>
      </c>
      <c r="AG48" s="31">
        <f t="shared" si="48"/>
        <v>264653.63878211117</v>
      </c>
      <c r="AH48" s="31">
        <f t="shared" si="48"/>
        <v>125820.60836464049</v>
      </c>
    </row>
    <row r="49" spans="1:34" x14ac:dyDescent="0.25">
      <c r="A49" s="51"/>
      <c r="B49" s="28"/>
      <c r="C49" s="28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</row>
    <row r="50" spans="1:34" x14ac:dyDescent="0.25">
      <c r="A50" s="141" t="s">
        <v>88</v>
      </c>
      <c r="B50" s="142" t="s">
        <v>37</v>
      </c>
      <c r="C50" s="143">
        <f>XNPV(B$6,C42:AH42,C$22:AH$22)</f>
        <v>8889393.9536502045</v>
      </c>
      <c r="D50" s="117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</row>
    <row r="51" spans="1:34" x14ac:dyDescent="0.25">
      <c r="A51" s="141" t="s">
        <v>84</v>
      </c>
      <c r="B51" s="142" t="s">
        <v>37</v>
      </c>
      <c r="C51" s="143">
        <f>XNPV(B$6,C43:AH43,C$22:AH$22)</f>
        <v>-5960753.5365487859</v>
      </c>
      <c r="D51" s="117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</row>
    <row r="52" spans="1:34" s="21" customFormat="1" x14ac:dyDescent="0.25">
      <c r="A52" s="126"/>
      <c r="B52" s="28"/>
      <c r="C52" s="28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</row>
    <row r="53" spans="1:34" x14ac:dyDescent="0.25">
      <c r="A53" s="120" t="s">
        <v>101</v>
      </c>
      <c r="B53" s="28" t="s">
        <v>67</v>
      </c>
      <c r="C53" s="32">
        <f>(XNPV($B$6,C30,C$22)+XNPV($B$6,C34,C$22))/(XNPV($B$6,C24,C$22))</f>
        <v>0</v>
      </c>
      <c r="D53" s="32">
        <f t="shared" ref="D53:AC53" si="49">(XNPV($B$6,D30,D$22)+XNPV($B$6,D34,D$22))/(XNPV($B$6,D24,D$22))</f>
        <v>0.23454506912626136</v>
      </c>
      <c r="E53" s="32">
        <f t="shared" si="49"/>
        <v>0.44868061694859762</v>
      </c>
      <c r="F53" s="32">
        <f t="shared" si="49"/>
        <v>0.64425523844682209</v>
      </c>
      <c r="G53" s="32">
        <f t="shared" si="49"/>
        <v>0.82295132467801335</v>
      </c>
      <c r="H53" s="32">
        <f t="shared" si="49"/>
        <v>0.98630008071222686</v>
      </c>
      <c r="I53" s="32">
        <f t="shared" si="49"/>
        <v>2.6076399641171739</v>
      </c>
      <c r="J53" s="32">
        <f t="shared" si="49"/>
        <v>2.6135902921919976</v>
      </c>
      <c r="K53" s="32">
        <f t="shared" si="49"/>
        <v>2.6196893784686917</v>
      </c>
      <c r="L53" s="32">
        <f t="shared" si="49"/>
        <v>2.6259409419023032</v>
      </c>
      <c r="M53" s="32">
        <f t="shared" si="49"/>
        <v>2.6323487944217554</v>
      </c>
      <c r="N53" s="32">
        <f t="shared" si="49"/>
        <v>2.6389168432541932</v>
      </c>
      <c r="O53" s="32">
        <f t="shared" si="49"/>
        <v>2.6456490933074419</v>
      </c>
      <c r="P53" s="32">
        <f t="shared" si="49"/>
        <v>2.6525496496120229</v>
      </c>
      <c r="Q53" s="32">
        <f t="shared" si="49"/>
        <v>2.6596227198242173</v>
      </c>
      <c r="R53" s="32">
        <f t="shared" si="49"/>
        <v>2.6668726167917174</v>
      </c>
      <c r="S53" s="32">
        <f t="shared" si="49"/>
        <v>2.6743037611834044</v>
      </c>
      <c r="T53" s="32">
        <f t="shared" si="49"/>
        <v>2.6819206841848837</v>
      </c>
      <c r="U53" s="32">
        <f t="shared" si="49"/>
        <v>2.6897280302614002</v>
      </c>
      <c r="V53" s="32">
        <f t="shared" si="49"/>
        <v>2.6977305599898296</v>
      </c>
      <c r="W53" s="32">
        <f t="shared" si="49"/>
        <v>2.7059331529614696</v>
      </c>
      <c r="X53" s="32">
        <f t="shared" si="49"/>
        <v>2.7143408107574007</v>
      </c>
      <c r="Y53" s="32">
        <f t="shared" si="49"/>
        <v>2.7229586599982296</v>
      </c>
      <c r="Z53" s="32">
        <f t="shared" si="49"/>
        <v>2.7317919554700802</v>
      </c>
      <c r="AA53" s="32">
        <f t="shared" si="49"/>
        <v>2.7408460833287265</v>
      </c>
      <c r="AB53" s="32">
        <f t="shared" si="49"/>
        <v>2.7501265643838386</v>
      </c>
      <c r="AC53" s="32">
        <f t="shared" si="49"/>
        <v>2.3696268411242278</v>
      </c>
      <c r="AD53" s="32">
        <f t="shared" ref="AD53:AH53" si="50">(XNPV($B$6,AD30,AD$22)+XNPV($B$6,AD34,AD$22))/(XNPV($B$6,AD24,AD$22))</f>
        <v>2.3696268411242278</v>
      </c>
      <c r="AE53" s="32">
        <f t="shared" si="50"/>
        <v>2.3696268411242274</v>
      </c>
      <c r="AF53" s="32">
        <f t="shared" si="50"/>
        <v>2.3696268411242278</v>
      </c>
      <c r="AG53" s="32">
        <f t="shared" si="50"/>
        <v>2.3696268411242274</v>
      </c>
      <c r="AH53" s="32">
        <f t="shared" si="50"/>
        <v>2.3696268411242274</v>
      </c>
    </row>
    <row r="54" spans="1:34" x14ac:dyDescent="0.25">
      <c r="A54" s="120" t="s">
        <v>99</v>
      </c>
      <c r="B54" s="28" t="s">
        <v>67</v>
      </c>
      <c r="C54" s="108">
        <f>(XNPV(B$6,C30:W30,C$22:W$22)+XNPV(B$6,C34:W34,C$22:W$22))/(XNPV(B$6,C24:W24,C$22:W$22))</f>
        <v>1.3542200132624389</v>
      </c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117"/>
      <c r="AD54" s="31"/>
      <c r="AE54" s="117"/>
      <c r="AF54" s="31"/>
      <c r="AG54" s="117"/>
      <c r="AH54" s="31"/>
    </row>
    <row r="55" spans="1:34" x14ac:dyDescent="0.25">
      <c r="A55" s="126" t="s">
        <v>107</v>
      </c>
      <c r="B55" s="28" t="s">
        <v>67</v>
      </c>
      <c r="C55" s="32">
        <f>(XNPV($B$6,C47,C$22)+XNPV($B$6,C46,C$22))/(XNPV($B$6,C45,C$22))</f>
        <v>0</v>
      </c>
      <c r="D55" s="32">
        <f t="shared" ref="D55:AC55" si="51">(XNPV($B$14,D47,D$22)+XNPV($B$14,D46,D$22))/(XNPV($B$14,D45,D$22))</f>
        <v>0.24121749096651912</v>
      </c>
      <c r="E55" s="32">
        <f t="shared" si="51"/>
        <v>0.47492617960606193</v>
      </c>
      <c r="F55" s="32">
        <f t="shared" si="51"/>
        <v>0.70238634931283772</v>
      </c>
      <c r="G55" s="32">
        <f t="shared" si="51"/>
        <v>0.92479027484667942</v>
      </c>
      <c r="H55" s="32">
        <f t="shared" si="51"/>
        <v>1.1432708666437545</v>
      </c>
      <c r="I55" s="32">
        <f>(XNPV($B$14,I47,I$22)+XNPV($B$14,I46,I$22))/(XNPV($B$14,I45,I$22))</f>
        <v>3.1201569941274512</v>
      </c>
      <c r="J55" s="32">
        <f t="shared" si="51"/>
        <v>3.2305038808295854</v>
      </c>
      <c r="K55" s="32">
        <f t="shared" si="51"/>
        <v>3.347331185871949</v>
      </c>
      <c r="L55" s="32">
        <f t="shared" si="51"/>
        <v>3.4710330908088558</v>
      </c>
      <c r="M55" s="32">
        <f t="shared" si="51"/>
        <v>3.6020287162425997</v>
      </c>
      <c r="N55" s="32">
        <f t="shared" si="51"/>
        <v>3.7407637654036336</v>
      </c>
      <c r="O55" s="32">
        <f t="shared" si="51"/>
        <v>3.8877122803664625</v>
      </c>
      <c r="P55" s="32">
        <f t="shared" si="51"/>
        <v>4.0433785188924256</v>
      </c>
      <c r="Q55" s="32">
        <f t="shared" si="51"/>
        <v>4.2082989604740559</v>
      </c>
      <c r="R55" s="32">
        <f t="shared" si="51"/>
        <v>4.3830444507826982</v>
      </c>
      <c r="S55" s="32">
        <f t="shared" si="51"/>
        <v>4.5682224943949743</v>
      </c>
      <c r="T55" s="32">
        <f t="shared" si="51"/>
        <v>4.7644797063980313</v>
      </c>
      <c r="U55" s="32">
        <f t="shared" si="51"/>
        <v>4.9725044342520999</v>
      </c>
      <c r="V55" s="32">
        <f t="shared" si="51"/>
        <v>5.1930295621259299</v>
      </c>
      <c r="W55" s="32">
        <f t="shared" si="51"/>
        <v>5.4268355108205109</v>
      </c>
      <c r="X55" s="32">
        <f t="shared" si="51"/>
        <v>5.6747534473640275</v>
      </c>
      <c r="Y55" s="32">
        <f t="shared" si="51"/>
        <v>5.9376687194013096</v>
      </c>
      <c r="Z55" s="32">
        <f t="shared" si="51"/>
        <v>6.2165245306197194</v>
      </c>
      <c r="AA55" s="32">
        <f t="shared" si="51"/>
        <v>6.5123258746565096</v>
      </c>
      <c r="AB55" s="32">
        <f t="shared" si="51"/>
        <v>6.8261437462264869</v>
      </c>
      <c r="AC55" s="32">
        <f t="shared" si="51"/>
        <v>5.6791102517144987</v>
      </c>
      <c r="AD55" s="32">
        <f t="shared" ref="AD55:AH55" si="52">(XNPV($B$14,AD47,AD$22)+XNPV($B$14,AD46,AD$22))/(XNPV($B$14,AD45,AD$22))</f>
        <v>5.915618180974473</v>
      </c>
      <c r="AE55" s="32">
        <f t="shared" si="52"/>
        <v>6.1645738959849714</v>
      </c>
      <c r="AF55" s="32">
        <f t="shared" si="52"/>
        <v>6.4266325433644429</v>
      </c>
      <c r="AG55" s="32">
        <f t="shared" si="52"/>
        <v>6.7024837511323083</v>
      </c>
      <c r="AH55" s="32">
        <f t="shared" si="52"/>
        <v>6.9928534435195333</v>
      </c>
    </row>
    <row r="56" spans="1:34" x14ac:dyDescent="0.25">
      <c r="A56" s="141" t="s">
        <v>108</v>
      </c>
      <c r="B56" s="142" t="s">
        <v>67</v>
      </c>
      <c r="C56" s="144">
        <f>(XNPV(B$6,C47:AH47,C$22:AH$22)+XNPV(B$6,C46:AH46,C$22:AH$22))/(XNPV(B$6,C45:AH45,C$22:AH$22))</f>
        <v>1.6898777134369241</v>
      </c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117"/>
      <c r="AD56" s="32"/>
      <c r="AE56" s="117"/>
      <c r="AF56" s="32"/>
      <c r="AG56" s="117"/>
      <c r="AH56" s="32"/>
    </row>
    <row r="57" spans="1:34" x14ac:dyDescent="0.25">
      <c r="A57" s="126" t="s">
        <v>100</v>
      </c>
      <c r="B57" s="28" t="s">
        <v>67</v>
      </c>
      <c r="C57" s="32">
        <f>(XNPV($B$6,C46,C$22))/(XNPV($B$6,C45,C$22))</f>
        <v>0</v>
      </c>
      <c r="D57" s="32">
        <f t="shared" ref="D57:AC57" si="53">(XNPV($B$6,D46,D$22))/(XNPV($B$6,D45,D$22))</f>
        <v>0.1077690541613644</v>
      </c>
      <c r="E57" s="32">
        <f t="shared" si="53"/>
        <v>0.20574092158078655</v>
      </c>
      <c r="F57" s="32">
        <f t="shared" si="53"/>
        <v>0.29480625559844309</v>
      </c>
      <c r="G57" s="32">
        <f t="shared" si="53"/>
        <v>0.3757747410690398</v>
      </c>
      <c r="H57" s="32">
        <f t="shared" si="53"/>
        <v>0.44938245513321884</v>
      </c>
      <c r="I57" s="32">
        <f t="shared" si="53"/>
        <v>1.1854595957750083</v>
      </c>
      <c r="J57" s="32">
        <f t="shared" si="53"/>
        <v>1.185459595775008</v>
      </c>
      <c r="K57" s="32">
        <f t="shared" si="53"/>
        <v>1.1854595957750083</v>
      </c>
      <c r="L57" s="32">
        <f t="shared" si="53"/>
        <v>1.1854595957750083</v>
      </c>
      <c r="M57" s="32">
        <f t="shared" si="53"/>
        <v>1.1854595957750083</v>
      </c>
      <c r="N57" s="32">
        <f t="shared" si="53"/>
        <v>1.1854595957750083</v>
      </c>
      <c r="O57" s="32">
        <f t="shared" si="53"/>
        <v>1.1854595957750083</v>
      </c>
      <c r="P57" s="32">
        <f t="shared" si="53"/>
        <v>1.185459595775008</v>
      </c>
      <c r="Q57" s="32">
        <f t="shared" si="53"/>
        <v>1.1854595957750083</v>
      </c>
      <c r="R57" s="32">
        <f t="shared" si="53"/>
        <v>1.1854595957750083</v>
      </c>
      <c r="S57" s="32">
        <f t="shared" si="53"/>
        <v>1.1854595957750083</v>
      </c>
      <c r="T57" s="32">
        <f t="shared" si="53"/>
        <v>1.1854595957750083</v>
      </c>
      <c r="U57" s="32">
        <f t="shared" si="53"/>
        <v>1.185459595775008</v>
      </c>
      <c r="V57" s="32">
        <f t="shared" si="53"/>
        <v>1.1854595957750083</v>
      </c>
      <c r="W57" s="32">
        <f t="shared" si="53"/>
        <v>1.1854595957750083</v>
      </c>
      <c r="X57" s="32">
        <f t="shared" si="53"/>
        <v>1.185459595775008</v>
      </c>
      <c r="Y57" s="32">
        <f t="shared" si="53"/>
        <v>1.1854595957750083</v>
      </c>
      <c r="Z57" s="32">
        <f t="shared" si="53"/>
        <v>1.185459595775008</v>
      </c>
      <c r="AA57" s="32">
        <f t="shared" si="53"/>
        <v>1.1854595957750083</v>
      </c>
      <c r="AB57" s="32">
        <f t="shared" si="53"/>
        <v>1.1854595957750083</v>
      </c>
      <c r="AC57" s="32">
        <f t="shared" si="53"/>
        <v>1.1854595957750083</v>
      </c>
      <c r="AD57" s="32">
        <f t="shared" ref="AD57:AH57" si="54">(XNPV($B$6,AD46,AD$22))/(XNPV($B$6,AD45,AD$22))</f>
        <v>1.1854595957750083</v>
      </c>
      <c r="AE57" s="32">
        <f t="shared" si="54"/>
        <v>1.185459595775008</v>
      </c>
      <c r="AF57" s="32">
        <f t="shared" si="54"/>
        <v>1.1854595957750083</v>
      </c>
      <c r="AG57" s="32">
        <f t="shared" si="54"/>
        <v>1.185459595775008</v>
      </c>
      <c r="AH57" s="32">
        <f t="shared" si="54"/>
        <v>1.1854595957750078</v>
      </c>
    </row>
    <row r="58" spans="1:34" x14ac:dyDescent="0.25">
      <c r="A58" s="141" t="s">
        <v>102</v>
      </c>
      <c r="B58" s="142" t="s">
        <v>67</v>
      </c>
      <c r="C58" s="144">
        <f>(XNPV(B$6,C46:AH46,C$22:AH$22))/(XNPV(B$6,C45:AH45,C$22:AH$22))</f>
        <v>0.52665746005841496</v>
      </c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117"/>
      <c r="AD58" s="32"/>
      <c r="AE58" s="117"/>
      <c r="AF58" s="32"/>
      <c r="AG58" s="117"/>
      <c r="AH58" s="32"/>
    </row>
    <row r="59" spans="1:34" s="21" customFormat="1" x14ac:dyDescent="0.25">
      <c r="A59" s="120"/>
      <c r="B59" s="127"/>
      <c r="C59" s="128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127"/>
      <c r="AD59" s="32"/>
      <c r="AE59" s="127"/>
      <c r="AF59" s="32"/>
      <c r="AG59" s="127"/>
      <c r="AH59" s="32"/>
    </row>
    <row r="60" spans="1:34" x14ac:dyDescent="0.25">
      <c r="A60" s="141" t="s">
        <v>95</v>
      </c>
      <c r="B60" s="145" t="s">
        <v>68</v>
      </c>
      <c r="C60" s="146">
        <f>XIRR(C42:AH42, C$22:AH$22, 0.01)</f>
        <v>0.14283774852752684</v>
      </c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117"/>
      <c r="AD60" s="32"/>
      <c r="AE60" s="117"/>
      <c r="AF60" s="32"/>
      <c r="AG60" s="117"/>
      <c r="AH60" s="32"/>
    </row>
    <row r="61" spans="1:34" x14ac:dyDescent="0.25">
      <c r="A61" s="220" t="s">
        <v>103</v>
      </c>
      <c r="B61" s="221" t="s">
        <v>68</v>
      </c>
      <c r="C61" s="222" t="e">
        <f>XIRR(C42:H42, C$22:H$22, 0.01)</f>
        <v>#NUM!</v>
      </c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117"/>
      <c r="AD61" s="32"/>
      <c r="AE61" s="117"/>
      <c r="AF61" s="32"/>
      <c r="AG61" s="117"/>
      <c r="AH61" s="32"/>
    </row>
    <row r="62" spans="1:34" x14ac:dyDescent="0.25">
      <c r="A62" s="141" t="s">
        <v>96</v>
      </c>
      <c r="B62" s="145" t="s">
        <v>68</v>
      </c>
      <c r="C62" s="269">
        <f>XIRR(C43:AH43, C$22:AH$22, 0.01)</f>
        <v>4.7683715820312501E-9</v>
      </c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117"/>
      <c r="AD62" s="32"/>
      <c r="AE62" s="117"/>
      <c r="AF62" s="32"/>
      <c r="AG62" s="117"/>
      <c r="AH62" s="32"/>
    </row>
    <row r="63" spans="1:34" x14ac:dyDescent="0.25">
      <c r="A63" s="220" t="s">
        <v>104</v>
      </c>
      <c r="B63" s="221" t="s">
        <v>68</v>
      </c>
      <c r="C63" s="223" t="e">
        <f>XIRR(C43:H43, C$22:H$22, 0.01)</f>
        <v>#NUM!</v>
      </c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117"/>
      <c r="AD63" s="32"/>
      <c r="AE63" s="117"/>
      <c r="AF63" s="32"/>
      <c r="AG63" s="117"/>
      <c r="AH63" s="32"/>
    </row>
    <row r="64" spans="1:34" x14ac:dyDescent="0.25">
      <c r="A64" s="304" t="s">
        <v>89</v>
      </c>
      <c r="B64" s="145" t="s">
        <v>69</v>
      </c>
      <c r="C64" s="151">
        <f>IF(I65,$J$21-$D$21)+1</f>
        <v>7</v>
      </c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117"/>
      <c r="AD64" s="32"/>
      <c r="AE64" s="117"/>
      <c r="AF64" s="32"/>
      <c r="AG64" s="117"/>
      <c r="AH64" s="32"/>
    </row>
    <row r="65" spans="1:74" x14ac:dyDescent="0.25">
      <c r="A65" s="305"/>
      <c r="B65" s="129" t="s">
        <v>69</v>
      </c>
      <c r="C65" s="130">
        <f>(D34+D30)/C25</f>
        <v>0.23454506912626136</v>
      </c>
      <c r="D65" s="121">
        <f>(SUM($D$34:E34)+SUM($D$30:E30))/SUM($C$25:D25)</f>
        <v>0.35788012127730706</v>
      </c>
      <c r="E65" s="121">
        <f>(SUM($D$34:F34)+SUM($D$30:F30))/SUM($C$25:E25)</f>
        <v>0.4852724829822459</v>
      </c>
      <c r="F65" s="121">
        <f>(SUM($D$34:G34)+SUM($D$30:G30))/SUM($C$25:F25)</f>
        <v>0.61672599088230839</v>
      </c>
      <c r="G65" s="121">
        <f>(SUM($D$34:H34)+SUM($D$30:H30))/SUM($C$25:G25)</f>
        <v>0.75223826050745179</v>
      </c>
      <c r="H65" s="121">
        <f>(SUM($D$34:I34)+SUM($D$30:I30))/SUM($C$25:H25)</f>
        <v>0.89180080871061795</v>
      </c>
      <c r="I65" s="121">
        <f>(SUM($D$34:J34)+SUM($D$30:J30))/SUM($C$25:I25)</f>
        <v>1.1293999261826178</v>
      </c>
      <c r="J65" s="121"/>
      <c r="K65" s="121"/>
      <c r="L65" s="121"/>
      <c r="M65" s="121"/>
      <c r="N65" s="121"/>
      <c r="O65" s="121"/>
      <c r="P65" s="121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17"/>
      <c r="AD65" s="121"/>
      <c r="AE65" s="117"/>
      <c r="AF65" s="121"/>
      <c r="AG65" s="117"/>
      <c r="AH65" s="121"/>
    </row>
    <row r="66" spans="1:74" x14ac:dyDescent="0.25">
      <c r="A66" s="306" t="s">
        <v>105</v>
      </c>
      <c r="B66" s="145" t="s">
        <v>69</v>
      </c>
      <c r="C66" s="152">
        <f>IF(N67,$O$21-$D$21)+1</f>
        <v>12</v>
      </c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117"/>
      <c r="AD66" s="32"/>
      <c r="AE66" s="117"/>
      <c r="AF66" s="32"/>
      <c r="AG66" s="117"/>
      <c r="AH66" s="32"/>
    </row>
    <row r="67" spans="1:74" x14ac:dyDescent="0.25">
      <c r="A67" s="305"/>
      <c r="B67" s="28" t="s">
        <v>69</v>
      </c>
      <c r="C67" s="131">
        <f>D34/C25</f>
        <v>0.1077690541613644</v>
      </c>
      <c r="D67" s="32">
        <f>SUM($D$34:E34)/SUM($C$25:D25)</f>
        <v>0.16421951110303146</v>
      </c>
      <c r="E67" s="32">
        <f>SUM($D$34:F34)/SUM($C$25:E25)</f>
        <v>0.22237541991604792</v>
      </c>
      <c r="F67" s="32">
        <f>SUM($D$34:G34)/SUM($C$25:F25)</f>
        <v>0.28222906362362049</v>
      </c>
      <c r="G67" s="32">
        <f>SUM($D$34:H34)/SUM($C$25:G25)</f>
        <v>0.34376970815637592</v>
      </c>
      <c r="H67" s="32">
        <f>SUM($D$34:I34)/SUM($C$25:H25)</f>
        <v>0.40698367099555371</v>
      </c>
      <c r="I67" s="32">
        <f>SUM($D$34:J34)/SUM($C$25:I25)</f>
        <v>0.51475272515691817</v>
      </c>
      <c r="J67" s="32">
        <f>SUM($D$34:K34)/SUM($C$25:J25)</f>
        <v>0.62252177931828256</v>
      </c>
      <c r="K67" s="32">
        <f>SUM($D$34:L34)/SUM($C$25:K25)</f>
        <v>0.73029083347964696</v>
      </c>
      <c r="L67" s="32">
        <f>SUM($D$34:M34)/SUM($C$25:L25)</f>
        <v>0.83805988764101147</v>
      </c>
      <c r="M67" s="32">
        <f>SUM($D$34:N34)/SUM($C$25:M25)</f>
        <v>0.94582894180237587</v>
      </c>
      <c r="N67" s="32">
        <f>SUM($D$34:O34)/SUM($C$25:N25)</f>
        <v>1.0535979959637403</v>
      </c>
      <c r="O67" s="32"/>
      <c r="P67" s="32"/>
      <c r="Q67" s="32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117"/>
      <c r="AD67" s="31"/>
      <c r="AE67" s="117"/>
      <c r="AF67" s="31"/>
      <c r="AG67" s="117"/>
      <c r="AH67" s="31"/>
    </row>
    <row r="68" spans="1:74" ht="3" customHeight="1" x14ac:dyDescent="0.25">
      <c r="A68" s="33"/>
      <c r="B68" s="162"/>
      <c r="C68" s="162"/>
      <c r="D68" s="163"/>
      <c r="E68" s="164"/>
      <c r="F68" s="164"/>
      <c r="G68" s="164"/>
      <c r="H68" s="164"/>
      <c r="I68" s="164"/>
      <c r="J68" s="164"/>
      <c r="K68" s="164"/>
      <c r="L68" s="164"/>
      <c r="M68" s="164"/>
      <c r="N68" s="164"/>
      <c r="O68" s="164"/>
      <c r="P68" s="164"/>
      <c r="Q68" s="164"/>
      <c r="R68" s="164"/>
      <c r="S68" s="164"/>
      <c r="T68" s="164"/>
      <c r="U68" s="164"/>
      <c r="V68" s="164"/>
      <c r="W68" s="164"/>
      <c r="X68" s="164"/>
      <c r="Y68" s="164"/>
      <c r="Z68" s="164"/>
      <c r="AA68" s="164"/>
      <c r="AB68" s="164"/>
      <c r="AC68" s="164"/>
      <c r="AD68" s="164"/>
      <c r="AE68" s="164"/>
      <c r="AF68" s="164"/>
      <c r="AG68" s="164"/>
      <c r="AH68" s="164"/>
    </row>
    <row r="69" spans="1:74" ht="23.45" customHeight="1" x14ac:dyDescent="0.25">
      <c r="A69" s="210" t="s">
        <v>54</v>
      </c>
      <c r="B69" s="211"/>
      <c r="C69" s="211"/>
      <c r="D69" s="212"/>
      <c r="E69" s="213"/>
      <c r="F69" s="213"/>
      <c r="G69" s="213"/>
      <c r="H69" s="213"/>
      <c r="I69" s="213"/>
      <c r="J69" s="213"/>
      <c r="K69" s="213"/>
      <c r="L69" s="213"/>
      <c r="M69" s="213"/>
      <c r="N69" s="213"/>
      <c r="O69" s="213"/>
      <c r="P69" s="213"/>
      <c r="Q69" s="213"/>
      <c r="R69" s="213"/>
      <c r="S69" s="213"/>
      <c r="T69" s="213"/>
      <c r="U69" s="213"/>
      <c r="V69" s="213"/>
      <c r="W69" s="213"/>
      <c r="X69" s="213"/>
      <c r="Y69" s="213"/>
      <c r="Z69" s="213"/>
      <c r="AA69" s="213"/>
      <c r="AB69" s="213"/>
      <c r="AC69" s="214"/>
      <c r="AD69" s="213"/>
      <c r="AE69" s="214"/>
      <c r="AF69" s="213"/>
      <c r="AG69" s="214"/>
      <c r="AH69" s="213"/>
    </row>
    <row r="70" spans="1:74" x14ac:dyDescent="0.25">
      <c r="A70" s="154" t="s">
        <v>48</v>
      </c>
      <c r="B70" s="155" t="s">
        <v>49</v>
      </c>
      <c r="C70" s="156">
        <f>C76+C79+C82+C85+C88+C91</f>
        <v>0</v>
      </c>
      <c r="D70" s="156">
        <f>D76+D79+D82+D85+D88+D91</f>
        <v>0</v>
      </c>
      <c r="E70" s="156">
        <f t="shared" ref="E70:AB70" si="55">E76+E79+E82+E85+E88+E91</f>
        <v>0</v>
      </c>
      <c r="F70" s="156">
        <f t="shared" si="55"/>
        <v>364814.81481481477</v>
      </c>
      <c r="G70" s="156">
        <f>G76+G79+G82+G85+G88+G91</f>
        <v>729629.62962962955</v>
      </c>
      <c r="H70" s="156">
        <f t="shared" si="55"/>
        <v>1094444.4444444443</v>
      </c>
      <c r="I70" s="156">
        <f t="shared" si="55"/>
        <v>1459259.2592592591</v>
      </c>
      <c r="J70" s="156">
        <f t="shared" si="55"/>
        <v>1824074.0740740739</v>
      </c>
      <c r="K70" s="156">
        <f t="shared" si="55"/>
        <v>1824074.0740740739</v>
      </c>
      <c r="L70" s="156">
        <f t="shared" si="55"/>
        <v>1459259.2592592593</v>
      </c>
      <c r="M70" s="156">
        <f t="shared" si="55"/>
        <v>1094444.4444444445</v>
      </c>
      <c r="N70" s="156">
        <f t="shared" si="55"/>
        <v>729629.62962962966</v>
      </c>
      <c r="O70" s="156">
        <f t="shared" si="55"/>
        <v>364814.81481481483</v>
      </c>
      <c r="P70" s="156">
        <f t="shared" si="55"/>
        <v>0</v>
      </c>
      <c r="Q70" s="156">
        <f t="shared" si="55"/>
        <v>0</v>
      </c>
      <c r="R70" s="156">
        <f t="shared" si="55"/>
        <v>0</v>
      </c>
      <c r="S70" s="156">
        <f t="shared" si="55"/>
        <v>0</v>
      </c>
      <c r="T70" s="156">
        <f t="shared" si="55"/>
        <v>0</v>
      </c>
      <c r="U70" s="156">
        <f t="shared" si="55"/>
        <v>0</v>
      </c>
      <c r="V70" s="156">
        <f t="shared" si="55"/>
        <v>0</v>
      </c>
      <c r="W70" s="156">
        <f t="shared" si="55"/>
        <v>0</v>
      </c>
      <c r="X70" s="156">
        <f t="shared" si="55"/>
        <v>0</v>
      </c>
      <c r="Y70" s="156">
        <f t="shared" si="55"/>
        <v>0</v>
      </c>
      <c r="Z70" s="156">
        <f t="shared" si="55"/>
        <v>0</v>
      </c>
      <c r="AA70" s="156">
        <f t="shared" si="55"/>
        <v>0</v>
      </c>
      <c r="AB70" s="157">
        <f t="shared" si="55"/>
        <v>0</v>
      </c>
      <c r="AC70" s="157">
        <f t="shared" ref="AC70:AD70" si="56">AC76+AC79+AC82+AC85+AC88+AC91</f>
        <v>0</v>
      </c>
      <c r="AD70" s="157">
        <f t="shared" si="56"/>
        <v>0</v>
      </c>
      <c r="AE70" s="157">
        <f t="shared" ref="AE70:AH70" si="57">AE76+AE79+AE82+AE85+AE88+AE91</f>
        <v>0</v>
      </c>
      <c r="AF70" s="157">
        <f t="shared" si="57"/>
        <v>0</v>
      </c>
      <c r="AG70" s="157">
        <f t="shared" si="57"/>
        <v>0</v>
      </c>
      <c r="AH70" s="157">
        <f t="shared" si="57"/>
        <v>0</v>
      </c>
    </row>
    <row r="71" spans="1:74" x14ac:dyDescent="0.25">
      <c r="A71" s="158"/>
      <c r="B71" s="159" t="s">
        <v>50</v>
      </c>
      <c r="C71" s="160">
        <f>C77+C80+C83+C86+C89+C92</f>
        <v>0</v>
      </c>
      <c r="D71" s="160">
        <f>D77+D80+D83+D86+D89+D92</f>
        <v>91203.703703703708</v>
      </c>
      <c r="E71" s="160">
        <f t="shared" ref="E71:AB71" si="58">E77+E80+E83+E86+E89+E92</f>
        <v>182407.40740740742</v>
      </c>
      <c r="F71" s="160">
        <f t="shared" si="58"/>
        <v>273611.11111111112</v>
      </c>
      <c r="G71" s="160">
        <f t="shared" si="58"/>
        <v>346574.0740740741</v>
      </c>
      <c r="H71" s="160">
        <f t="shared" si="58"/>
        <v>401296.29629629629</v>
      </c>
      <c r="I71" s="160">
        <f t="shared" si="58"/>
        <v>437777.77777777781</v>
      </c>
      <c r="J71" s="160">
        <f t="shared" si="58"/>
        <v>364814.81481481483</v>
      </c>
      <c r="K71" s="160">
        <f t="shared" si="58"/>
        <v>273611.11111111112</v>
      </c>
      <c r="L71" s="160">
        <f t="shared" si="58"/>
        <v>182407.40740740742</v>
      </c>
      <c r="M71" s="160">
        <f t="shared" si="58"/>
        <v>109444.44444444444</v>
      </c>
      <c r="N71" s="160">
        <f t="shared" si="58"/>
        <v>54722.222222222219</v>
      </c>
      <c r="O71" s="160">
        <f t="shared" si="58"/>
        <v>18240.740740740741</v>
      </c>
      <c r="P71" s="160">
        <f t="shared" si="58"/>
        <v>0</v>
      </c>
      <c r="Q71" s="160">
        <f t="shared" si="58"/>
        <v>0</v>
      </c>
      <c r="R71" s="160">
        <f t="shared" si="58"/>
        <v>0</v>
      </c>
      <c r="S71" s="160">
        <f t="shared" si="58"/>
        <v>0</v>
      </c>
      <c r="T71" s="160">
        <f t="shared" si="58"/>
        <v>0</v>
      </c>
      <c r="U71" s="160">
        <f t="shared" si="58"/>
        <v>0</v>
      </c>
      <c r="V71" s="160">
        <f t="shared" si="58"/>
        <v>0</v>
      </c>
      <c r="W71" s="160">
        <f t="shared" si="58"/>
        <v>0</v>
      </c>
      <c r="X71" s="160">
        <f t="shared" si="58"/>
        <v>0</v>
      </c>
      <c r="Y71" s="160">
        <f t="shared" si="58"/>
        <v>0</v>
      </c>
      <c r="Z71" s="160">
        <f t="shared" si="58"/>
        <v>0</v>
      </c>
      <c r="AA71" s="160">
        <f t="shared" si="58"/>
        <v>0</v>
      </c>
      <c r="AB71" s="161">
        <f t="shared" si="58"/>
        <v>0</v>
      </c>
      <c r="AC71" s="161">
        <f t="shared" ref="AC71:AD71" si="59">AC77+AC80+AC83+AC86+AC89+AC92</f>
        <v>0</v>
      </c>
      <c r="AD71" s="161">
        <f t="shared" si="59"/>
        <v>0</v>
      </c>
      <c r="AE71" s="161">
        <f t="shared" ref="AE71:AH71" si="60">AE77+AE80+AE83+AE86+AE89+AE92</f>
        <v>0</v>
      </c>
      <c r="AF71" s="161">
        <f t="shared" si="60"/>
        <v>0</v>
      </c>
      <c r="AG71" s="161">
        <f t="shared" si="60"/>
        <v>0</v>
      </c>
      <c r="AH71" s="161">
        <f t="shared" si="60"/>
        <v>0</v>
      </c>
    </row>
    <row r="72" spans="1:74" x14ac:dyDescent="0.25">
      <c r="A72" s="197" t="s">
        <v>109</v>
      </c>
      <c r="B72" s="36" t="s">
        <v>51</v>
      </c>
      <c r="C72" s="37">
        <f t="shared" ref="C72:H72" si="61">C24</f>
        <v>1824074.0740740739</v>
      </c>
      <c r="D72" s="37">
        <f t="shared" si="61"/>
        <v>1824074.0740740739</v>
      </c>
      <c r="E72" s="37">
        <f t="shared" si="61"/>
        <v>1824074.0740740739</v>
      </c>
      <c r="F72" s="37">
        <f t="shared" si="61"/>
        <v>1824074.0740740739</v>
      </c>
      <c r="G72" s="37">
        <f t="shared" si="61"/>
        <v>1824074.0740740742</v>
      </c>
      <c r="H72" s="37">
        <f t="shared" si="61"/>
        <v>1824074.0740740742</v>
      </c>
      <c r="I72" s="37">
        <f t="shared" ref="I72:AC72" si="62">I25</f>
        <v>0</v>
      </c>
      <c r="J72" s="37">
        <f t="shared" si="62"/>
        <v>0</v>
      </c>
      <c r="K72" s="37">
        <f t="shared" si="62"/>
        <v>0</v>
      </c>
      <c r="L72" s="37">
        <f t="shared" si="62"/>
        <v>0</v>
      </c>
      <c r="M72" s="37">
        <f t="shared" si="62"/>
        <v>0</v>
      </c>
      <c r="N72" s="37">
        <f t="shared" si="62"/>
        <v>0</v>
      </c>
      <c r="O72" s="37">
        <f t="shared" si="62"/>
        <v>0</v>
      </c>
      <c r="P72" s="37">
        <f t="shared" si="62"/>
        <v>0</v>
      </c>
      <c r="Q72" s="37">
        <f t="shared" si="62"/>
        <v>0</v>
      </c>
      <c r="R72" s="37">
        <f t="shared" si="62"/>
        <v>0</v>
      </c>
      <c r="S72" s="37">
        <f t="shared" si="62"/>
        <v>0</v>
      </c>
      <c r="T72" s="37">
        <f t="shared" si="62"/>
        <v>0</v>
      </c>
      <c r="U72" s="37">
        <f t="shared" si="62"/>
        <v>0</v>
      </c>
      <c r="V72" s="37">
        <f t="shared" si="62"/>
        <v>0</v>
      </c>
      <c r="W72" s="37">
        <f t="shared" si="62"/>
        <v>0</v>
      </c>
      <c r="X72" s="37">
        <f t="shared" si="62"/>
        <v>0</v>
      </c>
      <c r="Y72" s="37">
        <f t="shared" si="62"/>
        <v>0</v>
      </c>
      <c r="Z72" s="37">
        <f t="shared" si="62"/>
        <v>0</v>
      </c>
      <c r="AA72" s="37">
        <f t="shared" si="62"/>
        <v>0</v>
      </c>
      <c r="AB72" s="38">
        <f t="shared" si="62"/>
        <v>0</v>
      </c>
      <c r="AC72" s="38">
        <f t="shared" si="62"/>
        <v>0</v>
      </c>
      <c r="AD72" s="38">
        <f t="shared" ref="AD72:AH72" si="63">AD25</f>
        <v>0</v>
      </c>
      <c r="AE72" s="38">
        <f t="shared" si="63"/>
        <v>0</v>
      </c>
      <c r="AF72" s="38">
        <f t="shared" si="63"/>
        <v>0</v>
      </c>
      <c r="AG72" s="38">
        <f t="shared" si="63"/>
        <v>0</v>
      </c>
      <c r="AH72" s="38">
        <f t="shared" si="63"/>
        <v>0</v>
      </c>
    </row>
    <row r="73" spans="1:74" x14ac:dyDescent="0.25">
      <c r="C73" s="39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8"/>
      <c r="AC73" s="18"/>
      <c r="AD73" s="18"/>
      <c r="AE73" s="18"/>
      <c r="AF73" s="18"/>
      <c r="AG73" s="18"/>
      <c r="AH73" s="18"/>
    </row>
    <row r="74" spans="1:74" x14ac:dyDescent="0.25">
      <c r="A74" s="21"/>
      <c r="B74" s="21"/>
      <c r="C74" s="165">
        <v>1</v>
      </c>
      <c r="D74" s="166">
        <v>2</v>
      </c>
      <c r="E74" s="166">
        <v>3</v>
      </c>
      <c r="F74" s="166">
        <v>4</v>
      </c>
      <c r="G74" s="166">
        <v>5</v>
      </c>
      <c r="H74" s="166">
        <v>6</v>
      </c>
      <c r="I74" s="166">
        <v>7</v>
      </c>
      <c r="J74" s="165">
        <v>8</v>
      </c>
      <c r="K74" s="166">
        <v>9</v>
      </c>
      <c r="L74" s="166">
        <v>10</v>
      </c>
      <c r="M74" s="166">
        <v>11</v>
      </c>
      <c r="N74" s="166">
        <v>12</v>
      </c>
      <c r="O74" s="166">
        <v>13</v>
      </c>
      <c r="P74" s="166">
        <v>14</v>
      </c>
      <c r="Q74" s="165">
        <v>15</v>
      </c>
      <c r="R74" s="166">
        <v>16</v>
      </c>
      <c r="S74" s="166">
        <v>17</v>
      </c>
      <c r="T74" s="166">
        <v>18</v>
      </c>
      <c r="U74" s="166">
        <v>19</v>
      </c>
      <c r="V74" s="166">
        <v>20</v>
      </c>
      <c r="W74" s="166">
        <v>21</v>
      </c>
      <c r="X74" s="165">
        <v>22</v>
      </c>
      <c r="Y74" s="166">
        <v>23</v>
      </c>
      <c r="Z74" s="166">
        <v>24</v>
      </c>
      <c r="AA74" s="166">
        <v>25</v>
      </c>
      <c r="AB74" s="167">
        <v>26</v>
      </c>
      <c r="AC74" s="167">
        <v>27</v>
      </c>
      <c r="AD74" s="167">
        <v>28</v>
      </c>
      <c r="AE74" s="167">
        <v>29</v>
      </c>
      <c r="AF74" s="167">
        <v>30</v>
      </c>
      <c r="AG74" s="167">
        <v>31</v>
      </c>
      <c r="AH74" s="167">
        <v>32</v>
      </c>
    </row>
    <row r="75" spans="1:74" ht="9" customHeight="1" x14ac:dyDescent="0.25">
      <c r="A75" s="168"/>
      <c r="B75" s="169"/>
      <c r="C75" s="170"/>
      <c r="D75" s="171">
        <v>1</v>
      </c>
      <c r="E75" s="172">
        <f>D75+1</f>
        <v>2</v>
      </c>
      <c r="F75" s="172">
        <f t="shared" ref="F75" si="64">E75+1</f>
        <v>3</v>
      </c>
      <c r="G75" s="172">
        <f t="shared" ref="G75" si="65">F75+1</f>
        <v>4</v>
      </c>
      <c r="H75" s="172">
        <f t="shared" ref="H75" si="66">G75+1</f>
        <v>5</v>
      </c>
      <c r="I75" s="172">
        <f t="shared" ref="I75" si="67">H75+1</f>
        <v>6</v>
      </c>
      <c r="J75" s="172">
        <f t="shared" ref="J75" si="68">I75+1</f>
        <v>7</v>
      </c>
      <c r="K75" s="172">
        <f t="shared" ref="K75" si="69">J75+1</f>
        <v>8</v>
      </c>
      <c r="L75" s="172">
        <f t="shared" ref="L75" si="70">K75+1</f>
        <v>9</v>
      </c>
      <c r="M75" s="172">
        <f t="shared" ref="M75" si="71">L75+1</f>
        <v>10</v>
      </c>
      <c r="N75" s="172">
        <f t="shared" ref="N75" si="72">M75+1</f>
        <v>11</v>
      </c>
      <c r="O75" s="172">
        <f t="shared" ref="O75" si="73">N75+1</f>
        <v>12</v>
      </c>
      <c r="P75" s="172">
        <f t="shared" ref="P75" si="74">O75+1</f>
        <v>13</v>
      </c>
      <c r="Q75" s="172">
        <f t="shared" ref="Q75" si="75">P75+1</f>
        <v>14</v>
      </c>
      <c r="R75" s="172">
        <f t="shared" ref="R75" si="76">Q75+1</f>
        <v>15</v>
      </c>
      <c r="S75" s="172">
        <f t="shared" ref="S75" si="77">R75+1</f>
        <v>16</v>
      </c>
      <c r="T75" s="172">
        <f t="shared" ref="T75" si="78">S75+1</f>
        <v>17</v>
      </c>
      <c r="U75" s="172">
        <f t="shared" ref="U75" si="79">T75+1</f>
        <v>18</v>
      </c>
      <c r="V75" s="172">
        <f t="shared" ref="V75" si="80">U75+1</f>
        <v>19</v>
      </c>
      <c r="W75" s="172">
        <f t="shared" ref="W75" si="81">V75+1</f>
        <v>20</v>
      </c>
      <c r="X75" s="172">
        <f t="shared" ref="X75" si="82">W75+1</f>
        <v>21</v>
      </c>
      <c r="Y75" s="172">
        <f t="shared" ref="Y75" si="83">X75+1</f>
        <v>22</v>
      </c>
      <c r="Z75" s="172">
        <f t="shared" ref="Z75" si="84">Y75+1</f>
        <v>23</v>
      </c>
      <c r="AA75" s="172">
        <f t="shared" ref="AA75" si="85">Z75+1</f>
        <v>24</v>
      </c>
      <c r="AB75" s="173">
        <f t="shared" ref="AB75:AC75" si="86">AA75+1</f>
        <v>25</v>
      </c>
      <c r="AC75" s="173">
        <f t="shared" si="86"/>
        <v>26</v>
      </c>
      <c r="AD75" s="173">
        <f t="shared" ref="AD75" si="87">AC75+1</f>
        <v>27</v>
      </c>
      <c r="AE75" s="173">
        <f t="shared" ref="AE75" si="88">AD75+1</f>
        <v>28</v>
      </c>
      <c r="AF75" s="173">
        <f t="shared" ref="AF75" si="89">AE75+1</f>
        <v>29</v>
      </c>
      <c r="AG75" s="173">
        <f t="shared" ref="AG75" si="90">AF75+1</f>
        <v>30</v>
      </c>
      <c r="AH75" s="173">
        <f t="shared" ref="AH75" si="91">AG75+1</f>
        <v>31</v>
      </c>
    </row>
    <row r="76" spans="1:74" s="16" customFormat="1" x14ac:dyDescent="0.25">
      <c r="A76" s="174">
        <v>1</v>
      </c>
      <c r="B76" s="175" t="s">
        <v>49</v>
      </c>
      <c r="C76" s="176"/>
      <c r="D76" s="177">
        <f>IF($B$13&gt;D75,0,IF($C$72-(SUM($C$76:C76)+1)&gt;0,IF($B$12&gt;0,$C$72/$B$12,0),0))</f>
        <v>0</v>
      </c>
      <c r="E76" s="177">
        <f>IF($B$13&gt;E75,0,IF($C$72-(SUM($C$76:D76)+1)&gt;0,IF($B$12&gt;0,$C$72/$B$12,0),0))</f>
        <v>0</v>
      </c>
      <c r="F76" s="177">
        <f>IF($B$13&gt;F75,0,IF($C$72-(SUM($C$76:E76)+1)&gt;0,IF($B$12&gt;0,$C$72/$B$12,0),0))</f>
        <v>364814.81481481477</v>
      </c>
      <c r="G76" s="177">
        <f>IF($B$13&gt;G75,0,IF($C$72-(SUM($C$76:F76)+1)&gt;0,IF($B$12&gt;0,$C$72/$B$12,0),0))</f>
        <v>364814.81481481477</v>
      </c>
      <c r="H76" s="177">
        <f>IF($B$13&gt;H75,0,IF($C$72-(SUM($C$76:G76)+1)&gt;0,IF($B$12&gt;0,$C$72/$B$12,0),0))</f>
        <v>364814.81481481477</v>
      </c>
      <c r="I76" s="177">
        <f>IF($B$13&gt;I75,0,IF($C$72-(SUM($C$76:H76)+1)&gt;0,IF($B$12&gt;0,$C$72/$B$12,0),0))</f>
        <v>364814.81481481477</v>
      </c>
      <c r="J76" s="177">
        <f>IF($B$13&gt;J75,0,IF($C$72-(SUM($C$76:I76)+1)&gt;0,IF($B$12&gt;0,$C$72/$B$12,0),0))</f>
        <v>364814.81481481477</v>
      </c>
      <c r="K76" s="177">
        <f>IF($B$13&gt;K75,0,IF($C$72-(SUM($C$76:J76)+1)&gt;0,IF($B$12&gt;0,$C$72/$B$12,0),0))</f>
        <v>0</v>
      </c>
      <c r="L76" s="177">
        <f>IF($B$13&gt;L75,0,IF($C$72-(SUM($C$76:K76)+1)&gt;0,IF($B$12&gt;0,$C$72/$B$12,0),0))</f>
        <v>0</v>
      </c>
      <c r="M76" s="177">
        <f>IF($B$13&gt;M75,0,IF($C$72-(SUM($C$76:L76)+1)&gt;0,IF($B$12&gt;0,$C$72/$B$12,0),0))</f>
        <v>0</v>
      </c>
      <c r="N76" s="177">
        <f>IF($B$13&gt;N75,0,IF($C$72-(SUM($C$76:M76)+1)&gt;0,IF($B$12&gt;0,$C$72/$B$12,0),0))</f>
        <v>0</v>
      </c>
      <c r="O76" s="177">
        <f>IF($B$13&gt;O75,0,IF($C$72-(SUM($C$76:N76)+1)&gt;0,IF($B$12&gt;0,$C$72/$B$12,0),0))</f>
        <v>0</v>
      </c>
      <c r="P76" s="177">
        <f>IF($B$13&gt;P75,0,IF($C$72-(SUM($C$76:O76)+1)&gt;0,IF($B$12&gt;0,$C$72/$B$12,0),0))</f>
        <v>0</v>
      </c>
      <c r="Q76" s="177">
        <f>IF($B$13&gt;Q75,0,IF($C$72-(SUM($C$76:P76)+1)&gt;0,IF($B$12&gt;0,$C$72/$B$12,0),0))</f>
        <v>0</v>
      </c>
      <c r="R76" s="177">
        <f>IF($B$13&gt;R75,0,IF($C$72-(SUM($C$76:Q76)+1)&gt;0,IF($B$12&gt;0,$C$72/$B$12,0),0))</f>
        <v>0</v>
      </c>
      <c r="S76" s="177">
        <f>IF($B$13&gt;S75,0,IF($C$72-(SUM($C$76:R76)+1)&gt;0,IF($B$12&gt;0,$C$72/$B$12,0),0))</f>
        <v>0</v>
      </c>
      <c r="T76" s="177">
        <f>IF($B$13&gt;T75,0,IF($C$72-(SUM($C$76:S76)+1)&gt;0,IF($B$12&gt;0,$C$72/$B$12,0),0))</f>
        <v>0</v>
      </c>
      <c r="U76" s="177">
        <f>IF($B$13&gt;U75,0,IF($C$72-(SUM($C$76:T76)+1)&gt;0,IF($B$12&gt;0,$C$72/$B$12,0),0))</f>
        <v>0</v>
      </c>
      <c r="V76" s="177">
        <f>IF($B$13&gt;V75,0,IF($C$72-(SUM($C$76:U76)+1)&gt;0,IF($B$12&gt;0,$C$72/$B$12,0),0))</f>
        <v>0</v>
      </c>
      <c r="W76" s="177">
        <f>IF($B$13&gt;W75,0,IF($C$72-(SUM($C$76:V76)+1)&gt;0,IF($B$12&gt;0,$C$72/$B$12,0),0))</f>
        <v>0</v>
      </c>
      <c r="X76" s="177">
        <f>IF($B$13&gt;X75,0,IF($C$72-(SUM($C$76:W76)+1)&gt;0,IF($B$12&gt;0,$C$72/$B$12,0),0))</f>
        <v>0</v>
      </c>
      <c r="Y76" s="177">
        <f>IF($B$13&gt;Y75,0,IF($C$72-(SUM($C$76:X76)+1)&gt;0,IF($B$12&gt;0,$C$72/$B$12,0),0))</f>
        <v>0</v>
      </c>
      <c r="Z76" s="177">
        <f>IF($B$13&gt;Z75,0,IF($C$72-(SUM($C$76:Y76)+1)&gt;0,IF($B$12&gt;0,$C$72/$B$12,0),0))</f>
        <v>0</v>
      </c>
      <c r="AA76" s="177">
        <f>IF($B$13&gt;AA75,0,IF($C$72-(SUM($C$76:Z76)+1)&gt;0,IF($B$12&gt;0,$C$72/$B$12,0),0))</f>
        <v>0</v>
      </c>
      <c r="AB76" s="178">
        <f>IF($B$13&gt;AB75,0,IF($C$72-(SUM($C$76:AA76)+1)&gt;0,IF($B$12&gt;0,$C$72/$B$12,0),0))</f>
        <v>0</v>
      </c>
      <c r="AC76" s="178">
        <f>IF($B$13&gt;AC75,0,IF($C$72-(SUM($C$76:AB76)+1)&gt;0,IF($B$12&gt;0,$C$72/$B$12,0),0))</f>
        <v>0</v>
      </c>
      <c r="AD76" s="178">
        <f>IF($B$13&gt;AD75,0,IF($C$72-(SUM($C$76:AC76)+1)&gt;0,IF($B$12&gt;0,$C$72/$B$12,0),0))</f>
        <v>0</v>
      </c>
      <c r="AE76" s="178">
        <f>IF($B$13&gt;AE75,0,IF($C$72-(SUM($C$76:AD76)+1)&gt;0,IF($B$12&gt;0,$C$72/$B$12,0),0))</f>
        <v>0</v>
      </c>
      <c r="AF76" s="178">
        <f>IF($B$13&gt;AF75,0,IF($C$72-(SUM($C$76:AE76)+1)&gt;0,IF($B$12&gt;0,$C$72/$B$12,0),0))</f>
        <v>0</v>
      </c>
      <c r="AG76" s="178">
        <f>IF($B$13&gt;AG75,0,IF($C$72-(SUM($C$76:AF76)+1)&gt;0,IF($B$12&gt;0,$C$72/$B$12,0),0))</f>
        <v>0</v>
      </c>
      <c r="AH76" s="178">
        <f>IF($B$13&gt;AH75,0,IF($C$72-(SUM($C$76:AG76)+1)&gt;0,IF($B$12&gt;0,$C$72/$B$12,0),0))</f>
        <v>0</v>
      </c>
    </row>
    <row r="77" spans="1:74" s="16" customFormat="1" ht="11.25" customHeight="1" x14ac:dyDescent="0.25">
      <c r="A77" s="179"/>
      <c r="B77" s="180" t="s">
        <v>50</v>
      </c>
      <c r="C77" s="181"/>
      <c r="D77" s="182">
        <f>($C$72-SUM($C$76:C76))*$B$14</f>
        <v>91203.703703703708</v>
      </c>
      <c r="E77" s="182">
        <f>($C$72-SUM($C$76:D76))*$B$14</f>
        <v>91203.703703703708</v>
      </c>
      <c r="F77" s="182">
        <f>($C$72-SUM($C$76:E76))*$B$14</f>
        <v>91203.703703703708</v>
      </c>
      <c r="G77" s="182">
        <f>($C$72-SUM($C$76:F76))*$B$14</f>
        <v>72962.962962962964</v>
      </c>
      <c r="H77" s="182">
        <f>($C$72-SUM($C$76:G76))*$B$14</f>
        <v>54722.222222222226</v>
      </c>
      <c r="I77" s="182">
        <f>($C$72-SUM($C$76:H76))*$B$14</f>
        <v>36481.481481481482</v>
      </c>
      <c r="J77" s="182">
        <f>($C$72-SUM($C$76:I76))*$B$14</f>
        <v>18240.740740740741</v>
      </c>
      <c r="K77" s="182">
        <f>($C$72-SUM($C$76:J76))*$B$14</f>
        <v>0</v>
      </c>
      <c r="L77" s="182">
        <f>($C$72-SUM($C$76:K76))*$B$14</f>
        <v>0</v>
      </c>
      <c r="M77" s="182">
        <f>($C$72-SUM($C$76:L76))*$B$14</f>
        <v>0</v>
      </c>
      <c r="N77" s="182">
        <f>($C$72-SUM($C$76:M76))*$B$14</f>
        <v>0</v>
      </c>
      <c r="O77" s="182">
        <f>($C$72-SUM($C$76:N76))*$B$14</f>
        <v>0</v>
      </c>
      <c r="P77" s="182">
        <f>($C$72-SUM($C$76:O76))*$B$14</f>
        <v>0</v>
      </c>
      <c r="Q77" s="182">
        <f>($C$72-SUM($C$76:P76))*$B$14</f>
        <v>0</v>
      </c>
      <c r="R77" s="182">
        <f>($C$72-SUM($C$76:Q76))*$B$14</f>
        <v>0</v>
      </c>
      <c r="S77" s="182">
        <f>($C$72-SUM($C$76:R76))*$B$14</f>
        <v>0</v>
      </c>
      <c r="T77" s="182">
        <f>($C$72-SUM($C$76:S76))*$B$14</f>
        <v>0</v>
      </c>
      <c r="U77" s="182">
        <f>($C$72-SUM($C$76:T76))*$B$14</f>
        <v>0</v>
      </c>
      <c r="V77" s="182">
        <f>($C$72-SUM($C$76:U76))*$B$14</f>
        <v>0</v>
      </c>
      <c r="W77" s="182">
        <f>($C$72-SUM($C$76:V76))*$B$14</f>
        <v>0</v>
      </c>
      <c r="X77" s="182">
        <f>($C$72-SUM($C$76:W76))*$B$14</f>
        <v>0</v>
      </c>
      <c r="Y77" s="182">
        <f>($C$72-SUM($C$76:X76))*$B$14</f>
        <v>0</v>
      </c>
      <c r="Z77" s="182">
        <f>($C$72-SUM($C$76:Y76))*$B$14</f>
        <v>0</v>
      </c>
      <c r="AA77" s="182">
        <f>($C$72-SUM($C$76:Z76))*$B$14</f>
        <v>0</v>
      </c>
      <c r="AB77" s="183">
        <f>($C$72-SUM($C$76:AA76))*$B$14</f>
        <v>0</v>
      </c>
      <c r="AC77" s="183">
        <f>($C$72-SUM($C$76:AB76))*$B$14</f>
        <v>0</v>
      </c>
      <c r="AD77" s="183">
        <f>($C$72-SUM($C$76:AC76))*$B$14</f>
        <v>0</v>
      </c>
      <c r="AE77" s="183">
        <f>($C$72-SUM($C$76:AD76))*$B$14</f>
        <v>0</v>
      </c>
      <c r="AF77" s="183">
        <f>($C$72-SUM($C$76:AE76))*$B$14</f>
        <v>0</v>
      </c>
      <c r="AG77" s="183">
        <f>($C$72-SUM($C$76:AF76))*$B$14</f>
        <v>0</v>
      </c>
      <c r="AH77" s="183">
        <f>($C$72-SUM($C$76:AG76))*$B$14</f>
        <v>0</v>
      </c>
    </row>
    <row r="78" spans="1:74" ht="13.5" customHeight="1" x14ac:dyDescent="0.25">
      <c r="A78" s="184"/>
      <c r="B78" s="185"/>
      <c r="C78" s="186"/>
      <c r="D78" s="187"/>
      <c r="E78" s="172">
        <v>1</v>
      </c>
      <c r="F78" s="172">
        <f>E78+1</f>
        <v>2</v>
      </c>
      <c r="G78" s="172">
        <f t="shared" ref="G78" si="92">F78+1</f>
        <v>3</v>
      </c>
      <c r="H78" s="172">
        <f t="shared" ref="H78" si="93">G78+1</f>
        <v>4</v>
      </c>
      <c r="I78" s="172">
        <f t="shared" ref="I78" si="94">H78+1</f>
        <v>5</v>
      </c>
      <c r="J78" s="172">
        <f t="shared" ref="J78" si="95">I78+1</f>
        <v>6</v>
      </c>
      <c r="K78" s="172">
        <f t="shared" ref="K78" si="96">J78+1</f>
        <v>7</v>
      </c>
      <c r="L78" s="172">
        <f t="shared" ref="L78" si="97">K78+1</f>
        <v>8</v>
      </c>
      <c r="M78" s="172">
        <f t="shared" ref="M78" si="98">L78+1</f>
        <v>9</v>
      </c>
      <c r="N78" s="172">
        <f t="shared" ref="N78" si="99">M78+1</f>
        <v>10</v>
      </c>
      <c r="O78" s="172">
        <f t="shared" ref="O78" si="100">N78+1</f>
        <v>11</v>
      </c>
      <c r="P78" s="172">
        <f t="shared" ref="P78" si="101">O78+1</f>
        <v>12</v>
      </c>
      <c r="Q78" s="172">
        <f t="shared" ref="Q78" si="102">P78+1</f>
        <v>13</v>
      </c>
      <c r="R78" s="172">
        <f t="shared" ref="R78" si="103">Q78+1</f>
        <v>14</v>
      </c>
      <c r="S78" s="172">
        <f t="shared" ref="S78" si="104">R78+1</f>
        <v>15</v>
      </c>
      <c r="T78" s="172">
        <f t="shared" ref="T78" si="105">S78+1</f>
        <v>16</v>
      </c>
      <c r="U78" s="172">
        <f t="shared" ref="U78" si="106">T78+1</f>
        <v>17</v>
      </c>
      <c r="V78" s="172">
        <f t="shared" ref="V78" si="107">U78+1</f>
        <v>18</v>
      </c>
      <c r="W78" s="172">
        <f t="shared" ref="W78" si="108">V78+1</f>
        <v>19</v>
      </c>
      <c r="X78" s="172">
        <f t="shared" ref="X78" si="109">W78+1</f>
        <v>20</v>
      </c>
      <c r="Y78" s="172">
        <f t="shared" ref="Y78" si="110">X78+1</f>
        <v>21</v>
      </c>
      <c r="Z78" s="172">
        <f t="shared" ref="Z78" si="111">Y78+1</f>
        <v>22</v>
      </c>
      <c r="AA78" s="172">
        <f t="shared" ref="AA78" si="112">Z78+1</f>
        <v>23</v>
      </c>
      <c r="AB78" s="173">
        <f t="shared" ref="AB78:AC78" si="113">AA78+1</f>
        <v>24</v>
      </c>
      <c r="AC78" s="173">
        <f t="shared" si="113"/>
        <v>25</v>
      </c>
      <c r="AD78" s="173">
        <f t="shared" ref="AD78" si="114">AC78+1</f>
        <v>26</v>
      </c>
      <c r="AE78" s="173">
        <f t="shared" ref="AE78" si="115">AD78+1</f>
        <v>27</v>
      </c>
      <c r="AF78" s="173">
        <f t="shared" ref="AF78" si="116">AE78+1</f>
        <v>28</v>
      </c>
      <c r="AG78" s="173">
        <f t="shared" ref="AG78" si="117">AF78+1</f>
        <v>29</v>
      </c>
      <c r="AH78" s="173">
        <f t="shared" ref="AH78" si="118">AG78+1</f>
        <v>30</v>
      </c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</row>
    <row r="79" spans="1:74" s="16" customFormat="1" x14ac:dyDescent="0.25">
      <c r="A79" s="184">
        <f>A76+1</f>
        <v>2</v>
      </c>
      <c r="B79" s="188" t="s">
        <v>49</v>
      </c>
      <c r="C79" s="189"/>
      <c r="D79" s="190"/>
      <c r="E79" s="177">
        <f>IF($B$13&gt;E78,0,IF($D$72-(SUM($C$79:D79)+1)&gt;0,IF($B$12&gt;0,$D$72/$B$12,0),0))</f>
        <v>0</v>
      </c>
      <c r="F79" s="177">
        <f>IF($B$13&gt;F78,0,IF($D$72-(SUM($C$79:E79)+1)&gt;0,IF($B$12&gt;0,$D$72/$B$12,0),0))</f>
        <v>0</v>
      </c>
      <c r="G79" s="177">
        <f>IF($B$13&gt;G78,0,IF($D$72-(SUM($C$79:F79)+1)&gt;0,IF($B$12&gt;0,$D$72/$B$12,0),0))</f>
        <v>364814.81481481477</v>
      </c>
      <c r="H79" s="177">
        <f>IF($B$13&gt;H78,0,IF($D$72-(SUM($C$79:G79)+1)&gt;0,IF($B$12&gt;0,$D$72/$B$12,0),0))</f>
        <v>364814.81481481477</v>
      </c>
      <c r="I79" s="177">
        <f>IF($B$13&gt;I78,0,IF($D$72-(SUM($C$79:H79)+1)&gt;0,IF($B$12&gt;0,$D$72/$B$12,0),0))</f>
        <v>364814.81481481477</v>
      </c>
      <c r="J79" s="177">
        <f>IF($B$13&gt;J78,0,IF($D$72-(SUM($C$79:I79)+1)&gt;0,IF($B$12&gt;0,$D$72/$B$12,0),0))</f>
        <v>364814.81481481477</v>
      </c>
      <c r="K79" s="177">
        <f>IF($B$13&gt;K78,0,IF($D$72-(SUM($C$79:J79)+1)&gt;0,IF($B$12&gt;0,$D$72/$B$12,0),0))</f>
        <v>364814.81481481477</v>
      </c>
      <c r="L79" s="177">
        <f>IF($B$13&gt;L78,0,IF($D$72-(SUM($C$79:K79)+1)&gt;0,IF($B$12&gt;0,$D$72/$B$12,0),0))</f>
        <v>0</v>
      </c>
      <c r="M79" s="177">
        <f>IF($B$13&gt;M78,0,IF($D$72-(SUM($C$79:L79)+1)&gt;0,IF($B$12&gt;0,$D$72/$B$12,0),0))</f>
        <v>0</v>
      </c>
      <c r="N79" s="177">
        <f>IF($B$13&gt;N78,0,IF($D$72-(SUM($C$79:M79)+1)&gt;0,IF($B$12&gt;0,$D$72/$B$12,0),0))</f>
        <v>0</v>
      </c>
      <c r="O79" s="177">
        <f>IF($B$13&gt;O78,0,IF($D$72-(SUM($C$79:N79)+1)&gt;0,IF($B$12&gt;0,$D$72/$B$12,0),0))</f>
        <v>0</v>
      </c>
      <c r="P79" s="177">
        <f>IF($B$13&gt;P78,0,IF($D$72-(SUM($C$79:O79)+1)&gt;0,IF($B$12&gt;0,$D$72/$B$12,0),0))</f>
        <v>0</v>
      </c>
      <c r="Q79" s="177">
        <f>IF($B$13&gt;Q78,0,IF($D$72-(SUM($C$79:P79)+1)&gt;0,IF($B$12&gt;0,$D$72/$B$12,0),0))</f>
        <v>0</v>
      </c>
      <c r="R79" s="177">
        <f>IF($B$13&gt;R78,0,IF($D$72-(SUM($C$79:Q79)+1)&gt;0,IF($B$12&gt;0,$D$72/$B$12,0),0))</f>
        <v>0</v>
      </c>
      <c r="S79" s="177">
        <f>IF($B$13&gt;S78,0,IF($D$72-(SUM($C$79:R79)+1)&gt;0,IF($B$12&gt;0,$D$72/$B$12,0),0))</f>
        <v>0</v>
      </c>
      <c r="T79" s="177">
        <f>IF($B$13&gt;T78,0,IF($D$72-(SUM($C$79:S79)+1)&gt;0,IF($B$12&gt;0,$D$72/$B$12,0),0))</f>
        <v>0</v>
      </c>
      <c r="U79" s="177">
        <f>IF($B$13&gt;U78,0,IF($D$72-(SUM($C$79:T79)+1)&gt;0,IF($B$12&gt;0,$D$72/$B$12,0),0))</f>
        <v>0</v>
      </c>
      <c r="V79" s="177">
        <f>IF($B$13&gt;V78,0,IF($D$72-(SUM($C$79:U79)+1)&gt;0,IF($B$12&gt;0,$D$72/$B$12,0),0))</f>
        <v>0</v>
      </c>
      <c r="W79" s="177">
        <f>IF($B$13&gt;W78,0,IF($D$72-(SUM($C$79:V79)+1)&gt;0,IF($B$12&gt;0,$D$72/$B$12,0),0))</f>
        <v>0</v>
      </c>
      <c r="X79" s="177">
        <f>IF($B$13&gt;X78,0,IF($D$72-(SUM($C$79:W79)+1)&gt;0,IF($B$12&gt;0,$D$72/$B$12,0),0))</f>
        <v>0</v>
      </c>
      <c r="Y79" s="177">
        <f>IF($B$13&gt;Y78,0,IF($D$72-(SUM($C$79:X79)+1)&gt;0,IF($B$12&gt;0,$D$72/$B$12,0),0))</f>
        <v>0</v>
      </c>
      <c r="Z79" s="177">
        <f>IF($B$13&gt;Z78,0,IF($D$72-(SUM($C$79:Y79)+1)&gt;0,IF($B$12&gt;0,$D$72/$B$12,0),0))</f>
        <v>0</v>
      </c>
      <c r="AA79" s="177">
        <f>IF($B$13&gt;AA78,0,IF($D$72-(SUM($C$79:Z79)+1)&gt;0,IF($B$12&gt;0,$D$72/$B$12,0),0))</f>
        <v>0</v>
      </c>
      <c r="AB79" s="178">
        <f>IF($B$13&gt;AB78,0,IF($D$72-(SUM($C$79:AA79)+1)&gt;0,IF($B$12&gt;0,$D$72/$B$12,0),0))</f>
        <v>0</v>
      </c>
      <c r="AC79" s="178">
        <f>IF($B$13&gt;AC78,0,IF($D$72-(SUM($C$79:AB79)+1)&gt;0,IF($B$12&gt;0,$D$72/$B$12,0),0))</f>
        <v>0</v>
      </c>
      <c r="AD79" s="178">
        <f>IF($B$13&gt;AD78,0,IF($D$72-(SUM($C$79:AC79)+1)&gt;0,IF($B$12&gt;0,$D$72/$B$12,0),0))</f>
        <v>0</v>
      </c>
      <c r="AE79" s="178">
        <f>IF($B$13&gt;AE78,0,IF($D$72-(SUM($C$79:AD79)+1)&gt;0,IF($B$12&gt;0,$D$72/$B$12,0),0))</f>
        <v>0</v>
      </c>
      <c r="AF79" s="178">
        <f>IF($B$13&gt;AF78,0,IF($D$72-(SUM($C$79:AE79)+1)&gt;0,IF($B$12&gt;0,$D$72/$B$12,0),0))</f>
        <v>0</v>
      </c>
      <c r="AG79" s="178">
        <f>IF($B$13&gt;AG78,0,IF($D$72-(SUM($C$79:AF79)+1)&gt;0,IF($B$12&gt;0,$D$72/$B$12,0),0))</f>
        <v>0</v>
      </c>
      <c r="AH79" s="178">
        <f>IF($B$13&gt;AH78,0,IF($D$72-(SUM($C$79:AG79)+1)&gt;0,IF($B$12&gt;0,$D$72/$B$12,0),0))</f>
        <v>0</v>
      </c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  <c r="BI79" s="17"/>
      <c r="BJ79" s="17"/>
      <c r="BK79" s="17"/>
      <c r="BL79" s="17"/>
      <c r="BM79" s="17"/>
      <c r="BN79" s="17"/>
      <c r="BO79" s="17"/>
      <c r="BP79" s="17"/>
      <c r="BQ79" s="17"/>
      <c r="BR79" s="17"/>
      <c r="BS79" s="17"/>
      <c r="BT79" s="17"/>
      <c r="BU79" s="17"/>
      <c r="BV79" s="17"/>
    </row>
    <row r="80" spans="1:74" s="16" customFormat="1" x14ac:dyDescent="0.25">
      <c r="A80" s="191"/>
      <c r="B80" s="180" t="s">
        <v>50</v>
      </c>
      <c r="C80" s="192"/>
      <c r="D80" s="193"/>
      <c r="E80" s="182">
        <f>($D$72-SUM($C$79:D79))*$B$14</f>
        <v>91203.703703703708</v>
      </c>
      <c r="F80" s="182">
        <f>($D$72-SUM($C$79:E79))*$B$14</f>
        <v>91203.703703703708</v>
      </c>
      <c r="G80" s="182">
        <f>($D$72-SUM($C$79:F79))*$B$14</f>
        <v>91203.703703703708</v>
      </c>
      <c r="H80" s="182">
        <f>($D$72-SUM($C$79:G79))*$B$14</f>
        <v>72962.962962962964</v>
      </c>
      <c r="I80" s="182">
        <f>($D$72-SUM($C$79:H79))*$B$14</f>
        <v>54722.222222222226</v>
      </c>
      <c r="J80" s="182">
        <f>($D$72-SUM($C$79:I79))*$B$14</f>
        <v>36481.481481481482</v>
      </c>
      <c r="K80" s="182">
        <f>($D$72-SUM($C$79:J79))*$B$14</f>
        <v>18240.740740740741</v>
      </c>
      <c r="L80" s="182">
        <f>($D$72-SUM($C$79:K79))*$B$14</f>
        <v>0</v>
      </c>
      <c r="M80" s="182">
        <f>($D$72-SUM($C$79:L79))*$B$14</f>
        <v>0</v>
      </c>
      <c r="N80" s="182">
        <f>($D$72-SUM($C$79:M79))*$B$14</f>
        <v>0</v>
      </c>
      <c r="O80" s="182">
        <f>($D$72-SUM($C$79:N79))*$B$14</f>
        <v>0</v>
      </c>
      <c r="P80" s="182">
        <f>($D$72-SUM($C$79:O79))*$B$14</f>
        <v>0</v>
      </c>
      <c r="Q80" s="182">
        <f>($D$72-SUM($C$79:P79))*$B$14</f>
        <v>0</v>
      </c>
      <c r="R80" s="182">
        <f>($D$72-SUM($C$79:Q79))*$B$14</f>
        <v>0</v>
      </c>
      <c r="S80" s="182">
        <f>($D$72-SUM($C$79:R79))*$B$14</f>
        <v>0</v>
      </c>
      <c r="T80" s="182">
        <f>($D$72-SUM($C$79:S79))*$B$14</f>
        <v>0</v>
      </c>
      <c r="U80" s="182">
        <f>($D$72-SUM($C$79:T79))*$B$14</f>
        <v>0</v>
      </c>
      <c r="V80" s="182">
        <f>($D$72-SUM($C$79:U79))*$B$14</f>
        <v>0</v>
      </c>
      <c r="W80" s="182">
        <f>($D$72-SUM($C$79:V79))*$B$14</f>
        <v>0</v>
      </c>
      <c r="X80" s="182">
        <f>($D$72-SUM($C$79:W79))*$B$14</f>
        <v>0</v>
      </c>
      <c r="Y80" s="182">
        <f>($D$72-SUM($C$79:X79))*$B$14</f>
        <v>0</v>
      </c>
      <c r="Z80" s="182">
        <f>($D$72-SUM($C$79:Y79))*$B$14</f>
        <v>0</v>
      </c>
      <c r="AA80" s="182">
        <f>($D$72-SUM($C$79:Z79))*$B$14</f>
        <v>0</v>
      </c>
      <c r="AB80" s="183">
        <f>($D$72-SUM($C$79:AA79))*$B$14</f>
        <v>0</v>
      </c>
      <c r="AC80" s="183">
        <f>($D$72-SUM($C$79:AB79))*$B$14</f>
        <v>0</v>
      </c>
      <c r="AD80" s="183">
        <f>($D$72-SUM($C$79:AC79))*$B$14</f>
        <v>0</v>
      </c>
      <c r="AE80" s="183">
        <f>($D$72-SUM($C$79:AD79))*$B$14</f>
        <v>0</v>
      </c>
      <c r="AF80" s="183">
        <f>($D$72-SUM($C$79:AE79))*$B$14</f>
        <v>0</v>
      </c>
      <c r="AG80" s="183">
        <f>($D$72-SUM($C$79:AF79))*$B$14</f>
        <v>0</v>
      </c>
      <c r="AH80" s="183">
        <f>($D$72-SUM($C$79:AG79))*$B$14</f>
        <v>0</v>
      </c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  <c r="BI80" s="17"/>
      <c r="BJ80" s="17"/>
      <c r="BK80" s="17"/>
      <c r="BL80" s="17"/>
      <c r="BM80" s="17"/>
      <c r="BN80" s="17"/>
      <c r="BO80" s="17"/>
      <c r="BP80" s="17"/>
      <c r="BQ80" s="17"/>
      <c r="BR80" s="17"/>
      <c r="BS80" s="17"/>
      <c r="BT80" s="17"/>
      <c r="BU80" s="17"/>
      <c r="BV80" s="17"/>
    </row>
    <row r="81" spans="1:74" ht="12" customHeight="1" x14ac:dyDescent="0.25">
      <c r="A81" s="184"/>
      <c r="B81" s="185"/>
      <c r="C81" s="186"/>
      <c r="D81" s="187"/>
      <c r="E81" s="194"/>
      <c r="F81" s="172">
        <v>1</v>
      </c>
      <c r="G81" s="172">
        <f>F81+1</f>
        <v>2</v>
      </c>
      <c r="H81" s="172">
        <f t="shared" ref="H81" si="119">G81+1</f>
        <v>3</v>
      </c>
      <c r="I81" s="172">
        <f t="shared" ref="I81" si="120">H81+1</f>
        <v>4</v>
      </c>
      <c r="J81" s="172">
        <f t="shared" ref="J81" si="121">I81+1</f>
        <v>5</v>
      </c>
      <c r="K81" s="172">
        <f t="shared" ref="K81" si="122">J81+1</f>
        <v>6</v>
      </c>
      <c r="L81" s="172">
        <f t="shared" ref="L81" si="123">K81+1</f>
        <v>7</v>
      </c>
      <c r="M81" s="172">
        <f t="shared" ref="M81" si="124">L81+1</f>
        <v>8</v>
      </c>
      <c r="N81" s="172">
        <f t="shared" ref="N81" si="125">M81+1</f>
        <v>9</v>
      </c>
      <c r="O81" s="172">
        <f t="shared" ref="O81" si="126">N81+1</f>
        <v>10</v>
      </c>
      <c r="P81" s="172">
        <f t="shared" ref="P81" si="127">O81+1</f>
        <v>11</v>
      </c>
      <c r="Q81" s="172">
        <f t="shared" ref="Q81" si="128">P81+1</f>
        <v>12</v>
      </c>
      <c r="R81" s="172">
        <f t="shared" ref="R81" si="129">Q81+1</f>
        <v>13</v>
      </c>
      <c r="S81" s="172">
        <f t="shared" ref="S81" si="130">R81+1</f>
        <v>14</v>
      </c>
      <c r="T81" s="172">
        <f t="shared" ref="T81" si="131">S81+1</f>
        <v>15</v>
      </c>
      <c r="U81" s="172">
        <f t="shared" ref="U81" si="132">T81+1</f>
        <v>16</v>
      </c>
      <c r="V81" s="172">
        <f t="shared" ref="V81" si="133">U81+1</f>
        <v>17</v>
      </c>
      <c r="W81" s="172">
        <f t="shared" ref="W81" si="134">V81+1</f>
        <v>18</v>
      </c>
      <c r="X81" s="172">
        <f t="shared" ref="X81" si="135">W81+1</f>
        <v>19</v>
      </c>
      <c r="Y81" s="172">
        <f t="shared" ref="Y81" si="136">X81+1</f>
        <v>20</v>
      </c>
      <c r="Z81" s="172">
        <f t="shared" ref="Z81" si="137">Y81+1</f>
        <v>21</v>
      </c>
      <c r="AA81" s="172">
        <f t="shared" ref="AA81" si="138">Z81+1</f>
        <v>22</v>
      </c>
      <c r="AB81" s="173">
        <f t="shared" ref="AB81:AC81" si="139">AA81+1</f>
        <v>23</v>
      </c>
      <c r="AC81" s="173">
        <f t="shared" si="139"/>
        <v>24</v>
      </c>
      <c r="AD81" s="173">
        <f t="shared" ref="AD81" si="140">AC81+1</f>
        <v>25</v>
      </c>
      <c r="AE81" s="173">
        <f t="shared" ref="AE81" si="141">AD81+1</f>
        <v>26</v>
      </c>
      <c r="AF81" s="173">
        <f t="shared" ref="AF81" si="142">AE81+1</f>
        <v>27</v>
      </c>
      <c r="AG81" s="173">
        <f t="shared" ref="AG81" si="143">AF81+1</f>
        <v>28</v>
      </c>
      <c r="AH81" s="173">
        <f t="shared" ref="AH81" si="144">AG81+1</f>
        <v>29</v>
      </c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</row>
    <row r="82" spans="1:74" s="16" customFormat="1" x14ac:dyDescent="0.25">
      <c r="A82" s="184">
        <f>A79+1</f>
        <v>3</v>
      </c>
      <c r="B82" s="188" t="s">
        <v>49</v>
      </c>
      <c r="C82" s="189"/>
      <c r="D82" s="190"/>
      <c r="E82" s="190"/>
      <c r="F82" s="177">
        <f>IF($B$13&gt;F81,0,IF($E$72-(SUM($C$82:E82)+1)&gt;0,IF($B$12&gt;0,$E$72/$B$12,0),0))</f>
        <v>0</v>
      </c>
      <c r="G82" s="177">
        <f>IF($B$13&gt;G81,0,IF($E$72-(SUM($C$82:F82)+1)&gt;0,IF($B$12&gt;0,$E$72/$B$12,0),0))</f>
        <v>0</v>
      </c>
      <c r="H82" s="177">
        <f>IF($B$13&gt;H81,0,IF($E$72-(SUM($C$82:G82)+1)&gt;0,IF($B$12&gt;0,$E$72/$B$12,0),0))</f>
        <v>364814.81481481477</v>
      </c>
      <c r="I82" s="177">
        <f>IF($B$13&gt;I81,0,IF($E$72-(SUM($C$82:H82)+1)&gt;0,IF($B$12&gt;0,$E$72/$B$12,0),0))</f>
        <v>364814.81481481477</v>
      </c>
      <c r="J82" s="177">
        <f>IF($B$13&gt;J81,0,IF($E$72-(SUM($C$82:I82)+1)&gt;0,IF($B$12&gt;0,$E$72/$B$12,0),0))</f>
        <v>364814.81481481477</v>
      </c>
      <c r="K82" s="177">
        <f>IF($B$13&gt;K81,0,IF($E$72-(SUM($C$82:J82)+1)&gt;0,IF($B$12&gt;0,$E$72/$B$12,0),0))</f>
        <v>364814.81481481477</v>
      </c>
      <c r="L82" s="177">
        <f>IF($B$13&gt;L81,0,IF($E$72-(SUM($C$82:K82)+1)&gt;0,IF($B$12&gt;0,$E$72/$B$12,0),0))</f>
        <v>364814.81481481477</v>
      </c>
      <c r="M82" s="177">
        <f>IF($B$13&gt;M81,0,IF($E$72-(SUM($C$82:L82)+1)&gt;0,IF($B$12&gt;0,$E$72/$B$12,0),0))</f>
        <v>0</v>
      </c>
      <c r="N82" s="177">
        <f>IF($B$13&gt;N81,0,IF($E$72-(SUM($C$82:M82)+1)&gt;0,IF($B$12&gt;0,$E$72/$B$12,0),0))</f>
        <v>0</v>
      </c>
      <c r="O82" s="177">
        <f>IF($B$13&gt;O81,0,IF($E$72-(SUM($C$82:N82)+1)&gt;0,IF($B$12&gt;0,$E$72/$B$12,0),0))</f>
        <v>0</v>
      </c>
      <c r="P82" s="177">
        <f>IF($B$13&gt;P81,0,IF($E$72-(SUM($C$82:O82)+1)&gt;0,IF($B$12&gt;0,$E$72/$B$12,0),0))</f>
        <v>0</v>
      </c>
      <c r="Q82" s="177">
        <f>IF($B$13&gt;Q81,0,IF($E$72-(SUM($C$82:P82)+1)&gt;0,IF($B$12&gt;0,$E$72/$B$12,0),0))</f>
        <v>0</v>
      </c>
      <c r="R82" s="177">
        <f>IF($B$13&gt;R81,0,IF($E$72-(SUM($C$82:Q82)+1)&gt;0,IF($B$12&gt;0,$E$72/$B$12,0),0))</f>
        <v>0</v>
      </c>
      <c r="S82" s="177">
        <f>IF($B$13&gt;S81,0,IF($E$72-(SUM($C$82:R82)+1)&gt;0,IF($B$12&gt;0,$E$72/$B$12,0),0))</f>
        <v>0</v>
      </c>
      <c r="T82" s="177">
        <f>IF($B$13&gt;T81,0,IF($E$72-(SUM($C$82:S82)+1)&gt;0,IF($B$12&gt;0,$E$72/$B$12,0),0))</f>
        <v>0</v>
      </c>
      <c r="U82" s="177">
        <f>IF($B$13&gt;U81,0,IF($E$72-(SUM($C$82:T82)+1)&gt;0,IF($B$12&gt;0,$E$72/$B$12,0),0))</f>
        <v>0</v>
      </c>
      <c r="V82" s="177">
        <f>IF($B$13&gt;V81,0,IF($E$72-(SUM($C$82:U82)+1)&gt;0,IF($B$12&gt;0,$E$72/$B$12,0),0))</f>
        <v>0</v>
      </c>
      <c r="W82" s="177">
        <f>IF($B$13&gt;W81,0,IF($E$72-(SUM($C$82:V82)+1)&gt;0,IF($B$12&gt;0,$E$72/$B$12,0),0))</f>
        <v>0</v>
      </c>
      <c r="X82" s="177">
        <f>IF($B$13&gt;X81,0,IF($E$72-(SUM($C$82:W82)+1)&gt;0,IF($B$12&gt;0,$E$72/$B$12,0),0))</f>
        <v>0</v>
      </c>
      <c r="Y82" s="177">
        <f>IF($B$13&gt;Y81,0,IF($E$72-(SUM($C$82:X82)+1)&gt;0,IF($B$12&gt;0,$E$72/$B$12,0),0))</f>
        <v>0</v>
      </c>
      <c r="Z82" s="177">
        <f>IF($B$13&gt;Z81,0,IF($E$72-(SUM($C$82:Y82)+1)&gt;0,IF($B$12&gt;0,$E$72/$B$12,0),0))</f>
        <v>0</v>
      </c>
      <c r="AA82" s="177">
        <f>IF($B$13&gt;AA81,0,IF($E$72-(SUM($C$82:Z82)+1)&gt;0,IF($B$12&gt;0,$E$72/$B$12,0),0))</f>
        <v>0</v>
      </c>
      <c r="AB82" s="178">
        <f>IF($B$13&gt;AB81,0,IF($E$72-(SUM($C$82:AA82)+1)&gt;0,IF($B$12&gt;0,$E$72/$B$12,0),0))</f>
        <v>0</v>
      </c>
      <c r="AC82" s="178">
        <f>IF($B$13&gt;AC81,0,IF($E$72-(SUM($C$82:AB82)+1)&gt;0,IF($B$12&gt;0,$E$72/$B$12,0),0))</f>
        <v>0</v>
      </c>
      <c r="AD82" s="178">
        <f>IF($B$13&gt;AD81,0,IF($E$72-(SUM($C$82:AC82)+1)&gt;0,IF($B$12&gt;0,$E$72/$B$12,0),0))</f>
        <v>0</v>
      </c>
      <c r="AE82" s="178">
        <f>IF($B$13&gt;AE81,0,IF($E$72-(SUM($C$82:AD82)+1)&gt;0,IF($B$12&gt;0,$E$72/$B$12,0),0))</f>
        <v>0</v>
      </c>
      <c r="AF82" s="178">
        <f>IF($B$13&gt;AF81,0,IF($E$72-(SUM($C$82:AE82)+1)&gt;0,IF($B$12&gt;0,$E$72/$B$12,0),0))</f>
        <v>0</v>
      </c>
      <c r="AG82" s="178">
        <f>IF($B$13&gt;AG81,0,IF($E$72-(SUM($C$82:AF82)+1)&gt;0,IF($B$12&gt;0,$E$72/$B$12,0),0))</f>
        <v>0</v>
      </c>
      <c r="AH82" s="178">
        <f>IF($B$13&gt;AH81,0,IF($E$72-(SUM($C$82:AG82)+1)&gt;0,IF($B$12&gt;0,$E$72/$B$12,0),0))</f>
        <v>0</v>
      </c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  <c r="BD82" s="17"/>
      <c r="BE82" s="17"/>
      <c r="BF82" s="17"/>
      <c r="BG82" s="17"/>
      <c r="BH82" s="17"/>
      <c r="BI82" s="17"/>
      <c r="BJ82" s="17"/>
      <c r="BK82" s="17"/>
      <c r="BL82" s="17"/>
      <c r="BM82" s="17"/>
      <c r="BN82" s="17"/>
      <c r="BO82" s="17"/>
      <c r="BP82" s="17"/>
      <c r="BQ82" s="17"/>
      <c r="BR82" s="17"/>
      <c r="BS82" s="17"/>
      <c r="BT82" s="17"/>
      <c r="BU82" s="17"/>
      <c r="BV82" s="17"/>
    </row>
    <row r="83" spans="1:74" s="16" customFormat="1" x14ac:dyDescent="0.25">
      <c r="A83" s="191"/>
      <c r="B83" s="180" t="s">
        <v>50</v>
      </c>
      <c r="C83" s="192"/>
      <c r="D83" s="193"/>
      <c r="E83" s="193"/>
      <c r="F83" s="182">
        <f>($E$72-SUM($C$82:E82))*$B$14</f>
        <v>91203.703703703708</v>
      </c>
      <c r="G83" s="182">
        <f>($E$72-SUM($C$82:F82))*$B$14</f>
        <v>91203.703703703708</v>
      </c>
      <c r="H83" s="182">
        <f>($E$72-SUM($C$82:G82))*$B$14</f>
        <v>91203.703703703708</v>
      </c>
      <c r="I83" s="182">
        <f>($E$72-SUM($C$82:H82))*$B$14</f>
        <v>72962.962962962964</v>
      </c>
      <c r="J83" s="182">
        <f>($E$72-SUM($C$82:I82))*$B$14</f>
        <v>54722.222222222226</v>
      </c>
      <c r="K83" s="182">
        <f>($E$72-SUM($C$82:J82))*$B$14</f>
        <v>36481.481481481482</v>
      </c>
      <c r="L83" s="182">
        <f>($E$72-SUM($C$82:K82))*$B$14</f>
        <v>18240.740740740741</v>
      </c>
      <c r="M83" s="182">
        <f>($E$72-SUM($C$82:L82))*$B$14</f>
        <v>0</v>
      </c>
      <c r="N83" s="182">
        <f>($E$72-SUM($C$82:M82))*$B$14</f>
        <v>0</v>
      </c>
      <c r="O83" s="182">
        <f>($E$72-SUM($C$82:N82))*$B$14</f>
        <v>0</v>
      </c>
      <c r="P83" s="182">
        <f>($E$72-SUM($C$82:O82))*$B$14</f>
        <v>0</v>
      </c>
      <c r="Q83" s="182">
        <f>($E$72-SUM($C$82:P82))*$B$14</f>
        <v>0</v>
      </c>
      <c r="R83" s="182">
        <f>($E$72-SUM($C$82:Q82))*$B$14</f>
        <v>0</v>
      </c>
      <c r="S83" s="182">
        <f>($E$72-SUM($C$82:R82))*$B$14</f>
        <v>0</v>
      </c>
      <c r="T83" s="182">
        <f>($E$72-SUM($C$82:S82))*$B$14</f>
        <v>0</v>
      </c>
      <c r="U83" s="182">
        <f>($E$72-SUM($C$82:T82))*$B$14</f>
        <v>0</v>
      </c>
      <c r="V83" s="182">
        <f>($E$72-SUM($C$82:U82))*$B$14</f>
        <v>0</v>
      </c>
      <c r="W83" s="182">
        <f>($E$72-SUM($C$82:V82))*$B$14</f>
        <v>0</v>
      </c>
      <c r="X83" s="182">
        <f>($E$72-SUM($C$82:W82))*$B$14</f>
        <v>0</v>
      </c>
      <c r="Y83" s="182">
        <f>($E$72-SUM($C$82:X82))*$B$14</f>
        <v>0</v>
      </c>
      <c r="Z83" s="182">
        <f>($E$72-SUM($C$82:Y82))*$B$14</f>
        <v>0</v>
      </c>
      <c r="AA83" s="182">
        <f>($E$72-SUM($C$82:Z82))*$B$14</f>
        <v>0</v>
      </c>
      <c r="AB83" s="183">
        <f>($E$72-SUM($C$82:AA82))*$B$14</f>
        <v>0</v>
      </c>
      <c r="AC83" s="183">
        <f>($E$72-SUM($C$82:AB82))*$B$14</f>
        <v>0</v>
      </c>
      <c r="AD83" s="183">
        <f>($E$72-SUM($C$82:AC82))*$B$14</f>
        <v>0</v>
      </c>
      <c r="AE83" s="183">
        <f>($E$72-SUM($C$82:AD82))*$B$14</f>
        <v>0</v>
      </c>
      <c r="AF83" s="183">
        <f>($E$72-SUM($C$82:AE82))*$B$14</f>
        <v>0</v>
      </c>
      <c r="AG83" s="183">
        <f>($E$72-SUM($C$82:AF82))*$B$14</f>
        <v>0</v>
      </c>
      <c r="AH83" s="183">
        <f>($E$72-SUM($C$82:AG82))*$B$14</f>
        <v>0</v>
      </c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  <c r="BH83" s="17"/>
      <c r="BI83" s="17"/>
      <c r="BJ83" s="17"/>
      <c r="BK83" s="17"/>
      <c r="BL83" s="17"/>
      <c r="BM83" s="17"/>
      <c r="BN83" s="17"/>
      <c r="BO83" s="17"/>
      <c r="BP83" s="17"/>
      <c r="BQ83" s="17"/>
      <c r="BR83" s="17"/>
      <c r="BS83" s="17"/>
      <c r="BT83" s="17"/>
      <c r="BU83" s="17"/>
      <c r="BV83" s="17"/>
    </row>
    <row r="84" spans="1:74" ht="15" customHeight="1" x14ac:dyDescent="0.25">
      <c r="A84" s="184"/>
      <c r="B84" s="185"/>
      <c r="C84" s="186"/>
      <c r="D84" s="187"/>
      <c r="E84" s="194"/>
      <c r="F84" s="194"/>
      <c r="G84" s="172">
        <v>1</v>
      </c>
      <c r="H84" s="172">
        <f>G84+1</f>
        <v>2</v>
      </c>
      <c r="I84" s="172">
        <f t="shared" ref="I84" si="145">H84+1</f>
        <v>3</v>
      </c>
      <c r="J84" s="172">
        <f t="shared" ref="J84" si="146">I84+1</f>
        <v>4</v>
      </c>
      <c r="K84" s="172">
        <f t="shared" ref="K84" si="147">J84+1</f>
        <v>5</v>
      </c>
      <c r="L84" s="172">
        <f t="shared" ref="L84" si="148">K84+1</f>
        <v>6</v>
      </c>
      <c r="M84" s="172">
        <f t="shared" ref="M84" si="149">L84+1</f>
        <v>7</v>
      </c>
      <c r="N84" s="172">
        <f t="shared" ref="N84" si="150">M84+1</f>
        <v>8</v>
      </c>
      <c r="O84" s="172">
        <f t="shared" ref="O84" si="151">N84+1</f>
        <v>9</v>
      </c>
      <c r="P84" s="172">
        <f t="shared" ref="P84" si="152">O84+1</f>
        <v>10</v>
      </c>
      <c r="Q84" s="172">
        <f t="shared" ref="Q84" si="153">P84+1</f>
        <v>11</v>
      </c>
      <c r="R84" s="172">
        <f t="shared" ref="R84" si="154">Q84+1</f>
        <v>12</v>
      </c>
      <c r="S84" s="172">
        <f t="shared" ref="S84" si="155">R84+1</f>
        <v>13</v>
      </c>
      <c r="T84" s="172">
        <f t="shared" ref="T84" si="156">S84+1</f>
        <v>14</v>
      </c>
      <c r="U84" s="172">
        <f t="shared" ref="U84" si="157">T84+1</f>
        <v>15</v>
      </c>
      <c r="V84" s="172">
        <f t="shared" ref="V84" si="158">U84+1</f>
        <v>16</v>
      </c>
      <c r="W84" s="172">
        <f t="shared" ref="W84" si="159">V84+1</f>
        <v>17</v>
      </c>
      <c r="X84" s="172">
        <f t="shared" ref="X84" si="160">W84+1</f>
        <v>18</v>
      </c>
      <c r="Y84" s="172">
        <f t="shared" ref="Y84" si="161">X84+1</f>
        <v>19</v>
      </c>
      <c r="Z84" s="172">
        <f t="shared" ref="Z84" si="162">Y84+1</f>
        <v>20</v>
      </c>
      <c r="AA84" s="172">
        <f t="shared" ref="AA84" si="163">Z84+1</f>
        <v>21</v>
      </c>
      <c r="AB84" s="173">
        <f t="shared" ref="AB84:AC84" si="164">AA84+1</f>
        <v>22</v>
      </c>
      <c r="AC84" s="173">
        <f t="shared" si="164"/>
        <v>23</v>
      </c>
      <c r="AD84" s="173">
        <f t="shared" ref="AD84" si="165">AC84+1</f>
        <v>24</v>
      </c>
      <c r="AE84" s="173">
        <f t="shared" ref="AE84" si="166">AD84+1</f>
        <v>25</v>
      </c>
      <c r="AF84" s="173">
        <f t="shared" ref="AF84" si="167">AE84+1</f>
        <v>26</v>
      </c>
      <c r="AG84" s="173">
        <f t="shared" ref="AG84" si="168">AF84+1</f>
        <v>27</v>
      </c>
      <c r="AH84" s="173">
        <f t="shared" ref="AH84" si="169">AG84+1</f>
        <v>28</v>
      </c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</row>
    <row r="85" spans="1:74" s="16" customFormat="1" x14ac:dyDescent="0.25">
      <c r="A85" s="184">
        <f>A82+1</f>
        <v>4</v>
      </c>
      <c r="B85" s="188" t="s">
        <v>49</v>
      </c>
      <c r="C85" s="189"/>
      <c r="D85" s="190"/>
      <c r="E85" s="190"/>
      <c r="F85" s="190"/>
      <c r="G85" s="177">
        <f>IF($B$13&gt;G84,0,IF($F$72-(SUM($C$85:F85)+1)&gt;0,IF($B$12&gt;0,$F$72/$B$12,0),0))</f>
        <v>0</v>
      </c>
      <c r="H85" s="177">
        <f>IF($B$13&gt;H84,0,IF($F$72-(SUM($C$85:G85)+1)&gt;0,IF($B$12&gt;0,$F$72/$B$12,0),0))</f>
        <v>0</v>
      </c>
      <c r="I85" s="177">
        <f>IF($B$13&gt;I84,0,IF($F$72-(SUM($C$85:H85)+1)&gt;0,IF($B$12&gt;0,$F$72/$B$12,0),0))</f>
        <v>364814.81481481477</v>
      </c>
      <c r="J85" s="177">
        <f>IF($B$13&gt;J84,0,IF($F$72-(SUM($C$85:I85)+1)&gt;0,IF($B$12&gt;0,$F$72/$B$12,0),0))</f>
        <v>364814.81481481477</v>
      </c>
      <c r="K85" s="177">
        <f>IF($B$13&gt;K84,0,IF($F$72-(SUM($C$85:J85)+1)&gt;0,IF($B$12&gt;0,$F$72/$B$12,0),0))</f>
        <v>364814.81481481477</v>
      </c>
      <c r="L85" s="177">
        <f>IF($B$13&gt;L84,0,IF($F$72-(SUM($C$85:K85)+1)&gt;0,IF($B$12&gt;0,$F$72/$B$12,0),0))</f>
        <v>364814.81481481477</v>
      </c>
      <c r="M85" s="177">
        <f>IF($B$13&gt;M84,0,IF($F$72-(SUM($C$85:L85)+1)&gt;0,IF($B$12&gt;0,$F$72/$B$12,0),0))</f>
        <v>364814.81481481477</v>
      </c>
      <c r="N85" s="177">
        <f>IF($B$13&gt;N84,0,IF($F$72-(SUM($C$85:M85)+1)&gt;0,IF($B$12&gt;0,$F$72/$B$12,0),0))</f>
        <v>0</v>
      </c>
      <c r="O85" s="177">
        <f>IF($B$13&gt;O84,0,IF($F$72-(SUM($C$85:N85)+1)&gt;0,IF($B$12&gt;0,$F$72/$B$12,0),0))</f>
        <v>0</v>
      </c>
      <c r="P85" s="177">
        <f>IF($B$13&gt;P84,0,IF($F$72-(SUM($C$85:O85)+1)&gt;0,IF($B$12&gt;0,$F$72/$B$12,0),0))</f>
        <v>0</v>
      </c>
      <c r="Q85" s="177">
        <f>IF($B$13&gt;Q84,0,IF($F$72-(SUM($C$85:P85)+1)&gt;0,IF($B$12&gt;0,$F$72/$B$12,0),0))</f>
        <v>0</v>
      </c>
      <c r="R85" s="177">
        <f>IF($B$13&gt;R84,0,IF($F$72-(SUM($C$85:Q85)+1)&gt;0,IF($B$12&gt;0,$F$72/$B$12,0),0))</f>
        <v>0</v>
      </c>
      <c r="S85" s="177">
        <f>IF($B$13&gt;S84,0,IF($F$72-(SUM($C$85:R85)+1)&gt;0,IF($B$12&gt;0,$F$72/$B$12,0),0))</f>
        <v>0</v>
      </c>
      <c r="T85" s="177">
        <f>IF($B$13&gt;T84,0,IF($F$72-(SUM($C$85:S85)+1)&gt;0,IF($B$12&gt;0,$F$72/$B$12,0),0))</f>
        <v>0</v>
      </c>
      <c r="U85" s="177">
        <f>IF($B$13&gt;U84,0,IF($F$72-(SUM($C$85:T85)+1)&gt;0,IF($B$12&gt;0,$F$72/$B$12,0),0))</f>
        <v>0</v>
      </c>
      <c r="V85" s="177">
        <f>IF($B$13&gt;V84,0,IF($F$72-(SUM($C$85:U85)+1)&gt;0,IF($B$12&gt;0,$F$72/$B$12,0),0))</f>
        <v>0</v>
      </c>
      <c r="W85" s="177">
        <f>IF($B$13&gt;W84,0,IF($F$72-(SUM($C$85:V85)+1)&gt;0,IF($B$12&gt;0,$F$72/$B$12,0),0))</f>
        <v>0</v>
      </c>
      <c r="X85" s="177">
        <f>IF($B$13&gt;X84,0,IF($F$72-(SUM($C$85:W85)+1)&gt;0,IF($B$12&gt;0,$F$72/$B$12,0),0))</f>
        <v>0</v>
      </c>
      <c r="Y85" s="177">
        <f>IF($B$13&gt;Y84,0,IF($F$72-(SUM($C$85:X85)+1)&gt;0,IF($B$12&gt;0,$F$72/$B$12,0),0))</f>
        <v>0</v>
      </c>
      <c r="Z85" s="177">
        <f>IF($B$13&gt;Z84,0,IF($F$72-(SUM($C$85:Y85)+1)&gt;0,IF($B$12&gt;0,$F$72/$B$12,0),0))</f>
        <v>0</v>
      </c>
      <c r="AA85" s="177">
        <f>IF($B$13&gt;AA84,0,IF($F$72-(SUM($C$85:Z85)+1)&gt;0,IF($B$12&gt;0,$F$72/$B$12,0),0))</f>
        <v>0</v>
      </c>
      <c r="AB85" s="178">
        <f>IF($B$13&gt;AB84,0,IF($F$72-(SUM($C$85:AA85)+1)&gt;0,IF($B$12&gt;0,$F$72/$B$12,0),0))</f>
        <v>0</v>
      </c>
      <c r="AC85" s="178">
        <f>IF($B$13&gt;AC84,0,IF($F$72-(SUM($C$85:AB85)+1)&gt;0,IF($B$12&gt;0,$F$72/$B$12,0),0))</f>
        <v>0</v>
      </c>
      <c r="AD85" s="178">
        <f>IF($B$13&gt;AD84,0,IF($F$72-(SUM($C$85:AC85)+1)&gt;0,IF($B$12&gt;0,$F$72/$B$12,0),0))</f>
        <v>0</v>
      </c>
      <c r="AE85" s="178">
        <f>IF($B$13&gt;AE84,0,IF($F$72-(SUM($C$85:AD85)+1)&gt;0,IF($B$12&gt;0,$F$72/$B$12,0),0))</f>
        <v>0</v>
      </c>
      <c r="AF85" s="178">
        <f>IF($B$13&gt;AF84,0,IF($F$72-(SUM($C$85:AE85)+1)&gt;0,IF($B$12&gt;0,$F$72/$B$12,0),0))</f>
        <v>0</v>
      </c>
      <c r="AG85" s="178">
        <f>IF($B$13&gt;AG84,0,IF($F$72-(SUM($C$85:AF85)+1)&gt;0,IF($B$12&gt;0,$F$72/$B$12,0),0))</f>
        <v>0</v>
      </c>
      <c r="AH85" s="178">
        <f>IF($B$13&gt;AH84,0,IF($F$72-(SUM($C$85:AG85)+1)&gt;0,IF($B$12&gt;0,$F$72/$B$12,0),0))</f>
        <v>0</v>
      </c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  <c r="BI85" s="17"/>
      <c r="BJ85" s="17"/>
      <c r="BK85" s="17"/>
      <c r="BL85" s="17"/>
      <c r="BM85" s="17"/>
      <c r="BN85" s="17"/>
      <c r="BO85" s="17"/>
      <c r="BP85" s="17"/>
      <c r="BQ85" s="17"/>
      <c r="BR85" s="17"/>
      <c r="BS85" s="17"/>
      <c r="BT85" s="17"/>
      <c r="BU85" s="17"/>
      <c r="BV85" s="17"/>
    </row>
    <row r="86" spans="1:74" s="16" customFormat="1" x14ac:dyDescent="0.25">
      <c r="A86" s="191"/>
      <c r="B86" s="180" t="s">
        <v>50</v>
      </c>
      <c r="C86" s="192"/>
      <c r="D86" s="193"/>
      <c r="E86" s="193"/>
      <c r="F86" s="193"/>
      <c r="G86" s="182">
        <f>($F$72-SUM($C$85:F85))*$B$14</f>
        <v>91203.703703703708</v>
      </c>
      <c r="H86" s="182">
        <f>($F$72-SUM($C$85:G85))*$B$14</f>
        <v>91203.703703703708</v>
      </c>
      <c r="I86" s="182">
        <f>($F$72-SUM($C$85:H85))*$B$14</f>
        <v>91203.703703703708</v>
      </c>
      <c r="J86" s="182">
        <f>($F$72-SUM($C$85:I85))*$B$14</f>
        <v>72962.962962962964</v>
      </c>
      <c r="K86" s="182">
        <f>($F$72-SUM($C$85:J85))*$B$14</f>
        <v>54722.222222222226</v>
      </c>
      <c r="L86" s="182">
        <f>($F$72-SUM($C$85:K85))*$B$14</f>
        <v>36481.481481481482</v>
      </c>
      <c r="M86" s="182">
        <f>($F$72-SUM($C$85:L85))*$B$14</f>
        <v>18240.740740740741</v>
      </c>
      <c r="N86" s="182">
        <f>($F$72-SUM($C$85:M85))*$B$14</f>
        <v>0</v>
      </c>
      <c r="O86" s="182">
        <f>($F$72-SUM($C$85:N85))*$B$14</f>
        <v>0</v>
      </c>
      <c r="P86" s="182">
        <f>($F$72-SUM($C$85:O85))*$B$14</f>
        <v>0</v>
      </c>
      <c r="Q86" s="182">
        <f>($F$72-SUM($C$85:P85))*$B$14</f>
        <v>0</v>
      </c>
      <c r="R86" s="182">
        <f>($F$72-SUM($C$85:Q85))*$B$14</f>
        <v>0</v>
      </c>
      <c r="S86" s="182">
        <f>($F$72-SUM($C$85:R85))*$B$14</f>
        <v>0</v>
      </c>
      <c r="T86" s="182">
        <f>($F$72-SUM($C$85:S85))*$B$14</f>
        <v>0</v>
      </c>
      <c r="U86" s="182">
        <f>($F$72-SUM($C$85:T85))*$B$14</f>
        <v>0</v>
      </c>
      <c r="V86" s="182">
        <f>($F$72-SUM($C$85:U85))*$B$14</f>
        <v>0</v>
      </c>
      <c r="W86" s="182">
        <f>($F$72-SUM($C$85:V85))*$B$14</f>
        <v>0</v>
      </c>
      <c r="X86" s="182">
        <f>($F$72-SUM($C$85:W85))*$B$14</f>
        <v>0</v>
      </c>
      <c r="Y86" s="182">
        <f>($F$72-SUM($C$85:X85))*$B$14</f>
        <v>0</v>
      </c>
      <c r="Z86" s="182">
        <f>($F$72-SUM($C$85:Y85))*$B$14</f>
        <v>0</v>
      </c>
      <c r="AA86" s="182">
        <f>($F$72-SUM($C$85:Z85))*$B$14</f>
        <v>0</v>
      </c>
      <c r="AB86" s="183">
        <f>($F$72-SUM($C$85:AA85))*$B$14</f>
        <v>0</v>
      </c>
      <c r="AC86" s="183">
        <f>($F$72-SUM($C$85:AB85))*$B$14</f>
        <v>0</v>
      </c>
      <c r="AD86" s="183">
        <f>($F$72-SUM($C$85:AC85))*$B$14</f>
        <v>0</v>
      </c>
      <c r="AE86" s="183">
        <f>($F$72-SUM($C$85:AD85))*$B$14</f>
        <v>0</v>
      </c>
      <c r="AF86" s="183">
        <f>($F$72-SUM($C$85:AE85))*$B$14</f>
        <v>0</v>
      </c>
      <c r="AG86" s="183">
        <f>($F$72-SUM($C$85:AF85))*$B$14</f>
        <v>0</v>
      </c>
      <c r="AH86" s="183">
        <f>($F$72-SUM($C$85:AG85))*$B$14</f>
        <v>0</v>
      </c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  <c r="BD86" s="17"/>
      <c r="BE86" s="17"/>
      <c r="BF86" s="17"/>
      <c r="BG86" s="17"/>
      <c r="BH86" s="17"/>
      <c r="BI86" s="17"/>
      <c r="BJ86" s="17"/>
      <c r="BK86" s="17"/>
      <c r="BL86" s="17"/>
      <c r="BM86" s="17"/>
      <c r="BN86" s="17"/>
      <c r="BO86" s="17"/>
      <c r="BP86" s="17"/>
      <c r="BQ86" s="17"/>
      <c r="BR86" s="17"/>
      <c r="BS86" s="17"/>
      <c r="BT86" s="17"/>
      <c r="BU86" s="17"/>
      <c r="BV86" s="17"/>
    </row>
    <row r="87" spans="1:74" ht="9" customHeight="1" x14ac:dyDescent="0.25">
      <c r="A87" s="184"/>
      <c r="B87" s="185"/>
      <c r="C87" s="186"/>
      <c r="D87" s="187"/>
      <c r="E87" s="194"/>
      <c r="F87" s="194"/>
      <c r="G87" s="194"/>
      <c r="H87" s="172">
        <v>1</v>
      </c>
      <c r="I87" s="172">
        <f>H87+1</f>
        <v>2</v>
      </c>
      <c r="J87" s="172">
        <f t="shared" ref="J87" si="170">I87+1</f>
        <v>3</v>
      </c>
      <c r="K87" s="172">
        <f t="shared" ref="K87" si="171">J87+1</f>
        <v>4</v>
      </c>
      <c r="L87" s="172">
        <f t="shared" ref="L87" si="172">K87+1</f>
        <v>5</v>
      </c>
      <c r="M87" s="172">
        <f t="shared" ref="M87" si="173">L87+1</f>
        <v>6</v>
      </c>
      <c r="N87" s="172">
        <f t="shared" ref="N87" si="174">M87+1</f>
        <v>7</v>
      </c>
      <c r="O87" s="172">
        <f t="shared" ref="O87" si="175">N87+1</f>
        <v>8</v>
      </c>
      <c r="P87" s="172">
        <f t="shared" ref="P87" si="176">O87+1</f>
        <v>9</v>
      </c>
      <c r="Q87" s="172">
        <f t="shared" ref="Q87" si="177">P87+1</f>
        <v>10</v>
      </c>
      <c r="R87" s="172">
        <f t="shared" ref="R87" si="178">Q87+1</f>
        <v>11</v>
      </c>
      <c r="S87" s="172">
        <f t="shared" ref="S87" si="179">R87+1</f>
        <v>12</v>
      </c>
      <c r="T87" s="172">
        <f t="shared" ref="T87" si="180">S87+1</f>
        <v>13</v>
      </c>
      <c r="U87" s="172">
        <f t="shared" ref="U87" si="181">T87+1</f>
        <v>14</v>
      </c>
      <c r="V87" s="172">
        <f t="shared" ref="V87" si="182">U87+1</f>
        <v>15</v>
      </c>
      <c r="W87" s="172">
        <f t="shared" ref="W87" si="183">V87+1</f>
        <v>16</v>
      </c>
      <c r="X87" s="172">
        <f t="shared" ref="X87" si="184">W87+1</f>
        <v>17</v>
      </c>
      <c r="Y87" s="172">
        <f t="shared" ref="Y87" si="185">X87+1</f>
        <v>18</v>
      </c>
      <c r="Z87" s="172">
        <f t="shared" ref="Z87" si="186">Y87+1</f>
        <v>19</v>
      </c>
      <c r="AA87" s="172">
        <f t="shared" ref="AA87" si="187">Z87+1</f>
        <v>20</v>
      </c>
      <c r="AB87" s="173">
        <f t="shared" ref="AB87:AC87" si="188">AA87+1</f>
        <v>21</v>
      </c>
      <c r="AC87" s="173">
        <f t="shared" si="188"/>
        <v>22</v>
      </c>
      <c r="AD87" s="173">
        <f t="shared" ref="AD87" si="189">AC87+1</f>
        <v>23</v>
      </c>
      <c r="AE87" s="173">
        <f t="shared" ref="AE87" si="190">AD87+1</f>
        <v>24</v>
      </c>
      <c r="AF87" s="173">
        <f t="shared" ref="AF87" si="191">AE87+1</f>
        <v>25</v>
      </c>
      <c r="AG87" s="173">
        <f t="shared" ref="AG87" si="192">AF87+1</f>
        <v>26</v>
      </c>
      <c r="AH87" s="173">
        <f t="shared" ref="AH87" si="193">AG87+1</f>
        <v>27</v>
      </c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</row>
    <row r="88" spans="1:74" s="16" customFormat="1" x14ac:dyDescent="0.25">
      <c r="A88" s="184">
        <f>A85+1</f>
        <v>5</v>
      </c>
      <c r="B88" s="188" t="s">
        <v>49</v>
      </c>
      <c r="C88" s="189"/>
      <c r="D88" s="190"/>
      <c r="E88" s="190"/>
      <c r="F88" s="190"/>
      <c r="G88" s="190"/>
      <c r="H88" s="177">
        <f>IF($B$13&gt;H87,0,IF($G$72-(SUM($C$88:G88)+1)&gt;0,IF($B$12&gt;0,$G$72/$B$12,0),0))</f>
        <v>0</v>
      </c>
      <c r="I88" s="177">
        <f>IF($B$13&gt;I87,0,IF($G$72-(SUM($C$88:H88)+1)&gt;0,IF($B$12&gt;0,$G$72/$B$12,0),0))</f>
        <v>0</v>
      </c>
      <c r="J88" s="177">
        <f>IF($B$13&gt;J87,0,IF($G$72-(SUM($C$88:I88)+1)&gt;0,IF($B$12&gt;0,$G$72/$B$12,0),0))</f>
        <v>364814.81481481483</v>
      </c>
      <c r="K88" s="177">
        <f>IF($B$13&gt;K87,0,IF($G$72-(SUM($C$88:J88)+1)&gt;0,IF($B$12&gt;0,$G$72/$B$12,0),0))</f>
        <v>364814.81481481483</v>
      </c>
      <c r="L88" s="177">
        <f>IF($B$13&gt;L87,0,IF($G$72-(SUM($C$88:K88)+1)&gt;0,IF($B$12&gt;0,$G$72/$B$12,0),0))</f>
        <v>364814.81481481483</v>
      </c>
      <c r="M88" s="177">
        <f>IF($B$13&gt;M87,0,IF($G$72-(SUM($C$88:L88)+1)&gt;0,IF($B$12&gt;0,$G$72/$B$12,0),0))</f>
        <v>364814.81481481483</v>
      </c>
      <c r="N88" s="177">
        <f>IF($B$13&gt;N87,0,IF($G$72-(SUM($C$88:M88)+1)&gt;0,IF($B$12&gt;0,$G$72/$B$12,0),0))</f>
        <v>364814.81481481483</v>
      </c>
      <c r="O88" s="177">
        <f>IF($B$13&gt;O87,0,IF($G$72-(SUM($C$88:N88)+1)&gt;0,IF($B$12&gt;0,$G$72/$B$12,0),0))</f>
        <v>0</v>
      </c>
      <c r="P88" s="177">
        <f>IF($B$13&gt;P87,0,IF($G$72-(SUM($C$88:O88)+1)&gt;0,IF($B$12&gt;0,$G$72/$B$12,0),0))</f>
        <v>0</v>
      </c>
      <c r="Q88" s="177">
        <f>IF($B$13&gt;Q87,0,IF($G$72-(SUM($C$88:P88)+1)&gt;0,IF($B$12&gt;0,$G$72/$B$12,0),0))</f>
        <v>0</v>
      </c>
      <c r="R88" s="177">
        <f>IF($B$13&gt;R87,0,IF($G$72-(SUM($C$88:Q88)+1)&gt;0,IF($B$12&gt;0,$G$72/$B$12,0),0))</f>
        <v>0</v>
      </c>
      <c r="S88" s="177">
        <f>IF($B$13&gt;S87,0,IF($G$72-(SUM($C$88:R88)+1)&gt;0,IF($B$12&gt;0,$G$72/$B$12,0),0))</f>
        <v>0</v>
      </c>
      <c r="T88" s="177">
        <f>IF($B$13&gt;T87,0,IF($G$72-(SUM($C$88:S88)+1)&gt;0,IF($B$12&gt;0,$G$72/$B$12,0),0))</f>
        <v>0</v>
      </c>
      <c r="U88" s="177">
        <f>IF($B$13&gt;U87,0,IF($G$72-(SUM($C$88:T88)+1)&gt;0,IF($B$12&gt;0,$G$72/$B$12,0),0))</f>
        <v>0</v>
      </c>
      <c r="V88" s="177">
        <f>IF($B$13&gt;V87,0,IF($G$72-(SUM($C$88:U88)+1)&gt;0,IF($B$12&gt;0,$G$72/$B$12,0),0))</f>
        <v>0</v>
      </c>
      <c r="W88" s="177">
        <f>IF($B$13&gt;W87,0,IF($G$72-(SUM($C$88:V88)+1)&gt;0,IF($B$12&gt;0,$G$72/$B$12,0),0))</f>
        <v>0</v>
      </c>
      <c r="X88" s="177">
        <f>IF($B$13&gt;X87,0,IF($G$72-(SUM($C$88:W88)+1)&gt;0,IF($B$12&gt;0,$G$72/$B$12,0),0))</f>
        <v>0</v>
      </c>
      <c r="Y88" s="177">
        <f>IF($B$13&gt;Y87,0,IF($G$72-(SUM($C$88:X88)+1)&gt;0,IF($B$12&gt;0,$G$72/$B$12,0),0))</f>
        <v>0</v>
      </c>
      <c r="Z88" s="177">
        <f>IF($B$13&gt;Z87,0,IF($G$72-(SUM($C$88:Y88)+1)&gt;0,IF($B$12&gt;0,$G$72/$B$12,0),0))</f>
        <v>0</v>
      </c>
      <c r="AA88" s="177">
        <f>IF($B$13&gt;AA87,0,IF($G$72-(SUM($C$88:Z88)+1)&gt;0,IF($B$12&gt;0,$G$72/$B$12,0),0))</f>
        <v>0</v>
      </c>
      <c r="AB88" s="178">
        <f>IF($B$13&gt;AB87,0,IF($G$72-(SUM($C$88:AA88)+1)&gt;0,IF($B$12&gt;0,$G$72/$B$12,0),0))</f>
        <v>0</v>
      </c>
      <c r="AC88" s="178">
        <f>IF($B$13&gt;AC87,0,IF($G$72-(SUM($C$88:AB88)+1)&gt;0,IF($B$12&gt;0,$G$72/$B$12,0),0))</f>
        <v>0</v>
      </c>
      <c r="AD88" s="178">
        <f>IF($B$13&gt;AD87,0,IF($G$72-(SUM($C$88:AC88)+1)&gt;0,IF($B$12&gt;0,$G$72/$B$12,0),0))</f>
        <v>0</v>
      </c>
      <c r="AE88" s="178">
        <f>IF($B$13&gt;AE87,0,IF($G$72-(SUM($C$88:AD88)+1)&gt;0,IF($B$12&gt;0,$G$72/$B$12,0),0))</f>
        <v>0</v>
      </c>
      <c r="AF88" s="178">
        <f>IF($B$13&gt;AF87,0,IF($G$72-(SUM($C$88:AE88)+1)&gt;0,IF($B$12&gt;0,$G$72/$B$12,0),0))</f>
        <v>0</v>
      </c>
      <c r="AG88" s="178">
        <f>IF($B$13&gt;AG87,0,IF($G$72-(SUM($C$88:AF88)+1)&gt;0,IF($B$12&gt;0,$G$72/$B$12,0),0))</f>
        <v>0</v>
      </c>
      <c r="AH88" s="178">
        <f>IF($B$13&gt;AH87,0,IF($G$72-(SUM($C$88:AG88)+1)&gt;0,IF($B$12&gt;0,$G$72/$B$12,0),0))</f>
        <v>0</v>
      </c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  <c r="BC88" s="17"/>
      <c r="BD88" s="17"/>
      <c r="BE88" s="17"/>
      <c r="BF88" s="17"/>
      <c r="BG88" s="17"/>
      <c r="BH88" s="17"/>
      <c r="BI88" s="17"/>
      <c r="BJ88" s="17"/>
      <c r="BK88" s="17"/>
      <c r="BL88" s="17"/>
      <c r="BM88" s="17"/>
      <c r="BN88" s="17"/>
      <c r="BO88" s="17"/>
      <c r="BP88" s="17"/>
      <c r="BQ88" s="17"/>
      <c r="BR88" s="17"/>
      <c r="BS88" s="17"/>
      <c r="BT88" s="17"/>
      <c r="BU88" s="17"/>
      <c r="BV88" s="17"/>
    </row>
    <row r="89" spans="1:74" s="16" customFormat="1" x14ac:dyDescent="0.25">
      <c r="A89" s="195"/>
      <c r="B89" s="180" t="s">
        <v>50</v>
      </c>
      <c r="C89" s="192"/>
      <c r="D89" s="193"/>
      <c r="E89" s="193"/>
      <c r="F89" s="193"/>
      <c r="G89" s="193"/>
      <c r="H89" s="182">
        <f>($G$72-SUM($C$88:G88))*$B$14</f>
        <v>91203.703703703708</v>
      </c>
      <c r="I89" s="182">
        <f>($G$72-SUM($C$88:H88))*$B$14</f>
        <v>91203.703703703708</v>
      </c>
      <c r="J89" s="182">
        <f>($G$72-SUM($C$88:I88))*$B$14</f>
        <v>91203.703703703708</v>
      </c>
      <c r="K89" s="182">
        <f>($G$72-SUM($C$88:J88))*$B$14</f>
        <v>72962.962962962964</v>
      </c>
      <c r="L89" s="182">
        <f>($G$72-SUM($C$88:K88))*$B$14</f>
        <v>54722.222222222226</v>
      </c>
      <c r="M89" s="182">
        <f>($G$72-SUM($C$88:L88))*$B$14</f>
        <v>36481.481481481482</v>
      </c>
      <c r="N89" s="182">
        <f>($G$72-SUM($C$88:M88))*$B$14</f>
        <v>18240.740740740741</v>
      </c>
      <c r="O89" s="182">
        <f>($G$72-SUM($C$88:N88))*$B$14</f>
        <v>0</v>
      </c>
      <c r="P89" s="182">
        <f>($G$72-SUM($C$88:O88))*$B$14</f>
        <v>0</v>
      </c>
      <c r="Q89" s="182">
        <f>($G$72-SUM($C$88:P88))*$B$14</f>
        <v>0</v>
      </c>
      <c r="R89" s="182">
        <f>($G$72-SUM($C$88:Q88))*$B$14</f>
        <v>0</v>
      </c>
      <c r="S89" s="182">
        <f>($G$72-SUM($C$88:R88))*$B$14</f>
        <v>0</v>
      </c>
      <c r="T89" s="182">
        <f>($G$72-SUM($C$88:S88))*$B$14</f>
        <v>0</v>
      </c>
      <c r="U89" s="182">
        <f>($G$72-SUM($C$88:T88))*$B$14</f>
        <v>0</v>
      </c>
      <c r="V89" s="182">
        <f>($G$72-SUM($C$88:U88))*$B$14</f>
        <v>0</v>
      </c>
      <c r="W89" s="182">
        <f>($G$72-SUM($C$88:V88))*$B$14</f>
        <v>0</v>
      </c>
      <c r="X89" s="182">
        <f>($G$72-SUM($C$88:W88))*$B$14</f>
        <v>0</v>
      </c>
      <c r="Y89" s="182">
        <f>($G$72-SUM($C$88:X88))*$B$14</f>
        <v>0</v>
      </c>
      <c r="Z89" s="182">
        <f>($G$72-SUM($C$88:Y88))*$B$14</f>
        <v>0</v>
      </c>
      <c r="AA89" s="182">
        <f>($G$72-SUM($C$88:Z88))*$B$14</f>
        <v>0</v>
      </c>
      <c r="AB89" s="183">
        <f>($G$72-SUM($C$88:AA88))*$B$14</f>
        <v>0</v>
      </c>
      <c r="AC89" s="183">
        <f>($G$72-SUM($C$88:AB88))*$B$14</f>
        <v>0</v>
      </c>
      <c r="AD89" s="183">
        <f>($G$72-SUM($C$88:AC88))*$B$14</f>
        <v>0</v>
      </c>
      <c r="AE89" s="183">
        <f>($G$72-SUM($C$88:AD88))*$B$14</f>
        <v>0</v>
      </c>
      <c r="AF89" s="183">
        <f>($G$72-SUM($C$88:AE88))*$B$14</f>
        <v>0</v>
      </c>
      <c r="AG89" s="183">
        <f>($G$72-SUM($C$88:AF88))*$B$14</f>
        <v>0</v>
      </c>
      <c r="AH89" s="183">
        <f>($G$72-SUM($C$88:AG88))*$B$14</f>
        <v>0</v>
      </c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  <c r="BA89" s="17"/>
      <c r="BB89" s="17"/>
      <c r="BC89" s="17"/>
      <c r="BD89" s="17"/>
      <c r="BE89" s="17"/>
      <c r="BF89" s="17"/>
      <c r="BG89" s="17"/>
      <c r="BH89" s="17"/>
      <c r="BI89" s="17"/>
      <c r="BJ89" s="17"/>
      <c r="BK89" s="17"/>
      <c r="BL89" s="17"/>
      <c r="BM89" s="17"/>
      <c r="BN89" s="17"/>
      <c r="BO89" s="17"/>
      <c r="BP89" s="17"/>
      <c r="BQ89" s="17"/>
      <c r="BR89" s="17"/>
      <c r="BS89" s="17"/>
      <c r="BT89" s="17"/>
      <c r="BU89" s="17"/>
      <c r="BV89" s="17"/>
    </row>
    <row r="90" spans="1:74" ht="9" customHeight="1" x14ac:dyDescent="0.25">
      <c r="A90" s="184"/>
      <c r="B90" s="185"/>
      <c r="C90" s="186"/>
      <c r="D90" s="187"/>
      <c r="E90" s="194"/>
      <c r="F90" s="194"/>
      <c r="G90" s="194"/>
      <c r="H90" s="194"/>
      <c r="I90" s="172">
        <v>1</v>
      </c>
      <c r="J90" s="172">
        <f>I90+1</f>
        <v>2</v>
      </c>
      <c r="K90" s="172">
        <f t="shared" ref="K90" si="194">J90+1</f>
        <v>3</v>
      </c>
      <c r="L90" s="172">
        <f t="shared" ref="L90" si="195">K90+1</f>
        <v>4</v>
      </c>
      <c r="M90" s="172">
        <f t="shared" ref="M90" si="196">L90+1</f>
        <v>5</v>
      </c>
      <c r="N90" s="172">
        <f t="shared" ref="N90" si="197">M90+1</f>
        <v>6</v>
      </c>
      <c r="O90" s="172">
        <f t="shared" ref="O90" si="198">N90+1</f>
        <v>7</v>
      </c>
      <c r="P90" s="172">
        <f t="shared" ref="P90" si="199">O90+1</f>
        <v>8</v>
      </c>
      <c r="Q90" s="172">
        <f t="shared" ref="Q90" si="200">P90+1</f>
        <v>9</v>
      </c>
      <c r="R90" s="172">
        <f t="shared" ref="R90" si="201">Q90+1</f>
        <v>10</v>
      </c>
      <c r="S90" s="172">
        <f t="shared" ref="S90" si="202">R90+1</f>
        <v>11</v>
      </c>
      <c r="T90" s="172">
        <f t="shared" ref="T90" si="203">S90+1</f>
        <v>12</v>
      </c>
      <c r="U90" s="172">
        <f t="shared" ref="U90" si="204">T90+1</f>
        <v>13</v>
      </c>
      <c r="V90" s="172">
        <f t="shared" ref="V90" si="205">U90+1</f>
        <v>14</v>
      </c>
      <c r="W90" s="172">
        <f t="shared" ref="W90" si="206">V90+1</f>
        <v>15</v>
      </c>
      <c r="X90" s="172">
        <f t="shared" ref="X90" si="207">W90+1</f>
        <v>16</v>
      </c>
      <c r="Y90" s="172">
        <f t="shared" ref="Y90" si="208">X90+1</f>
        <v>17</v>
      </c>
      <c r="Z90" s="172">
        <f t="shared" ref="Z90" si="209">Y90+1</f>
        <v>18</v>
      </c>
      <c r="AA90" s="172">
        <f t="shared" ref="AA90" si="210">Z90+1</f>
        <v>19</v>
      </c>
      <c r="AB90" s="173">
        <f t="shared" ref="AB90:AC90" si="211">AA90+1</f>
        <v>20</v>
      </c>
      <c r="AC90" s="173">
        <f t="shared" si="211"/>
        <v>21</v>
      </c>
      <c r="AD90" s="173">
        <f t="shared" ref="AD90" si="212">AC90+1</f>
        <v>22</v>
      </c>
      <c r="AE90" s="173">
        <f t="shared" ref="AE90" si="213">AD90+1</f>
        <v>23</v>
      </c>
      <c r="AF90" s="173">
        <f t="shared" ref="AF90" si="214">AE90+1</f>
        <v>24</v>
      </c>
      <c r="AG90" s="173">
        <f t="shared" ref="AG90" si="215">AF90+1</f>
        <v>25</v>
      </c>
      <c r="AH90" s="173">
        <f t="shared" ref="AH90" si="216">AG90+1</f>
        <v>26</v>
      </c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19"/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</row>
    <row r="91" spans="1:74" s="16" customFormat="1" x14ac:dyDescent="0.25">
      <c r="A91" s="184">
        <f>A88+1</f>
        <v>6</v>
      </c>
      <c r="B91" s="188" t="s">
        <v>49</v>
      </c>
      <c r="C91" s="189"/>
      <c r="D91" s="190"/>
      <c r="E91" s="190"/>
      <c r="F91" s="190"/>
      <c r="G91" s="190"/>
      <c r="H91" s="190"/>
      <c r="I91" s="177">
        <f>IF($B$13&gt;I90,0,IF($H$72-(SUM($C$91:H91)+1)&gt;0,IF($B$12&gt;0,$H$72/$B$12,0),0))</f>
        <v>0</v>
      </c>
      <c r="J91" s="177">
        <f>IF($B$13&gt;J90,0,IF($H$72-(SUM($C$91:I91)+1)&gt;0,IF($B$12&gt;0,$H$72/$B$12,0),0))</f>
        <v>0</v>
      </c>
      <c r="K91" s="177">
        <f>IF($B$13&gt;K90,0,IF($H$72-(SUM($C$91:J91)+1)&gt;0,IF($B$12&gt;0,$H$72/$B$12,0),0))</f>
        <v>364814.81481481483</v>
      </c>
      <c r="L91" s="177">
        <f>IF($B$13&gt;L90,0,IF($H$72-(SUM($C$91:K91)+1)&gt;0,IF($B$12&gt;0,$H$72/$B$12,0),0))</f>
        <v>364814.81481481483</v>
      </c>
      <c r="M91" s="177">
        <f>IF($B$13&gt;M90,0,IF($H$72-(SUM($C$91:L91)+1)&gt;0,IF($B$12&gt;0,$H$72/$B$12,0),0))</f>
        <v>364814.81481481483</v>
      </c>
      <c r="N91" s="177">
        <f>IF($B$13&gt;N90,0,IF($H$72-(SUM($C$91:M91)+1)&gt;0,IF($B$12&gt;0,$H$72/$B$12,0),0))</f>
        <v>364814.81481481483</v>
      </c>
      <c r="O91" s="177">
        <f>IF($B$13&gt;O90,0,IF($H$72-(SUM($C$91:N91)+1)&gt;0,IF($B$12&gt;0,$H$72/$B$12,0),0))</f>
        <v>364814.81481481483</v>
      </c>
      <c r="P91" s="177">
        <f>IF($B$13&gt;P90,0,IF($H$72-(SUM($C$91:O91)+1)&gt;0,IF($B$12&gt;0,$H$72/$B$12,0),0))</f>
        <v>0</v>
      </c>
      <c r="Q91" s="177">
        <f>IF($B$13&gt;Q90,0,IF($H$72-(SUM($C$91:P91)+1)&gt;0,IF($B$12&gt;0,$H$72/$B$12,0),0))</f>
        <v>0</v>
      </c>
      <c r="R91" s="177">
        <f>IF($B$13&gt;R90,0,IF($H$72-(SUM($C$91:Q91)+1)&gt;0,IF($B$12&gt;0,$H$72/$B$12,0),0))</f>
        <v>0</v>
      </c>
      <c r="S91" s="177">
        <f>IF($B$13&gt;S90,0,IF($H$72-(SUM($C$91:R91)+1)&gt;0,IF($B$12&gt;0,$H$72/$B$12,0),0))</f>
        <v>0</v>
      </c>
      <c r="T91" s="177">
        <f>IF($B$13&gt;T90,0,IF($H$72-(SUM($C$91:S91)+1)&gt;0,IF($B$12&gt;0,$H$72/$B$12,0),0))</f>
        <v>0</v>
      </c>
      <c r="U91" s="177">
        <f>IF($B$13&gt;U90,0,IF($H$72-(SUM($C$91:T91)+1)&gt;0,IF($B$12&gt;0,$H$72/$B$12,0),0))</f>
        <v>0</v>
      </c>
      <c r="V91" s="177">
        <f>IF($B$13&gt;V90,0,IF($H$72-(SUM($C$91:U91)+1)&gt;0,IF($B$12&gt;0,$H$72/$B$12,0),0))</f>
        <v>0</v>
      </c>
      <c r="W91" s="177">
        <f>IF($B$13&gt;W90,0,IF($H$72-(SUM($C$91:V91)+1)&gt;0,IF($B$12&gt;0,$H$72/$B$12,0),0))</f>
        <v>0</v>
      </c>
      <c r="X91" s="177">
        <f>IF($B$13&gt;X90,0,IF($H$72-(SUM($C$91:W91)+1)&gt;0,IF($B$12&gt;0,$H$72/$B$12,0),0))</f>
        <v>0</v>
      </c>
      <c r="Y91" s="177">
        <f>IF($B$13&gt;Y90,0,IF($H$72-(SUM($C$91:X91)+1)&gt;0,IF($B$12&gt;0,$H$72/$B$12,0),0))</f>
        <v>0</v>
      </c>
      <c r="Z91" s="177">
        <f>IF($B$13&gt;Z90,0,IF($H$72-(SUM($C$91:Y91)+1)&gt;0,IF($B$12&gt;0,$H$72/$B$12,0),0))</f>
        <v>0</v>
      </c>
      <c r="AA91" s="177">
        <f>IF($B$13&gt;AA90,0,IF($H$72-(SUM($C$91:Z91)+1)&gt;0,IF($B$12&gt;0,$H$72/$B$12,0),0))</f>
        <v>0</v>
      </c>
      <c r="AB91" s="178">
        <f>IF($B$13&gt;AB90,0,IF($H$72-(SUM($C$91:AA91)+1)&gt;0,IF($B$12&gt;0,$H$72/$B$12,0),0))</f>
        <v>0</v>
      </c>
      <c r="AC91" s="178">
        <f>IF($B$13&gt;AC90,0,IF($H$72-(SUM($C$91:AB91)+1)&gt;0,IF($B$12&gt;0,$H$72/$B$12,0),0))</f>
        <v>0</v>
      </c>
      <c r="AD91" s="178">
        <f>IF($B$13&gt;AD90,0,IF($H$72-(SUM($C$91:AC91)+1)&gt;0,IF($B$12&gt;0,$H$72/$B$12,0),0))</f>
        <v>0</v>
      </c>
      <c r="AE91" s="178">
        <f>IF($B$13&gt;AE90,0,IF($H$72-(SUM($C$91:AD91)+1)&gt;0,IF($B$12&gt;0,$H$72/$B$12,0),0))</f>
        <v>0</v>
      </c>
      <c r="AF91" s="178">
        <f>IF($B$13&gt;AF90,0,IF($H$72-(SUM($C$91:AE91)+1)&gt;0,IF($B$12&gt;0,$H$72/$B$12,0),0))</f>
        <v>0</v>
      </c>
      <c r="AG91" s="178">
        <f>IF($B$13&gt;AG90,0,IF($H$72-(SUM($C$91:AF91)+1)&gt;0,IF($B$12&gt;0,$H$72/$B$12,0),0))</f>
        <v>0</v>
      </c>
      <c r="AH91" s="178">
        <f>IF($B$13&gt;AH90,0,IF($H$72-(SUM($C$91:AG91)+1)&gt;0,IF($B$12&gt;0,$H$72/$B$12,0),0))</f>
        <v>0</v>
      </c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  <c r="BC91" s="17"/>
      <c r="BD91" s="17"/>
      <c r="BE91" s="17"/>
      <c r="BF91" s="17"/>
      <c r="BG91" s="17"/>
      <c r="BH91" s="17"/>
      <c r="BI91" s="17"/>
      <c r="BJ91" s="17"/>
      <c r="BK91" s="17"/>
      <c r="BL91" s="17"/>
      <c r="BM91" s="17"/>
      <c r="BN91" s="17"/>
      <c r="BO91" s="17"/>
      <c r="BP91" s="17"/>
      <c r="BQ91" s="17"/>
      <c r="BR91" s="17"/>
      <c r="BS91" s="17"/>
      <c r="BT91" s="17"/>
      <c r="BU91" s="17"/>
      <c r="BV91" s="17"/>
    </row>
    <row r="92" spans="1:74" s="16" customFormat="1" x14ac:dyDescent="0.25">
      <c r="A92" s="196"/>
      <c r="B92" s="180" t="s">
        <v>50</v>
      </c>
      <c r="C92" s="192"/>
      <c r="D92" s="193"/>
      <c r="E92" s="193"/>
      <c r="F92" s="193"/>
      <c r="G92" s="193"/>
      <c r="H92" s="193"/>
      <c r="I92" s="182">
        <f>($H$72-SUM($C$91:H91))*$B$14</f>
        <v>91203.703703703708</v>
      </c>
      <c r="J92" s="182">
        <f>($H$72-SUM($C$91:I91))*$B$14</f>
        <v>91203.703703703708</v>
      </c>
      <c r="K92" s="182">
        <f>($H$72-SUM($C$91:J91))*$B$14</f>
        <v>91203.703703703708</v>
      </c>
      <c r="L92" s="182">
        <f>($H$72-SUM($C$91:K91))*$B$14</f>
        <v>72962.962962962964</v>
      </c>
      <c r="M92" s="182">
        <f>($H$72-SUM($C$91:L91))*$B$14</f>
        <v>54722.222222222226</v>
      </c>
      <c r="N92" s="182">
        <f>($H$72-SUM($C$91:M91))*$B$14</f>
        <v>36481.481481481482</v>
      </c>
      <c r="O92" s="182">
        <f>($H$72-SUM($C$91:N91))*$B$14</f>
        <v>18240.740740740741</v>
      </c>
      <c r="P92" s="182">
        <f>($H$72-SUM($C$91:O91))*$B$14</f>
        <v>0</v>
      </c>
      <c r="Q92" s="182">
        <f>($H$72-SUM($C$91:P91))*$B$14</f>
        <v>0</v>
      </c>
      <c r="R92" s="182">
        <f>($H$72-SUM($C$91:Q91))*$B$14</f>
        <v>0</v>
      </c>
      <c r="S92" s="182">
        <f>($H$72-SUM($C$91:R91))*$B$14</f>
        <v>0</v>
      </c>
      <c r="T92" s="182">
        <f>($H$72-SUM($C$91:S91))*$B$14</f>
        <v>0</v>
      </c>
      <c r="U92" s="182">
        <f>($H$72-SUM($C$91:T91))*$B$14</f>
        <v>0</v>
      </c>
      <c r="V92" s="182">
        <f>($H$72-SUM($C$91:U91))*$B$14</f>
        <v>0</v>
      </c>
      <c r="W92" s="182">
        <f>($H$72-SUM($C$91:V91))*$B$14</f>
        <v>0</v>
      </c>
      <c r="X92" s="182">
        <f>($H$72-SUM($C$91:W91))*$B$14</f>
        <v>0</v>
      </c>
      <c r="Y92" s="182">
        <f>($H$72-SUM($C$91:X91))*$B$14</f>
        <v>0</v>
      </c>
      <c r="Z92" s="182">
        <f>($H$72-SUM($C$91:Y91))*$B$14</f>
        <v>0</v>
      </c>
      <c r="AA92" s="182">
        <f>($H$72-SUM($C$91:Z91))*$B$14</f>
        <v>0</v>
      </c>
      <c r="AB92" s="183">
        <f>($H$72-SUM($C$91:AA91))*$B$14</f>
        <v>0</v>
      </c>
      <c r="AC92" s="183">
        <f>($H$72-SUM($C$91:AB91))*$B$14</f>
        <v>0</v>
      </c>
      <c r="AD92" s="183">
        <f>($H$72-SUM($C$91:AC91))*$B$14</f>
        <v>0</v>
      </c>
      <c r="AE92" s="183">
        <f>($H$72-SUM($C$91:AD91))*$B$14</f>
        <v>0</v>
      </c>
      <c r="AF92" s="183">
        <f>($H$72-SUM($C$91:AE91))*$B$14</f>
        <v>0</v>
      </c>
      <c r="AG92" s="183">
        <f>($H$72-SUM($C$91:AF91))*$B$14</f>
        <v>0</v>
      </c>
      <c r="AH92" s="183">
        <f>($H$72-SUM($C$91:AG91))*$B$14</f>
        <v>0</v>
      </c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  <c r="BD92" s="17"/>
      <c r="BE92" s="17"/>
      <c r="BF92" s="17"/>
      <c r="BG92" s="17"/>
      <c r="BH92" s="17"/>
      <c r="BI92" s="17"/>
      <c r="BJ92" s="17"/>
      <c r="BK92" s="17"/>
      <c r="BL92" s="17"/>
      <c r="BM92" s="17"/>
      <c r="BN92" s="17"/>
      <c r="BO92" s="17"/>
      <c r="BP92" s="17"/>
      <c r="BQ92" s="17"/>
      <c r="BR92" s="17"/>
      <c r="BS92" s="17"/>
      <c r="BT92" s="17"/>
      <c r="BU92" s="17"/>
      <c r="BV92" s="17"/>
    </row>
    <row r="93" spans="1:74" x14ac:dyDescent="0.25">
      <c r="A93" s="40"/>
      <c r="B93" s="20"/>
      <c r="C93" s="34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29"/>
      <c r="AC93" s="29"/>
      <c r="AD93" s="29"/>
      <c r="AE93" s="29"/>
      <c r="AF93" s="29"/>
      <c r="AG93" s="29"/>
      <c r="AH93" s="29"/>
    </row>
    <row r="94" spans="1:74" s="21" customFormat="1" x14ac:dyDescent="0.25">
      <c r="A94" s="203" t="s">
        <v>60</v>
      </c>
      <c r="B94" s="199" t="s">
        <v>37</v>
      </c>
      <c r="C94" s="204">
        <f t="shared" ref="C94:AC94" si="217">C34</f>
        <v>0</v>
      </c>
      <c r="D94" s="204">
        <f t="shared" si="217"/>
        <v>196578.7376832295</v>
      </c>
      <c r="E94" s="204">
        <f t="shared" si="217"/>
        <v>375286.6810316199</v>
      </c>
      <c r="F94" s="204">
        <f t="shared" si="217"/>
        <v>537748.44771197485</v>
      </c>
      <c r="G94" s="204">
        <f t="shared" si="217"/>
        <v>685440.96287593385</v>
      </c>
      <c r="H94" s="204">
        <f t="shared" si="217"/>
        <v>819706.88575226034</v>
      </c>
      <c r="I94" s="204">
        <f t="shared" si="217"/>
        <v>941766.81563982985</v>
      </c>
      <c r="J94" s="204">
        <f t="shared" si="217"/>
        <v>941766.81563982985</v>
      </c>
      <c r="K94" s="204">
        <f t="shared" si="217"/>
        <v>941766.81563982985</v>
      </c>
      <c r="L94" s="204">
        <f t="shared" si="217"/>
        <v>941766.81563982985</v>
      </c>
      <c r="M94" s="204">
        <f t="shared" si="217"/>
        <v>941766.81563982985</v>
      </c>
      <c r="N94" s="204">
        <f t="shared" si="217"/>
        <v>941766.81563982985</v>
      </c>
      <c r="O94" s="204">
        <f t="shared" si="217"/>
        <v>941766.81563982985</v>
      </c>
      <c r="P94" s="204">
        <f t="shared" si="217"/>
        <v>941766.81563982985</v>
      </c>
      <c r="Q94" s="204">
        <f t="shared" si="217"/>
        <v>941766.81563982985</v>
      </c>
      <c r="R94" s="204">
        <f t="shared" si="217"/>
        <v>941766.81563982985</v>
      </c>
      <c r="S94" s="204">
        <f t="shared" si="217"/>
        <v>941766.81563982985</v>
      </c>
      <c r="T94" s="204">
        <f t="shared" si="217"/>
        <v>941766.81563982985</v>
      </c>
      <c r="U94" s="204">
        <f t="shared" si="217"/>
        <v>941766.81563982985</v>
      </c>
      <c r="V94" s="204">
        <f t="shared" si="217"/>
        <v>941766.81563982985</v>
      </c>
      <c r="W94" s="204">
        <f t="shared" si="217"/>
        <v>941766.81563982985</v>
      </c>
      <c r="X94" s="204">
        <f t="shared" si="217"/>
        <v>941766.81563982985</v>
      </c>
      <c r="Y94" s="204">
        <f t="shared" si="217"/>
        <v>941766.81563982985</v>
      </c>
      <c r="Z94" s="204">
        <f t="shared" si="217"/>
        <v>941766.81563982985</v>
      </c>
      <c r="AA94" s="204">
        <f t="shared" si="217"/>
        <v>941766.81563982985</v>
      </c>
      <c r="AB94" s="204">
        <f t="shared" si="217"/>
        <v>941766.81563982985</v>
      </c>
      <c r="AC94" s="204">
        <f t="shared" si="217"/>
        <v>941766.81563982985</v>
      </c>
      <c r="AD94" s="204">
        <f t="shared" ref="AD94:AH94" si="218">AD34</f>
        <v>745188.07795660035</v>
      </c>
      <c r="AE94" s="204">
        <f t="shared" si="218"/>
        <v>566480.13460820983</v>
      </c>
      <c r="AF94" s="204">
        <f t="shared" si="218"/>
        <v>404018.36792785494</v>
      </c>
      <c r="AG94" s="204">
        <f t="shared" si="218"/>
        <v>256325.85276389593</v>
      </c>
      <c r="AH94" s="204">
        <f t="shared" si="218"/>
        <v>122059.92988756951</v>
      </c>
    </row>
    <row r="95" spans="1:74" s="21" customFormat="1" x14ac:dyDescent="0.25">
      <c r="A95" s="203" t="s">
        <v>55</v>
      </c>
      <c r="B95" s="199" t="s">
        <v>37</v>
      </c>
      <c r="C95" s="204">
        <f t="shared" ref="C95:AC95" si="219">C26</f>
        <v>0</v>
      </c>
      <c r="D95" s="204">
        <f t="shared" si="219"/>
        <v>165824.91582491584</v>
      </c>
      <c r="E95" s="204">
        <f t="shared" si="219"/>
        <v>316574.83930211206</v>
      </c>
      <c r="F95" s="204">
        <f t="shared" si="219"/>
        <v>453620.22428138135</v>
      </c>
      <c r="G95" s="204">
        <f t="shared" si="219"/>
        <v>578206.93789889885</v>
      </c>
      <c r="H95" s="204">
        <f t="shared" si="219"/>
        <v>691467.58664209663</v>
      </c>
      <c r="I95" s="204">
        <f t="shared" si="219"/>
        <v>794431.81277227646</v>
      </c>
      <c r="J95" s="204">
        <f t="shared" si="219"/>
        <v>794431.81277227646</v>
      </c>
      <c r="K95" s="204">
        <f t="shared" si="219"/>
        <v>794431.81277227646</v>
      </c>
      <c r="L95" s="204">
        <f t="shared" si="219"/>
        <v>794431.81277227646</v>
      </c>
      <c r="M95" s="204">
        <f t="shared" si="219"/>
        <v>794431.81277227646</v>
      </c>
      <c r="N95" s="204">
        <f t="shared" si="219"/>
        <v>794431.81277227646</v>
      </c>
      <c r="O95" s="204">
        <f t="shared" si="219"/>
        <v>794431.81277227646</v>
      </c>
      <c r="P95" s="204">
        <f t="shared" si="219"/>
        <v>794431.81277227646</v>
      </c>
      <c r="Q95" s="204">
        <f t="shared" si="219"/>
        <v>794431.81277227646</v>
      </c>
      <c r="R95" s="204">
        <f t="shared" si="219"/>
        <v>794431.81277227646</v>
      </c>
      <c r="S95" s="204">
        <f t="shared" si="219"/>
        <v>794431.81277227646</v>
      </c>
      <c r="T95" s="204">
        <f t="shared" si="219"/>
        <v>794431.81277227646</v>
      </c>
      <c r="U95" s="204">
        <f t="shared" si="219"/>
        <v>794431.81277227646</v>
      </c>
      <c r="V95" s="204">
        <f t="shared" si="219"/>
        <v>794431.81277227646</v>
      </c>
      <c r="W95" s="204">
        <f t="shared" si="219"/>
        <v>794431.81277227646</v>
      </c>
      <c r="X95" s="204">
        <f t="shared" si="219"/>
        <v>794431.81277227646</v>
      </c>
      <c r="Y95" s="204">
        <f t="shared" si="219"/>
        <v>794431.81277227646</v>
      </c>
      <c r="Z95" s="204">
        <f t="shared" si="219"/>
        <v>794431.81277227646</v>
      </c>
      <c r="AA95" s="204">
        <f t="shared" si="219"/>
        <v>794431.81277227646</v>
      </c>
      <c r="AB95" s="204">
        <f t="shared" si="219"/>
        <v>794431.81277227646</v>
      </c>
      <c r="AC95" s="204">
        <f t="shared" si="219"/>
        <v>794431.81277227646</v>
      </c>
      <c r="AD95" s="204">
        <f t="shared" ref="AD95:AH95" si="220">AD26</f>
        <v>628606.8969473606</v>
      </c>
      <c r="AE95" s="204">
        <f t="shared" si="220"/>
        <v>477856.9734701644</v>
      </c>
      <c r="AF95" s="204">
        <f t="shared" si="220"/>
        <v>340811.58849089511</v>
      </c>
      <c r="AG95" s="204">
        <f t="shared" si="220"/>
        <v>216224.87487337762</v>
      </c>
      <c r="AH95" s="204">
        <f t="shared" si="220"/>
        <v>102964.22613017984</v>
      </c>
    </row>
    <row r="96" spans="1:74" s="21" customFormat="1" x14ac:dyDescent="0.25">
      <c r="A96" s="203" t="s">
        <v>56</v>
      </c>
      <c r="B96" s="199" t="s">
        <v>37</v>
      </c>
      <c r="C96" s="204">
        <f t="shared" ref="C96" si="221">C94-C95</f>
        <v>0</v>
      </c>
      <c r="D96" s="204">
        <f>D94-D95</f>
        <v>30753.821858313662</v>
      </c>
      <c r="E96" s="204">
        <f t="shared" ref="E96:AC96" si="222">E94-E95</f>
        <v>58711.84172950784</v>
      </c>
      <c r="F96" s="204">
        <f t="shared" si="222"/>
        <v>84128.223430593498</v>
      </c>
      <c r="G96" s="204">
        <f t="shared" si="222"/>
        <v>107234.02497703501</v>
      </c>
      <c r="H96" s="204">
        <f t="shared" si="222"/>
        <v>128239.2991101637</v>
      </c>
      <c r="I96" s="204">
        <f t="shared" si="222"/>
        <v>147335.00286755338</v>
      </c>
      <c r="J96" s="204">
        <f t="shared" si="222"/>
        <v>147335.00286755338</v>
      </c>
      <c r="K96" s="204">
        <f t="shared" si="222"/>
        <v>147335.00286755338</v>
      </c>
      <c r="L96" s="204">
        <f t="shared" si="222"/>
        <v>147335.00286755338</v>
      </c>
      <c r="M96" s="204">
        <f t="shared" si="222"/>
        <v>147335.00286755338</v>
      </c>
      <c r="N96" s="204">
        <f t="shared" si="222"/>
        <v>147335.00286755338</v>
      </c>
      <c r="O96" s="204">
        <f t="shared" si="222"/>
        <v>147335.00286755338</v>
      </c>
      <c r="P96" s="204">
        <f t="shared" si="222"/>
        <v>147335.00286755338</v>
      </c>
      <c r="Q96" s="204">
        <f t="shared" si="222"/>
        <v>147335.00286755338</v>
      </c>
      <c r="R96" s="204">
        <f t="shared" si="222"/>
        <v>147335.00286755338</v>
      </c>
      <c r="S96" s="204">
        <f t="shared" si="222"/>
        <v>147335.00286755338</v>
      </c>
      <c r="T96" s="204">
        <f t="shared" si="222"/>
        <v>147335.00286755338</v>
      </c>
      <c r="U96" s="204">
        <f t="shared" si="222"/>
        <v>147335.00286755338</v>
      </c>
      <c r="V96" s="204">
        <f t="shared" si="222"/>
        <v>147335.00286755338</v>
      </c>
      <c r="W96" s="204">
        <f t="shared" si="222"/>
        <v>147335.00286755338</v>
      </c>
      <c r="X96" s="204">
        <f t="shared" si="222"/>
        <v>147335.00286755338</v>
      </c>
      <c r="Y96" s="204">
        <f t="shared" si="222"/>
        <v>147335.00286755338</v>
      </c>
      <c r="Z96" s="204">
        <f t="shared" si="222"/>
        <v>147335.00286755338</v>
      </c>
      <c r="AA96" s="204">
        <f t="shared" si="222"/>
        <v>147335.00286755338</v>
      </c>
      <c r="AB96" s="204">
        <f t="shared" si="222"/>
        <v>147335.00286755338</v>
      </c>
      <c r="AC96" s="204">
        <f t="shared" si="222"/>
        <v>147335.00286755338</v>
      </c>
      <c r="AD96" s="204">
        <f t="shared" ref="AD96:AH96" si="223">AD94-AD95</f>
        <v>116581.18100923975</v>
      </c>
      <c r="AE96" s="204">
        <f t="shared" si="223"/>
        <v>88623.161138045427</v>
      </c>
      <c r="AF96" s="204">
        <f t="shared" si="223"/>
        <v>63206.779436959827</v>
      </c>
      <c r="AG96" s="204">
        <f t="shared" si="223"/>
        <v>40100.977890518319</v>
      </c>
      <c r="AH96" s="204">
        <f t="shared" si="223"/>
        <v>19095.703757389667</v>
      </c>
    </row>
    <row r="97" spans="1:34" s="21" customFormat="1" x14ac:dyDescent="0.25">
      <c r="A97" s="203" t="s">
        <v>57</v>
      </c>
      <c r="B97" s="199" t="s">
        <v>37</v>
      </c>
      <c r="C97" s="204">
        <f>C71</f>
        <v>0</v>
      </c>
      <c r="D97" s="204">
        <f t="shared" ref="D97:AC97" si="224">D71</f>
        <v>91203.703703703708</v>
      </c>
      <c r="E97" s="204">
        <f t="shared" si="224"/>
        <v>182407.40740740742</v>
      </c>
      <c r="F97" s="204">
        <f t="shared" si="224"/>
        <v>273611.11111111112</v>
      </c>
      <c r="G97" s="204">
        <f t="shared" si="224"/>
        <v>346574.0740740741</v>
      </c>
      <c r="H97" s="204">
        <f t="shared" si="224"/>
        <v>401296.29629629629</v>
      </c>
      <c r="I97" s="204">
        <f t="shared" si="224"/>
        <v>437777.77777777781</v>
      </c>
      <c r="J97" s="204">
        <f t="shared" si="224"/>
        <v>364814.81481481483</v>
      </c>
      <c r="K97" s="204">
        <f t="shared" si="224"/>
        <v>273611.11111111112</v>
      </c>
      <c r="L97" s="204">
        <f t="shared" si="224"/>
        <v>182407.40740740742</v>
      </c>
      <c r="M97" s="204">
        <f t="shared" si="224"/>
        <v>109444.44444444444</v>
      </c>
      <c r="N97" s="204">
        <f t="shared" si="224"/>
        <v>54722.222222222219</v>
      </c>
      <c r="O97" s="204">
        <f t="shared" si="224"/>
        <v>18240.740740740741</v>
      </c>
      <c r="P97" s="204">
        <f t="shared" si="224"/>
        <v>0</v>
      </c>
      <c r="Q97" s="204">
        <f t="shared" si="224"/>
        <v>0</v>
      </c>
      <c r="R97" s="204">
        <f t="shared" si="224"/>
        <v>0</v>
      </c>
      <c r="S97" s="204">
        <f t="shared" si="224"/>
        <v>0</v>
      </c>
      <c r="T97" s="204">
        <f t="shared" si="224"/>
        <v>0</v>
      </c>
      <c r="U97" s="204">
        <f t="shared" si="224"/>
        <v>0</v>
      </c>
      <c r="V97" s="204">
        <f t="shared" si="224"/>
        <v>0</v>
      </c>
      <c r="W97" s="204">
        <f t="shared" si="224"/>
        <v>0</v>
      </c>
      <c r="X97" s="204">
        <f t="shared" si="224"/>
        <v>0</v>
      </c>
      <c r="Y97" s="204">
        <f t="shared" si="224"/>
        <v>0</v>
      </c>
      <c r="Z97" s="204">
        <f t="shared" si="224"/>
        <v>0</v>
      </c>
      <c r="AA97" s="204">
        <f t="shared" si="224"/>
        <v>0</v>
      </c>
      <c r="AB97" s="204">
        <f t="shared" si="224"/>
        <v>0</v>
      </c>
      <c r="AC97" s="204">
        <f t="shared" si="224"/>
        <v>0</v>
      </c>
      <c r="AD97" s="204">
        <f t="shared" ref="AD97:AH97" si="225">AD71</f>
        <v>0</v>
      </c>
      <c r="AE97" s="204">
        <f t="shared" si="225"/>
        <v>0</v>
      </c>
      <c r="AF97" s="204">
        <f t="shared" si="225"/>
        <v>0</v>
      </c>
      <c r="AG97" s="204">
        <f t="shared" si="225"/>
        <v>0</v>
      </c>
      <c r="AH97" s="204">
        <f t="shared" si="225"/>
        <v>0</v>
      </c>
    </row>
    <row r="98" spans="1:34" s="21" customFormat="1" x14ac:dyDescent="0.25">
      <c r="A98" s="203" t="s">
        <v>58</v>
      </c>
      <c r="B98" s="199" t="s">
        <v>37</v>
      </c>
      <c r="C98" s="204">
        <f>C96-C97</f>
        <v>0</v>
      </c>
      <c r="D98" s="204">
        <f>D96-D97</f>
        <v>-60449.881845390046</v>
      </c>
      <c r="E98" s="204">
        <f t="shared" ref="E98:AC98" si="226">E96-E97</f>
        <v>-123695.56567789958</v>
      </c>
      <c r="F98" s="204">
        <f t="shared" si="226"/>
        <v>-189482.88768051763</v>
      </c>
      <c r="G98" s="204">
        <f t="shared" si="226"/>
        <v>-239340.0490970391</v>
      </c>
      <c r="H98" s="204">
        <f t="shared" si="226"/>
        <v>-273056.99718613259</v>
      </c>
      <c r="I98" s="204">
        <f t="shared" si="226"/>
        <v>-290442.77491022443</v>
      </c>
      <c r="J98" s="204">
        <f t="shared" si="226"/>
        <v>-217479.81194726145</v>
      </c>
      <c r="K98" s="204">
        <f t="shared" si="226"/>
        <v>-126276.10824355774</v>
      </c>
      <c r="L98" s="204">
        <f t="shared" si="226"/>
        <v>-35072.404539854033</v>
      </c>
      <c r="M98" s="204">
        <f t="shared" si="226"/>
        <v>37890.558423108945</v>
      </c>
      <c r="N98" s="204">
        <f t="shared" si="226"/>
        <v>92612.780645331164</v>
      </c>
      <c r="O98" s="204">
        <f t="shared" si="226"/>
        <v>129094.26212681264</v>
      </c>
      <c r="P98" s="204">
        <f t="shared" si="226"/>
        <v>147335.00286755338</v>
      </c>
      <c r="Q98" s="204">
        <f t="shared" si="226"/>
        <v>147335.00286755338</v>
      </c>
      <c r="R98" s="204">
        <f t="shared" si="226"/>
        <v>147335.00286755338</v>
      </c>
      <c r="S98" s="204">
        <f t="shared" si="226"/>
        <v>147335.00286755338</v>
      </c>
      <c r="T98" s="204">
        <f t="shared" si="226"/>
        <v>147335.00286755338</v>
      </c>
      <c r="U98" s="204">
        <f t="shared" si="226"/>
        <v>147335.00286755338</v>
      </c>
      <c r="V98" s="204">
        <f t="shared" si="226"/>
        <v>147335.00286755338</v>
      </c>
      <c r="W98" s="204">
        <f t="shared" si="226"/>
        <v>147335.00286755338</v>
      </c>
      <c r="X98" s="204">
        <f t="shared" si="226"/>
        <v>147335.00286755338</v>
      </c>
      <c r="Y98" s="204">
        <f t="shared" si="226"/>
        <v>147335.00286755338</v>
      </c>
      <c r="Z98" s="204">
        <f t="shared" si="226"/>
        <v>147335.00286755338</v>
      </c>
      <c r="AA98" s="204">
        <f t="shared" si="226"/>
        <v>147335.00286755338</v>
      </c>
      <c r="AB98" s="204">
        <f t="shared" si="226"/>
        <v>147335.00286755338</v>
      </c>
      <c r="AC98" s="204">
        <f t="shared" si="226"/>
        <v>147335.00286755338</v>
      </c>
      <c r="AD98" s="204">
        <f t="shared" ref="AD98:AH98" si="227">AD96-AD97</f>
        <v>116581.18100923975</v>
      </c>
      <c r="AE98" s="204">
        <f t="shared" si="227"/>
        <v>88623.161138045427</v>
      </c>
      <c r="AF98" s="204">
        <f t="shared" si="227"/>
        <v>63206.779436959827</v>
      </c>
      <c r="AG98" s="204">
        <f t="shared" si="227"/>
        <v>40100.977890518319</v>
      </c>
      <c r="AH98" s="204">
        <f t="shared" si="227"/>
        <v>19095.703757389667</v>
      </c>
    </row>
    <row r="99" spans="1:34" s="21" customFormat="1" x14ac:dyDescent="0.25">
      <c r="A99" s="200" t="s">
        <v>61</v>
      </c>
      <c r="B99" s="199" t="s">
        <v>37</v>
      </c>
      <c r="C99" s="204">
        <v>0</v>
      </c>
      <c r="D99" s="204">
        <v>0</v>
      </c>
      <c r="E99" s="204">
        <v>0</v>
      </c>
      <c r="F99" s="204">
        <v>0</v>
      </c>
      <c r="G99" s="204">
        <v>0</v>
      </c>
      <c r="H99" s="204">
        <v>0</v>
      </c>
      <c r="I99" s="204">
        <v>0</v>
      </c>
      <c r="J99" s="204">
        <v>0</v>
      </c>
      <c r="K99" s="204">
        <v>0</v>
      </c>
      <c r="L99" s="204">
        <v>0</v>
      </c>
      <c r="M99" s="204">
        <v>0</v>
      </c>
      <c r="N99" s="204">
        <v>0</v>
      </c>
      <c r="O99" s="204">
        <v>0</v>
      </c>
      <c r="P99" s="204">
        <v>0</v>
      </c>
      <c r="Q99" s="204">
        <v>0</v>
      </c>
      <c r="R99" s="204">
        <v>0</v>
      </c>
      <c r="S99" s="204">
        <v>0</v>
      </c>
      <c r="T99" s="204">
        <v>0</v>
      </c>
      <c r="U99" s="204">
        <v>0</v>
      </c>
      <c r="V99" s="204">
        <v>0</v>
      </c>
      <c r="W99" s="204">
        <v>0</v>
      </c>
      <c r="X99" s="204">
        <v>0</v>
      </c>
      <c r="Y99" s="204">
        <v>0</v>
      </c>
      <c r="Z99" s="204">
        <v>0</v>
      </c>
      <c r="AA99" s="204">
        <v>0</v>
      </c>
      <c r="AB99" s="204">
        <v>0</v>
      </c>
      <c r="AC99" s="204">
        <v>0</v>
      </c>
      <c r="AD99" s="204">
        <v>0</v>
      </c>
      <c r="AE99" s="204">
        <v>0</v>
      </c>
      <c r="AF99" s="204">
        <v>0</v>
      </c>
      <c r="AG99" s="204">
        <v>0</v>
      </c>
      <c r="AH99" s="204">
        <v>0</v>
      </c>
    </row>
    <row r="100" spans="1:34" s="21" customFormat="1" x14ac:dyDescent="0.25">
      <c r="A100" s="203" t="s">
        <v>59</v>
      </c>
      <c r="B100" s="199" t="s">
        <v>37</v>
      </c>
      <c r="C100" s="204">
        <f>C98+C99</f>
        <v>0</v>
      </c>
      <c r="D100" s="204">
        <f>D98+D99</f>
        <v>-60449.881845390046</v>
      </c>
      <c r="E100" s="204">
        <f t="shared" ref="E100:AC100" si="228">E98+E99</f>
        <v>-123695.56567789958</v>
      </c>
      <c r="F100" s="204">
        <f t="shared" si="228"/>
        <v>-189482.88768051763</v>
      </c>
      <c r="G100" s="204">
        <f t="shared" si="228"/>
        <v>-239340.0490970391</v>
      </c>
      <c r="H100" s="204">
        <f t="shared" si="228"/>
        <v>-273056.99718613259</v>
      </c>
      <c r="I100" s="204">
        <f t="shared" si="228"/>
        <v>-290442.77491022443</v>
      </c>
      <c r="J100" s="204">
        <f t="shared" si="228"/>
        <v>-217479.81194726145</v>
      </c>
      <c r="K100" s="204">
        <f t="shared" si="228"/>
        <v>-126276.10824355774</v>
      </c>
      <c r="L100" s="204">
        <f t="shared" si="228"/>
        <v>-35072.404539854033</v>
      </c>
      <c r="M100" s="204">
        <f t="shared" si="228"/>
        <v>37890.558423108945</v>
      </c>
      <c r="N100" s="204">
        <f t="shared" si="228"/>
        <v>92612.780645331164</v>
      </c>
      <c r="O100" s="204">
        <f t="shared" si="228"/>
        <v>129094.26212681264</v>
      </c>
      <c r="P100" s="204">
        <f t="shared" si="228"/>
        <v>147335.00286755338</v>
      </c>
      <c r="Q100" s="204">
        <f t="shared" si="228"/>
        <v>147335.00286755338</v>
      </c>
      <c r="R100" s="204">
        <f t="shared" si="228"/>
        <v>147335.00286755338</v>
      </c>
      <c r="S100" s="204">
        <f t="shared" si="228"/>
        <v>147335.00286755338</v>
      </c>
      <c r="T100" s="204">
        <f t="shared" si="228"/>
        <v>147335.00286755338</v>
      </c>
      <c r="U100" s="204">
        <f t="shared" si="228"/>
        <v>147335.00286755338</v>
      </c>
      <c r="V100" s="204">
        <f t="shared" si="228"/>
        <v>147335.00286755338</v>
      </c>
      <c r="W100" s="204">
        <f t="shared" si="228"/>
        <v>147335.00286755338</v>
      </c>
      <c r="X100" s="204">
        <f t="shared" si="228"/>
        <v>147335.00286755338</v>
      </c>
      <c r="Y100" s="204">
        <f t="shared" si="228"/>
        <v>147335.00286755338</v>
      </c>
      <c r="Z100" s="204">
        <f t="shared" si="228"/>
        <v>147335.00286755338</v>
      </c>
      <c r="AA100" s="204">
        <f t="shared" si="228"/>
        <v>147335.00286755338</v>
      </c>
      <c r="AB100" s="204">
        <f t="shared" si="228"/>
        <v>147335.00286755338</v>
      </c>
      <c r="AC100" s="204">
        <f t="shared" si="228"/>
        <v>147335.00286755338</v>
      </c>
      <c r="AD100" s="204">
        <f t="shared" ref="AD100:AH100" si="229">AD98+AD99</f>
        <v>116581.18100923975</v>
      </c>
      <c r="AE100" s="204">
        <f t="shared" si="229"/>
        <v>88623.161138045427</v>
      </c>
      <c r="AF100" s="204">
        <f t="shared" si="229"/>
        <v>63206.779436959827</v>
      </c>
      <c r="AG100" s="204">
        <f t="shared" si="229"/>
        <v>40100.977890518319</v>
      </c>
      <c r="AH100" s="204">
        <f t="shared" si="229"/>
        <v>19095.703757389667</v>
      </c>
    </row>
    <row r="101" spans="1:34" s="21" customFormat="1" x14ac:dyDescent="0.25">
      <c r="A101" s="200" t="s">
        <v>62</v>
      </c>
      <c r="B101" s="199" t="s">
        <v>37</v>
      </c>
      <c r="C101" s="204">
        <f>IF(C100*$B$17&gt;0,C100*$B$17,0)</f>
        <v>0</v>
      </c>
      <c r="D101" s="204">
        <f>IF(D100*$B$17&gt;0,D100*$B$17,0)</f>
        <v>0</v>
      </c>
      <c r="E101" s="204">
        <f t="shared" ref="E101:AC101" si="230">IF(E100*$B$17&gt;0,E100*$B$17,0)</f>
        <v>0</v>
      </c>
      <c r="F101" s="204">
        <f t="shared" si="230"/>
        <v>0</v>
      </c>
      <c r="G101" s="204">
        <f t="shared" si="230"/>
        <v>0</v>
      </c>
      <c r="H101" s="204">
        <f t="shared" si="230"/>
        <v>0</v>
      </c>
      <c r="I101" s="204">
        <f t="shared" si="230"/>
        <v>0</v>
      </c>
      <c r="J101" s="204">
        <f t="shared" si="230"/>
        <v>0</v>
      </c>
      <c r="K101" s="204">
        <f t="shared" si="230"/>
        <v>0</v>
      </c>
      <c r="L101" s="204">
        <f t="shared" si="230"/>
        <v>0</v>
      </c>
      <c r="M101" s="204">
        <f t="shared" si="230"/>
        <v>5115.2253871197081</v>
      </c>
      <c r="N101" s="204">
        <f t="shared" si="230"/>
        <v>12502.725387119708</v>
      </c>
      <c r="O101" s="204">
        <f t="shared" si="230"/>
        <v>17427.725387119706</v>
      </c>
      <c r="P101" s="204">
        <f t="shared" si="230"/>
        <v>19890.225387119706</v>
      </c>
      <c r="Q101" s="204">
        <f t="shared" si="230"/>
        <v>19890.225387119706</v>
      </c>
      <c r="R101" s="204">
        <f t="shared" si="230"/>
        <v>19890.225387119706</v>
      </c>
      <c r="S101" s="204">
        <f t="shared" si="230"/>
        <v>19890.225387119706</v>
      </c>
      <c r="T101" s="204">
        <f t="shared" si="230"/>
        <v>19890.225387119706</v>
      </c>
      <c r="U101" s="204">
        <f t="shared" si="230"/>
        <v>19890.225387119706</v>
      </c>
      <c r="V101" s="204">
        <f t="shared" si="230"/>
        <v>19890.225387119706</v>
      </c>
      <c r="W101" s="204">
        <f t="shared" si="230"/>
        <v>19890.225387119706</v>
      </c>
      <c r="X101" s="204">
        <f t="shared" si="230"/>
        <v>19890.225387119706</v>
      </c>
      <c r="Y101" s="204">
        <f t="shared" si="230"/>
        <v>19890.225387119706</v>
      </c>
      <c r="Z101" s="204">
        <f t="shared" si="230"/>
        <v>19890.225387119706</v>
      </c>
      <c r="AA101" s="204">
        <f t="shared" si="230"/>
        <v>19890.225387119706</v>
      </c>
      <c r="AB101" s="204">
        <f t="shared" si="230"/>
        <v>19890.225387119706</v>
      </c>
      <c r="AC101" s="204">
        <f t="shared" si="230"/>
        <v>19890.225387119706</v>
      </c>
      <c r="AD101" s="204">
        <f t="shared" ref="AD101:AH101" si="231">IF(AD100*$B$17&gt;0,AD100*$B$17,0)</f>
        <v>15738.459436247367</v>
      </c>
      <c r="AE101" s="204">
        <f t="shared" si="231"/>
        <v>11964.126753636134</v>
      </c>
      <c r="AF101" s="204">
        <f t="shared" si="231"/>
        <v>8532.9152239895775</v>
      </c>
      <c r="AG101" s="204">
        <f t="shared" si="231"/>
        <v>5413.6320152199733</v>
      </c>
      <c r="AH101" s="204">
        <f t="shared" si="231"/>
        <v>2577.9200072476051</v>
      </c>
    </row>
    <row r="102" spans="1:34" s="21" customFormat="1" x14ac:dyDescent="0.25">
      <c r="A102" s="203" t="s">
        <v>63</v>
      </c>
      <c r="B102" s="199" t="s">
        <v>37</v>
      </c>
      <c r="C102" s="204">
        <f>C100-C101</f>
        <v>0</v>
      </c>
      <c r="D102" s="204">
        <f>D100-D101</f>
        <v>-60449.881845390046</v>
      </c>
      <c r="E102" s="204">
        <f t="shared" ref="E102:AC102" si="232">E100-E101</f>
        <v>-123695.56567789958</v>
      </c>
      <c r="F102" s="204">
        <f t="shared" si="232"/>
        <v>-189482.88768051763</v>
      </c>
      <c r="G102" s="204">
        <f t="shared" si="232"/>
        <v>-239340.0490970391</v>
      </c>
      <c r="H102" s="204">
        <f t="shared" si="232"/>
        <v>-273056.99718613259</v>
      </c>
      <c r="I102" s="204">
        <f t="shared" si="232"/>
        <v>-290442.77491022443</v>
      </c>
      <c r="J102" s="204">
        <f t="shared" si="232"/>
        <v>-217479.81194726145</v>
      </c>
      <c r="K102" s="204">
        <f t="shared" si="232"/>
        <v>-126276.10824355774</v>
      </c>
      <c r="L102" s="204">
        <f t="shared" si="232"/>
        <v>-35072.404539854033</v>
      </c>
      <c r="M102" s="204">
        <f t="shared" si="232"/>
        <v>32775.333035989235</v>
      </c>
      <c r="N102" s="204">
        <f t="shared" si="232"/>
        <v>80110.055258211461</v>
      </c>
      <c r="O102" s="204">
        <f t="shared" si="232"/>
        <v>111666.53673969294</v>
      </c>
      <c r="P102" s="204">
        <f t="shared" si="232"/>
        <v>127444.77748043368</v>
      </c>
      <c r="Q102" s="204">
        <f t="shared" si="232"/>
        <v>127444.77748043368</v>
      </c>
      <c r="R102" s="204">
        <f t="shared" si="232"/>
        <v>127444.77748043368</v>
      </c>
      <c r="S102" s="204">
        <f t="shared" si="232"/>
        <v>127444.77748043368</v>
      </c>
      <c r="T102" s="204">
        <f t="shared" si="232"/>
        <v>127444.77748043368</v>
      </c>
      <c r="U102" s="204">
        <f t="shared" si="232"/>
        <v>127444.77748043368</v>
      </c>
      <c r="V102" s="204">
        <f t="shared" si="232"/>
        <v>127444.77748043368</v>
      </c>
      <c r="W102" s="204">
        <f t="shared" si="232"/>
        <v>127444.77748043368</v>
      </c>
      <c r="X102" s="204">
        <f t="shared" si="232"/>
        <v>127444.77748043368</v>
      </c>
      <c r="Y102" s="204">
        <f t="shared" si="232"/>
        <v>127444.77748043368</v>
      </c>
      <c r="Z102" s="204">
        <f t="shared" si="232"/>
        <v>127444.77748043368</v>
      </c>
      <c r="AA102" s="204">
        <f t="shared" si="232"/>
        <v>127444.77748043368</v>
      </c>
      <c r="AB102" s="204">
        <f t="shared" si="232"/>
        <v>127444.77748043368</v>
      </c>
      <c r="AC102" s="204">
        <f t="shared" si="232"/>
        <v>127444.77748043368</v>
      </c>
      <c r="AD102" s="204">
        <f t="shared" ref="AD102:AH102" si="233">AD100-AD101</f>
        <v>100842.72157299238</v>
      </c>
      <c r="AE102" s="204">
        <f t="shared" si="233"/>
        <v>76659.034384409286</v>
      </c>
      <c r="AF102" s="204">
        <f t="shared" si="233"/>
        <v>54673.864212970249</v>
      </c>
      <c r="AG102" s="204">
        <f t="shared" si="233"/>
        <v>34687.345875298342</v>
      </c>
      <c r="AH102" s="204">
        <f t="shared" si="233"/>
        <v>16517.783750142062</v>
      </c>
    </row>
    <row r="103" spans="1:34" s="21" customFormat="1" x14ac:dyDescent="0.25">
      <c r="A103" s="198" t="s">
        <v>64</v>
      </c>
      <c r="B103" s="199" t="s">
        <v>37</v>
      </c>
      <c r="C103" s="204">
        <f>C102-C72</f>
        <v>-1824074.0740740739</v>
      </c>
      <c r="D103" s="204">
        <f t="shared" ref="D103:AC103" si="234">D102-D72</f>
        <v>-1884523.9559194639</v>
      </c>
      <c r="E103" s="204">
        <f t="shared" si="234"/>
        <v>-1947769.6397519736</v>
      </c>
      <c r="F103" s="204">
        <f t="shared" si="234"/>
        <v>-2013556.9617545917</v>
      </c>
      <c r="G103" s="204">
        <f t="shared" si="234"/>
        <v>-2063414.1231711132</v>
      </c>
      <c r="H103" s="204">
        <f t="shared" si="234"/>
        <v>-2097131.0712602069</v>
      </c>
      <c r="I103" s="204">
        <f t="shared" si="234"/>
        <v>-290442.77491022443</v>
      </c>
      <c r="J103" s="204">
        <f t="shared" si="234"/>
        <v>-217479.81194726145</v>
      </c>
      <c r="K103" s="204">
        <f t="shared" si="234"/>
        <v>-126276.10824355774</v>
      </c>
      <c r="L103" s="204">
        <f t="shared" si="234"/>
        <v>-35072.404539854033</v>
      </c>
      <c r="M103" s="204">
        <f t="shared" si="234"/>
        <v>32775.333035989235</v>
      </c>
      <c r="N103" s="204">
        <f t="shared" si="234"/>
        <v>80110.055258211461</v>
      </c>
      <c r="O103" s="204">
        <f t="shared" si="234"/>
        <v>111666.53673969294</v>
      </c>
      <c r="P103" s="204">
        <f t="shared" si="234"/>
        <v>127444.77748043368</v>
      </c>
      <c r="Q103" s="204">
        <f t="shared" si="234"/>
        <v>127444.77748043368</v>
      </c>
      <c r="R103" s="204">
        <f t="shared" si="234"/>
        <v>127444.77748043368</v>
      </c>
      <c r="S103" s="204">
        <f t="shared" si="234"/>
        <v>127444.77748043368</v>
      </c>
      <c r="T103" s="204">
        <f t="shared" si="234"/>
        <v>127444.77748043368</v>
      </c>
      <c r="U103" s="204">
        <f t="shared" si="234"/>
        <v>127444.77748043368</v>
      </c>
      <c r="V103" s="204">
        <f t="shared" si="234"/>
        <v>127444.77748043368</v>
      </c>
      <c r="W103" s="204">
        <f t="shared" si="234"/>
        <v>127444.77748043368</v>
      </c>
      <c r="X103" s="204">
        <f t="shared" si="234"/>
        <v>127444.77748043368</v>
      </c>
      <c r="Y103" s="204">
        <f t="shared" si="234"/>
        <v>127444.77748043368</v>
      </c>
      <c r="Z103" s="204">
        <f t="shared" si="234"/>
        <v>127444.77748043368</v>
      </c>
      <c r="AA103" s="204">
        <f t="shared" si="234"/>
        <v>127444.77748043368</v>
      </c>
      <c r="AB103" s="204">
        <f t="shared" si="234"/>
        <v>127444.77748043368</v>
      </c>
      <c r="AC103" s="204">
        <f t="shared" si="234"/>
        <v>127444.77748043368</v>
      </c>
      <c r="AD103" s="204">
        <f t="shared" ref="AD103:AH103" si="235">AD102-AD72</f>
        <v>100842.72157299238</v>
      </c>
      <c r="AE103" s="204">
        <f t="shared" si="235"/>
        <v>76659.034384409286</v>
      </c>
      <c r="AF103" s="204">
        <f t="shared" si="235"/>
        <v>54673.864212970249</v>
      </c>
      <c r="AG103" s="204">
        <f t="shared" si="235"/>
        <v>34687.345875298342</v>
      </c>
      <c r="AH103" s="204">
        <f t="shared" si="235"/>
        <v>16517.783750142062</v>
      </c>
    </row>
    <row r="104" spans="1:34" s="21" customFormat="1" x14ac:dyDescent="0.25">
      <c r="A104" s="202" t="s">
        <v>65</v>
      </c>
      <c r="B104" s="201" t="s">
        <v>37</v>
      </c>
      <c r="C104" s="204">
        <f t="shared" ref="C104:AC104" si="236">C103+C31+C32</f>
        <v>-1824074.0740740739</v>
      </c>
      <c r="D104" s="204">
        <f t="shared" si="236"/>
        <v>-1653275.1138075683</v>
      </c>
      <c r="E104" s="204">
        <f t="shared" si="236"/>
        <v>-1504629.639868096</v>
      </c>
      <c r="F104" s="204">
        <f t="shared" si="236"/>
        <v>-1376136.1319293077</v>
      </c>
      <c r="G104" s="204">
        <f t="shared" si="236"/>
        <v>-1247730.910476967</v>
      </c>
      <c r="H104" s="204">
        <f t="shared" si="236"/>
        <v>-1117753.5505281275</v>
      </c>
      <c r="I104" s="204">
        <f t="shared" si="236"/>
        <v>839382.55320098612</v>
      </c>
      <c r="J104" s="204">
        <f t="shared" si="236"/>
        <v>917072.64608302095</v>
      </c>
      <c r="K104" s="204">
        <f t="shared" si="236"/>
        <v>1013121.6579537734</v>
      </c>
      <c r="L104" s="204">
        <f t="shared" si="236"/>
        <v>1109291.802528702</v>
      </c>
      <c r="M104" s="204">
        <f t="shared" si="236"/>
        <v>1182230.1419975508</v>
      </c>
      <c r="N104" s="204">
        <f t="shared" si="236"/>
        <v>1234782.7311601038</v>
      </c>
      <c r="O104" s="204">
        <f t="shared" si="236"/>
        <v>1271687.5262554241</v>
      </c>
      <c r="P104" s="204">
        <f t="shared" si="236"/>
        <v>1292947.7884503498</v>
      </c>
      <c r="Q104" s="204">
        <f t="shared" si="236"/>
        <v>1298566.8604408894</v>
      </c>
      <c r="R104" s="204">
        <f t="shared" si="236"/>
        <v>1304326.4092311924</v>
      </c>
      <c r="S104" s="204">
        <f t="shared" si="236"/>
        <v>1310229.9467412529</v>
      </c>
      <c r="T104" s="204">
        <f t="shared" si="236"/>
        <v>1316281.0726890652</v>
      </c>
      <c r="U104" s="204">
        <f t="shared" si="236"/>
        <v>1322483.4767855725</v>
      </c>
      <c r="V104" s="204">
        <f t="shared" si="236"/>
        <v>1328840.9409844927</v>
      </c>
      <c r="W104" s="204">
        <f t="shared" si="236"/>
        <v>1335357.3417883858</v>
      </c>
      <c r="X104" s="204">
        <f t="shared" si="236"/>
        <v>1342036.6526123763</v>
      </c>
      <c r="Y104" s="204">
        <f t="shared" si="236"/>
        <v>1348882.9462069664</v>
      </c>
      <c r="Z104" s="204">
        <f t="shared" si="236"/>
        <v>1355900.3971414214</v>
      </c>
      <c r="AA104" s="204">
        <f t="shared" si="236"/>
        <v>1363093.2843492378</v>
      </c>
      <c r="AB104" s="204">
        <f t="shared" si="236"/>
        <v>1370465.9937372494</v>
      </c>
      <c r="AC104" s="204">
        <f t="shared" si="236"/>
        <v>1068184.9088287672</v>
      </c>
      <c r="AD104" s="204">
        <f t="shared" ref="AD104:AH104" si="237">AD103+AD31+AD32</f>
        <v>845218.41913866915</v>
      </c>
      <c r="AE104" s="204">
        <f t="shared" si="237"/>
        <v>642521.61032948899</v>
      </c>
      <c r="AF104" s="204">
        <f t="shared" si="237"/>
        <v>458251.78413932532</v>
      </c>
      <c r="AG104" s="204">
        <f t="shared" si="237"/>
        <v>290733.76033008558</v>
      </c>
      <c r="AH104" s="204">
        <f t="shared" si="237"/>
        <v>138444.64777623126</v>
      </c>
    </row>
    <row r="105" spans="1:34" customFormat="1" x14ac:dyDescent="0.25">
      <c r="A105" s="58"/>
      <c r="B105" s="20"/>
      <c r="C105" s="11"/>
    </row>
    <row r="106" spans="1:34" customFormat="1" ht="13.5" customHeight="1" x14ac:dyDescent="0.25">
      <c r="A106" s="207" t="s">
        <v>66</v>
      </c>
      <c r="B106" s="208" t="s">
        <v>12</v>
      </c>
      <c r="C106" s="209">
        <f>SUM(C72:AB72)</f>
        <v>10944444.444444444</v>
      </c>
    </row>
    <row r="107" spans="1:34" x14ac:dyDescent="0.25">
      <c r="A107" s="34"/>
      <c r="B107" s="20"/>
    </row>
    <row r="108" spans="1:34" x14ac:dyDescent="0.25">
      <c r="A108" s="205" t="s">
        <v>114</v>
      </c>
      <c r="B108" s="206" t="s">
        <v>67</v>
      </c>
      <c r="C108" s="216" t="e">
        <f>(C102+C71+C70)/(C70+C71)</f>
        <v>#DIV/0!</v>
      </c>
      <c r="D108" s="216">
        <f>(D102+D71+D70)/(D70+D71)</f>
        <v>0.3371992650454696</v>
      </c>
      <c r="E108" s="216">
        <f t="shared" ref="E108:G108" si="238">(E102+E71+E70)/(E70+E71)</f>
        <v>0.32187202572522061</v>
      </c>
      <c r="F108" s="216">
        <f t="shared" si="238"/>
        <v>0.70320301857148804</v>
      </c>
      <c r="G108" s="216">
        <f t="shared" si="238"/>
        <v>0.77760711260018744</v>
      </c>
      <c r="H108" s="216">
        <f>(H102+H71+H70)/(H70+H71)</f>
        <v>0.81744363194191949</v>
      </c>
      <c r="I108" s="216">
        <f>(I102+I71+I70)/(I70+I71)</f>
        <v>0.84689662392471576</v>
      </c>
      <c r="J108" s="216">
        <f t="shared" ref="J108:N108" si="239">(J102+J71+J70)/(J70+J71)</f>
        <v>0.90064374073475351</v>
      </c>
      <c r="K108" s="216">
        <f t="shared" si="239"/>
        <v>0.93980216424496033</v>
      </c>
      <c r="L108" s="216">
        <f t="shared" si="239"/>
        <v>0.97863609875744928</v>
      </c>
      <c r="M108" s="216">
        <f t="shared" si="239"/>
        <v>1.0272245498222337</v>
      </c>
      <c r="N108" s="216">
        <f t="shared" si="239"/>
        <v>1.1021353555411031</v>
      </c>
      <c r="O108" s="216">
        <f>(O102+O71+O70)/(O70+O71)</f>
        <v>1.2915152518222586</v>
      </c>
      <c r="P108" s="216" t="e">
        <f t="shared" ref="P108:AB108" si="240">(P102+P71+P70)/(P70+P71)</f>
        <v>#DIV/0!</v>
      </c>
      <c r="Q108" s="216" t="e">
        <f t="shared" si="240"/>
        <v>#DIV/0!</v>
      </c>
      <c r="R108" s="216" t="e">
        <f t="shared" si="240"/>
        <v>#DIV/0!</v>
      </c>
      <c r="S108" s="216" t="e">
        <f t="shared" si="240"/>
        <v>#DIV/0!</v>
      </c>
      <c r="T108" s="216" t="e">
        <f t="shared" si="240"/>
        <v>#DIV/0!</v>
      </c>
      <c r="U108" s="216" t="e">
        <f t="shared" si="240"/>
        <v>#DIV/0!</v>
      </c>
      <c r="V108" s="216" t="e">
        <f t="shared" si="240"/>
        <v>#DIV/0!</v>
      </c>
      <c r="W108" s="216" t="e">
        <f t="shared" si="240"/>
        <v>#DIV/0!</v>
      </c>
      <c r="X108" s="216" t="e">
        <f t="shared" si="240"/>
        <v>#DIV/0!</v>
      </c>
      <c r="Y108" s="216" t="e">
        <f t="shared" si="240"/>
        <v>#DIV/0!</v>
      </c>
      <c r="Z108" s="216" t="e">
        <f t="shared" si="240"/>
        <v>#DIV/0!</v>
      </c>
      <c r="AA108" s="216" t="e">
        <f t="shared" si="240"/>
        <v>#DIV/0!</v>
      </c>
      <c r="AB108" s="216" t="e">
        <f t="shared" si="240"/>
        <v>#DIV/0!</v>
      </c>
      <c r="AC108" s="216" t="e">
        <f t="shared" ref="AC108:AD108" si="241">(AC102+AC71+AC70)/(AC70+AC71)</f>
        <v>#DIV/0!</v>
      </c>
      <c r="AD108" s="216" t="e">
        <f t="shared" si="241"/>
        <v>#DIV/0!</v>
      </c>
      <c r="AE108" s="216" t="e">
        <f t="shared" ref="AE108:AH108" si="242">(AE102+AE71+AE70)/(AE70+AE71)</f>
        <v>#DIV/0!</v>
      </c>
      <c r="AF108" s="216" t="e">
        <f t="shared" si="242"/>
        <v>#DIV/0!</v>
      </c>
      <c r="AG108" s="216" t="e">
        <f t="shared" si="242"/>
        <v>#DIV/0!</v>
      </c>
      <c r="AH108" s="216" t="e">
        <f t="shared" si="242"/>
        <v>#DIV/0!</v>
      </c>
    </row>
    <row r="109" spans="1:34" x14ac:dyDescent="0.25">
      <c r="A109" s="205" t="s">
        <v>115</v>
      </c>
      <c r="B109" s="206" t="s">
        <v>67</v>
      </c>
      <c r="C109" s="216">
        <f>AVERAGE(D108:O108)</f>
        <v>0.83701490322764671</v>
      </c>
      <c r="D109" s="217"/>
      <c r="E109" s="217"/>
      <c r="F109" s="217"/>
      <c r="G109" s="217"/>
      <c r="H109" s="217"/>
      <c r="I109" s="217"/>
      <c r="J109" s="217"/>
      <c r="K109" s="217"/>
      <c r="L109" s="217"/>
      <c r="M109" s="217"/>
      <c r="N109" s="217"/>
      <c r="O109" s="217"/>
      <c r="P109" s="217"/>
      <c r="Q109" s="217"/>
      <c r="R109" s="217"/>
      <c r="S109" s="217"/>
      <c r="T109" s="217"/>
      <c r="U109" s="217"/>
      <c r="V109" s="217"/>
      <c r="W109" s="217"/>
      <c r="X109" s="217"/>
      <c r="Y109" s="217"/>
      <c r="Z109" s="217"/>
      <c r="AA109" s="217"/>
      <c r="AB109" s="217"/>
      <c r="AC109" s="217"/>
      <c r="AD109" s="217"/>
      <c r="AE109" s="217"/>
      <c r="AF109" s="217"/>
      <c r="AG109" s="217"/>
      <c r="AH109" s="217"/>
    </row>
    <row r="110" spans="1:34" x14ac:dyDescent="0.25">
      <c r="A110" s="205" t="s">
        <v>116</v>
      </c>
      <c r="B110" s="206" t="s">
        <v>67</v>
      </c>
      <c r="C110" s="216" t="e">
        <f t="shared" ref="C110:AC110" si="243">(C102+C71*$C15+C70)/(C70+C71*$C15)</f>
        <v>#DIV/0!</v>
      </c>
      <c r="D110" s="216">
        <f t="shared" si="243"/>
        <v>0.3371992650454696</v>
      </c>
      <c r="E110" s="216">
        <f t="shared" si="243"/>
        <v>0.32187202572522061</v>
      </c>
      <c r="F110" s="216">
        <f t="shared" si="243"/>
        <v>0.70320301857148804</v>
      </c>
      <c r="G110" s="216">
        <f t="shared" si="243"/>
        <v>0.77760711260018744</v>
      </c>
      <c r="H110" s="216">
        <f t="shared" si="243"/>
        <v>0.81744363194191949</v>
      </c>
      <c r="I110" s="216">
        <f t="shared" si="243"/>
        <v>0.84689662392471576</v>
      </c>
      <c r="J110" s="216">
        <f t="shared" si="243"/>
        <v>0.90064374073475351</v>
      </c>
      <c r="K110" s="216">
        <f t="shared" si="243"/>
        <v>0.93980216424496033</v>
      </c>
      <c r="L110" s="216">
        <f t="shared" si="243"/>
        <v>0.97863609875744928</v>
      </c>
      <c r="M110" s="216">
        <f t="shared" si="243"/>
        <v>1.0272245498222337</v>
      </c>
      <c r="N110" s="216">
        <f t="shared" si="243"/>
        <v>1.1021353555411031</v>
      </c>
      <c r="O110" s="216">
        <f t="shared" si="243"/>
        <v>1.2915152518222586</v>
      </c>
      <c r="P110" s="216" t="e">
        <f t="shared" si="243"/>
        <v>#DIV/0!</v>
      </c>
      <c r="Q110" s="216" t="e">
        <f t="shared" si="243"/>
        <v>#DIV/0!</v>
      </c>
      <c r="R110" s="216" t="e">
        <f t="shared" si="243"/>
        <v>#DIV/0!</v>
      </c>
      <c r="S110" s="216" t="e">
        <f t="shared" si="243"/>
        <v>#DIV/0!</v>
      </c>
      <c r="T110" s="216" t="e">
        <f t="shared" si="243"/>
        <v>#DIV/0!</v>
      </c>
      <c r="U110" s="216" t="e">
        <f t="shared" si="243"/>
        <v>#DIV/0!</v>
      </c>
      <c r="V110" s="216" t="e">
        <f t="shared" si="243"/>
        <v>#DIV/0!</v>
      </c>
      <c r="W110" s="216" t="e">
        <f t="shared" si="243"/>
        <v>#DIV/0!</v>
      </c>
      <c r="X110" s="216" t="e">
        <f t="shared" si="243"/>
        <v>#DIV/0!</v>
      </c>
      <c r="Y110" s="216" t="e">
        <f t="shared" si="243"/>
        <v>#DIV/0!</v>
      </c>
      <c r="Z110" s="216" t="e">
        <f t="shared" si="243"/>
        <v>#DIV/0!</v>
      </c>
      <c r="AA110" s="216" t="e">
        <f t="shared" si="243"/>
        <v>#DIV/0!</v>
      </c>
      <c r="AB110" s="216" t="e">
        <f t="shared" si="243"/>
        <v>#DIV/0!</v>
      </c>
      <c r="AC110" s="216" t="e">
        <f t="shared" si="243"/>
        <v>#DIV/0!</v>
      </c>
      <c r="AD110" s="216" t="e">
        <f t="shared" ref="AD110:AH110" si="244">(AD102+AD71*$C15+AD70)/(AD70+AD71*$C15)</f>
        <v>#DIV/0!</v>
      </c>
      <c r="AE110" s="216" t="e">
        <f t="shared" si="244"/>
        <v>#DIV/0!</v>
      </c>
      <c r="AF110" s="216" t="e">
        <f t="shared" si="244"/>
        <v>#DIV/0!</v>
      </c>
      <c r="AG110" s="216" t="e">
        <f t="shared" si="244"/>
        <v>#DIV/0!</v>
      </c>
      <c r="AH110" s="216" t="e">
        <f t="shared" si="244"/>
        <v>#DIV/0!</v>
      </c>
    </row>
    <row r="111" spans="1:34" x14ac:dyDescent="0.25">
      <c r="A111" s="205" t="s">
        <v>117</v>
      </c>
      <c r="B111" s="206" t="s">
        <v>67</v>
      </c>
      <c r="C111" s="216">
        <f>AVERAGE(D110:O110)</f>
        <v>0.83701490322764671</v>
      </c>
      <c r="D111" s="217"/>
      <c r="E111" s="217"/>
      <c r="F111" s="217"/>
      <c r="G111" s="217"/>
      <c r="H111" s="217"/>
      <c r="I111" s="217"/>
      <c r="J111" s="217"/>
      <c r="K111" s="217"/>
      <c r="L111" s="217"/>
      <c r="M111" s="217"/>
      <c r="N111" s="217"/>
      <c r="O111" s="217"/>
      <c r="P111" s="217"/>
      <c r="Q111" s="217"/>
      <c r="R111" s="217"/>
      <c r="S111" s="217"/>
      <c r="T111" s="217"/>
      <c r="U111" s="217"/>
      <c r="V111" s="217"/>
      <c r="W111" s="217"/>
      <c r="X111" s="217"/>
      <c r="Y111" s="217"/>
      <c r="Z111" s="217"/>
      <c r="AA111" s="217"/>
      <c r="AB111" s="217"/>
      <c r="AC111" s="217"/>
      <c r="AD111" s="217"/>
      <c r="AE111" s="217"/>
      <c r="AF111" s="217"/>
      <c r="AG111" s="217"/>
      <c r="AH111" s="217"/>
    </row>
    <row r="112" spans="1:34" x14ac:dyDescent="0.25">
      <c r="A112" s="205" t="s">
        <v>118</v>
      </c>
      <c r="B112" s="206" t="s">
        <v>67</v>
      </c>
      <c r="C112" s="216" t="e">
        <f t="shared" ref="C112:AC112" si="245">(C102+C71*$C16+C70)/(C70+C71*$C16)</f>
        <v>#DIV/0!</v>
      </c>
      <c r="D112" s="216">
        <f t="shared" si="245"/>
        <v>0.3371992650454696</v>
      </c>
      <c r="E112" s="216">
        <f t="shared" si="245"/>
        <v>0.32187202572522061</v>
      </c>
      <c r="F112" s="216">
        <f t="shared" si="245"/>
        <v>0.70320301857148804</v>
      </c>
      <c r="G112" s="216">
        <f t="shared" si="245"/>
        <v>0.77760711260018744</v>
      </c>
      <c r="H112" s="216">
        <f t="shared" si="245"/>
        <v>0.81744363194191949</v>
      </c>
      <c r="I112" s="216">
        <f t="shared" si="245"/>
        <v>0.84689662392471576</v>
      </c>
      <c r="J112" s="216">
        <f t="shared" si="245"/>
        <v>0.90064374073475351</v>
      </c>
      <c r="K112" s="216">
        <f t="shared" si="245"/>
        <v>0.93980216424496033</v>
      </c>
      <c r="L112" s="216">
        <f t="shared" si="245"/>
        <v>0.97863609875744928</v>
      </c>
      <c r="M112" s="216">
        <f t="shared" si="245"/>
        <v>1.0272245498222337</v>
      </c>
      <c r="N112" s="216">
        <f t="shared" si="245"/>
        <v>1.1021353555411031</v>
      </c>
      <c r="O112" s="216">
        <f t="shared" si="245"/>
        <v>1.2915152518222586</v>
      </c>
      <c r="P112" s="216" t="e">
        <f t="shared" si="245"/>
        <v>#DIV/0!</v>
      </c>
      <c r="Q112" s="216" t="e">
        <f t="shared" si="245"/>
        <v>#DIV/0!</v>
      </c>
      <c r="R112" s="216" t="e">
        <f t="shared" si="245"/>
        <v>#DIV/0!</v>
      </c>
      <c r="S112" s="216" t="e">
        <f t="shared" si="245"/>
        <v>#DIV/0!</v>
      </c>
      <c r="T112" s="216" t="e">
        <f t="shared" si="245"/>
        <v>#DIV/0!</v>
      </c>
      <c r="U112" s="216" t="e">
        <f t="shared" si="245"/>
        <v>#DIV/0!</v>
      </c>
      <c r="V112" s="216" t="e">
        <f t="shared" si="245"/>
        <v>#DIV/0!</v>
      </c>
      <c r="W112" s="216" t="e">
        <f t="shared" si="245"/>
        <v>#DIV/0!</v>
      </c>
      <c r="X112" s="216" t="e">
        <f t="shared" si="245"/>
        <v>#DIV/0!</v>
      </c>
      <c r="Y112" s="216" t="e">
        <f t="shared" si="245"/>
        <v>#DIV/0!</v>
      </c>
      <c r="Z112" s="216" t="e">
        <f t="shared" si="245"/>
        <v>#DIV/0!</v>
      </c>
      <c r="AA112" s="216" t="e">
        <f t="shared" si="245"/>
        <v>#DIV/0!</v>
      </c>
      <c r="AB112" s="216" t="e">
        <f t="shared" si="245"/>
        <v>#DIV/0!</v>
      </c>
      <c r="AC112" s="216" t="e">
        <f t="shared" si="245"/>
        <v>#DIV/0!</v>
      </c>
      <c r="AD112" s="216" t="e">
        <f t="shared" ref="AD112:AH112" si="246">(AD102+AD71*$C16+AD70)/(AD70+AD71*$C16)</f>
        <v>#DIV/0!</v>
      </c>
      <c r="AE112" s="216" t="e">
        <f t="shared" si="246"/>
        <v>#DIV/0!</v>
      </c>
      <c r="AF112" s="216" t="e">
        <f t="shared" si="246"/>
        <v>#DIV/0!</v>
      </c>
      <c r="AG112" s="216" t="e">
        <f t="shared" si="246"/>
        <v>#DIV/0!</v>
      </c>
      <c r="AH112" s="216" t="e">
        <f t="shared" si="246"/>
        <v>#DIV/0!</v>
      </c>
    </row>
    <row r="113" spans="1:34" x14ac:dyDescent="0.25">
      <c r="A113" s="205" t="s">
        <v>119</v>
      </c>
      <c r="B113" s="206" t="s">
        <v>67</v>
      </c>
      <c r="C113" s="216">
        <f>AVERAGE(D112:O112)</f>
        <v>0.83701490322764671</v>
      </c>
      <c r="D113" s="217"/>
      <c r="E113" s="217"/>
      <c r="F113" s="217"/>
      <c r="G113" s="217"/>
      <c r="H113" s="217"/>
      <c r="I113" s="217"/>
      <c r="J113" s="217"/>
      <c r="K113" s="217"/>
      <c r="L113" s="217"/>
      <c r="M113" s="217"/>
      <c r="N113" s="217"/>
      <c r="O113" s="217"/>
      <c r="P113" s="217"/>
      <c r="Q113" s="217"/>
      <c r="R113" s="217"/>
      <c r="S113" s="217"/>
      <c r="T113" s="217"/>
      <c r="U113" s="217"/>
      <c r="V113" s="217"/>
      <c r="W113" s="217"/>
      <c r="X113" s="217"/>
      <c r="Y113" s="217"/>
      <c r="Z113" s="217"/>
      <c r="AA113" s="217"/>
      <c r="AB113" s="217"/>
      <c r="AC113" s="217"/>
      <c r="AD113" s="217"/>
      <c r="AE113" s="217"/>
      <c r="AF113" s="217"/>
      <c r="AG113" s="217"/>
      <c r="AH113" s="217"/>
    </row>
    <row r="114" spans="1:34" s="21" customFormat="1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</row>
  </sheetData>
  <mergeCells count="4">
    <mergeCell ref="B20:B21"/>
    <mergeCell ref="D20:I20"/>
    <mergeCell ref="A64:A65"/>
    <mergeCell ref="A66:A67"/>
  </mergeCells>
  <phoneticPr fontId="6" type="noConversion"/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504932-3E95-4ECB-95D8-56174FC16254}">
  <dimension ref="A1:BV114"/>
  <sheetViews>
    <sheetView topLeftCell="A37" zoomScale="53" zoomScaleNormal="53" workbookViewId="0">
      <selection activeCell="C66" sqref="C66"/>
    </sheetView>
  </sheetViews>
  <sheetFormatPr defaultColWidth="9.140625" defaultRowHeight="15" x14ac:dyDescent="0.25"/>
  <cols>
    <col min="1" max="1" width="72.85546875" style="11" customWidth="1"/>
    <col min="2" max="2" width="21.28515625" style="11" customWidth="1"/>
    <col min="3" max="3" width="19.85546875" style="11" customWidth="1"/>
    <col min="4" max="4" width="20.7109375" style="11" customWidth="1"/>
    <col min="5" max="34" width="15.7109375" style="11" customWidth="1"/>
    <col min="35" max="16384" width="9.140625" style="11"/>
  </cols>
  <sheetData>
    <row r="1" spans="1:34" x14ac:dyDescent="0.25">
      <c r="A1" s="46" t="s">
        <v>41</v>
      </c>
      <c r="B1" s="46"/>
      <c r="C1" s="46"/>
      <c r="D1" s="46"/>
      <c r="E1" s="46" t="s">
        <v>2</v>
      </c>
      <c r="F1" s="265" t="s">
        <v>3</v>
      </c>
      <c r="G1" s="265" t="s">
        <v>4</v>
      </c>
      <c r="H1" s="265" t="s">
        <v>5</v>
      </c>
      <c r="I1" s="265" t="s">
        <v>6</v>
      </c>
      <c r="J1" s="48" t="s">
        <v>7</v>
      </c>
      <c r="K1" s="48" t="s">
        <v>16</v>
      </c>
      <c r="L1" s="48" t="s">
        <v>17</v>
      </c>
      <c r="M1" s="48" t="s">
        <v>18</v>
      </c>
      <c r="N1" s="48" t="s">
        <v>19</v>
      </c>
      <c r="O1" s="48" t="s">
        <v>20</v>
      </c>
      <c r="P1" s="48" t="s">
        <v>21</v>
      </c>
      <c r="Q1" s="48" t="s">
        <v>22</v>
      </c>
      <c r="R1" s="48" t="s">
        <v>23</v>
      </c>
      <c r="S1" s="48" t="s">
        <v>24</v>
      </c>
      <c r="T1" s="48" t="s">
        <v>25</v>
      </c>
      <c r="U1" s="48" t="s">
        <v>26</v>
      </c>
      <c r="V1" s="48" t="s">
        <v>27</v>
      </c>
      <c r="W1" s="48" t="s">
        <v>28</v>
      </c>
      <c r="X1" s="48" t="s">
        <v>29</v>
      </c>
      <c r="Y1" s="48" t="s">
        <v>30</v>
      </c>
      <c r="Z1" s="48" t="s">
        <v>31</v>
      </c>
      <c r="AA1" s="48" t="s">
        <v>32</v>
      </c>
      <c r="AB1" s="48" t="s">
        <v>33</v>
      </c>
      <c r="AC1" s="48" t="s">
        <v>34</v>
      </c>
      <c r="AD1" s="48" t="s">
        <v>35</v>
      </c>
      <c r="AE1" s="48" t="s">
        <v>143</v>
      </c>
      <c r="AF1" s="48" t="s">
        <v>144</v>
      </c>
      <c r="AG1" s="48" t="s">
        <v>145</v>
      </c>
      <c r="AH1" s="48" t="s">
        <v>146</v>
      </c>
    </row>
    <row r="2" spans="1:34" ht="49.5" customHeight="1" x14ac:dyDescent="0.25">
      <c r="A2" s="9" t="s">
        <v>38</v>
      </c>
      <c r="C2" s="153" t="s">
        <v>75</v>
      </c>
      <c r="D2" s="14"/>
      <c r="E2" s="4" t="s">
        <v>74</v>
      </c>
    </row>
    <row r="3" spans="1:34" x14ac:dyDescent="0.25">
      <c r="A3" s="11" t="s">
        <v>131</v>
      </c>
      <c r="B3" s="267">
        <v>0.1</v>
      </c>
      <c r="C3" s="268">
        <f>(((49250000/1800)*300))/6</f>
        <v>1368055.5555555555</v>
      </c>
      <c r="D3" s="13"/>
      <c r="E3" s="13">
        <f>C3/(Interventions!E6+Interventions!E7)</f>
        <v>45.454730042281668</v>
      </c>
    </row>
    <row r="5" spans="1:34" x14ac:dyDescent="0.25">
      <c r="A5" s="9" t="s">
        <v>39</v>
      </c>
      <c r="C5" s="55"/>
      <c r="D5" s="55"/>
    </row>
    <row r="6" spans="1:34" x14ac:dyDescent="0.25">
      <c r="A6" s="11" t="s">
        <v>43</v>
      </c>
      <c r="B6" s="219">
        <v>9.5000000000000001E-2</v>
      </c>
    </row>
    <row r="7" spans="1:34" x14ac:dyDescent="0.25">
      <c r="A7" s="11" t="s">
        <v>40</v>
      </c>
      <c r="B7"/>
      <c r="C7" s="15">
        <v>0</v>
      </c>
      <c r="D7" s="15">
        <v>1</v>
      </c>
      <c r="E7" s="15">
        <v>2</v>
      </c>
      <c r="F7" s="15">
        <v>3</v>
      </c>
      <c r="G7" s="15">
        <v>4</v>
      </c>
      <c r="H7" s="15">
        <v>5</v>
      </c>
      <c r="I7" s="15">
        <v>6</v>
      </c>
      <c r="J7" s="15">
        <v>7</v>
      </c>
      <c r="K7" s="15">
        <v>8</v>
      </c>
      <c r="L7" s="15">
        <v>9</v>
      </c>
      <c r="M7" s="15">
        <v>10</v>
      </c>
      <c r="N7" s="15">
        <v>11</v>
      </c>
      <c r="O7" s="15">
        <v>12</v>
      </c>
      <c r="P7" s="15">
        <v>13</v>
      </c>
      <c r="Q7" s="15">
        <v>14</v>
      </c>
      <c r="R7" s="15">
        <v>15</v>
      </c>
      <c r="S7" s="15">
        <v>16</v>
      </c>
      <c r="T7" s="15">
        <v>17</v>
      </c>
      <c r="U7" s="15">
        <v>18</v>
      </c>
      <c r="V7" s="15">
        <v>19</v>
      </c>
      <c r="W7" s="15">
        <v>20</v>
      </c>
      <c r="X7" s="15">
        <v>21</v>
      </c>
      <c r="Y7" s="15">
        <v>22</v>
      </c>
      <c r="Z7" s="15">
        <v>23</v>
      </c>
      <c r="AA7" s="15">
        <v>24</v>
      </c>
      <c r="AB7" s="15">
        <v>25</v>
      </c>
      <c r="AC7" s="15">
        <v>26</v>
      </c>
      <c r="AD7" s="15">
        <v>27</v>
      </c>
      <c r="AE7" s="15">
        <v>28</v>
      </c>
      <c r="AF7" s="15">
        <v>29</v>
      </c>
      <c r="AG7" s="15">
        <v>30</v>
      </c>
      <c r="AH7" s="15">
        <v>31</v>
      </c>
    </row>
    <row r="8" spans="1:34" x14ac:dyDescent="0.25">
      <c r="A8" s="11" t="s">
        <v>45</v>
      </c>
      <c r="B8"/>
      <c r="C8" s="49">
        <f>1/((1+$B$6)^C7)</f>
        <v>1</v>
      </c>
      <c r="D8" s="49">
        <f>1*((1-$B$6)^D7)</f>
        <v>0.90500000000000003</v>
      </c>
      <c r="E8" s="49">
        <f t="shared" ref="E8:AH8" si="0">1*((1-$B$6)^E7)</f>
        <v>0.819025</v>
      </c>
      <c r="F8" s="49">
        <f t="shared" si="0"/>
        <v>0.74121762499999999</v>
      </c>
      <c r="G8" s="49">
        <f t="shared" si="0"/>
        <v>0.67080195062500003</v>
      </c>
      <c r="H8" s="49">
        <f t="shared" si="0"/>
        <v>0.60707576531562502</v>
      </c>
      <c r="I8" s="49">
        <f t="shared" si="0"/>
        <v>0.54940356761064069</v>
      </c>
      <c r="J8" s="49">
        <f t="shared" si="0"/>
        <v>0.49721022868762976</v>
      </c>
      <c r="K8" s="49">
        <f t="shared" si="0"/>
        <v>0.449975256962305</v>
      </c>
      <c r="L8" s="49">
        <f t="shared" si="0"/>
        <v>0.40722760755088605</v>
      </c>
      <c r="M8" s="49">
        <f t="shared" si="0"/>
        <v>0.36854098483355185</v>
      </c>
      <c r="N8" s="49">
        <f t="shared" si="0"/>
        <v>0.33352959127436443</v>
      </c>
      <c r="O8" s="49">
        <f t="shared" si="0"/>
        <v>0.30184428010329983</v>
      </c>
      <c r="P8" s="49">
        <f t="shared" si="0"/>
        <v>0.27316907349348635</v>
      </c>
      <c r="Q8" s="49">
        <f t="shared" si="0"/>
        <v>0.24721801151160516</v>
      </c>
      <c r="R8" s="49">
        <f t="shared" si="0"/>
        <v>0.22373230041800263</v>
      </c>
      <c r="S8" s="49">
        <f t="shared" si="0"/>
        <v>0.20247773187829241</v>
      </c>
      <c r="T8" s="49">
        <f t="shared" si="0"/>
        <v>0.18324234734985465</v>
      </c>
      <c r="U8" s="49">
        <f t="shared" si="0"/>
        <v>0.16583432435161843</v>
      </c>
      <c r="V8" s="49">
        <f t="shared" si="0"/>
        <v>0.15008006353821468</v>
      </c>
      <c r="W8" s="49">
        <f t="shared" si="0"/>
        <v>0.1358224575020843</v>
      </c>
      <c r="X8" s="49">
        <f t="shared" si="0"/>
        <v>0.12291932403938628</v>
      </c>
      <c r="Y8" s="49">
        <f t="shared" si="0"/>
        <v>0.1112419882556446</v>
      </c>
      <c r="Z8" s="49">
        <f t="shared" si="0"/>
        <v>0.10067399937135835</v>
      </c>
      <c r="AA8" s="49">
        <f t="shared" si="0"/>
        <v>9.1109969431079324E-2</v>
      </c>
      <c r="AB8" s="49">
        <f t="shared" si="0"/>
        <v>8.245452233512679E-2</v>
      </c>
      <c r="AC8" s="49">
        <f t="shared" si="0"/>
        <v>7.462134271328974E-2</v>
      </c>
      <c r="AD8" s="49">
        <f t="shared" si="0"/>
        <v>6.7532315155527212E-2</v>
      </c>
      <c r="AE8" s="49">
        <f t="shared" si="0"/>
        <v>6.1116745215752132E-2</v>
      </c>
      <c r="AF8" s="49">
        <f t="shared" si="0"/>
        <v>5.5310654420255678E-2</v>
      </c>
      <c r="AG8" s="49">
        <f t="shared" si="0"/>
        <v>5.0056142250331392E-2</v>
      </c>
      <c r="AH8" s="49">
        <f t="shared" si="0"/>
        <v>4.5300808736549902E-2</v>
      </c>
    </row>
    <row r="9" spans="1:34" x14ac:dyDescent="0.25">
      <c r="A9" s="11" t="s">
        <v>44</v>
      </c>
      <c r="B9" s="219">
        <v>0</v>
      </c>
    </row>
    <row r="10" spans="1:34" x14ac:dyDescent="0.25">
      <c r="A10" s="11" t="s">
        <v>46</v>
      </c>
      <c r="B10"/>
      <c r="C10" s="49">
        <f>1/((1+$B$6)^C9)</f>
        <v>1</v>
      </c>
      <c r="D10" s="49">
        <f>1*((1-$B$9)^D7)</f>
        <v>1</v>
      </c>
      <c r="E10" s="49">
        <f>1*((1-$B$9)^E7)</f>
        <v>1</v>
      </c>
      <c r="F10" s="49">
        <f t="shared" ref="F10:AH10" si="1">1*((1-$B$9)^F7)</f>
        <v>1</v>
      </c>
      <c r="G10" s="49">
        <f t="shared" si="1"/>
        <v>1</v>
      </c>
      <c r="H10" s="49">
        <f t="shared" si="1"/>
        <v>1</v>
      </c>
      <c r="I10" s="49">
        <f t="shared" si="1"/>
        <v>1</v>
      </c>
      <c r="J10" s="49">
        <f t="shared" si="1"/>
        <v>1</v>
      </c>
      <c r="K10" s="49">
        <f t="shared" si="1"/>
        <v>1</v>
      </c>
      <c r="L10" s="49">
        <f t="shared" si="1"/>
        <v>1</v>
      </c>
      <c r="M10" s="49">
        <f t="shared" si="1"/>
        <v>1</v>
      </c>
      <c r="N10" s="49">
        <f t="shared" si="1"/>
        <v>1</v>
      </c>
      <c r="O10" s="49">
        <f t="shared" si="1"/>
        <v>1</v>
      </c>
      <c r="P10" s="49">
        <f t="shared" si="1"/>
        <v>1</v>
      </c>
      <c r="Q10" s="49">
        <f t="shared" si="1"/>
        <v>1</v>
      </c>
      <c r="R10" s="49">
        <f t="shared" si="1"/>
        <v>1</v>
      </c>
      <c r="S10" s="49">
        <f t="shared" si="1"/>
        <v>1</v>
      </c>
      <c r="T10" s="49">
        <f t="shared" si="1"/>
        <v>1</v>
      </c>
      <c r="U10" s="49">
        <f t="shared" si="1"/>
        <v>1</v>
      </c>
      <c r="V10" s="49">
        <f t="shared" si="1"/>
        <v>1</v>
      </c>
      <c r="W10" s="49">
        <f t="shared" si="1"/>
        <v>1</v>
      </c>
      <c r="X10" s="49">
        <f t="shared" si="1"/>
        <v>1</v>
      </c>
      <c r="Y10" s="49">
        <f t="shared" si="1"/>
        <v>1</v>
      </c>
      <c r="Z10" s="49">
        <f t="shared" si="1"/>
        <v>1</v>
      </c>
      <c r="AA10" s="49">
        <f t="shared" si="1"/>
        <v>1</v>
      </c>
      <c r="AB10" s="49">
        <f t="shared" si="1"/>
        <v>1</v>
      </c>
      <c r="AC10" s="49">
        <f t="shared" si="1"/>
        <v>1</v>
      </c>
      <c r="AD10" s="49">
        <f t="shared" si="1"/>
        <v>1</v>
      </c>
      <c r="AE10" s="49">
        <f t="shared" si="1"/>
        <v>1</v>
      </c>
      <c r="AF10" s="49">
        <f t="shared" si="1"/>
        <v>1</v>
      </c>
      <c r="AG10" s="49">
        <f t="shared" si="1"/>
        <v>1</v>
      </c>
      <c r="AH10" s="49">
        <f t="shared" si="1"/>
        <v>1</v>
      </c>
    </row>
    <row r="11" spans="1:34" x14ac:dyDescent="0.25">
      <c r="B11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</row>
    <row r="12" spans="1:34" x14ac:dyDescent="0.25">
      <c r="A12" s="149" t="s">
        <v>52</v>
      </c>
      <c r="B12" s="271">
        <v>5</v>
      </c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</row>
    <row r="13" spans="1:34" x14ac:dyDescent="0.25">
      <c r="A13" s="149" t="s">
        <v>53</v>
      </c>
      <c r="B13" s="271">
        <v>3</v>
      </c>
      <c r="D13" s="124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</row>
    <row r="14" spans="1:34" x14ac:dyDescent="0.25">
      <c r="A14" s="149" t="s">
        <v>110</v>
      </c>
      <c r="B14" s="219">
        <v>9.5000000000000001E-2</v>
      </c>
      <c r="D14" s="124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</row>
    <row r="15" spans="1:34" x14ac:dyDescent="0.25">
      <c r="A15" s="149" t="s">
        <v>111</v>
      </c>
      <c r="B15" s="219">
        <v>9.5000000000000001E-2</v>
      </c>
      <c r="C15" s="215">
        <f>B15/B14</f>
        <v>1</v>
      </c>
      <c r="D15" s="124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</row>
    <row r="16" spans="1:34" x14ac:dyDescent="0.25">
      <c r="A16" s="149" t="s">
        <v>112</v>
      </c>
      <c r="B16" s="219">
        <v>9.5000000000000001E-2</v>
      </c>
      <c r="C16" s="215">
        <f>B16/B14</f>
        <v>1</v>
      </c>
      <c r="D16" s="124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</row>
    <row r="17" spans="1:34" x14ac:dyDescent="0.25">
      <c r="A17" s="147" t="s">
        <v>106</v>
      </c>
      <c r="B17" s="272">
        <v>0.3</v>
      </c>
      <c r="D17" s="100"/>
      <c r="E17" s="100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</row>
    <row r="18" spans="1:34" x14ac:dyDescent="0.25">
      <c r="D18" s="125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</row>
    <row r="19" spans="1:34" ht="15.75" thickBot="1" x14ac:dyDescent="0.3"/>
    <row r="20" spans="1:34" x14ac:dyDescent="0.25">
      <c r="B20" s="300" t="s">
        <v>13</v>
      </c>
      <c r="C20" s="110"/>
      <c r="D20" s="301" t="s">
        <v>1</v>
      </c>
      <c r="E20" s="302"/>
      <c r="F20" s="302"/>
      <c r="G20" s="302"/>
      <c r="H20" s="302"/>
      <c r="I20" s="303"/>
      <c r="J20" s="50"/>
    </row>
    <row r="21" spans="1:34" x14ac:dyDescent="0.25">
      <c r="B21" s="300"/>
      <c r="C21" s="111"/>
      <c r="D21" s="46">
        <v>1</v>
      </c>
      <c r="E21" s="265">
        <v>2</v>
      </c>
      <c r="F21" s="46">
        <v>3</v>
      </c>
      <c r="G21" s="265">
        <v>4</v>
      </c>
      <c r="H21" s="46">
        <v>5</v>
      </c>
      <c r="I21" s="265">
        <v>6</v>
      </c>
      <c r="J21" s="46">
        <v>7</v>
      </c>
      <c r="K21" s="265">
        <v>8</v>
      </c>
      <c r="L21" s="46">
        <v>9</v>
      </c>
      <c r="M21" s="265">
        <v>10</v>
      </c>
      <c r="N21" s="46">
        <v>11</v>
      </c>
      <c r="O21" s="265">
        <v>12</v>
      </c>
      <c r="P21" s="46">
        <v>13</v>
      </c>
      <c r="Q21" s="265">
        <v>14</v>
      </c>
      <c r="R21" s="46">
        <v>15</v>
      </c>
      <c r="S21" s="265">
        <v>16</v>
      </c>
      <c r="T21" s="46">
        <v>17</v>
      </c>
      <c r="U21" s="265">
        <v>18</v>
      </c>
      <c r="V21" s="46">
        <v>19</v>
      </c>
      <c r="W21" s="265">
        <v>20</v>
      </c>
      <c r="X21" s="46">
        <v>21</v>
      </c>
      <c r="Y21" s="265">
        <v>22</v>
      </c>
      <c r="Z21" s="46">
        <v>23</v>
      </c>
      <c r="AA21" s="265">
        <v>24</v>
      </c>
      <c r="AB21" s="46">
        <v>25</v>
      </c>
      <c r="AC21" s="46">
        <v>26</v>
      </c>
      <c r="AD21" s="46">
        <v>27</v>
      </c>
      <c r="AE21" s="46">
        <v>28</v>
      </c>
      <c r="AF21" s="46">
        <v>29</v>
      </c>
      <c r="AG21" s="46">
        <v>30</v>
      </c>
      <c r="AH21" s="46">
        <v>31</v>
      </c>
    </row>
    <row r="22" spans="1:34" x14ac:dyDescent="0.25">
      <c r="B22" s="150"/>
      <c r="C22" s="99">
        <v>44197</v>
      </c>
      <c r="D22" s="99">
        <v>44562</v>
      </c>
      <c r="E22" s="99">
        <v>44927</v>
      </c>
      <c r="F22" s="99">
        <v>45292</v>
      </c>
      <c r="G22" s="99">
        <v>45658</v>
      </c>
      <c r="H22" s="99">
        <v>46023</v>
      </c>
      <c r="I22" s="99">
        <v>46388</v>
      </c>
      <c r="J22" s="99">
        <v>46753</v>
      </c>
      <c r="K22" s="99">
        <v>47119</v>
      </c>
      <c r="L22" s="99">
        <v>47484</v>
      </c>
      <c r="M22" s="99">
        <v>47849</v>
      </c>
      <c r="N22" s="99">
        <v>48214</v>
      </c>
      <c r="O22" s="99">
        <v>48580</v>
      </c>
      <c r="P22" s="99">
        <v>48945</v>
      </c>
      <c r="Q22" s="99">
        <v>49310</v>
      </c>
      <c r="R22" s="99">
        <v>49675</v>
      </c>
      <c r="S22" s="99">
        <v>50041</v>
      </c>
      <c r="T22" s="99">
        <v>50406</v>
      </c>
      <c r="U22" s="99">
        <v>50771</v>
      </c>
      <c r="V22" s="99">
        <v>51136</v>
      </c>
      <c r="W22" s="99">
        <v>51502</v>
      </c>
      <c r="X22" s="99">
        <v>51867</v>
      </c>
      <c r="Y22" s="99">
        <v>52232</v>
      </c>
      <c r="Z22" s="99">
        <v>52597</v>
      </c>
      <c r="AA22" s="99">
        <v>52963</v>
      </c>
      <c r="AB22" s="99">
        <v>53328</v>
      </c>
      <c r="AC22" s="99">
        <v>53693</v>
      </c>
      <c r="AD22" s="99">
        <v>54058</v>
      </c>
      <c r="AE22" s="99">
        <v>54424</v>
      </c>
      <c r="AF22" s="99">
        <v>54789</v>
      </c>
      <c r="AG22" s="99">
        <v>55154</v>
      </c>
      <c r="AH22" s="99">
        <v>55519</v>
      </c>
    </row>
    <row r="23" spans="1:34" x14ac:dyDescent="0.25">
      <c r="A23" s="140" t="s">
        <v>98</v>
      </c>
      <c r="B23" s="136" t="s">
        <v>12</v>
      </c>
      <c r="C23" s="136">
        <v>1368055.5555555555</v>
      </c>
      <c r="D23" s="136">
        <v>1368055.5555555555</v>
      </c>
      <c r="E23" s="136">
        <v>1368055.5555555555</v>
      </c>
      <c r="F23" s="136">
        <v>1368055.5555555555</v>
      </c>
      <c r="G23" s="136">
        <v>1368055.5555555555</v>
      </c>
      <c r="H23" s="136">
        <v>1368055.5555555555</v>
      </c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</row>
    <row r="24" spans="1:34" x14ac:dyDescent="0.25">
      <c r="A24" s="137" t="s">
        <v>10</v>
      </c>
      <c r="B24" s="138" t="s">
        <v>12</v>
      </c>
      <c r="C24" s="139">
        <f>SUM(C25:C26)</f>
        <v>1368055.5555555555</v>
      </c>
      <c r="D24" s="139">
        <f>SUM(D25:D26)</f>
        <v>1368055.5555555555</v>
      </c>
      <c r="E24" s="139">
        <f t="shared" ref="E24:H24" si="2">SUM(E25:E26)</f>
        <v>1368055.5555555555</v>
      </c>
      <c r="F24" s="139">
        <f t="shared" si="2"/>
        <v>1368055.5555555555</v>
      </c>
      <c r="G24" s="139">
        <f t="shared" si="2"/>
        <v>1368055.5555555555</v>
      </c>
      <c r="H24" s="139">
        <f t="shared" si="2"/>
        <v>1368055.5555555555</v>
      </c>
      <c r="I24" s="139">
        <f>I26</f>
        <v>595823.85957920738</v>
      </c>
      <c r="J24" s="139">
        <f t="shared" ref="J24:AH24" si="3">J26</f>
        <v>595823.85957920738</v>
      </c>
      <c r="K24" s="139">
        <f t="shared" si="3"/>
        <v>595823.85957920738</v>
      </c>
      <c r="L24" s="139">
        <f t="shared" si="3"/>
        <v>595823.85957920738</v>
      </c>
      <c r="M24" s="139">
        <f t="shared" si="3"/>
        <v>595823.85957920738</v>
      </c>
      <c r="N24" s="139">
        <f t="shared" si="3"/>
        <v>595823.85957920738</v>
      </c>
      <c r="O24" s="139">
        <f t="shared" si="3"/>
        <v>595823.85957920738</v>
      </c>
      <c r="P24" s="139">
        <f t="shared" si="3"/>
        <v>595823.85957920738</v>
      </c>
      <c r="Q24" s="139">
        <f t="shared" si="3"/>
        <v>595823.85957920738</v>
      </c>
      <c r="R24" s="139">
        <f t="shared" si="3"/>
        <v>595823.85957920738</v>
      </c>
      <c r="S24" s="139">
        <f t="shared" si="3"/>
        <v>595823.85957920738</v>
      </c>
      <c r="T24" s="139">
        <f t="shared" si="3"/>
        <v>595823.85957920738</v>
      </c>
      <c r="U24" s="139">
        <f t="shared" si="3"/>
        <v>595823.85957920738</v>
      </c>
      <c r="V24" s="139">
        <f t="shared" si="3"/>
        <v>595823.85957920738</v>
      </c>
      <c r="W24" s="139">
        <f t="shared" si="3"/>
        <v>595823.85957920738</v>
      </c>
      <c r="X24" s="139">
        <f t="shared" si="3"/>
        <v>595823.85957920738</v>
      </c>
      <c r="Y24" s="139">
        <f t="shared" si="3"/>
        <v>595823.85957920738</v>
      </c>
      <c r="Z24" s="139">
        <f t="shared" si="3"/>
        <v>595823.85957920738</v>
      </c>
      <c r="AA24" s="139">
        <f t="shared" si="3"/>
        <v>595823.85957920738</v>
      </c>
      <c r="AB24" s="139">
        <f t="shared" si="3"/>
        <v>595823.85957920738</v>
      </c>
      <c r="AC24" s="139">
        <f t="shared" si="3"/>
        <v>595823.85957920738</v>
      </c>
      <c r="AD24" s="139">
        <f t="shared" si="3"/>
        <v>471455.17271052051</v>
      </c>
      <c r="AE24" s="139">
        <f t="shared" si="3"/>
        <v>358392.73010262335</v>
      </c>
      <c r="AF24" s="139">
        <f t="shared" si="3"/>
        <v>255608.69136817136</v>
      </c>
      <c r="AG24" s="139">
        <f t="shared" si="3"/>
        <v>162168.65615503321</v>
      </c>
      <c r="AH24" s="139">
        <f t="shared" si="3"/>
        <v>77223.169597634886</v>
      </c>
    </row>
    <row r="25" spans="1:34" ht="14.45" customHeight="1" x14ac:dyDescent="0.25">
      <c r="A25" s="22" t="s">
        <v>136</v>
      </c>
      <c r="B25" s="23" t="s">
        <v>12</v>
      </c>
      <c r="C25" s="24">
        <f>C23</f>
        <v>1368055.5555555555</v>
      </c>
      <c r="D25" s="24">
        <f>D23-D26</f>
        <v>1243686.8686868686</v>
      </c>
      <c r="E25" s="24">
        <f t="shared" ref="E25:H25" si="4">E23-E26</f>
        <v>1130624.4260789715</v>
      </c>
      <c r="F25" s="24">
        <f t="shared" si="4"/>
        <v>1027840.3873445195</v>
      </c>
      <c r="G25" s="24">
        <f t="shared" si="4"/>
        <v>934400.3521313814</v>
      </c>
      <c r="H25" s="24">
        <f t="shared" si="4"/>
        <v>849454.86557398294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4">
        <v>0</v>
      </c>
      <c r="AG25" s="24">
        <v>0</v>
      </c>
      <c r="AH25" s="24">
        <v>0</v>
      </c>
    </row>
    <row r="26" spans="1:34" x14ac:dyDescent="0.25">
      <c r="A26" s="25" t="s">
        <v>15</v>
      </c>
      <c r="B26" s="26" t="s">
        <v>12</v>
      </c>
      <c r="C26" s="112"/>
      <c r="D26" s="27">
        <f>C28*(Interventions!$F$7)</f>
        <v>124368.68686868688</v>
      </c>
      <c r="E26" s="27">
        <f>D28*(Interventions!$F$7)</f>
        <v>237431.12947658403</v>
      </c>
      <c r="F26" s="27">
        <f>E28*(Interventions!$F$7)</f>
        <v>340215.16821103601</v>
      </c>
      <c r="G26" s="27">
        <f>F28*(Interventions!$F$7)</f>
        <v>433655.20342417416</v>
      </c>
      <c r="H26" s="27">
        <f>G28*(Interventions!$F$7)</f>
        <v>518600.6899815725</v>
      </c>
      <c r="I26" s="27">
        <f>H28*(Interventions!$F$7)</f>
        <v>595823.85957920738</v>
      </c>
      <c r="J26" s="27">
        <f>I28*(Interventions!$F$7)</f>
        <v>595823.85957920738</v>
      </c>
      <c r="K26" s="27">
        <f>J28*(Interventions!$F$7)</f>
        <v>595823.85957920738</v>
      </c>
      <c r="L26" s="27">
        <f>K28*(Interventions!$F$7)</f>
        <v>595823.85957920738</v>
      </c>
      <c r="M26" s="27">
        <f>L28*(Interventions!$F$7)</f>
        <v>595823.85957920738</v>
      </c>
      <c r="N26" s="27">
        <f>M28*(Interventions!$F$7)</f>
        <v>595823.85957920738</v>
      </c>
      <c r="O26" s="27">
        <f>N28*(Interventions!$F$7)</f>
        <v>595823.85957920738</v>
      </c>
      <c r="P26" s="27">
        <f>O28*(Interventions!$F$7)</f>
        <v>595823.85957920738</v>
      </c>
      <c r="Q26" s="27">
        <f>P28*(Interventions!$F$7)</f>
        <v>595823.85957920738</v>
      </c>
      <c r="R26" s="27">
        <f>Q28*(Interventions!$F$7)</f>
        <v>595823.85957920738</v>
      </c>
      <c r="S26" s="27">
        <f>R28*(Interventions!$F$7)</f>
        <v>595823.85957920738</v>
      </c>
      <c r="T26" s="27">
        <f>S28*(Interventions!$F$7)</f>
        <v>595823.85957920738</v>
      </c>
      <c r="U26" s="27">
        <f>T28*(Interventions!$F$7)</f>
        <v>595823.85957920738</v>
      </c>
      <c r="V26" s="27">
        <f>U28*(Interventions!$F$7)</f>
        <v>595823.85957920738</v>
      </c>
      <c r="W26" s="27">
        <f>V28*(Interventions!$F$7)</f>
        <v>595823.85957920738</v>
      </c>
      <c r="X26" s="27">
        <f>W28*(Interventions!$F$7)</f>
        <v>595823.85957920738</v>
      </c>
      <c r="Y26" s="27">
        <f>X28*(Interventions!$F$7)</f>
        <v>595823.85957920738</v>
      </c>
      <c r="Z26" s="27">
        <f>Y28*(Interventions!$F$7)</f>
        <v>595823.85957920738</v>
      </c>
      <c r="AA26" s="27">
        <f>Z28*(Interventions!$F$7)</f>
        <v>595823.85957920738</v>
      </c>
      <c r="AB26" s="27">
        <f>AA28*(Interventions!$F$7)</f>
        <v>595823.85957920738</v>
      </c>
      <c r="AC26" s="27">
        <f>AB28*(Interventions!$F$7)</f>
        <v>595823.85957920738</v>
      </c>
      <c r="AD26" s="27">
        <f>AC28*(Interventions!$F$7)</f>
        <v>471455.17271052051</v>
      </c>
      <c r="AE26" s="27">
        <f>AD28*(Interventions!$F$7)</f>
        <v>358392.73010262335</v>
      </c>
      <c r="AF26" s="27">
        <f>AE28*(Interventions!$F$7)</f>
        <v>255608.69136817136</v>
      </c>
      <c r="AG26" s="27">
        <f>AF28*(Interventions!$F$7)</f>
        <v>162168.65615503321</v>
      </c>
      <c r="AH26" s="27">
        <f>AG28*(Interventions!$F$7)</f>
        <v>77223.169597634886</v>
      </c>
    </row>
    <row r="27" spans="1:34" x14ac:dyDescent="0.25">
      <c r="A27" s="41" t="s">
        <v>147</v>
      </c>
      <c r="B27" s="10" t="s">
        <v>135</v>
      </c>
      <c r="C27" s="45">
        <f>E3</f>
        <v>45.454730042281668</v>
      </c>
      <c r="D27" s="45">
        <f>D25/(Interventions!$F$6+Interventions!$F$7)</f>
        <v>41.322481856619696</v>
      </c>
      <c r="E27" s="45">
        <f>E25/(Interventions!$F$6+Interventions!$F$7)</f>
        <v>37.565892596927</v>
      </c>
      <c r="F27" s="45">
        <f>F25/(Interventions!$F$6+Interventions!$F$7)</f>
        <v>34.150811451751814</v>
      </c>
      <c r="G27" s="45">
        <f>G25/(Interventions!$F$6+Interventions!$F$7)</f>
        <v>31.046192228865287</v>
      </c>
      <c r="H27" s="45">
        <f>H25/(Interventions!$F$6+Interventions!$F$7)</f>
        <v>28.223811117150255</v>
      </c>
      <c r="I27" s="45">
        <f>I25/(Interventions!$F$6+Interventions!$F$7)</f>
        <v>0</v>
      </c>
      <c r="J27" s="45">
        <f>J25/(Interventions!$F$6+Interventions!$F$7)</f>
        <v>0</v>
      </c>
      <c r="K27" s="45">
        <f>K25/(Interventions!$F$6+Interventions!$F$7)</f>
        <v>0</v>
      </c>
      <c r="L27" s="45">
        <f>L25/(Interventions!$F$6+Interventions!$F$7)</f>
        <v>0</v>
      </c>
      <c r="M27" s="45">
        <f>M25/(Interventions!$F$6+Interventions!$F$7)</f>
        <v>0</v>
      </c>
      <c r="N27" s="45">
        <f>N25/(Interventions!$F$6+Interventions!$F$7)</f>
        <v>0</v>
      </c>
      <c r="O27" s="45">
        <f>O25/(Interventions!$F$6+Interventions!$F$7)</f>
        <v>0</v>
      </c>
      <c r="P27" s="45">
        <f>P25/(Interventions!$F$6+Interventions!$F$7)</f>
        <v>0</v>
      </c>
      <c r="Q27" s="45">
        <f>Q25/(Interventions!$F$6+Interventions!$F$7)</f>
        <v>0</v>
      </c>
      <c r="R27" s="45">
        <f>R25/(Interventions!$F$6+Interventions!$F$7)</f>
        <v>0</v>
      </c>
      <c r="S27" s="45">
        <f>S25/(Interventions!$F$6+Interventions!$F$7)</f>
        <v>0</v>
      </c>
      <c r="T27" s="45">
        <f>T25/(Interventions!$F$6+Interventions!$F$7)</f>
        <v>0</v>
      </c>
      <c r="U27" s="45">
        <f>U25/(Interventions!$F$6+Interventions!$F$7)</f>
        <v>0</v>
      </c>
      <c r="V27" s="45">
        <f>V25/(Interventions!$F$6+Interventions!$F$7)</f>
        <v>0</v>
      </c>
      <c r="W27" s="45">
        <f>W25/(Interventions!$F$6+Interventions!$F$7)</f>
        <v>0</v>
      </c>
      <c r="X27" s="45">
        <f>X25/(Interventions!$F$6+Interventions!$F$7)</f>
        <v>0</v>
      </c>
      <c r="Y27" s="45">
        <f>Y25/(Interventions!$F$6+Interventions!$F$7)</f>
        <v>0</v>
      </c>
      <c r="Z27" s="45">
        <f>Z25/(Interventions!$F$6+Interventions!$F$7)</f>
        <v>0</v>
      </c>
      <c r="AA27" s="45">
        <f>AA25/(Interventions!$F$6+Interventions!$F$7)</f>
        <v>0</v>
      </c>
      <c r="AB27" s="45">
        <f>AB25/(Interventions!$F$6+Interventions!$F$7)</f>
        <v>0</v>
      </c>
      <c r="AC27" s="45">
        <f>AC25/(Interventions!$F$6+Interventions!$F$7)</f>
        <v>0</v>
      </c>
      <c r="AD27" s="45">
        <f>AD25/(Interventions!$F$6+Interventions!$F$7)</f>
        <v>0</v>
      </c>
      <c r="AE27" s="45">
        <f>AE25/(Interventions!$F$6+Interventions!$F$7)</f>
        <v>0</v>
      </c>
      <c r="AF27" s="45">
        <f>AF25/(Interventions!$F$6+Interventions!$F$7)</f>
        <v>0</v>
      </c>
      <c r="AG27" s="45">
        <f>AG25/(Interventions!$F$6+Interventions!$F$7)</f>
        <v>0</v>
      </c>
      <c r="AH27" s="45">
        <f>AH25/(Interventions!$F$6+Interventions!$F$7)</f>
        <v>0</v>
      </c>
    </row>
    <row r="28" spans="1:34" x14ac:dyDescent="0.25">
      <c r="A28" s="43" t="s">
        <v>148</v>
      </c>
      <c r="B28" s="10" t="s">
        <v>135</v>
      </c>
      <c r="C28" s="42">
        <f>C27</f>
        <v>45.454730042281668</v>
      </c>
      <c r="D28" s="42">
        <f>C28+D27</f>
        <v>86.777211898901356</v>
      </c>
      <c r="E28" s="42">
        <f t="shared" ref="E28:AB28" si="5">D28+E27</f>
        <v>124.34310449582836</v>
      </c>
      <c r="F28" s="42">
        <f t="shared" si="5"/>
        <v>158.49391594758018</v>
      </c>
      <c r="G28" s="42">
        <f t="shared" si="5"/>
        <v>189.54010817644547</v>
      </c>
      <c r="H28" s="42">
        <f t="shared" si="5"/>
        <v>217.76391929359573</v>
      </c>
      <c r="I28" s="42">
        <f t="shared" si="5"/>
        <v>217.76391929359573</v>
      </c>
      <c r="J28" s="42">
        <f t="shared" si="5"/>
        <v>217.76391929359573</v>
      </c>
      <c r="K28" s="42">
        <f t="shared" si="5"/>
        <v>217.76391929359573</v>
      </c>
      <c r="L28" s="42">
        <f t="shared" si="5"/>
        <v>217.76391929359573</v>
      </c>
      <c r="M28" s="42">
        <f t="shared" si="5"/>
        <v>217.76391929359573</v>
      </c>
      <c r="N28" s="42">
        <f t="shared" si="5"/>
        <v>217.76391929359573</v>
      </c>
      <c r="O28" s="42">
        <f t="shared" si="5"/>
        <v>217.76391929359573</v>
      </c>
      <c r="P28" s="42">
        <f t="shared" si="5"/>
        <v>217.76391929359573</v>
      </c>
      <c r="Q28" s="42">
        <f t="shared" si="5"/>
        <v>217.76391929359573</v>
      </c>
      <c r="R28" s="42">
        <f t="shared" si="5"/>
        <v>217.76391929359573</v>
      </c>
      <c r="S28" s="42">
        <f t="shared" si="5"/>
        <v>217.76391929359573</v>
      </c>
      <c r="T28" s="42">
        <f t="shared" si="5"/>
        <v>217.76391929359573</v>
      </c>
      <c r="U28" s="42">
        <f t="shared" si="5"/>
        <v>217.76391929359573</v>
      </c>
      <c r="V28" s="42">
        <f t="shared" si="5"/>
        <v>217.76391929359573</v>
      </c>
      <c r="W28" s="42">
        <f t="shared" si="5"/>
        <v>217.76391929359573</v>
      </c>
      <c r="X28" s="42">
        <f t="shared" si="5"/>
        <v>217.76391929359573</v>
      </c>
      <c r="Y28" s="42">
        <f t="shared" si="5"/>
        <v>217.76391929359573</v>
      </c>
      <c r="Z28" s="42">
        <f t="shared" si="5"/>
        <v>217.76391929359573</v>
      </c>
      <c r="AA28" s="42">
        <f t="shared" si="5"/>
        <v>217.76391929359573</v>
      </c>
      <c r="AB28" s="42">
        <f t="shared" si="5"/>
        <v>217.76391929359573</v>
      </c>
      <c r="AC28" s="42">
        <f>AB28-C27</f>
        <v>172.30918925131408</v>
      </c>
      <c r="AD28" s="42">
        <f t="shared" ref="AD28:AH28" si="6">AC28-D27</f>
        <v>130.98670739469438</v>
      </c>
      <c r="AE28" s="42">
        <f t="shared" si="6"/>
        <v>93.420814797767378</v>
      </c>
      <c r="AF28" s="42">
        <f t="shared" si="6"/>
        <v>59.270003346015564</v>
      </c>
      <c r="AG28" s="42">
        <f t="shared" si="6"/>
        <v>28.223811117150277</v>
      </c>
      <c r="AH28" s="42">
        <f t="shared" si="6"/>
        <v>0</v>
      </c>
    </row>
    <row r="29" spans="1:34" x14ac:dyDescent="0.25">
      <c r="A29" s="43"/>
      <c r="B29" s="10"/>
      <c r="C29" s="10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31"/>
      <c r="R29" s="31"/>
      <c r="S29" s="31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</row>
    <row r="30" spans="1:34" x14ac:dyDescent="0.25">
      <c r="A30" s="115" t="s">
        <v>152</v>
      </c>
      <c r="B30" s="122" t="s">
        <v>37</v>
      </c>
      <c r="C30" s="116">
        <f>C31+C32</f>
        <v>0</v>
      </c>
      <c r="D30" s="116">
        <f>D31+D32</f>
        <v>173436.63158392152</v>
      </c>
      <c r="E30" s="116">
        <f t="shared" ref="E30:AH30" si="7">E31+E32</f>
        <v>332354.99991290813</v>
      </c>
      <c r="F30" s="116">
        <f t="shared" si="7"/>
        <v>478065.62236896303</v>
      </c>
      <c r="G30" s="116">
        <f t="shared" si="7"/>
        <v>611762.40952060977</v>
      </c>
      <c r="H30" s="116">
        <f t="shared" si="7"/>
        <v>734533.14054905972</v>
      </c>
      <c r="I30" s="116">
        <f t="shared" si="7"/>
        <v>847368.9960834079</v>
      </c>
      <c r="J30" s="116">
        <f t="shared" si="7"/>
        <v>850914.34352271189</v>
      </c>
      <c r="K30" s="116">
        <f t="shared" si="7"/>
        <v>854548.32464799844</v>
      </c>
      <c r="L30" s="116">
        <f t="shared" si="7"/>
        <v>858273.15530141711</v>
      </c>
      <c r="M30" s="116">
        <f t="shared" si="7"/>
        <v>862091.10672117118</v>
      </c>
      <c r="N30" s="116">
        <f t="shared" si="7"/>
        <v>866004.50692641921</v>
      </c>
      <c r="O30" s="116">
        <f t="shared" si="7"/>
        <v>870015.74213679845</v>
      </c>
      <c r="P30" s="116">
        <f t="shared" si="7"/>
        <v>874127.25822743715</v>
      </c>
      <c r="Q30" s="116">
        <f t="shared" si="7"/>
        <v>878341.56222034176</v>
      </c>
      <c r="R30" s="116">
        <f t="shared" si="7"/>
        <v>882661.22381306905</v>
      </c>
      <c r="S30" s="116">
        <f t="shared" si="7"/>
        <v>887088.87694561458</v>
      </c>
      <c r="T30" s="116">
        <f t="shared" si="7"/>
        <v>891627.22140647366</v>
      </c>
      <c r="U30" s="116">
        <f t="shared" si="7"/>
        <v>896279.02447885415</v>
      </c>
      <c r="V30" s="116">
        <f t="shared" si="7"/>
        <v>901047.12262804434</v>
      </c>
      <c r="W30" s="116">
        <f t="shared" si="7"/>
        <v>905934.42323096411</v>
      </c>
      <c r="X30" s="116">
        <f t="shared" si="7"/>
        <v>910943.90634895698</v>
      </c>
      <c r="Y30" s="116">
        <f t="shared" si="7"/>
        <v>916078.62654489954</v>
      </c>
      <c r="Z30" s="116">
        <f t="shared" si="7"/>
        <v>921341.71474574087</v>
      </c>
      <c r="AA30" s="116">
        <f t="shared" si="7"/>
        <v>926736.38015160314</v>
      </c>
      <c r="AB30" s="116">
        <f t="shared" si="7"/>
        <v>932265.91219261184</v>
      </c>
      <c r="AC30" s="116">
        <f t="shared" si="7"/>
        <v>705555.09851125022</v>
      </c>
      <c r="AD30" s="116">
        <f t="shared" si="7"/>
        <v>558281.7731742576</v>
      </c>
      <c r="AE30" s="116">
        <f t="shared" si="7"/>
        <v>424396.93195880979</v>
      </c>
      <c r="AF30" s="116">
        <f t="shared" si="7"/>
        <v>302683.43994476629</v>
      </c>
      <c r="AG30" s="116">
        <f t="shared" si="7"/>
        <v>192034.81084109042</v>
      </c>
      <c r="AH30" s="116">
        <f t="shared" si="7"/>
        <v>91445.148019566899</v>
      </c>
    </row>
    <row r="31" spans="1:34" x14ac:dyDescent="0.25">
      <c r="A31" s="41" t="s">
        <v>172</v>
      </c>
      <c r="B31" s="28" t="s">
        <v>37</v>
      </c>
      <c r="C31" s="28"/>
      <c r="D31" s="42">
        <f>C28*'Carbon avoided'!E12</f>
        <v>26163.306246928925</v>
      </c>
      <c r="E31" s="42">
        <f>D28*'Carbon avoided'!F12</f>
        <v>51196.833360467732</v>
      </c>
      <c r="F31" s="42">
        <f>E28*'Carbon avoided'!G12</f>
        <v>75193.963802479164</v>
      </c>
      <c r="G31" s="42">
        <f>F28*'Carbon avoided'!H12</f>
        <v>98242.121850450014</v>
      </c>
      <c r="H31" s="42">
        <f>G28*'Carbon avoided'!I12</f>
        <v>120423.19005737634</v>
      </c>
      <c r="I31" s="42">
        <f>H28*'Carbon avoided'!J12</f>
        <v>141813.89757215773</v>
      </c>
      <c r="J31" s="42">
        <f>I28*'Carbon avoided'!K12</f>
        <v>145359.24501146164</v>
      </c>
      <c r="K31" s="42">
        <f>J28*'Carbon avoided'!L12</f>
        <v>148993.22613674816</v>
      </c>
      <c r="L31" s="42">
        <f>K28*'Carbon avoided'!M12</f>
        <v>152718.05679016685</v>
      </c>
      <c r="M31" s="42">
        <f>L28*'Carbon avoided'!N12</f>
        <v>156536.00820992101</v>
      </c>
      <c r="N31" s="42">
        <f>M28*'Carbon avoided'!O12</f>
        <v>160449.40841516902</v>
      </c>
      <c r="O31" s="42">
        <f>N28*'Carbon avoided'!P12</f>
        <v>164460.64362554823</v>
      </c>
      <c r="P31" s="42">
        <f>O28*'Carbon avoided'!Q12</f>
        <v>168572.15971618693</v>
      </c>
      <c r="Q31" s="42">
        <f>P28*'Carbon avoided'!R12</f>
        <v>172786.46370909156</v>
      </c>
      <c r="R31" s="42">
        <f>Q28*'Carbon avoided'!S12</f>
        <v>177106.12530181883</v>
      </c>
      <c r="S31" s="42">
        <f>R28*'Carbon avoided'!T12</f>
        <v>181533.7784343643</v>
      </c>
      <c r="T31" s="42">
        <f>S28*'Carbon avoided'!U12</f>
        <v>186072.12289522341</v>
      </c>
      <c r="U31" s="42">
        <f>T28*'Carbon avoided'!V12</f>
        <v>190723.92596760398</v>
      </c>
      <c r="V31" s="42">
        <f>U28*'Carbon avoided'!W12</f>
        <v>195492.02411679405</v>
      </c>
      <c r="W31" s="42">
        <f>V28*'Carbon avoided'!X12</f>
        <v>200379.32471971388</v>
      </c>
      <c r="X31" s="42">
        <f>W28*'Carbon avoided'!Y12</f>
        <v>205388.80783770673</v>
      </c>
      <c r="Y31" s="42">
        <f>X28*'Carbon avoided'!Z12</f>
        <v>210523.52803364937</v>
      </c>
      <c r="Z31" s="42">
        <f>Y28*'Carbon avoided'!AA12</f>
        <v>215786.61623449062</v>
      </c>
      <c r="AA31" s="42">
        <f>Z28*'Carbon avoided'!AB12</f>
        <v>221181.28164035286</v>
      </c>
      <c r="AB31" s="42">
        <f>AA28*'Carbon avoided'!AC12</f>
        <v>226710.81368136164</v>
      </c>
      <c r="AC31" s="42">
        <f>AB28*'Carbon avoided'!AD12</f>
        <v>0</v>
      </c>
      <c r="AD31" s="42">
        <f>AC28*'Carbon avoided'!AE12</f>
        <v>0</v>
      </c>
      <c r="AE31" s="42">
        <f>AD28*'Carbon avoided'!AF12</f>
        <v>0</v>
      </c>
      <c r="AF31" s="42">
        <f>AE28*'Carbon avoided'!AG12</f>
        <v>0</v>
      </c>
      <c r="AG31" s="42">
        <f>AF28*'Carbon avoided'!AH12</f>
        <v>0</v>
      </c>
      <c r="AH31" s="42">
        <f>AG28*'Carbon avoided'!AI12</f>
        <v>0</v>
      </c>
    </row>
    <row r="32" spans="1:34" x14ac:dyDescent="0.25">
      <c r="A32" s="41" t="s">
        <v>175</v>
      </c>
      <c r="B32" s="28" t="s">
        <v>37</v>
      </c>
      <c r="C32" s="28"/>
      <c r="D32" s="42">
        <f>C28*Interventions!$F$10</f>
        <v>147273.3253369926</v>
      </c>
      <c r="E32" s="42">
        <f>D28*Interventions!$F$10</f>
        <v>281158.16655244038</v>
      </c>
      <c r="F32" s="42">
        <f>E28*Interventions!$F$10</f>
        <v>402871.65856648388</v>
      </c>
      <c r="G32" s="42">
        <f>F28*Interventions!$F$10</f>
        <v>513520.28767015977</v>
      </c>
      <c r="H32" s="42">
        <f>G28*Interventions!$F$10</f>
        <v>614109.95049168332</v>
      </c>
      <c r="I32" s="42">
        <f>H28*Interventions!$F$10</f>
        <v>705555.09851125022</v>
      </c>
      <c r="J32" s="42">
        <f>I28*Interventions!$F$10</f>
        <v>705555.09851125022</v>
      </c>
      <c r="K32" s="42">
        <f>J28*Interventions!$F$10</f>
        <v>705555.09851125022</v>
      </c>
      <c r="L32" s="42">
        <f>K28*Interventions!$F$10</f>
        <v>705555.09851125022</v>
      </c>
      <c r="M32" s="42">
        <f>L28*Interventions!$F$10</f>
        <v>705555.09851125022</v>
      </c>
      <c r="N32" s="42">
        <f>M28*Interventions!$F$10</f>
        <v>705555.09851125022</v>
      </c>
      <c r="O32" s="42">
        <f>N28*Interventions!$F$10</f>
        <v>705555.09851125022</v>
      </c>
      <c r="P32" s="42">
        <f>O28*Interventions!$F$10</f>
        <v>705555.09851125022</v>
      </c>
      <c r="Q32" s="42">
        <f>P28*Interventions!$F$10</f>
        <v>705555.09851125022</v>
      </c>
      <c r="R32" s="42">
        <f>Q28*Interventions!$F$10</f>
        <v>705555.09851125022</v>
      </c>
      <c r="S32" s="42">
        <f>R28*Interventions!$F$10</f>
        <v>705555.09851125022</v>
      </c>
      <c r="T32" s="42">
        <f>S28*Interventions!$F$10</f>
        <v>705555.09851125022</v>
      </c>
      <c r="U32" s="42">
        <f>T28*Interventions!$F$10</f>
        <v>705555.09851125022</v>
      </c>
      <c r="V32" s="42">
        <f>U28*Interventions!$F$10</f>
        <v>705555.09851125022</v>
      </c>
      <c r="W32" s="42">
        <f>V28*Interventions!$F$10</f>
        <v>705555.09851125022</v>
      </c>
      <c r="X32" s="42">
        <f>W28*Interventions!$F$10</f>
        <v>705555.09851125022</v>
      </c>
      <c r="Y32" s="42">
        <f>X28*Interventions!$F$10</f>
        <v>705555.09851125022</v>
      </c>
      <c r="Z32" s="42">
        <f>Y28*Interventions!$F$10</f>
        <v>705555.09851125022</v>
      </c>
      <c r="AA32" s="42">
        <f>Z28*Interventions!$F$10</f>
        <v>705555.09851125022</v>
      </c>
      <c r="AB32" s="42">
        <f>AA28*Interventions!$F$10</f>
        <v>705555.09851125022</v>
      </c>
      <c r="AC32" s="42">
        <f>AB28*Interventions!$F$10</f>
        <v>705555.09851125022</v>
      </c>
      <c r="AD32" s="42">
        <f>AC28*Interventions!$F$10</f>
        <v>558281.7731742576</v>
      </c>
      <c r="AE32" s="42">
        <f>AD28*Interventions!$F$10</f>
        <v>424396.93195880979</v>
      </c>
      <c r="AF32" s="42">
        <f>AE28*Interventions!$F$10</f>
        <v>302683.43994476629</v>
      </c>
      <c r="AG32" s="42">
        <f>AF28*Interventions!$F$10</f>
        <v>192034.81084109042</v>
      </c>
      <c r="AH32" s="42">
        <f>AG28*Interventions!$F$10</f>
        <v>91445.148019566899</v>
      </c>
    </row>
    <row r="33" spans="1:34" x14ac:dyDescent="0.25">
      <c r="A33" s="44"/>
      <c r="B33" s="10"/>
      <c r="C33" s="10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</row>
    <row r="34" spans="1:34" x14ac:dyDescent="0.25">
      <c r="A34" s="115" t="s">
        <v>150</v>
      </c>
      <c r="B34" s="122" t="s">
        <v>37</v>
      </c>
      <c r="C34" s="116">
        <f t="shared" ref="C34" si="8">SUM(C35:C37)</f>
        <v>0</v>
      </c>
      <c r="D34" s="116">
        <f>SUM(D35:D38)</f>
        <v>147434.05326242212</v>
      </c>
      <c r="E34" s="116">
        <f t="shared" ref="E34:AH34" si="9">SUM(E35:E38)</f>
        <v>281465.01077371492</v>
      </c>
      <c r="F34" s="116">
        <f t="shared" si="9"/>
        <v>403311.33578398114</v>
      </c>
      <c r="G34" s="116">
        <f t="shared" si="9"/>
        <v>514080.72215695045</v>
      </c>
      <c r="H34" s="116">
        <f t="shared" si="9"/>
        <v>614780.16431419528</v>
      </c>
      <c r="I34" s="116">
        <f t="shared" si="9"/>
        <v>706325.1117298723</v>
      </c>
      <c r="J34" s="116">
        <f t="shared" si="9"/>
        <v>706325.1117298723</v>
      </c>
      <c r="K34" s="116">
        <f t="shared" si="9"/>
        <v>706325.1117298723</v>
      </c>
      <c r="L34" s="116">
        <f t="shared" si="9"/>
        <v>706325.1117298723</v>
      </c>
      <c r="M34" s="116">
        <f t="shared" si="9"/>
        <v>706325.1117298723</v>
      </c>
      <c r="N34" s="116">
        <f t="shared" si="9"/>
        <v>706325.1117298723</v>
      </c>
      <c r="O34" s="116">
        <f t="shared" si="9"/>
        <v>706325.1117298723</v>
      </c>
      <c r="P34" s="116">
        <f t="shared" si="9"/>
        <v>706325.1117298723</v>
      </c>
      <c r="Q34" s="116">
        <f t="shared" si="9"/>
        <v>706325.1117298723</v>
      </c>
      <c r="R34" s="116">
        <f t="shared" si="9"/>
        <v>706325.1117298723</v>
      </c>
      <c r="S34" s="116">
        <f t="shared" si="9"/>
        <v>706325.1117298723</v>
      </c>
      <c r="T34" s="116">
        <f t="shared" si="9"/>
        <v>706325.1117298723</v>
      </c>
      <c r="U34" s="116">
        <f t="shared" si="9"/>
        <v>706325.1117298723</v>
      </c>
      <c r="V34" s="116">
        <f t="shared" si="9"/>
        <v>706325.1117298723</v>
      </c>
      <c r="W34" s="116">
        <f t="shared" si="9"/>
        <v>706325.1117298723</v>
      </c>
      <c r="X34" s="116">
        <f t="shared" si="9"/>
        <v>706325.1117298723</v>
      </c>
      <c r="Y34" s="116">
        <f t="shared" si="9"/>
        <v>706325.1117298723</v>
      </c>
      <c r="Z34" s="116">
        <f t="shared" si="9"/>
        <v>706325.1117298723</v>
      </c>
      <c r="AA34" s="116">
        <f t="shared" si="9"/>
        <v>706325.1117298723</v>
      </c>
      <c r="AB34" s="116">
        <f t="shared" si="9"/>
        <v>706325.1117298723</v>
      </c>
      <c r="AC34" s="116">
        <f t="shared" si="9"/>
        <v>706325.1117298723</v>
      </c>
      <c r="AD34" s="116">
        <f t="shared" si="9"/>
        <v>558891.05846745032</v>
      </c>
      <c r="AE34" s="116">
        <f t="shared" si="9"/>
        <v>424860.10095615743</v>
      </c>
      <c r="AF34" s="116">
        <f t="shared" si="9"/>
        <v>303013.77594589122</v>
      </c>
      <c r="AG34" s="116">
        <f t="shared" si="9"/>
        <v>192244.38957292194</v>
      </c>
      <c r="AH34" s="116">
        <f t="shared" si="9"/>
        <v>91544.947415677147</v>
      </c>
    </row>
    <row r="35" spans="1:34" x14ac:dyDescent="0.25">
      <c r="A35" s="41"/>
      <c r="B35" s="28"/>
      <c r="C35" s="28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</row>
    <row r="36" spans="1:34" x14ac:dyDescent="0.25">
      <c r="A36" s="41"/>
      <c r="B36" s="28"/>
      <c r="C36" s="28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</row>
    <row r="37" spans="1:34" x14ac:dyDescent="0.25">
      <c r="A37" s="41"/>
      <c r="B37" s="28"/>
      <c r="C37" s="28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</row>
    <row r="38" spans="1:34" x14ac:dyDescent="0.25">
      <c r="A38" s="241" t="s">
        <v>36</v>
      </c>
      <c r="B38" s="28" t="s">
        <v>37</v>
      </c>
      <c r="C38" s="28"/>
      <c r="D38" s="42">
        <f>C28*Interventions!$F$14</f>
        <v>147434.05326242212</v>
      </c>
      <c r="E38" s="42">
        <f>D28*Interventions!$F$14</f>
        <v>281465.01077371492</v>
      </c>
      <c r="F38" s="42">
        <f>E28*Interventions!$F$14</f>
        <v>403311.33578398114</v>
      </c>
      <c r="G38" s="42">
        <f>F28*Interventions!$F$14</f>
        <v>514080.72215695045</v>
      </c>
      <c r="H38" s="42">
        <f>G28*Interventions!$F$14</f>
        <v>614780.16431419528</v>
      </c>
      <c r="I38" s="42">
        <f>H28*Interventions!$F$14</f>
        <v>706325.1117298723</v>
      </c>
      <c r="J38" s="42">
        <f>I28*Interventions!$F$14</f>
        <v>706325.1117298723</v>
      </c>
      <c r="K38" s="42">
        <f>J28*Interventions!$F$14</f>
        <v>706325.1117298723</v>
      </c>
      <c r="L38" s="42">
        <f>K28*Interventions!$F$14</f>
        <v>706325.1117298723</v>
      </c>
      <c r="M38" s="42">
        <f>L28*Interventions!$F$14</f>
        <v>706325.1117298723</v>
      </c>
      <c r="N38" s="42">
        <f>M28*Interventions!$F$14</f>
        <v>706325.1117298723</v>
      </c>
      <c r="O38" s="42">
        <f>N28*Interventions!$F$14</f>
        <v>706325.1117298723</v>
      </c>
      <c r="P38" s="42">
        <f>O28*Interventions!$F$14</f>
        <v>706325.1117298723</v>
      </c>
      <c r="Q38" s="42">
        <f>P28*Interventions!$F$14</f>
        <v>706325.1117298723</v>
      </c>
      <c r="R38" s="42">
        <f>Q28*Interventions!$F$14</f>
        <v>706325.1117298723</v>
      </c>
      <c r="S38" s="42">
        <f>R28*Interventions!$F$14</f>
        <v>706325.1117298723</v>
      </c>
      <c r="T38" s="42">
        <f>S28*Interventions!$F$14</f>
        <v>706325.1117298723</v>
      </c>
      <c r="U38" s="42">
        <f>T28*Interventions!$F$14</f>
        <v>706325.1117298723</v>
      </c>
      <c r="V38" s="42">
        <f>U28*Interventions!$F$14</f>
        <v>706325.1117298723</v>
      </c>
      <c r="W38" s="42">
        <f>V28*Interventions!$F$14</f>
        <v>706325.1117298723</v>
      </c>
      <c r="X38" s="42">
        <f>W28*Interventions!$F$14</f>
        <v>706325.1117298723</v>
      </c>
      <c r="Y38" s="42">
        <f>X28*Interventions!$F$14</f>
        <v>706325.1117298723</v>
      </c>
      <c r="Z38" s="42">
        <f>Y28*Interventions!$F$14</f>
        <v>706325.1117298723</v>
      </c>
      <c r="AA38" s="42">
        <f>Z28*Interventions!$F$14</f>
        <v>706325.1117298723</v>
      </c>
      <c r="AB38" s="42">
        <f>AA28*Interventions!$F$14</f>
        <v>706325.1117298723</v>
      </c>
      <c r="AC38" s="42">
        <f>AB28*Interventions!$F$14</f>
        <v>706325.1117298723</v>
      </c>
      <c r="AD38" s="42">
        <f>AC28*Interventions!$F$14</f>
        <v>558891.05846745032</v>
      </c>
      <c r="AE38" s="42">
        <f>AD28*Interventions!$F$14</f>
        <v>424860.10095615743</v>
      </c>
      <c r="AF38" s="42">
        <f>AE28*Interventions!$F$14</f>
        <v>303013.77594589122</v>
      </c>
      <c r="AG38" s="42">
        <f>AF28*Interventions!$F$14</f>
        <v>192244.38957292194</v>
      </c>
      <c r="AH38" s="42">
        <f>AG28*Interventions!$F$14</f>
        <v>91544.947415677147</v>
      </c>
    </row>
    <row r="39" spans="1:34" x14ac:dyDescent="0.25">
      <c r="A39" s="117"/>
      <c r="B39" s="28"/>
      <c r="C39" s="28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</row>
    <row r="40" spans="1:34" x14ac:dyDescent="0.25">
      <c r="A40" s="118" t="s">
        <v>154</v>
      </c>
      <c r="B40" s="122" t="s">
        <v>37</v>
      </c>
      <c r="C40" s="116">
        <f t="shared" ref="C40:AH40" si="10">C30+C34</f>
        <v>0</v>
      </c>
      <c r="D40" s="116">
        <f t="shared" si="10"/>
        <v>320870.68484634365</v>
      </c>
      <c r="E40" s="116">
        <f t="shared" si="10"/>
        <v>613820.01068662305</v>
      </c>
      <c r="F40" s="116">
        <f t="shared" si="10"/>
        <v>881376.95815294422</v>
      </c>
      <c r="G40" s="116">
        <f t="shared" si="10"/>
        <v>1125843.1316775603</v>
      </c>
      <c r="H40" s="116">
        <f t="shared" si="10"/>
        <v>1349313.304863255</v>
      </c>
      <c r="I40" s="116">
        <f t="shared" si="10"/>
        <v>1553694.1078132801</v>
      </c>
      <c r="J40" s="116">
        <f t="shared" si="10"/>
        <v>1557239.4552525841</v>
      </c>
      <c r="K40" s="116">
        <f t="shared" si="10"/>
        <v>1560873.4363778709</v>
      </c>
      <c r="L40" s="116">
        <f t="shared" si="10"/>
        <v>1564598.2670312894</v>
      </c>
      <c r="M40" s="116">
        <f t="shared" si="10"/>
        <v>1568416.2184510436</v>
      </c>
      <c r="N40" s="116">
        <f t="shared" si="10"/>
        <v>1572329.6186562916</v>
      </c>
      <c r="O40" s="116">
        <f t="shared" si="10"/>
        <v>1576340.8538666707</v>
      </c>
      <c r="P40" s="116">
        <f t="shared" si="10"/>
        <v>1580452.3699573094</v>
      </c>
      <c r="Q40" s="116">
        <f t="shared" si="10"/>
        <v>1584666.6739502139</v>
      </c>
      <c r="R40" s="116">
        <f t="shared" si="10"/>
        <v>1588986.3355429415</v>
      </c>
      <c r="S40" s="116">
        <f t="shared" si="10"/>
        <v>1593413.9886754868</v>
      </c>
      <c r="T40" s="116">
        <f t="shared" si="10"/>
        <v>1597952.333136346</v>
      </c>
      <c r="U40" s="116">
        <f t="shared" si="10"/>
        <v>1602604.1362087266</v>
      </c>
      <c r="V40" s="116">
        <f t="shared" si="10"/>
        <v>1607372.2343579168</v>
      </c>
      <c r="W40" s="116">
        <f t="shared" si="10"/>
        <v>1612259.5349608364</v>
      </c>
      <c r="X40" s="116">
        <f t="shared" si="10"/>
        <v>1617269.0180788292</v>
      </c>
      <c r="Y40" s="116">
        <f t="shared" si="10"/>
        <v>1622403.7382747717</v>
      </c>
      <c r="Z40" s="116">
        <f t="shared" si="10"/>
        <v>1627666.8264756133</v>
      </c>
      <c r="AA40" s="116">
        <f t="shared" si="10"/>
        <v>1633061.4918814753</v>
      </c>
      <c r="AB40" s="116">
        <f t="shared" si="10"/>
        <v>1638591.0239224841</v>
      </c>
      <c r="AC40" s="116">
        <f t="shared" si="10"/>
        <v>1411880.2102411226</v>
      </c>
      <c r="AD40" s="116">
        <f t="shared" si="10"/>
        <v>1117172.831641708</v>
      </c>
      <c r="AE40" s="116">
        <f t="shared" si="10"/>
        <v>849257.03291496728</v>
      </c>
      <c r="AF40" s="116">
        <f t="shared" si="10"/>
        <v>605697.21589065751</v>
      </c>
      <c r="AG40" s="116">
        <f t="shared" si="10"/>
        <v>384279.20041401236</v>
      </c>
      <c r="AH40" s="116">
        <f t="shared" si="10"/>
        <v>182990.09543524403</v>
      </c>
    </row>
    <row r="41" spans="1:34" s="21" customFormat="1" x14ac:dyDescent="0.25">
      <c r="A41" s="119"/>
      <c r="B41" s="123"/>
      <c r="C41" s="113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</row>
    <row r="42" spans="1:34" x14ac:dyDescent="0.25">
      <c r="A42" s="119" t="s">
        <v>92</v>
      </c>
      <c r="B42" s="28" t="s">
        <v>37</v>
      </c>
      <c r="C42" s="31">
        <f t="shared" ref="C42:AH42" si="11">C40-C24</f>
        <v>-1368055.5555555555</v>
      </c>
      <c r="D42" s="31">
        <f t="shared" si="11"/>
        <v>-1047184.8707092118</v>
      </c>
      <c r="E42" s="31">
        <f t="shared" si="11"/>
        <v>-754235.54486893245</v>
      </c>
      <c r="F42" s="31">
        <f t="shared" si="11"/>
        <v>-486678.59740261128</v>
      </c>
      <c r="G42" s="31">
        <f t="shared" si="11"/>
        <v>-242212.42387799523</v>
      </c>
      <c r="H42" s="31">
        <f t="shared" si="11"/>
        <v>-18742.250692300498</v>
      </c>
      <c r="I42" s="31">
        <f t="shared" si="11"/>
        <v>957870.2482340727</v>
      </c>
      <c r="J42" s="31">
        <f t="shared" si="11"/>
        <v>961415.59567337669</v>
      </c>
      <c r="K42" s="31">
        <f t="shared" si="11"/>
        <v>965049.57679866347</v>
      </c>
      <c r="L42" s="31">
        <f t="shared" si="11"/>
        <v>968774.40745208203</v>
      </c>
      <c r="M42" s="31">
        <f t="shared" si="11"/>
        <v>972592.35887183622</v>
      </c>
      <c r="N42" s="31">
        <f t="shared" si="11"/>
        <v>976505.75907708425</v>
      </c>
      <c r="O42" s="31">
        <f t="shared" si="11"/>
        <v>980516.99428746337</v>
      </c>
      <c r="P42" s="31">
        <f t="shared" si="11"/>
        <v>984628.51037810207</v>
      </c>
      <c r="Q42" s="31">
        <f t="shared" si="11"/>
        <v>988842.81437100656</v>
      </c>
      <c r="R42" s="31">
        <f t="shared" si="11"/>
        <v>993162.47596373409</v>
      </c>
      <c r="S42" s="31">
        <f t="shared" si="11"/>
        <v>997590.12909627939</v>
      </c>
      <c r="T42" s="31">
        <f t="shared" si="11"/>
        <v>1002128.4735571386</v>
      </c>
      <c r="U42" s="31">
        <f t="shared" si="11"/>
        <v>1006780.2766295192</v>
      </c>
      <c r="V42" s="31">
        <f t="shared" si="11"/>
        <v>1011548.3747787094</v>
      </c>
      <c r="W42" s="31">
        <f t="shared" si="11"/>
        <v>1016435.675381629</v>
      </c>
      <c r="X42" s="31">
        <f t="shared" si="11"/>
        <v>1021445.1584996218</v>
      </c>
      <c r="Y42" s="31">
        <f t="shared" si="11"/>
        <v>1026579.8786955643</v>
      </c>
      <c r="Z42" s="31">
        <f t="shared" si="11"/>
        <v>1031842.9668964059</v>
      </c>
      <c r="AA42" s="31">
        <f t="shared" si="11"/>
        <v>1037237.6323022679</v>
      </c>
      <c r="AB42" s="31">
        <f t="shared" si="11"/>
        <v>1042767.1643432768</v>
      </c>
      <c r="AC42" s="31">
        <f t="shared" si="11"/>
        <v>816056.35066191526</v>
      </c>
      <c r="AD42" s="31">
        <f t="shared" si="11"/>
        <v>645717.65893118759</v>
      </c>
      <c r="AE42" s="31">
        <f t="shared" si="11"/>
        <v>490864.30281234393</v>
      </c>
      <c r="AF42" s="31">
        <f t="shared" si="11"/>
        <v>350088.52452248614</v>
      </c>
      <c r="AG42" s="31">
        <f t="shared" si="11"/>
        <v>222110.54425897915</v>
      </c>
      <c r="AH42" s="31">
        <f t="shared" si="11"/>
        <v>105766.92583760915</v>
      </c>
    </row>
    <row r="43" spans="1:34" x14ac:dyDescent="0.25">
      <c r="A43" s="119" t="s">
        <v>93</v>
      </c>
      <c r="B43" s="28" t="s">
        <v>37</v>
      </c>
      <c r="C43" s="31">
        <f t="shared" ref="C43:AH43" si="12">C34-C24</f>
        <v>-1368055.5555555555</v>
      </c>
      <c r="D43" s="31">
        <f t="shared" si="12"/>
        <v>-1220621.5022931334</v>
      </c>
      <c r="E43" s="31">
        <f t="shared" si="12"/>
        <v>-1086590.5447818406</v>
      </c>
      <c r="F43" s="31">
        <f t="shared" si="12"/>
        <v>-964744.21977157437</v>
      </c>
      <c r="G43" s="31">
        <f t="shared" si="12"/>
        <v>-853974.833398605</v>
      </c>
      <c r="H43" s="31">
        <f t="shared" si="12"/>
        <v>-753275.39124136022</v>
      </c>
      <c r="I43" s="31">
        <f t="shared" si="12"/>
        <v>110501.25215066492</v>
      </c>
      <c r="J43" s="31">
        <f t="shared" si="12"/>
        <v>110501.25215066492</v>
      </c>
      <c r="K43" s="31">
        <f t="shared" si="12"/>
        <v>110501.25215066492</v>
      </c>
      <c r="L43" s="31">
        <f t="shared" si="12"/>
        <v>110501.25215066492</v>
      </c>
      <c r="M43" s="31">
        <f t="shared" si="12"/>
        <v>110501.25215066492</v>
      </c>
      <c r="N43" s="31">
        <f t="shared" si="12"/>
        <v>110501.25215066492</v>
      </c>
      <c r="O43" s="31">
        <f t="shared" si="12"/>
        <v>110501.25215066492</v>
      </c>
      <c r="P43" s="31">
        <f t="shared" si="12"/>
        <v>110501.25215066492</v>
      </c>
      <c r="Q43" s="31">
        <f t="shared" si="12"/>
        <v>110501.25215066492</v>
      </c>
      <c r="R43" s="31">
        <f t="shared" si="12"/>
        <v>110501.25215066492</v>
      </c>
      <c r="S43" s="31">
        <f t="shared" si="12"/>
        <v>110501.25215066492</v>
      </c>
      <c r="T43" s="31">
        <f t="shared" si="12"/>
        <v>110501.25215066492</v>
      </c>
      <c r="U43" s="31">
        <f t="shared" si="12"/>
        <v>110501.25215066492</v>
      </c>
      <c r="V43" s="31">
        <f t="shared" si="12"/>
        <v>110501.25215066492</v>
      </c>
      <c r="W43" s="31">
        <f t="shared" si="12"/>
        <v>110501.25215066492</v>
      </c>
      <c r="X43" s="31">
        <f t="shared" si="12"/>
        <v>110501.25215066492</v>
      </c>
      <c r="Y43" s="31">
        <f t="shared" si="12"/>
        <v>110501.25215066492</v>
      </c>
      <c r="Z43" s="31">
        <f t="shared" si="12"/>
        <v>110501.25215066492</v>
      </c>
      <c r="AA43" s="31">
        <f t="shared" si="12"/>
        <v>110501.25215066492</v>
      </c>
      <c r="AB43" s="31">
        <f t="shared" si="12"/>
        <v>110501.25215066492</v>
      </c>
      <c r="AC43" s="31">
        <f t="shared" si="12"/>
        <v>110501.25215066492</v>
      </c>
      <c r="AD43" s="31">
        <f t="shared" si="12"/>
        <v>87435.885756929812</v>
      </c>
      <c r="AE43" s="31">
        <f t="shared" si="12"/>
        <v>66467.370853534085</v>
      </c>
      <c r="AF43" s="31">
        <f t="shared" si="12"/>
        <v>47405.084577719856</v>
      </c>
      <c r="AG43" s="31">
        <f t="shared" si="12"/>
        <v>30075.733417888725</v>
      </c>
      <c r="AH43" s="31">
        <f t="shared" si="12"/>
        <v>14321.777818042261</v>
      </c>
    </row>
    <row r="44" spans="1:34" x14ac:dyDescent="0.25">
      <c r="A44" s="127"/>
      <c r="B44" s="127"/>
      <c r="C44" s="127"/>
      <c r="D44" s="127"/>
      <c r="E44" s="127"/>
      <c r="F44" s="127"/>
      <c r="G44" s="127"/>
      <c r="H44" s="127"/>
      <c r="I44" s="127"/>
      <c r="J44" s="127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</row>
    <row r="45" spans="1:34" x14ac:dyDescent="0.25">
      <c r="A45" s="51" t="s">
        <v>47</v>
      </c>
      <c r="B45" s="28" t="s">
        <v>37</v>
      </c>
      <c r="C45" s="31">
        <f t="shared" ref="C45:AH45" si="13">(C25+C26)*C$8</f>
        <v>1368055.5555555555</v>
      </c>
      <c r="D45" s="31">
        <f t="shared" si="13"/>
        <v>1238090.2777777778</v>
      </c>
      <c r="E45" s="31">
        <f t="shared" si="13"/>
        <v>1120471.7013888888</v>
      </c>
      <c r="F45" s="31">
        <f t="shared" si="13"/>
        <v>1014026.8897569444</v>
      </c>
      <c r="G45" s="31">
        <f t="shared" si="13"/>
        <v>917694.33523003478</v>
      </c>
      <c r="H45" s="31">
        <f t="shared" si="13"/>
        <v>830513.3733831814</v>
      </c>
      <c r="I45" s="31">
        <f t="shared" si="13"/>
        <v>327347.75412035792</v>
      </c>
      <c r="J45" s="31">
        <f t="shared" si="13"/>
        <v>296249.71747892391</v>
      </c>
      <c r="K45" s="31">
        <f t="shared" si="13"/>
        <v>268105.99431842618</v>
      </c>
      <c r="L45" s="31">
        <f t="shared" si="13"/>
        <v>242635.92485817571</v>
      </c>
      <c r="M45" s="31">
        <f t="shared" si="13"/>
        <v>219585.511996649</v>
      </c>
      <c r="N45" s="31">
        <f t="shared" si="13"/>
        <v>198724.88835696733</v>
      </c>
      <c r="O45" s="31">
        <f t="shared" si="13"/>
        <v>179846.02396305546</v>
      </c>
      <c r="P45" s="31">
        <f t="shared" si="13"/>
        <v>162760.65168656519</v>
      </c>
      <c r="Q45" s="31">
        <f t="shared" si="13"/>
        <v>147298.3897763415</v>
      </c>
      <c r="R45" s="31">
        <f t="shared" si="13"/>
        <v>133305.04274758903</v>
      </c>
      <c r="S45" s="31">
        <f t="shared" si="13"/>
        <v>120641.0636865681</v>
      </c>
      <c r="T45" s="31">
        <f t="shared" si="13"/>
        <v>109180.16263634413</v>
      </c>
      <c r="U45" s="31">
        <f t="shared" si="13"/>
        <v>98808.047185891439</v>
      </c>
      <c r="V45" s="31">
        <f t="shared" si="13"/>
        <v>89421.282703231744</v>
      </c>
      <c r="W45" s="31">
        <f t="shared" si="13"/>
        <v>80926.260846424731</v>
      </c>
      <c r="X45" s="31">
        <f t="shared" si="13"/>
        <v>73238.266066014388</v>
      </c>
      <c r="Y45" s="31">
        <f t="shared" si="13"/>
        <v>66280.630789743023</v>
      </c>
      <c r="Z45" s="31">
        <f t="shared" si="13"/>
        <v>59983.970864717427</v>
      </c>
      <c r="AA45" s="31">
        <f t="shared" si="13"/>
        <v>54285.493632569283</v>
      </c>
      <c r="AB45" s="31">
        <f t="shared" si="13"/>
        <v>49128.371737475201</v>
      </c>
      <c r="AC45" s="31">
        <f t="shared" si="13"/>
        <v>44461.176422415054</v>
      </c>
      <c r="AD45" s="31">
        <f t="shared" si="13"/>
        <v>31838.459305190383</v>
      </c>
      <c r="AE45" s="31">
        <f t="shared" si="13"/>
        <v>21903.79717285985</v>
      </c>
      <c r="AF45" s="31">
        <f t="shared" si="13"/>
        <v>14137.883995078717</v>
      </c>
      <c r="AG45" s="31">
        <f t="shared" si="13"/>
        <v>8117.5373210414218</v>
      </c>
      <c r="AH45" s="31">
        <f t="shared" si="13"/>
        <v>3498.2720359726131</v>
      </c>
    </row>
    <row r="46" spans="1:34" x14ac:dyDescent="0.25">
      <c r="A46" s="51" t="s">
        <v>70</v>
      </c>
      <c r="B46" s="28" t="s">
        <v>37</v>
      </c>
      <c r="C46" s="31">
        <f t="shared" ref="C46:AH46" si="14">C34*C$8</f>
        <v>0</v>
      </c>
      <c r="D46" s="31">
        <f t="shared" si="14"/>
        <v>133427.81820249202</v>
      </c>
      <c r="E46" s="31">
        <f t="shared" si="14"/>
        <v>230526.88044894187</v>
      </c>
      <c r="F46" s="31">
        <f t="shared" si="14"/>
        <v>298941.47044538002</v>
      </c>
      <c r="G46" s="31">
        <f t="shared" si="14"/>
        <v>344846.35120159102</v>
      </c>
      <c r="H46" s="31">
        <f t="shared" si="14"/>
        <v>373218.13875190582</v>
      </c>
      <c r="I46" s="31">
        <f t="shared" si="14"/>
        <v>388057.53627737623</v>
      </c>
      <c r="J46" s="31">
        <f t="shared" si="14"/>
        <v>351192.07033102546</v>
      </c>
      <c r="K46" s="31">
        <f t="shared" si="14"/>
        <v>317828.82364957809</v>
      </c>
      <c r="L46" s="31">
        <f t="shared" si="14"/>
        <v>287635.08540286816</v>
      </c>
      <c r="M46" s="31">
        <f t="shared" si="14"/>
        <v>260309.75228959569</v>
      </c>
      <c r="N46" s="31">
        <f t="shared" si="14"/>
        <v>235580.32582208409</v>
      </c>
      <c r="O46" s="31">
        <f t="shared" si="14"/>
        <v>213200.19486898612</v>
      </c>
      <c r="P46" s="31">
        <f t="shared" si="14"/>
        <v>192946.17635643244</v>
      </c>
      <c r="Q46" s="31">
        <f t="shared" si="14"/>
        <v>174616.28960257137</v>
      </c>
      <c r="R46" s="31">
        <f t="shared" si="14"/>
        <v>158027.74209032705</v>
      </c>
      <c r="S46" s="31">
        <f t="shared" si="14"/>
        <v>143015.10659174601</v>
      </c>
      <c r="T46" s="31">
        <f t="shared" si="14"/>
        <v>129428.67146553015</v>
      </c>
      <c r="U46" s="31">
        <f t="shared" si="14"/>
        <v>117132.94767630477</v>
      </c>
      <c r="V46" s="31">
        <f t="shared" si="14"/>
        <v>106005.31764705582</v>
      </c>
      <c r="W46" s="31">
        <f t="shared" si="14"/>
        <v>95934.81247058553</v>
      </c>
      <c r="X46" s="31">
        <f t="shared" si="14"/>
        <v>86821.005285879888</v>
      </c>
      <c r="Y46" s="31">
        <f t="shared" si="14"/>
        <v>78573.009783721311</v>
      </c>
      <c r="Z46" s="31">
        <f t="shared" si="14"/>
        <v>71108.573854267772</v>
      </c>
      <c r="AA46" s="31">
        <f t="shared" si="14"/>
        <v>64353.259338112352</v>
      </c>
      <c r="AB46" s="31">
        <f t="shared" si="14"/>
        <v>58239.699700991681</v>
      </c>
      <c r="AC46" s="31">
        <f t="shared" si="14"/>
        <v>52706.928229397468</v>
      </c>
      <c r="AD46" s="31">
        <f t="shared" si="14"/>
        <v>37743.207098030041</v>
      </c>
      <c r="AE46" s="31">
        <f t="shared" si="14"/>
        <v>25966.066542476201</v>
      </c>
      <c r="AF46" s="31">
        <f t="shared" si="14"/>
        <v>16759.890245919971</v>
      </c>
      <c r="AG46" s="31">
        <f t="shared" si="14"/>
        <v>9623.0125112903061</v>
      </c>
      <c r="AH46" s="31">
        <f t="shared" si="14"/>
        <v>4147.0601536751083</v>
      </c>
    </row>
    <row r="47" spans="1:34" x14ac:dyDescent="0.25">
      <c r="A47" s="51" t="s">
        <v>153</v>
      </c>
      <c r="B47" s="28" t="s">
        <v>37</v>
      </c>
      <c r="C47" s="31">
        <f t="shared" ref="C47:AH47" si="15">C30*C$10</f>
        <v>0</v>
      </c>
      <c r="D47" s="31">
        <f t="shared" si="15"/>
        <v>173436.63158392152</v>
      </c>
      <c r="E47" s="31">
        <f t="shared" si="15"/>
        <v>332354.99991290813</v>
      </c>
      <c r="F47" s="31">
        <f t="shared" si="15"/>
        <v>478065.62236896303</v>
      </c>
      <c r="G47" s="31">
        <f t="shared" si="15"/>
        <v>611762.40952060977</v>
      </c>
      <c r="H47" s="31">
        <f t="shared" si="15"/>
        <v>734533.14054905972</v>
      </c>
      <c r="I47" s="31">
        <f t="shared" si="15"/>
        <v>847368.9960834079</v>
      </c>
      <c r="J47" s="31">
        <f t="shared" si="15"/>
        <v>850914.34352271189</v>
      </c>
      <c r="K47" s="31">
        <f t="shared" si="15"/>
        <v>854548.32464799844</v>
      </c>
      <c r="L47" s="31">
        <f t="shared" si="15"/>
        <v>858273.15530141711</v>
      </c>
      <c r="M47" s="31">
        <f t="shared" si="15"/>
        <v>862091.10672117118</v>
      </c>
      <c r="N47" s="31">
        <f t="shared" si="15"/>
        <v>866004.50692641921</v>
      </c>
      <c r="O47" s="31">
        <f t="shared" si="15"/>
        <v>870015.74213679845</v>
      </c>
      <c r="P47" s="31">
        <f t="shared" si="15"/>
        <v>874127.25822743715</v>
      </c>
      <c r="Q47" s="31">
        <f t="shared" si="15"/>
        <v>878341.56222034176</v>
      </c>
      <c r="R47" s="31">
        <f t="shared" si="15"/>
        <v>882661.22381306905</v>
      </c>
      <c r="S47" s="31">
        <f t="shared" si="15"/>
        <v>887088.87694561458</v>
      </c>
      <c r="T47" s="31">
        <f t="shared" si="15"/>
        <v>891627.22140647366</v>
      </c>
      <c r="U47" s="31">
        <f t="shared" si="15"/>
        <v>896279.02447885415</v>
      </c>
      <c r="V47" s="31">
        <f t="shared" si="15"/>
        <v>901047.12262804434</v>
      </c>
      <c r="W47" s="31">
        <f t="shared" si="15"/>
        <v>905934.42323096411</v>
      </c>
      <c r="X47" s="31">
        <f t="shared" si="15"/>
        <v>910943.90634895698</v>
      </c>
      <c r="Y47" s="31">
        <f t="shared" si="15"/>
        <v>916078.62654489954</v>
      </c>
      <c r="Z47" s="31">
        <f t="shared" si="15"/>
        <v>921341.71474574087</v>
      </c>
      <c r="AA47" s="31">
        <f t="shared" si="15"/>
        <v>926736.38015160314</v>
      </c>
      <c r="AB47" s="31">
        <f t="shared" si="15"/>
        <v>932265.91219261184</v>
      </c>
      <c r="AC47" s="31">
        <f t="shared" si="15"/>
        <v>705555.09851125022</v>
      </c>
      <c r="AD47" s="31">
        <f t="shared" si="15"/>
        <v>558281.7731742576</v>
      </c>
      <c r="AE47" s="31">
        <f t="shared" si="15"/>
        <v>424396.93195880979</v>
      </c>
      <c r="AF47" s="31">
        <f t="shared" si="15"/>
        <v>302683.43994476629</v>
      </c>
      <c r="AG47" s="31">
        <f t="shared" si="15"/>
        <v>192034.81084109042</v>
      </c>
      <c r="AH47" s="31">
        <f t="shared" si="15"/>
        <v>91445.148019566899</v>
      </c>
    </row>
    <row r="48" spans="1:34" x14ac:dyDescent="0.25">
      <c r="A48" s="119" t="s">
        <v>42</v>
      </c>
      <c r="B48" s="28" t="s">
        <v>37</v>
      </c>
      <c r="C48" s="31">
        <f>C47+C46-C45</f>
        <v>-1368055.5555555555</v>
      </c>
      <c r="D48" s="31">
        <f>D47+D46-D45</f>
        <v>-931225.82799136417</v>
      </c>
      <c r="E48" s="31">
        <f>E47+E46-E45</f>
        <v>-557589.82102703874</v>
      </c>
      <c r="F48" s="31">
        <f t="shared" ref="F48:AH48" si="16">F47+F46-F45</f>
        <v>-237019.79694260133</v>
      </c>
      <c r="G48" s="31">
        <f t="shared" si="16"/>
        <v>38914.425492166076</v>
      </c>
      <c r="H48" s="31">
        <f t="shared" si="16"/>
        <v>277237.9059177842</v>
      </c>
      <c r="I48" s="31">
        <f t="shared" si="16"/>
        <v>908078.77824042633</v>
      </c>
      <c r="J48" s="31">
        <f t="shared" si="16"/>
        <v>905856.69637481333</v>
      </c>
      <c r="K48" s="31">
        <f t="shared" si="16"/>
        <v>904271.15397915035</v>
      </c>
      <c r="L48" s="31">
        <f t="shared" si="16"/>
        <v>903272.31584610953</v>
      </c>
      <c r="M48" s="31">
        <f t="shared" si="16"/>
        <v>902815.34701411799</v>
      </c>
      <c r="N48" s="31">
        <f t="shared" si="16"/>
        <v>902859.94439153606</v>
      </c>
      <c r="O48" s="31">
        <f t="shared" si="16"/>
        <v>903369.91304272914</v>
      </c>
      <c r="P48" s="31">
        <f t="shared" si="16"/>
        <v>904312.78289730428</v>
      </c>
      <c r="Q48" s="31">
        <f t="shared" si="16"/>
        <v>905659.46204657166</v>
      </c>
      <c r="R48" s="31">
        <f t="shared" si="16"/>
        <v>907383.92315580708</v>
      </c>
      <c r="S48" s="31">
        <f t="shared" si="16"/>
        <v>909462.9198507925</v>
      </c>
      <c r="T48" s="31">
        <f t="shared" si="16"/>
        <v>911875.73023565975</v>
      </c>
      <c r="U48" s="31">
        <f t="shared" si="16"/>
        <v>914603.92496926745</v>
      </c>
      <c r="V48" s="31">
        <f t="shared" si="16"/>
        <v>917631.15757186839</v>
      </c>
      <c r="W48" s="31">
        <f t="shared" si="16"/>
        <v>920942.97485512495</v>
      </c>
      <c r="X48" s="31">
        <f t="shared" si="16"/>
        <v>924526.64556882239</v>
      </c>
      <c r="Y48" s="31">
        <f t="shared" si="16"/>
        <v>928371.0055388778</v>
      </c>
      <c r="Z48" s="31">
        <f t="shared" si="16"/>
        <v>932466.31773529132</v>
      </c>
      <c r="AA48" s="31">
        <f t="shared" si="16"/>
        <v>936804.14585714613</v>
      </c>
      <c r="AB48" s="31">
        <f t="shared" si="16"/>
        <v>941377.24015612842</v>
      </c>
      <c r="AC48" s="31">
        <f t="shared" si="16"/>
        <v>713800.85031823267</v>
      </c>
      <c r="AD48" s="31">
        <f t="shared" si="16"/>
        <v>564186.52096709725</v>
      </c>
      <c r="AE48" s="31">
        <f t="shared" si="16"/>
        <v>428459.20132842613</v>
      </c>
      <c r="AF48" s="31">
        <f t="shared" si="16"/>
        <v>305305.44619560754</v>
      </c>
      <c r="AG48" s="31">
        <f t="shared" si="16"/>
        <v>193540.28603133932</v>
      </c>
      <c r="AH48" s="31">
        <f t="shared" si="16"/>
        <v>92093.936137269397</v>
      </c>
    </row>
    <row r="49" spans="1:34" x14ac:dyDescent="0.25">
      <c r="A49" s="51"/>
      <c r="B49" s="28"/>
      <c r="C49" s="28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</row>
    <row r="50" spans="1:34" x14ac:dyDescent="0.25">
      <c r="A50" s="141" t="s">
        <v>88</v>
      </c>
      <c r="B50" s="142" t="s">
        <v>37</v>
      </c>
      <c r="C50" s="143">
        <f>XNPV(B$6,C42:AH42,C$22:AH$22)</f>
        <v>2220686.4528859416</v>
      </c>
      <c r="D50" s="117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</row>
    <row r="51" spans="1:34" x14ac:dyDescent="0.25">
      <c r="A51" s="141" t="s">
        <v>84</v>
      </c>
      <c r="B51" s="142" t="s">
        <v>37</v>
      </c>
      <c r="C51" s="143">
        <f>XNPV(B$6,C43:AH43,C$22:AH$22)</f>
        <v>-4548484.3376746681</v>
      </c>
      <c r="D51" s="117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</row>
    <row r="52" spans="1:34" s="21" customFormat="1" x14ac:dyDescent="0.25">
      <c r="A52" s="126"/>
      <c r="B52" s="28"/>
      <c r="C52" s="28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</row>
    <row r="53" spans="1:34" x14ac:dyDescent="0.25">
      <c r="A53" s="120" t="s">
        <v>101</v>
      </c>
      <c r="B53" s="28" t="s">
        <v>67</v>
      </c>
      <c r="C53" s="32">
        <f>(XNPV($B$6,C30,C$22)+XNPV($B$6,C34,C$22))/(XNPV($B$6,C24,C$22))</f>
        <v>0</v>
      </c>
      <c r="D53" s="32">
        <f t="shared" ref="D53:AH53" si="17">(XNPV($B$6,D30,D$22)+XNPV($B$6,D34,D$22))/(XNPV($B$6,D24,D$22))</f>
        <v>0.23454506912626136</v>
      </c>
      <c r="E53" s="32">
        <f t="shared" si="17"/>
        <v>0.44868061694859757</v>
      </c>
      <c r="F53" s="32">
        <f t="shared" si="17"/>
        <v>0.6442552384468222</v>
      </c>
      <c r="G53" s="32">
        <f t="shared" si="17"/>
        <v>0.82295132467801368</v>
      </c>
      <c r="H53" s="32">
        <f t="shared" si="17"/>
        <v>0.98630008071222708</v>
      </c>
      <c r="I53" s="32">
        <f t="shared" si="17"/>
        <v>2.6076399641171735</v>
      </c>
      <c r="J53" s="32">
        <f t="shared" si="17"/>
        <v>2.6135902921919971</v>
      </c>
      <c r="K53" s="32">
        <f t="shared" si="17"/>
        <v>2.6196893784686917</v>
      </c>
      <c r="L53" s="32">
        <f t="shared" si="17"/>
        <v>2.6259409419023032</v>
      </c>
      <c r="M53" s="32">
        <f t="shared" si="17"/>
        <v>2.632348794421755</v>
      </c>
      <c r="N53" s="32">
        <f t="shared" si="17"/>
        <v>2.6389168432541932</v>
      </c>
      <c r="O53" s="32">
        <f t="shared" si="17"/>
        <v>2.6456490933074424</v>
      </c>
      <c r="P53" s="32">
        <f t="shared" si="17"/>
        <v>2.6525496496120224</v>
      </c>
      <c r="Q53" s="32">
        <f t="shared" si="17"/>
        <v>2.6596227198242173</v>
      </c>
      <c r="R53" s="32">
        <f t="shared" si="17"/>
        <v>2.6668726167917174</v>
      </c>
      <c r="S53" s="32">
        <f t="shared" si="17"/>
        <v>2.6743037611834044</v>
      </c>
      <c r="T53" s="32">
        <f t="shared" si="17"/>
        <v>2.6819206841848837</v>
      </c>
      <c r="U53" s="32">
        <f t="shared" si="17"/>
        <v>2.6897280302614002</v>
      </c>
      <c r="V53" s="32">
        <f t="shared" si="17"/>
        <v>2.6977305599898296</v>
      </c>
      <c r="W53" s="32">
        <f t="shared" si="17"/>
        <v>2.7059331529614692</v>
      </c>
      <c r="X53" s="32">
        <f t="shared" si="17"/>
        <v>2.7143408107574003</v>
      </c>
      <c r="Y53" s="32">
        <f t="shared" si="17"/>
        <v>2.7229586599982296</v>
      </c>
      <c r="Z53" s="32">
        <f t="shared" si="17"/>
        <v>2.7317919554700798</v>
      </c>
      <c r="AA53" s="32">
        <f t="shared" si="17"/>
        <v>2.740846083328726</v>
      </c>
      <c r="AB53" s="32">
        <f t="shared" si="17"/>
        <v>2.7501265643838382</v>
      </c>
      <c r="AC53" s="32">
        <f t="shared" si="17"/>
        <v>2.3696268411242278</v>
      </c>
      <c r="AD53" s="32">
        <f t="shared" si="17"/>
        <v>2.3696268411242278</v>
      </c>
      <c r="AE53" s="32">
        <f t="shared" si="17"/>
        <v>2.3696268411242278</v>
      </c>
      <c r="AF53" s="32">
        <f t="shared" si="17"/>
        <v>2.3696268411242274</v>
      </c>
      <c r="AG53" s="32">
        <f t="shared" si="17"/>
        <v>2.3696268411242274</v>
      </c>
      <c r="AH53" s="32">
        <f t="shared" si="17"/>
        <v>2.3696268411242274</v>
      </c>
    </row>
    <row r="54" spans="1:34" x14ac:dyDescent="0.25">
      <c r="A54" s="120" t="s">
        <v>99</v>
      </c>
      <c r="B54" s="28" t="s">
        <v>67</v>
      </c>
      <c r="C54" s="108">
        <f>(XNPV(B$6,C30:W30,C$22:W$22)+XNPV(B$6,C34:W34,C$22:W$22))/(XNPV(B$6,C24:W24,C$22:W$22))</f>
        <v>1.141910586404286</v>
      </c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117"/>
      <c r="AD54" s="31"/>
      <c r="AE54" s="117"/>
      <c r="AF54" s="31"/>
      <c r="AG54" s="117"/>
      <c r="AH54" s="31"/>
    </row>
    <row r="55" spans="1:34" x14ac:dyDescent="0.25">
      <c r="A55" s="126" t="s">
        <v>107</v>
      </c>
      <c r="B55" s="28" t="s">
        <v>67</v>
      </c>
      <c r="C55" s="32">
        <f>(XNPV($B$6,C47,C$22)+XNPV($B$6,C46,C$22))/(XNPV($B$6,C45,C$22))</f>
        <v>0</v>
      </c>
      <c r="D55" s="32">
        <f t="shared" ref="D55:AH55" si="18">(XNPV($B$14,D47,D$22)+XNPV($B$14,D46,D$22))/(XNPV($B$14,D45,D$22))</f>
        <v>0.24785304859771465</v>
      </c>
      <c r="E55" s="32">
        <f t="shared" si="18"/>
        <v>0.50236153190136412</v>
      </c>
      <c r="F55" s="32">
        <f t="shared" si="18"/>
        <v>0.76625886420091538</v>
      </c>
      <c r="G55" s="32">
        <f t="shared" si="18"/>
        <v>1.0424045610812358</v>
      </c>
      <c r="H55" s="32">
        <f t="shared" si="18"/>
        <v>1.3338151013612547</v>
      </c>
      <c r="I55" s="32">
        <f>(XNPV($B$14,I47,I$22)+XNPV($B$14,I46,I$22))/(XNPV($B$14,I45,I$22))</f>
        <v>3.7740492085568045</v>
      </c>
      <c r="J55" s="32">
        <f t="shared" si="18"/>
        <v>4.0577470388280075</v>
      </c>
      <c r="K55" s="32">
        <f t="shared" si="18"/>
        <v>4.372812145726062</v>
      </c>
      <c r="L55" s="32">
        <f t="shared" si="18"/>
        <v>4.7227476367074885</v>
      </c>
      <c r="M55" s="32">
        <f t="shared" si="18"/>
        <v>5.1114522483974056</v>
      </c>
      <c r="N55" s="32">
        <f t="shared" si="18"/>
        <v>5.5432655761252141</v>
      </c>
      <c r="O55" s="32">
        <f t="shared" si="18"/>
        <v>6.0230185418405595</v>
      </c>
      <c r="P55" s="32">
        <f t="shared" si="18"/>
        <v>6.5560897153371949</v>
      </c>
      <c r="Q55" s="32">
        <f t="shared" si="18"/>
        <v>7.1484681768872615</v>
      </c>
      <c r="R55" s="32">
        <f t="shared" si="18"/>
        <v>7.8068236913882103</v>
      </c>
      <c r="S55" s="32">
        <f t="shared" si="18"/>
        <v>8.5385850560272374</v>
      </c>
      <c r="T55" s="32">
        <f t="shared" si="18"/>
        <v>9.3520275864849509</v>
      </c>
      <c r="U55" s="32">
        <f t="shared" si="18"/>
        <v>10.256370822192117</v>
      </c>
      <c r="V55" s="32">
        <f t="shared" si="18"/>
        <v>11.261887660650887</v>
      </c>
      <c r="W55" s="32">
        <f t="shared" si="18"/>
        <v>12.380026276054142</v>
      </c>
      <c r="X55" s="32">
        <f t="shared" si="18"/>
        <v>13.623546340317324</v>
      </c>
      <c r="Y55" s="32">
        <f t="shared" si="18"/>
        <v>15.006671247349443</v>
      </c>
      <c r="Z55" s="32">
        <f t="shared" si="18"/>
        <v>16.545258246378751</v>
      </c>
      <c r="AA55" s="32">
        <f t="shared" si="18"/>
        <v>18.256988620162392</v>
      </c>
      <c r="AB55" s="32">
        <f t="shared" si="18"/>
        <v>20.161580302040505</v>
      </c>
      <c r="AC55" s="32">
        <f t="shared" si="18"/>
        <v>17.054475111872449</v>
      </c>
      <c r="AD55" s="32">
        <f t="shared" si="18"/>
        <v>18.720283370468312</v>
      </c>
      <c r="AE55" s="32">
        <f t="shared" si="18"/>
        <v>20.560955479414016</v>
      </c>
      <c r="AF55" s="32">
        <f t="shared" si="18"/>
        <v>22.594847312503195</v>
      </c>
      <c r="AG55" s="32">
        <f t="shared" si="18"/>
        <v>24.84224160320947</v>
      </c>
      <c r="AH55" s="32">
        <f t="shared" si="18"/>
        <v>27.325550211724693</v>
      </c>
    </row>
    <row r="56" spans="1:34" x14ac:dyDescent="0.25">
      <c r="A56" s="141" t="s">
        <v>108</v>
      </c>
      <c r="B56" s="142" t="s">
        <v>67</v>
      </c>
      <c r="C56" s="144">
        <f>(XNPV(B$6,C47:AH47,C$22:AH$22)+XNPV(B$6,C46:AH46,C$22:AH$22))/(XNPV(B$6,C45:AH45,C$22:AH$22))</f>
        <v>1.4056529032081715</v>
      </c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117"/>
      <c r="AD56" s="32"/>
      <c r="AE56" s="117"/>
      <c r="AF56" s="32"/>
      <c r="AG56" s="117"/>
      <c r="AH56" s="32"/>
    </row>
    <row r="57" spans="1:34" x14ac:dyDescent="0.25">
      <c r="A57" s="126" t="s">
        <v>100</v>
      </c>
      <c r="B57" s="28" t="s">
        <v>67</v>
      </c>
      <c r="C57" s="32">
        <f>(XNPV($B$6,C46,C$22))/(XNPV($B$6,C45,C$22))</f>
        <v>0</v>
      </c>
      <c r="D57" s="32">
        <f t="shared" ref="D57:AH57" si="19">(XNPV($B$6,D46,D$22))/(XNPV($B$6,D45,D$22))</f>
        <v>0.1077690541613644</v>
      </c>
      <c r="E57" s="32">
        <f t="shared" si="19"/>
        <v>0.20574092158078658</v>
      </c>
      <c r="F57" s="32">
        <f t="shared" si="19"/>
        <v>0.29480625559844309</v>
      </c>
      <c r="G57" s="32">
        <f t="shared" si="19"/>
        <v>0.37577474106903991</v>
      </c>
      <c r="H57" s="32">
        <f t="shared" si="19"/>
        <v>0.44938245513321895</v>
      </c>
      <c r="I57" s="32">
        <f t="shared" si="19"/>
        <v>1.185459595775008</v>
      </c>
      <c r="J57" s="32">
        <f t="shared" si="19"/>
        <v>1.185459595775008</v>
      </c>
      <c r="K57" s="32">
        <f t="shared" si="19"/>
        <v>1.185459595775008</v>
      </c>
      <c r="L57" s="32">
        <f t="shared" si="19"/>
        <v>1.1854595957750078</v>
      </c>
      <c r="M57" s="32">
        <f t="shared" si="19"/>
        <v>1.185459595775008</v>
      </c>
      <c r="N57" s="32">
        <f t="shared" si="19"/>
        <v>1.185459595775008</v>
      </c>
      <c r="O57" s="32">
        <f t="shared" si="19"/>
        <v>1.185459595775008</v>
      </c>
      <c r="P57" s="32">
        <f t="shared" si="19"/>
        <v>1.1854595957750078</v>
      </c>
      <c r="Q57" s="32">
        <f t="shared" si="19"/>
        <v>1.185459595775008</v>
      </c>
      <c r="R57" s="32">
        <f t="shared" si="19"/>
        <v>1.185459595775008</v>
      </c>
      <c r="S57" s="32">
        <f t="shared" si="19"/>
        <v>1.1854595957750078</v>
      </c>
      <c r="T57" s="32">
        <f t="shared" si="19"/>
        <v>1.185459595775008</v>
      </c>
      <c r="U57" s="32">
        <f t="shared" si="19"/>
        <v>1.1854595957750078</v>
      </c>
      <c r="V57" s="32">
        <f t="shared" si="19"/>
        <v>1.185459595775008</v>
      </c>
      <c r="W57" s="32">
        <f t="shared" si="19"/>
        <v>1.185459595775008</v>
      </c>
      <c r="X57" s="32">
        <f t="shared" si="19"/>
        <v>1.1854595957750078</v>
      </c>
      <c r="Y57" s="32">
        <f t="shared" si="19"/>
        <v>1.185459595775008</v>
      </c>
      <c r="Z57" s="32">
        <f t="shared" si="19"/>
        <v>1.1854595957750078</v>
      </c>
      <c r="AA57" s="32">
        <f t="shared" si="19"/>
        <v>1.185459595775008</v>
      </c>
      <c r="AB57" s="32">
        <f t="shared" si="19"/>
        <v>1.185459595775008</v>
      </c>
      <c r="AC57" s="32">
        <f t="shared" si="19"/>
        <v>1.185459595775008</v>
      </c>
      <c r="AD57" s="32">
        <f t="shared" si="19"/>
        <v>1.1854595957750083</v>
      </c>
      <c r="AE57" s="32">
        <f t="shared" si="19"/>
        <v>1.185459595775008</v>
      </c>
      <c r="AF57" s="32">
        <f t="shared" si="19"/>
        <v>1.185459595775008</v>
      </c>
      <c r="AG57" s="32">
        <f t="shared" si="19"/>
        <v>1.185459595775008</v>
      </c>
      <c r="AH57" s="32">
        <f t="shared" si="19"/>
        <v>1.185459595775008</v>
      </c>
    </row>
    <row r="58" spans="1:34" x14ac:dyDescent="0.25">
      <c r="A58" s="141" t="s">
        <v>102</v>
      </c>
      <c r="B58" s="142" t="s">
        <v>67</v>
      </c>
      <c r="C58" s="144">
        <f>(XNPV(B$6,C46:AH46,C$22:AH$22))/(XNPV(B$6,C45:AH45,C$22:AH$22))</f>
        <v>0.35636642283275333</v>
      </c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117"/>
      <c r="AD58" s="32"/>
      <c r="AE58" s="117"/>
      <c r="AF58" s="32"/>
      <c r="AG58" s="117"/>
      <c r="AH58" s="32"/>
    </row>
    <row r="59" spans="1:34" s="21" customFormat="1" x14ac:dyDescent="0.25">
      <c r="A59" s="120"/>
      <c r="B59" s="127"/>
      <c r="C59" s="128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127"/>
      <c r="AD59" s="32"/>
      <c r="AE59" s="127"/>
      <c r="AF59" s="32"/>
      <c r="AG59" s="127"/>
      <c r="AH59" s="32"/>
    </row>
    <row r="60" spans="1:34" x14ac:dyDescent="0.25">
      <c r="A60" s="141" t="s">
        <v>95</v>
      </c>
      <c r="B60" s="145" t="s">
        <v>68</v>
      </c>
      <c r="C60" s="146">
        <f>XIRR(C42:AH42, C$22:AH$22, 0.01)</f>
        <v>0.14283774852752684</v>
      </c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117"/>
      <c r="AD60" s="32"/>
      <c r="AE60" s="117"/>
      <c r="AF60" s="32"/>
      <c r="AG60" s="117"/>
      <c r="AH60" s="32"/>
    </row>
    <row r="61" spans="1:34" x14ac:dyDescent="0.25">
      <c r="A61" s="220" t="s">
        <v>103</v>
      </c>
      <c r="B61" s="221" t="s">
        <v>68</v>
      </c>
      <c r="C61" s="222" t="e">
        <f>XIRR(C42:H42, C$22:H$22, 0.01)</f>
        <v>#NUM!</v>
      </c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117"/>
      <c r="AD61" s="32"/>
      <c r="AE61" s="117"/>
      <c r="AF61" s="32"/>
      <c r="AG61" s="117"/>
      <c r="AH61" s="32"/>
    </row>
    <row r="62" spans="1:34" x14ac:dyDescent="0.25">
      <c r="A62" s="141" t="s">
        <v>96</v>
      </c>
      <c r="B62" s="145" t="s">
        <v>68</v>
      </c>
      <c r="C62" s="269">
        <f>XIRR(C43:AH43, C$22:AH$22, 0.01)</f>
        <v>4.7683715820312501E-9</v>
      </c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117"/>
      <c r="AD62" s="32"/>
      <c r="AE62" s="117"/>
      <c r="AF62" s="32"/>
      <c r="AG62" s="117"/>
      <c r="AH62" s="32"/>
    </row>
    <row r="63" spans="1:34" x14ac:dyDescent="0.25">
      <c r="A63" s="220" t="s">
        <v>104</v>
      </c>
      <c r="B63" s="221" t="s">
        <v>68</v>
      </c>
      <c r="C63" s="223" t="e">
        <f>XIRR(C43:H43, C$22:H$22, 0.01)</f>
        <v>#NUM!</v>
      </c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117"/>
      <c r="AD63" s="32"/>
      <c r="AE63" s="117"/>
      <c r="AF63" s="32"/>
      <c r="AG63" s="117"/>
      <c r="AH63" s="32"/>
    </row>
    <row r="64" spans="1:34" x14ac:dyDescent="0.25">
      <c r="A64" s="304" t="s">
        <v>89</v>
      </c>
      <c r="B64" s="145" t="s">
        <v>69</v>
      </c>
      <c r="C64" s="151">
        <f>IF(I65,$J$21-$D$21)+1</f>
        <v>7</v>
      </c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117"/>
      <c r="AD64" s="32"/>
      <c r="AE64" s="117"/>
      <c r="AF64" s="32"/>
      <c r="AG64" s="117"/>
      <c r="AH64" s="32"/>
    </row>
    <row r="65" spans="1:74" x14ac:dyDescent="0.25">
      <c r="A65" s="305"/>
      <c r="B65" s="129" t="s">
        <v>69</v>
      </c>
      <c r="C65" s="130">
        <f>(D34+D30)/C25</f>
        <v>0.23454506912626136</v>
      </c>
      <c r="D65" s="121">
        <f>(SUM($D$34:E34)+SUM($D$30:E30))/SUM($C$25:D25)</f>
        <v>0.35788012127730712</v>
      </c>
      <c r="E65" s="121">
        <f>(SUM($D$34:F34)+SUM($D$30:F30))/SUM($C$25:E25)</f>
        <v>0.48527248298224601</v>
      </c>
      <c r="F65" s="121">
        <f>(SUM($D$34:G34)+SUM($D$30:G30))/SUM($C$25:F25)</f>
        <v>0.61672599088230851</v>
      </c>
      <c r="G65" s="121">
        <f>(SUM($D$34:H34)+SUM($D$30:H30))/SUM($C$25:G25)</f>
        <v>0.75223826050745202</v>
      </c>
      <c r="H65" s="121">
        <f>(SUM($D$34:I34)+SUM($D$30:I30))/SUM($C$25:H25)</f>
        <v>0.89180080871061818</v>
      </c>
      <c r="I65" s="121">
        <f>(SUM($D$34:J34)+SUM($D$30:J30))/SUM($C$25:I25)</f>
        <v>1.129399926182618</v>
      </c>
      <c r="J65" s="121"/>
      <c r="K65" s="121"/>
      <c r="L65" s="121"/>
      <c r="M65" s="121"/>
      <c r="N65" s="121"/>
      <c r="O65" s="121"/>
      <c r="P65" s="121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17"/>
      <c r="AD65" s="121"/>
      <c r="AE65" s="117"/>
      <c r="AF65" s="121"/>
      <c r="AG65" s="117"/>
      <c r="AH65" s="121"/>
    </row>
    <row r="66" spans="1:74" x14ac:dyDescent="0.25">
      <c r="A66" s="306" t="s">
        <v>105</v>
      </c>
      <c r="B66" s="145" t="s">
        <v>69</v>
      </c>
      <c r="C66" s="152">
        <f>IF(N67,$O$21-$D$21)+1</f>
        <v>12</v>
      </c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117"/>
      <c r="AD66" s="32"/>
      <c r="AE66" s="117"/>
      <c r="AF66" s="32"/>
      <c r="AG66" s="117"/>
      <c r="AH66" s="32"/>
    </row>
    <row r="67" spans="1:74" x14ac:dyDescent="0.25">
      <c r="A67" s="305"/>
      <c r="B67" s="28" t="s">
        <v>69</v>
      </c>
      <c r="C67" s="131">
        <f>D34/C25</f>
        <v>0.1077690541613644</v>
      </c>
      <c r="D67" s="32">
        <f>SUM($D$34:E34)/SUM($C$25:D25)</f>
        <v>0.16421951110303148</v>
      </c>
      <c r="E67" s="32">
        <f>SUM($D$34:F34)/SUM($C$25:E25)</f>
        <v>0.22237541991604801</v>
      </c>
      <c r="F67" s="32">
        <f>SUM($D$34:G34)/SUM($C$25:F25)</f>
        <v>0.28222906362362055</v>
      </c>
      <c r="G67" s="32">
        <f>SUM($D$34:H34)/SUM($C$25:G25)</f>
        <v>0.34376970815637597</v>
      </c>
      <c r="H67" s="32">
        <f>SUM($D$34:I34)/SUM($C$25:H25)</f>
        <v>0.40698367099555383</v>
      </c>
      <c r="I67" s="32">
        <f>SUM($D$34:J34)/SUM($C$25:I25)</f>
        <v>0.51475272515691828</v>
      </c>
      <c r="J67" s="32">
        <f>SUM($D$34:K34)/SUM($C$25:J25)</f>
        <v>0.62252177931828268</v>
      </c>
      <c r="K67" s="32">
        <f>SUM($D$34:L34)/SUM($C$25:K25)</f>
        <v>0.73029083347964707</v>
      </c>
      <c r="L67" s="32">
        <f>SUM($D$34:M34)/SUM($C$25:L25)</f>
        <v>0.83805988764101147</v>
      </c>
      <c r="M67" s="32">
        <f>SUM($D$34:N34)/SUM($C$25:M25)</f>
        <v>0.94582894180237587</v>
      </c>
      <c r="N67" s="32">
        <f>SUM($D$34:O34)/SUM($C$25:N25)</f>
        <v>1.0535979959637403</v>
      </c>
      <c r="O67" s="32"/>
      <c r="P67" s="32"/>
      <c r="Q67" s="32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117"/>
      <c r="AD67" s="31"/>
      <c r="AE67" s="117"/>
      <c r="AF67" s="31"/>
      <c r="AG67" s="117"/>
      <c r="AH67" s="31"/>
    </row>
    <row r="68" spans="1:74" ht="3" customHeight="1" x14ac:dyDescent="0.25">
      <c r="A68" s="33"/>
      <c r="B68" s="162"/>
      <c r="C68" s="162"/>
      <c r="D68" s="163"/>
      <c r="E68" s="164"/>
      <c r="F68" s="164"/>
      <c r="G68" s="164"/>
      <c r="H68" s="164"/>
      <c r="I68" s="164"/>
      <c r="J68" s="164"/>
      <c r="K68" s="164"/>
      <c r="L68" s="164"/>
      <c r="M68" s="164"/>
      <c r="N68" s="164"/>
      <c r="O68" s="164"/>
      <c r="P68" s="164"/>
      <c r="Q68" s="164"/>
      <c r="R68" s="164"/>
      <c r="S68" s="164"/>
      <c r="T68" s="164"/>
      <c r="U68" s="164"/>
      <c r="V68" s="164"/>
      <c r="W68" s="164"/>
      <c r="X68" s="164"/>
      <c r="Y68" s="164"/>
      <c r="Z68" s="164"/>
      <c r="AA68" s="164"/>
      <c r="AB68" s="164"/>
      <c r="AC68" s="164"/>
      <c r="AD68" s="164"/>
      <c r="AE68" s="164"/>
      <c r="AF68" s="164"/>
      <c r="AG68" s="164"/>
      <c r="AH68" s="164"/>
    </row>
    <row r="69" spans="1:74" ht="23.45" customHeight="1" x14ac:dyDescent="0.25">
      <c r="A69" s="210" t="s">
        <v>54</v>
      </c>
      <c r="B69" s="211"/>
      <c r="C69" s="211"/>
      <c r="D69" s="212"/>
      <c r="E69" s="213"/>
      <c r="F69" s="213"/>
      <c r="G69" s="213"/>
      <c r="H69" s="213"/>
      <c r="I69" s="213"/>
      <c r="J69" s="213"/>
      <c r="K69" s="213"/>
      <c r="L69" s="213"/>
      <c r="M69" s="213"/>
      <c r="N69" s="213"/>
      <c r="O69" s="213"/>
      <c r="P69" s="213"/>
      <c r="Q69" s="213"/>
      <c r="R69" s="213"/>
      <c r="S69" s="213"/>
      <c r="T69" s="213"/>
      <c r="U69" s="213"/>
      <c r="V69" s="213"/>
      <c r="W69" s="213"/>
      <c r="X69" s="213"/>
      <c r="Y69" s="213"/>
      <c r="Z69" s="213"/>
      <c r="AA69" s="213"/>
      <c r="AB69" s="213"/>
      <c r="AC69" s="214"/>
      <c r="AD69" s="213"/>
      <c r="AE69" s="214"/>
      <c r="AF69" s="213"/>
      <c r="AG69" s="214"/>
      <c r="AH69" s="213"/>
    </row>
    <row r="70" spans="1:74" x14ac:dyDescent="0.25">
      <c r="A70" s="154" t="s">
        <v>48</v>
      </c>
      <c r="B70" s="155" t="s">
        <v>49</v>
      </c>
      <c r="C70" s="156">
        <f>C76+C79+C82+C85+C88+C91</f>
        <v>0</v>
      </c>
      <c r="D70" s="156">
        <f>D76+D79+D82+D85+D88+D91</f>
        <v>0</v>
      </c>
      <c r="E70" s="156">
        <f t="shared" ref="E70:AH71" si="20">E76+E79+E82+E85+E88+E91</f>
        <v>0</v>
      </c>
      <c r="F70" s="156">
        <f t="shared" si="20"/>
        <v>273611.11111111112</v>
      </c>
      <c r="G70" s="156">
        <f>G76+G79+G82+G85+G88+G91</f>
        <v>547222.22222222225</v>
      </c>
      <c r="H70" s="156">
        <f t="shared" si="20"/>
        <v>820833.33333333337</v>
      </c>
      <c r="I70" s="156">
        <f t="shared" si="20"/>
        <v>1094444.4444444445</v>
      </c>
      <c r="J70" s="156">
        <f t="shared" si="20"/>
        <v>1368055.5555555555</v>
      </c>
      <c r="K70" s="156">
        <f t="shared" si="20"/>
        <v>1368055.5555555555</v>
      </c>
      <c r="L70" s="156">
        <f t="shared" si="20"/>
        <v>1094444.4444444445</v>
      </c>
      <c r="M70" s="156">
        <f t="shared" si="20"/>
        <v>820833.33333333337</v>
      </c>
      <c r="N70" s="156">
        <f t="shared" si="20"/>
        <v>547222.22222222225</v>
      </c>
      <c r="O70" s="156">
        <f t="shared" si="20"/>
        <v>273611.11111111112</v>
      </c>
      <c r="P70" s="156">
        <f t="shared" si="20"/>
        <v>0</v>
      </c>
      <c r="Q70" s="156">
        <f t="shared" si="20"/>
        <v>0</v>
      </c>
      <c r="R70" s="156">
        <f t="shared" si="20"/>
        <v>0</v>
      </c>
      <c r="S70" s="156">
        <f t="shared" si="20"/>
        <v>0</v>
      </c>
      <c r="T70" s="156">
        <f t="shared" si="20"/>
        <v>0</v>
      </c>
      <c r="U70" s="156">
        <f t="shared" si="20"/>
        <v>0</v>
      </c>
      <c r="V70" s="156">
        <f t="shared" si="20"/>
        <v>0</v>
      </c>
      <c r="W70" s="156">
        <f t="shared" si="20"/>
        <v>0</v>
      </c>
      <c r="X70" s="156">
        <f t="shared" si="20"/>
        <v>0</v>
      </c>
      <c r="Y70" s="156">
        <f t="shared" si="20"/>
        <v>0</v>
      </c>
      <c r="Z70" s="156">
        <f t="shared" si="20"/>
        <v>0</v>
      </c>
      <c r="AA70" s="156">
        <f t="shared" si="20"/>
        <v>0</v>
      </c>
      <c r="AB70" s="157">
        <f t="shared" si="20"/>
        <v>0</v>
      </c>
      <c r="AC70" s="157">
        <f t="shared" si="20"/>
        <v>0</v>
      </c>
      <c r="AD70" s="157">
        <f t="shared" si="20"/>
        <v>0</v>
      </c>
      <c r="AE70" s="157">
        <f t="shared" si="20"/>
        <v>0</v>
      </c>
      <c r="AF70" s="157">
        <f t="shared" si="20"/>
        <v>0</v>
      </c>
      <c r="AG70" s="157">
        <f t="shared" si="20"/>
        <v>0</v>
      </c>
      <c r="AH70" s="157">
        <f t="shared" si="20"/>
        <v>0</v>
      </c>
    </row>
    <row r="71" spans="1:74" x14ac:dyDescent="0.25">
      <c r="A71" s="158"/>
      <c r="B71" s="159" t="s">
        <v>50</v>
      </c>
      <c r="C71" s="160">
        <f>C77+C80+C83+C86+C89+C92</f>
        <v>0</v>
      </c>
      <c r="D71" s="160">
        <f>D77+D80+D83+D86+D89+D92</f>
        <v>129965.27777777778</v>
      </c>
      <c r="E71" s="160">
        <f t="shared" si="20"/>
        <v>259930.55555555556</v>
      </c>
      <c r="F71" s="160">
        <f t="shared" si="20"/>
        <v>389895.83333333337</v>
      </c>
      <c r="G71" s="160">
        <f t="shared" si="20"/>
        <v>493868.0555555555</v>
      </c>
      <c r="H71" s="160">
        <f t="shared" si="20"/>
        <v>571847.22222222213</v>
      </c>
      <c r="I71" s="160">
        <f t="shared" si="20"/>
        <v>623833.33333333326</v>
      </c>
      <c r="J71" s="160">
        <f t="shared" si="20"/>
        <v>519861.11111111112</v>
      </c>
      <c r="K71" s="160">
        <f t="shared" si="20"/>
        <v>389895.83333333337</v>
      </c>
      <c r="L71" s="160">
        <f t="shared" si="20"/>
        <v>259930.55555555556</v>
      </c>
      <c r="M71" s="160">
        <f t="shared" si="20"/>
        <v>155958.33333333331</v>
      </c>
      <c r="N71" s="160">
        <f t="shared" si="20"/>
        <v>77979.166666666657</v>
      </c>
      <c r="O71" s="160">
        <f t="shared" si="20"/>
        <v>25993.055555555547</v>
      </c>
      <c r="P71" s="160">
        <f t="shared" si="20"/>
        <v>0</v>
      </c>
      <c r="Q71" s="160">
        <f t="shared" si="20"/>
        <v>0</v>
      </c>
      <c r="R71" s="160">
        <f t="shared" si="20"/>
        <v>0</v>
      </c>
      <c r="S71" s="160">
        <f t="shared" si="20"/>
        <v>0</v>
      </c>
      <c r="T71" s="160">
        <f t="shared" si="20"/>
        <v>0</v>
      </c>
      <c r="U71" s="160">
        <f t="shared" si="20"/>
        <v>0</v>
      </c>
      <c r="V71" s="160">
        <f t="shared" si="20"/>
        <v>0</v>
      </c>
      <c r="W71" s="160">
        <f t="shared" si="20"/>
        <v>0</v>
      </c>
      <c r="X71" s="160">
        <f t="shared" si="20"/>
        <v>0</v>
      </c>
      <c r="Y71" s="160">
        <f t="shared" si="20"/>
        <v>0</v>
      </c>
      <c r="Z71" s="160">
        <f t="shared" si="20"/>
        <v>0</v>
      </c>
      <c r="AA71" s="160">
        <f t="shared" si="20"/>
        <v>0</v>
      </c>
      <c r="AB71" s="161">
        <f t="shared" si="20"/>
        <v>0</v>
      </c>
      <c r="AC71" s="161">
        <f t="shared" si="20"/>
        <v>0</v>
      </c>
      <c r="AD71" s="161">
        <f t="shared" si="20"/>
        <v>0</v>
      </c>
      <c r="AE71" s="161">
        <f t="shared" si="20"/>
        <v>0</v>
      </c>
      <c r="AF71" s="161">
        <f t="shared" si="20"/>
        <v>0</v>
      </c>
      <c r="AG71" s="161">
        <f t="shared" si="20"/>
        <v>0</v>
      </c>
      <c r="AH71" s="161">
        <f t="shared" si="20"/>
        <v>0</v>
      </c>
    </row>
    <row r="72" spans="1:74" x14ac:dyDescent="0.25">
      <c r="A72" s="197" t="s">
        <v>109</v>
      </c>
      <c r="B72" s="36" t="s">
        <v>51</v>
      </c>
      <c r="C72" s="37">
        <f t="shared" ref="C72:H72" si="21">C24</f>
        <v>1368055.5555555555</v>
      </c>
      <c r="D72" s="37">
        <f t="shared" si="21"/>
        <v>1368055.5555555555</v>
      </c>
      <c r="E72" s="37">
        <f t="shared" si="21"/>
        <v>1368055.5555555555</v>
      </c>
      <c r="F72" s="37">
        <f t="shared" si="21"/>
        <v>1368055.5555555555</v>
      </c>
      <c r="G72" s="37">
        <f t="shared" si="21"/>
        <v>1368055.5555555555</v>
      </c>
      <c r="H72" s="37">
        <f t="shared" si="21"/>
        <v>1368055.5555555555</v>
      </c>
      <c r="I72" s="37">
        <f t="shared" ref="I72:AH72" si="22">I25</f>
        <v>0</v>
      </c>
      <c r="J72" s="37">
        <f t="shared" si="22"/>
        <v>0</v>
      </c>
      <c r="K72" s="37">
        <f t="shared" si="22"/>
        <v>0</v>
      </c>
      <c r="L72" s="37">
        <f t="shared" si="22"/>
        <v>0</v>
      </c>
      <c r="M72" s="37">
        <f t="shared" si="22"/>
        <v>0</v>
      </c>
      <c r="N72" s="37">
        <f t="shared" si="22"/>
        <v>0</v>
      </c>
      <c r="O72" s="37">
        <f t="shared" si="22"/>
        <v>0</v>
      </c>
      <c r="P72" s="37">
        <f t="shared" si="22"/>
        <v>0</v>
      </c>
      <c r="Q72" s="37">
        <f t="shared" si="22"/>
        <v>0</v>
      </c>
      <c r="R72" s="37">
        <f t="shared" si="22"/>
        <v>0</v>
      </c>
      <c r="S72" s="37">
        <f t="shared" si="22"/>
        <v>0</v>
      </c>
      <c r="T72" s="37">
        <f t="shared" si="22"/>
        <v>0</v>
      </c>
      <c r="U72" s="37">
        <f t="shared" si="22"/>
        <v>0</v>
      </c>
      <c r="V72" s="37">
        <f t="shared" si="22"/>
        <v>0</v>
      </c>
      <c r="W72" s="37">
        <f t="shared" si="22"/>
        <v>0</v>
      </c>
      <c r="X72" s="37">
        <f t="shared" si="22"/>
        <v>0</v>
      </c>
      <c r="Y72" s="37">
        <f t="shared" si="22"/>
        <v>0</v>
      </c>
      <c r="Z72" s="37">
        <f t="shared" si="22"/>
        <v>0</v>
      </c>
      <c r="AA72" s="37">
        <f t="shared" si="22"/>
        <v>0</v>
      </c>
      <c r="AB72" s="38">
        <f t="shared" si="22"/>
        <v>0</v>
      </c>
      <c r="AC72" s="38">
        <f t="shared" si="22"/>
        <v>0</v>
      </c>
      <c r="AD72" s="38">
        <f t="shared" si="22"/>
        <v>0</v>
      </c>
      <c r="AE72" s="38">
        <f t="shared" si="22"/>
        <v>0</v>
      </c>
      <c r="AF72" s="38">
        <f t="shared" si="22"/>
        <v>0</v>
      </c>
      <c r="AG72" s="38">
        <f t="shared" si="22"/>
        <v>0</v>
      </c>
      <c r="AH72" s="38">
        <f t="shared" si="22"/>
        <v>0</v>
      </c>
    </row>
    <row r="73" spans="1:74" x14ac:dyDescent="0.25">
      <c r="C73" s="39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8"/>
      <c r="AC73" s="18"/>
      <c r="AD73" s="18"/>
      <c r="AE73" s="18"/>
      <c r="AF73" s="18"/>
      <c r="AG73" s="18"/>
      <c r="AH73" s="18"/>
    </row>
    <row r="74" spans="1:74" x14ac:dyDescent="0.25">
      <c r="A74" s="21"/>
      <c r="B74" s="21"/>
      <c r="C74" s="165">
        <v>1</v>
      </c>
      <c r="D74" s="166">
        <v>2</v>
      </c>
      <c r="E74" s="166">
        <v>3</v>
      </c>
      <c r="F74" s="166">
        <v>4</v>
      </c>
      <c r="G74" s="166">
        <v>5</v>
      </c>
      <c r="H74" s="166">
        <v>6</v>
      </c>
      <c r="I74" s="166">
        <v>7</v>
      </c>
      <c r="J74" s="165">
        <v>8</v>
      </c>
      <c r="K74" s="166">
        <v>9</v>
      </c>
      <c r="L74" s="166">
        <v>10</v>
      </c>
      <c r="M74" s="166">
        <v>11</v>
      </c>
      <c r="N74" s="166">
        <v>12</v>
      </c>
      <c r="O74" s="166">
        <v>13</v>
      </c>
      <c r="P74" s="166">
        <v>14</v>
      </c>
      <c r="Q74" s="165">
        <v>15</v>
      </c>
      <c r="R74" s="166">
        <v>16</v>
      </c>
      <c r="S74" s="166">
        <v>17</v>
      </c>
      <c r="T74" s="166">
        <v>18</v>
      </c>
      <c r="U74" s="166">
        <v>19</v>
      </c>
      <c r="V74" s="166">
        <v>20</v>
      </c>
      <c r="W74" s="166">
        <v>21</v>
      </c>
      <c r="X74" s="165">
        <v>22</v>
      </c>
      <c r="Y74" s="166">
        <v>23</v>
      </c>
      <c r="Z74" s="166">
        <v>24</v>
      </c>
      <c r="AA74" s="166">
        <v>25</v>
      </c>
      <c r="AB74" s="167">
        <v>26</v>
      </c>
      <c r="AC74" s="167">
        <v>27</v>
      </c>
      <c r="AD74" s="167">
        <v>28</v>
      </c>
      <c r="AE74" s="167">
        <v>29</v>
      </c>
      <c r="AF74" s="167">
        <v>30</v>
      </c>
      <c r="AG74" s="167">
        <v>31</v>
      </c>
      <c r="AH74" s="167">
        <v>32</v>
      </c>
    </row>
    <row r="75" spans="1:74" ht="9" customHeight="1" x14ac:dyDescent="0.25">
      <c r="A75" s="168"/>
      <c r="B75" s="169"/>
      <c r="C75" s="170"/>
      <c r="D75" s="171">
        <v>1</v>
      </c>
      <c r="E75" s="172">
        <f>D75+1</f>
        <v>2</v>
      </c>
      <c r="F75" s="172">
        <f t="shared" ref="F75:AH75" si="23">E75+1</f>
        <v>3</v>
      </c>
      <c r="G75" s="172">
        <f t="shared" si="23"/>
        <v>4</v>
      </c>
      <c r="H75" s="172">
        <f t="shared" si="23"/>
        <v>5</v>
      </c>
      <c r="I75" s="172">
        <f t="shared" si="23"/>
        <v>6</v>
      </c>
      <c r="J75" s="172">
        <f t="shared" si="23"/>
        <v>7</v>
      </c>
      <c r="K75" s="172">
        <f t="shared" si="23"/>
        <v>8</v>
      </c>
      <c r="L75" s="172">
        <f t="shared" si="23"/>
        <v>9</v>
      </c>
      <c r="M75" s="172">
        <f t="shared" si="23"/>
        <v>10</v>
      </c>
      <c r="N75" s="172">
        <f t="shared" si="23"/>
        <v>11</v>
      </c>
      <c r="O75" s="172">
        <f t="shared" si="23"/>
        <v>12</v>
      </c>
      <c r="P75" s="172">
        <f t="shared" si="23"/>
        <v>13</v>
      </c>
      <c r="Q75" s="172">
        <f t="shared" si="23"/>
        <v>14</v>
      </c>
      <c r="R75" s="172">
        <f t="shared" si="23"/>
        <v>15</v>
      </c>
      <c r="S75" s="172">
        <f t="shared" si="23"/>
        <v>16</v>
      </c>
      <c r="T75" s="172">
        <f t="shared" si="23"/>
        <v>17</v>
      </c>
      <c r="U75" s="172">
        <f t="shared" si="23"/>
        <v>18</v>
      </c>
      <c r="V75" s="172">
        <f t="shared" si="23"/>
        <v>19</v>
      </c>
      <c r="W75" s="172">
        <f t="shared" si="23"/>
        <v>20</v>
      </c>
      <c r="X75" s="172">
        <f t="shared" si="23"/>
        <v>21</v>
      </c>
      <c r="Y75" s="172">
        <f t="shared" si="23"/>
        <v>22</v>
      </c>
      <c r="Z75" s="172">
        <f t="shared" si="23"/>
        <v>23</v>
      </c>
      <c r="AA75" s="172">
        <f t="shared" si="23"/>
        <v>24</v>
      </c>
      <c r="AB75" s="173">
        <f t="shared" si="23"/>
        <v>25</v>
      </c>
      <c r="AC75" s="173">
        <f t="shared" si="23"/>
        <v>26</v>
      </c>
      <c r="AD75" s="173">
        <f t="shared" si="23"/>
        <v>27</v>
      </c>
      <c r="AE75" s="173">
        <f t="shared" si="23"/>
        <v>28</v>
      </c>
      <c r="AF75" s="173">
        <f t="shared" si="23"/>
        <v>29</v>
      </c>
      <c r="AG75" s="173">
        <f t="shared" si="23"/>
        <v>30</v>
      </c>
      <c r="AH75" s="173">
        <f t="shared" si="23"/>
        <v>31</v>
      </c>
    </row>
    <row r="76" spans="1:74" s="16" customFormat="1" x14ac:dyDescent="0.25">
      <c r="A76" s="174">
        <v>1</v>
      </c>
      <c r="B76" s="175" t="s">
        <v>49</v>
      </c>
      <c r="C76" s="176"/>
      <c r="D76" s="177">
        <f>IF($B$13&gt;D75,0,IF($C$72-(SUM($C$76:C76)+1)&gt;0,IF($B$12&gt;0,$C$72/$B$12,0),0))</f>
        <v>0</v>
      </c>
      <c r="E76" s="177">
        <f>IF($B$13&gt;E75,0,IF($C$72-(SUM($C$76:D76)+1)&gt;0,IF($B$12&gt;0,$C$72/$B$12,0),0))</f>
        <v>0</v>
      </c>
      <c r="F76" s="177">
        <f>IF($B$13&gt;F75,0,IF($C$72-(SUM($C$76:E76)+1)&gt;0,IF($B$12&gt;0,$C$72/$B$12,0),0))</f>
        <v>273611.11111111112</v>
      </c>
      <c r="G76" s="177">
        <f>IF($B$13&gt;G75,0,IF($C$72-(SUM($C$76:F76)+1)&gt;0,IF($B$12&gt;0,$C$72/$B$12,0),0))</f>
        <v>273611.11111111112</v>
      </c>
      <c r="H76" s="177">
        <f>IF($B$13&gt;H75,0,IF($C$72-(SUM($C$76:G76)+1)&gt;0,IF($B$12&gt;0,$C$72/$B$12,0),0))</f>
        <v>273611.11111111112</v>
      </c>
      <c r="I76" s="177">
        <f>IF($B$13&gt;I75,0,IF($C$72-(SUM($C$76:H76)+1)&gt;0,IF($B$12&gt;0,$C$72/$B$12,0),0))</f>
        <v>273611.11111111112</v>
      </c>
      <c r="J76" s="177">
        <f>IF($B$13&gt;J75,0,IF($C$72-(SUM($C$76:I76)+1)&gt;0,IF($B$12&gt;0,$C$72/$B$12,0),0))</f>
        <v>273611.11111111112</v>
      </c>
      <c r="K76" s="177">
        <f>IF($B$13&gt;K75,0,IF($C$72-(SUM($C$76:J76)+1)&gt;0,IF($B$12&gt;0,$C$72/$B$12,0),0))</f>
        <v>0</v>
      </c>
      <c r="L76" s="177">
        <f>IF($B$13&gt;L75,0,IF($C$72-(SUM($C$76:K76)+1)&gt;0,IF($B$12&gt;0,$C$72/$B$12,0),0))</f>
        <v>0</v>
      </c>
      <c r="M76" s="177">
        <f>IF($B$13&gt;M75,0,IF($C$72-(SUM($C$76:L76)+1)&gt;0,IF($B$12&gt;0,$C$72/$B$12,0),0))</f>
        <v>0</v>
      </c>
      <c r="N76" s="177">
        <f>IF($B$13&gt;N75,0,IF($C$72-(SUM($C$76:M76)+1)&gt;0,IF($B$12&gt;0,$C$72/$B$12,0),0))</f>
        <v>0</v>
      </c>
      <c r="O76" s="177">
        <f>IF($B$13&gt;O75,0,IF($C$72-(SUM($C$76:N76)+1)&gt;0,IF($B$12&gt;0,$C$72/$B$12,0),0))</f>
        <v>0</v>
      </c>
      <c r="P76" s="177">
        <f>IF($B$13&gt;P75,0,IF($C$72-(SUM($C$76:O76)+1)&gt;0,IF($B$12&gt;0,$C$72/$B$12,0),0))</f>
        <v>0</v>
      </c>
      <c r="Q76" s="177">
        <f>IF($B$13&gt;Q75,0,IF($C$72-(SUM($C$76:P76)+1)&gt;0,IF($B$12&gt;0,$C$72/$B$12,0),0))</f>
        <v>0</v>
      </c>
      <c r="R76" s="177">
        <f>IF($B$13&gt;R75,0,IF($C$72-(SUM($C$76:Q76)+1)&gt;0,IF($B$12&gt;0,$C$72/$B$12,0),0))</f>
        <v>0</v>
      </c>
      <c r="S76" s="177">
        <f>IF($B$13&gt;S75,0,IF($C$72-(SUM($C$76:R76)+1)&gt;0,IF($B$12&gt;0,$C$72/$B$12,0),0))</f>
        <v>0</v>
      </c>
      <c r="T76" s="177">
        <f>IF($B$13&gt;T75,0,IF($C$72-(SUM($C$76:S76)+1)&gt;0,IF($B$12&gt;0,$C$72/$B$12,0),0))</f>
        <v>0</v>
      </c>
      <c r="U76" s="177">
        <f>IF($B$13&gt;U75,0,IF($C$72-(SUM($C$76:T76)+1)&gt;0,IF($B$12&gt;0,$C$72/$B$12,0),0))</f>
        <v>0</v>
      </c>
      <c r="V76" s="177">
        <f>IF($B$13&gt;V75,0,IF($C$72-(SUM($C$76:U76)+1)&gt;0,IF($B$12&gt;0,$C$72/$B$12,0),0))</f>
        <v>0</v>
      </c>
      <c r="W76" s="177">
        <f>IF($B$13&gt;W75,0,IF($C$72-(SUM($C$76:V76)+1)&gt;0,IF($B$12&gt;0,$C$72/$B$12,0),0))</f>
        <v>0</v>
      </c>
      <c r="X76" s="177">
        <f>IF($B$13&gt;X75,0,IF($C$72-(SUM($C$76:W76)+1)&gt;0,IF($B$12&gt;0,$C$72/$B$12,0),0))</f>
        <v>0</v>
      </c>
      <c r="Y76" s="177">
        <f>IF($B$13&gt;Y75,0,IF($C$72-(SUM($C$76:X76)+1)&gt;0,IF($B$12&gt;0,$C$72/$B$12,0),0))</f>
        <v>0</v>
      </c>
      <c r="Z76" s="177">
        <f>IF($B$13&gt;Z75,0,IF($C$72-(SUM($C$76:Y76)+1)&gt;0,IF($B$12&gt;0,$C$72/$B$12,0),0))</f>
        <v>0</v>
      </c>
      <c r="AA76" s="177">
        <f>IF($B$13&gt;AA75,0,IF($C$72-(SUM($C$76:Z76)+1)&gt;0,IF($B$12&gt;0,$C$72/$B$12,0),0))</f>
        <v>0</v>
      </c>
      <c r="AB76" s="178">
        <f>IF($B$13&gt;AB75,0,IF($C$72-(SUM($C$76:AA76)+1)&gt;0,IF($B$12&gt;0,$C$72/$B$12,0),0))</f>
        <v>0</v>
      </c>
      <c r="AC76" s="178">
        <f>IF($B$13&gt;AC75,0,IF($C$72-(SUM($C$76:AB76)+1)&gt;0,IF($B$12&gt;0,$C$72/$B$12,0),0))</f>
        <v>0</v>
      </c>
      <c r="AD76" s="178">
        <f>IF($B$13&gt;AD75,0,IF($C$72-(SUM($C$76:AC76)+1)&gt;0,IF($B$12&gt;0,$C$72/$B$12,0),0))</f>
        <v>0</v>
      </c>
      <c r="AE76" s="178">
        <f>IF($B$13&gt;AE75,0,IF($C$72-(SUM($C$76:AD76)+1)&gt;0,IF($B$12&gt;0,$C$72/$B$12,0),0))</f>
        <v>0</v>
      </c>
      <c r="AF76" s="178">
        <f>IF($B$13&gt;AF75,0,IF($C$72-(SUM($C$76:AE76)+1)&gt;0,IF($B$12&gt;0,$C$72/$B$12,0),0))</f>
        <v>0</v>
      </c>
      <c r="AG76" s="178">
        <f>IF($B$13&gt;AG75,0,IF($C$72-(SUM($C$76:AF76)+1)&gt;0,IF($B$12&gt;0,$C$72/$B$12,0),0))</f>
        <v>0</v>
      </c>
      <c r="AH76" s="178">
        <f>IF($B$13&gt;AH75,0,IF($C$72-(SUM($C$76:AG76)+1)&gt;0,IF($B$12&gt;0,$C$72/$B$12,0),0))</f>
        <v>0</v>
      </c>
    </row>
    <row r="77" spans="1:74" s="16" customFormat="1" ht="11.25" customHeight="1" x14ac:dyDescent="0.25">
      <c r="A77" s="179"/>
      <c r="B77" s="180" t="s">
        <v>50</v>
      </c>
      <c r="C77" s="181"/>
      <c r="D77" s="182">
        <f>($C$72-SUM($C$76:C76))*$B$14</f>
        <v>129965.27777777778</v>
      </c>
      <c r="E77" s="182">
        <f>($C$72-SUM($C$76:D76))*$B$14</f>
        <v>129965.27777777778</v>
      </c>
      <c r="F77" s="182">
        <f>($C$72-SUM($C$76:E76))*$B$14</f>
        <v>129965.27777777778</v>
      </c>
      <c r="G77" s="182">
        <f>($C$72-SUM($C$76:F76))*$B$14</f>
        <v>103972.22222222223</v>
      </c>
      <c r="H77" s="182">
        <f>($C$72-SUM($C$76:G76))*$B$14</f>
        <v>77979.166666666657</v>
      </c>
      <c r="I77" s="182">
        <f>($C$72-SUM($C$76:H76))*$B$14</f>
        <v>51986.111111111102</v>
      </c>
      <c r="J77" s="182">
        <f>($C$72-SUM($C$76:I76))*$B$14</f>
        <v>25993.055555555547</v>
      </c>
      <c r="K77" s="182">
        <f>($C$72-SUM($C$76:J76))*$B$14</f>
        <v>0</v>
      </c>
      <c r="L77" s="182">
        <f>($C$72-SUM($C$76:K76))*$B$14</f>
        <v>0</v>
      </c>
      <c r="M77" s="182">
        <f>($C$72-SUM($C$76:L76))*$B$14</f>
        <v>0</v>
      </c>
      <c r="N77" s="182">
        <f>($C$72-SUM($C$76:M76))*$B$14</f>
        <v>0</v>
      </c>
      <c r="O77" s="182">
        <f>($C$72-SUM($C$76:N76))*$B$14</f>
        <v>0</v>
      </c>
      <c r="P77" s="182">
        <f>($C$72-SUM($C$76:O76))*$B$14</f>
        <v>0</v>
      </c>
      <c r="Q77" s="182">
        <f>($C$72-SUM($C$76:P76))*$B$14</f>
        <v>0</v>
      </c>
      <c r="R77" s="182">
        <f>($C$72-SUM($C$76:Q76))*$B$14</f>
        <v>0</v>
      </c>
      <c r="S77" s="182">
        <f>($C$72-SUM($C$76:R76))*$B$14</f>
        <v>0</v>
      </c>
      <c r="T77" s="182">
        <f>($C$72-SUM($C$76:S76))*$B$14</f>
        <v>0</v>
      </c>
      <c r="U77" s="182">
        <f>($C$72-SUM($C$76:T76))*$B$14</f>
        <v>0</v>
      </c>
      <c r="V77" s="182">
        <f>($C$72-SUM($C$76:U76))*$B$14</f>
        <v>0</v>
      </c>
      <c r="W77" s="182">
        <f>($C$72-SUM($C$76:V76))*$B$14</f>
        <v>0</v>
      </c>
      <c r="X77" s="182">
        <f>($C$72-SUM($C$76:W76))*$B$14</f>
        <v>0</v>
      </c>
      <c r="Y77" s="182">
        <f>($C$72-SUM($C$76:X76))*$B$14</f>
        <v>0</v>
      </c>
      <c r="Z77" s="182">
        <f>($C$72-SUM($C$76:Y76))*$B$14</f>
        <v>0</v>
      </c>
      <c r="AA77" s="182">
        <f>($C$72-SUM($C$76:Z76))*$B$14</f>
        <v>0</v>
      </c>
      <c r="AB77" s="183">
        <f>($C$72-SUM($C$76:AA76))*$B$14</f>
        <v>0</v>
      </c>
      <c r="AC77" s="183">
        <f>($C$72-SUM($C$76:AB76))*$B$14</f>
        <v>0</v>
      </c>
      <c r="AD77" s="183">
        <f>($C$72-SUM($C$76:AC76))*$B$14</f>
        <v>0</v>
      </c>
      <c r="AE77" s="183">
        <f>($C$72-SUM($C$76:AD76))*$B$14</f>
        <v>0</v>
      </c>
      <c r="AF77" s="183">
        <f>($C$72-SUM($C$76:AE76))*$B$14</f>
        <v>0</v>
      </c>
      <c r="AG77" s="183">
        <f>($C$72-SUM($C$76:AF76))*$B$14</f>
        <v>0</v>
      </c>
      <c r="AH77" s="183">
        <f>($C$72-SUM($C$76:AG76))*$B$14</f>
        <v>0</v>
      </c>
    </row>
    <row r="78" spans="1:74" ht="13.5" customHeight="1" x14ac:dyDescent="0.25">
      <c r="A78" s="184"/>
      <c r="B78" s="185"/>
      <c r="C78" s="186"/>
      <c r="D78" s="187"/>
      <c r="E78" s="172">
        <v>1</v>
      </c>
      <c r="F78" s="172">
        <f>E78+1</f>
        <v>2</v>
      </c>
      <c r="G78" s="172">
        <f t="shared" ref="G78:AH78" si="24">F78+1</f>
        <v>3</v>
      </c>
      <c r="H78" s="172">
        <f t="shared" si="24"/>
        <v>4</v>
      </c>
      <c r="I78" s="172">
        <f t="shared" si="24"/>
        <v>5</v>
      </c>
      <c r="J78" s="172">
        <f t="shared" si="24"/>
        <v>6</v>
      </c>
      <c r="K78" s="172">
        <f t="shared" si="24"/>
        <v>7</v>
      </c>
      <c r="L78" s="172">
        <f t="shared" si="24"/>
        <v>8</v>
      </c>
      <c r="M78" s="172">
        <f t="shared" si="24"/>
        <v>9</v>
      </c>
      <c r="N78" s="172">
        <f t="shared" si="24"/>
        <v>10</v>
      </c>
      <c r="O78" s="172">
        <f t="shared" si="24"/>
        <v>11</v>
      </c>
      <c r="P78" s="172">
        <f t="shared" si="24"/>
        <v>12</v>
      </c>
      <c r="Q78" s="172">
        <f t="shared" si="24"/>
        <v>13</v>
      </c>
      <c r="R78" s="172">
        <f t="shared" si="24"/>
        <v>14</v>
      </c>
      <c r="S78" s="172">
        <f t="shared" si="24"/>
        <v>15</v>
      </c>
      <c r="T78" s="172">
        <f t="shared" si="24"/>
        <v>16</v>
      </c>
      <c r="U78" s="172">
        <f t="shared" si="24"/>
        <v>17</v>
      </c>
      <c r="V78" s="172">
        <f t="shared" si="24"/>
        <v>18</v>
      </c>
      <c r="W78" s="172">
        <f t="shared" si="24"/>
        <v>19</v>
      </c>
      <c r="X78" s="172">
        <f t="shared" si="24"/>
        <v>20</v>
      </c>
      <c r="Y78" s="172">
        <f t="shared" si="24"/>
        <v>21</v>
      </c>
      <c r="Z78" s="172">
        <f t="shared" si="24"/>
        <v>22</v>
      </c>
      <c r="AA78" s="172">
        <f t="shared" si="24"/>
        <v>23</v>
      </c>
      <c r="AB78" s="173">
        <f t="shared" si="24"/>
        <v>24</v>
      </c>
      <c r="AC78" s="173">
        <f t="shared" si="24"/>
        <v>25</v>
      </c>
      <c r="AD78" s="173">
        <f t="shared" si="24"/>
        <v>26</v>
      </c>
      <c r="AE78" s="173">
        <f t="shared" si="24"/>
        <v>27</v>
      </c>
      <c r="AF78" s="173">
        <f t="shared" si="24"/>
        <v>28</v>
      </c>
      <c r="AG78" s="173">
        <f t="shared" si="24"/>
        <v>29</v>
      </c>
      <c r="AH78" s="173">
        <f t="shared" si="24"/>
        <v>30</v>
      </c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</row>
    <row r="79" spans="1:74" s="16" customFormat="1" x14ac:dyDescent="0.25">
      <c r="A79" s="184">
        <f>A76+1</f>
        <v>2</v>
      </c>
      <c r="B79" s="188" t="s">
        <v>49</v>
      </c>
      <c r="C79" s="189"/>
      <c r="D79" s="190"/>
      <c r="E79" s="177">
        <f>IF($B$13&gt;E78,0,IF($D$72-(SUM($C$79:D79)+1)&gt;0,IF($B$12&gt;0,$D$72/$B$12,0),0))</f>
        <v>0</v>
      </c>
      <c r="F79" s="177">
        <f>IF($B$13&gt;F78,0,IF($D$72-(SUM($C$79:E79)+1)&gt;0,IF($B$12&gt;0,$D$72/$B$12,0),0))</f>
        <v>0</v>
      </c>
      <c r="G79" s="177">
        <f>IF($B$13&gt;G78,0,IF($D$72-(SUM($C$79:F79)+1)&gt;0,IF($B$12&gt;0,$D$72/$B$12,0),0))</f>
        <v>273611.11111111112</v>
      </c>
      <c r="H79" s="177">
        <f>IF($B$13&gt;H78,0,IF($D$72-(SUM($C$79:G79)+1)&gt;0,IF($B$12&gt;0,$D$72/$B$12,0),0))</f>
        <v>273611.11111111112</v>
      </c>
      <c r="I79" s="177">
        <f>IF($B$13&gt;I78,0,IF($D$72-(SUM($C$79:H79)+1)&gt;0,IF($B$12&gt;0,$D$72/$B$12,0),0))</f>
        <v>273611.11111111112</v>
      </c>
      <c r="J79" s="177">
        <f>IF($B$13&gt;J78,0,IF($D$72-(SUM($C$79:I79)+1)&gt;0,IF($B$12&gt;0,$D$72/$B$12,0),0))</f>
        <v>273611.11111111112</v>
      </c>
      <c r="K79" s="177">
        <f>IF($B$13&gt;K78,0,IF($D$72-(SUM($C$79:J79)+1)&gt;0,IF($B$12&gt;0,$D$72/$B$12,0),0))</f>
        <v>273611.11111111112</v>
      </c>
      <c r="L79" s="177">
        <f>IF($B$13&gt;L78,0,IF($D$72-(SUM($C$79:K79)+1)&gt;0,IF($B$12&gt;0,$D$72/$B$12,0),0))</f>
        <v>0</v>
      </c>
      <c r="M79" s="177">
        <f>IF($B$13&gt;M78,0,IF($D$72-(SUM($C$79:L79)+1)&gt;0,IF($B$12&gt;0,$D$72/$B$12,0),0))</f>
        <v>0</v>
      </c>
      <c r="N79" s="177">
        <f>IF($B$13&gt;N78,0,IF($D$72-(SUM($C$79:M79)+1)&gt;0,IF($B$12&gt;0,$D$72/$B$12,0),0))</f>
        <v>0</v>
      </c>
      <c r="O79" s="177">
        <f>IF($B$13&gt;O78,0,IF($D$72-(SUM($C$79:N79)+1)&gt;0,IF($B$12&gt;0,$D$72/$B$12,0),0))</f>
        <v>0</v>
      </c>
      <c r="P79" s="177">
        <f>IF($B$13&gt;P78,0,IF($D$72-(SUM($C$79:O79)+1)&gt;0,IF($B$12&gt;0,$D$72/$B$12,0),0))</f>
        <v>0</v>
      </c>
      <c r="Q79" s="177">
        <f>IF($B$13&gt;Q78,0,IF($D$72-(SUM($C$79:P79)+1)&gt;0,IF($B$12&gt;0,$D$72/$B$12,0),0))</f>
        <v>0</v>
      </c>
      <c r="R79" s="177">
        <f>IF($B$13&gt;R78,0,IF($D$72-(SUM($C$79:Q79)+1)&gt;0,IF($B$12&gt;0,$D$72/$B$12,0),0))</f>
        <v>0</v>
      </c>
      <c r="S79" s="177">
        <f>IF($B$13&gt;S78,0,IF($D$72-(SUM($C$79:R79)+1)&gt;0,IF($B$12&gt;0,$D$72/$B$12,0),0))</f>
        <v>0</v>
      </c>
      <c r="T79" s="177">
        <f>IF($B$13&gt;T78,0,IF($D$72-(SUM($C$79:S79)+1)&gt;0,IF($B$12&gt;0,$D$72/$B$12,0),0))</f>
        <v>0</v>
      </c>
      <c r="U79" s="177">
        <f>IF($B$13&gt;U78,0,IF($D$72-(SUM($C$79:T79)+1)&gt;0,IF($B$12&gt;0,$D$72/$B$12,0),0))</f>
        <v>0</v>
      </c>
      <c r="V79" s="177">
        <f>IF($B$13&gt;V78,0,IF($D$72-(SUM($C$79:U79)+1)&gt;0,IF($B$12&gt;0,$D$72/$B$12,0),0))</f>
        <v>0</v>
      </c>
      <c r="W79" s="177">
        <f>IF($B$13&gt;W78,0,IF($D$72-(SUM($C$79:V79)+1)&gt;0,IF($B$12&gt;0,$D$72/$B$12,0),0))</f>
        <v>0</v>
      </c>
      <c r="X79" s="177">
        <f>IF($B$13&gt;X78,0,IF($D$72-(SUM($C$79:W79)+1)&gt;0,IF($B$12&gt;0,$D$72/$B$12,0),0))</f>
        <v>0</v>
      </c>
      <c r="Y79" s="177">
        <f>IF($B$13&gt;Y78,0,IF($D$72-(SUM($C$79:X79)+1)&gt;0,IF($B$12&gt;0,$D$72/$B$12,0),0))</f>
        <v>0</v>
      </c>
      <c r="Z79" s="177">
        <f>IF($B$13&gt;Z78,0,IF($D$72-(SUM($C$79:Y79)+1)&gt;0,IF($B$12&gt;0,$D$72/$B$12,0),0))</f>
        <v>0</v>
      </c>
      <c r="AA79" s="177">
        <f>IF($B$13&gt;AA78,0,IF($D$72-(SUM($C$79:Z79)+1)&gt;0,IF($B$12&gt;0,$D$72/$B$12,0),0))</f>
        <v>0</v>
      </c>
      <c r="AB79" s="178">
        <f>IF($B$13&gt;AB78,0,IF($D$72-(SUM($C$79:AA79)+1)&gt;0,IF($B$12&gt;0,$D$72/$B$12,0),0))</f>
        <v>0</v>
      </c>
      <c r="AC79" s="178">
        <f>IF($B$13&gt;AC78,0,IF($D$72-(SUM($C$79:AB79)+1)&gt;0,IF($B$12&gt;0,$D$72/$B$12,0),0))</f>
        <v>0</v>
      </c>
      <c r="AD79" s="178">
        <f>IF($B$13&gt;AD78,0,IF($D$72-(SUM($C$79:AC79)+1)&gt;0,IF($B$12&gt;0,$D$72/$B$12,0),0))</f>
        <v>0</v>
      </c>
      <c r="AE79" s="178">
        <f>IF($B$13&gt;AE78,0,IF($D$72-(SUM($C$79:AD79)+1)&gt;0,IF($B$12&gt;0,$D$72/$B$12,0),0))</f>
        <v>0</v>
      </c>
      <c r="AF79" s="178">
        <f>IF($B$13&gt;AF78,0,IF($D$72-(SUM($C$79:AE79)+1)&gt;0,IF($B$12&gt;0,$D$72/$B$12,0),0))</f>
        <v>0</v>
      </c>
      <c r="AG79" s="178">
        <f>IF($B$13&gt;AG78,0,IF($D$72-(SUM($C$79:AF79)+1)&gt;0,IF($B$12&gt;0,$D$72/$B$12,0),0))</f>
        <v>0</v>
      </c>
      <c r="AH79" s="178">
        <f>IF($B$13&gt;AH78,0,IF($D$72-(SUM($C$79:AG79)+1)&gt;0,IF($B$12&gt;0,$D$72/$B$12,0),0))</f>
        <v>0</v>
      </c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  <c r="BI79" s="17"/>
      <c r="BJ79" s="17"/>
      <c r="BK79" s="17"/>
      <c r="BL79" s="17"/>
      <c r="BM79" s="17"/>
      <c r="BN79" s="17"/>
      <c r="BO79" s="17"/>
      <c r="BP79" s="17"/>
      <c r="BQ79" s="17"/>
      <c r="BR79" s="17"/>
      <c r="BS79" s="17"/>
      <c r="BT79" s="17"/>
      <c r="BU79" s="17"/>
      <c r="BV79" s="17"/>
    </row>
    <row r="80" spans="1:74" s="16" customFormat="1" x14ac:dyDescent="0.25">
      <c r="A80" s="191"/>
      <c r="B80" s="180" t="s">
        <v>50</v>
      </c>
      <c r="C80" s="192"/>
      <c r="D80" s="193"/>
      <c r="E80" s="182">
        <f>($D$72-SUM($C$79:D79))*$B$14</f>
        <v>129965.27777777778</v>
      </c>
      <c r="F80" s="182">
        <f>($D$72-SUM($C$79:E79))*$B$14</f>
        <v>129965.27777777778</v>
      </c>
      <c r="G80" s="182">
        <f>($D$72-SUM($C$79:F79))*$B$14</f>
        <v>129965.27777777778</v>
      </c>
      <c r="H80" s="182">
        <f>($D$72-SUM($C$79:G79))*$B$14</f>
        <v>103972.22222222223</v>
      </c>
      <c r="I80" s="182">
        <f>($D$72-SUM($C$79:H79))*$B$14</f>
        <v>77979.166666666657</v>
      </c>
      <c r="J80" s="182">
        <f>($D$72-SUM($C$79:I79))*$B$14</f>
        <v>51986.111111111102</v>
      </c>
      <c r="K80" s="182">
        <f>($D$72-SUM($C$79:J79))*$B$14</f>
        <v>25993.055555555547</v>
      </c>
      <c r="L80" s="182">
        <f>($D$72-SUM($C$79:K79))*$B$14</f>
        <v>0</v>
      </c>
      <c r="M80" s="182">
        <f>($D$72-SUM($C$79:L79))*$B$14</f>
        <v>0</v>
      </c>
      <c r="N80" s="182">
        <f>($D$72-SUM($C$79:M79))*$B$14</f>
        <v>0</v>
      </c>
      <c r="O80" s="182">
        <f>($D$72-SUM($C$79:N79))*$B$14</f>
        <v>0</v>
      </c>
      <c r="P80" s="182">
        <f>($D$72-SUM($C$79:O79))*$B$14</f>
        <v>0</v>
      </c>
      <c r="Q80" s="182">
        <f>($D$72-SUM($C$79:P79))*$B$14</f>
        <v>0</v>
      </c>
      <c r="R80" s="182">
        <f>($D$72-SUM($C$79:Q79))*$B$14</f>
        <v>0</v>
      </c>
      <c r="S80" s="182">
        <f>($D$72-SUM($C$79:R79))*$B$14</f>
        <v>0</v>
      </c>
      <c r="T80" s="182">
        <f>($D$72-SUM($C$79:S79))*$B$14</f>
        <v>0</v>
      </c>
      <c r="U80" s="182">
        <f>($D$72-SUM($C$79:T79))*$B$14</f>
        <v>0</v>
      </c>
      <c r="V80" s="182">
        <f>($D$72-SUM($C$79:U79))*$B$14</f>
        <v>0</v>
      </c>
      <c r="W80" s="182">
        <f>($D$72-SUM($C$79:V79))*$B$14</f>
        <v>0</v>
      </c>
      <c r="X80" s="182">
        <f>($D$72-SUM($C$79:W79))*$B$14</f>
        <v>0</v>
      </c>
      <c r="Y80" s="182">
        <f>($D$72-SUM($C$79:X79))*$B$14</f>
        <v>0</v>
      </c>
      <c r="Z80" s="182">
        <f>($D$72-SUM($C$79:Y79))*$B$14</f>
        <v>0</v>
      </c>
      <c r="AA80" s="182">
        <f>($D$72-SUM($C$79:Z79))*$B$14</f>
        <v>0</v>
      </c>
      <c r="AB80" s="183">
        <f>($D$72-SUM($C$79:AA79))*$B$14</f>
        <v>0</v>
      </c>
      <c r="AC80" s="183">
        <f>($D$72-SUM($C$79:AB79))*$B$14</f>
        <v>0</v>
      </c>
      <c r="AD80" s="183">
        <f>($D$72-SUM($C$79:AC79))*$B$14</f>
        <v>0</v>
      </c>
      <c r="AE80" s="183">
        <f>($D$72-SUM($C$79:AD79))*$B$14</f>
        <v>0</v>
      </c>
      <c r="AF80" s="183">
        <f>($D$72-SUM($C$79:AE79))*$B$14</f>
        <v>0</v>
      </c>
      <c r="AG80" s="183">
        <f>($D$72-SUM($C$79:AF79))*$B$14</f>
        <v>0</v>
      </c>
      <c r="AH80" s="183">
        <f>($D$72-SUM($C$79:AG79))*$B$14</f>
        <v>0</v>
      </c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  <c r="BI80" s="17"/>
      <c r="BJ80" s="17"/>
      <c r="BK80" s="17"/>
      <c r="BL80" s="17"/>
      <c r="BM80" s="17"/>
      <c r="BN80" s="17"/>
      <c r="BO80" s="17"/>
      <c r="BP80" s="17"/>
      <c r="BQ80" s="17"/>
      <c r="BR80" s="17"/>
      <c r="BS80" s="17"/>
      <c r="BT80" s="17"/>
      <c r="BU80" s="17"/>
      <c r="BV80" s="17"/>
    </row>
    <row r="81" spans="1:74" ht="12" customHeight="1" x14ac:dyDescent="0.25">
      <c r="A81" s="184"/>
      <c r="B81" s="185"/>
      <c r="C81" s="186"/>
      <c r="D81" s="187"/>
      <c r="E81" s="194"/>
      <c r="F81" s="172">
        <v>1</v>
      </c>
      <c r="G81" s="172">
        <f>F81+1</f>
        <v>2</v>
      </c>
      <c r="H81" s="172">
        <f t="shared" ref="H81:AH81" si="25">G81+1</f>
        <v>3</v>
      </c>
      <c r="I81" s="172">
        <f t="shared" si="25"/>
        <v>4</v>
      </c>
      <c r="J81" s="172">
        <f t="shared" si="25"/>
        <v>5</v>
      </c>
      <c r="K81" s="172">
        <f t="shared" si="25"/>
        <v>6</v>
      </c>
      <c r="L81" s="172">
        <f t="shared" si="25"/>
        <v>7</v>
      </c>
      <c r="M81" s="172">
        <f t="shared" si="25"/>
        <v>8</v>
      </c>
      <c r="N81" s="172">
        <f t="shared" si="25"/>
        <v>9</v>
      </c>
      <c r="O81" s="172">
        <f t="shared" si="25"/>
        <v>10</v>
      </c>
      <c r="P81" s="172">
        <f t="shared" si="25"/>
        <v>11</v>
      </c>
      <c r="Q81" s="172">
        <f t="shared" si="25"/>
        <v>12</v>
      </c>
      <c r="R81" s="172">
        <f t="shared" si="25"/>
        <v>13</v>
      </c>
      <c r="S81" s="172">
        <f t="shared" si="25"/>
        <v>14</v>
      </c>
      <c r="T81" s="172">
        <f t="shared" si="25"/>
        <v>15</v>
      </c>
      <c r="U81" s="172">
        <f t="shared" si="25"/>
        <v>16</v>
      </c>
      <c r="V81" s="172">
        <f t="shared" si="25"/>
        <v>17</v>
      </c>
      <c r="W81" s="172">
        <f t="shared" si="25"/>
        <v>18</v>
      </c>
      <c r="X81" s="172">
        <f t="shared" si="25"/>
        <v>19</v>
      </c>
      <c r="Y81" s="172">
        <f t="shared" si="25"/>
        <v>20</v>
      </c>
      <c r="Z81" s="172">
        <f t="shared" si="25"/>
        <v>21</v>
      </c>
      <c r="AA81" s="172">
        <f t="shared" si="25"/>
        <v>22</v>
      </c>
      <c r="AB81" s="173">
        <f t="shared" si="25"/>
        <v>23</v>
      </c>
      <c r="AC81" s="173">
        <f t="shared" si="25"/>
        <v>24</v>
      </c>
      <c r="AD81" s="173">
        <f t="shared" si="25"/>
        <v>25</v>
      </c>
      <c r="AE81" s="173">
        <f t="shared" si="25"/>
        <v>26</v>
      </c>
      <c r="AF81" s="173">
        <f t="shared" si="25"/>
        <v>27</v>
      </c>
      <c r="AG81" s="173">
        <f t="shared" si="25"/>
        <v>28</v>
      </c>
      <c r="AH81" s="173">
        <f t="shared" si="25"/>
        <v>29</v>
      </c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</row>
    <row r="82" spans="1:74" s="16" customFormat="1" x14ac:dyDescent="0.25">
      <c r="A82" s="184">
        <f>A79+1</f>
        <v>3</v>
      </c>
      <c r="B82" s="188" t="s">
        <v>49</v>
      </c>
      <c r="C82" s="189"/>
      <c r="D82" s="190"/>
      <c r="E82" s="190"/>
      <c r="F82" s="177">
        <f>IF($B$13&gt;F81,0,IF($E$72-(SUM($C$82:E82)+1)&gt;0,IF($B$12&gt;0,$E$72/$B$12,0),0))</f>
        <v>0</v>
      </c>
      <c r="G82" s="177">
        <f>IF($B$13&gt;G81,0,IF($E$72-(SUM($C$82:F82)+1)&gt;0,IF($B$12&gt;0,$E$72/$B$12,0),0))</f>
        <v>0</v>
      </c>
      <c r="H82" s="177">
        <f>IF($B$13&gt;H81,0,IF($E$72-(SUM($C$82:G82)+1)&gt;0,IF($B$12&gt;0,$E$72/$B$12,0),0))</f>
        <v>273611.11111111112</v>
      </c>
      <c r="I82" s="177">
        <f>IF($B$13&gt;I81,0,IF($E$72-(SUM($C$82:H82)+1)&gt;0,IF($B$12&gt;0,$E$72/$B$12,0),0))</f>
        <v>273611.11111111112</v>
      </c>
      <c r="J82" s="177">
        <f>IF($B$13&gt;J81,0,IF($E$72-(SUM($C$82:I82)+1)&gt;0,IF($B$12&gt;0,$E$72/$B$12,0),0))</f>
        <v>273611.11111111112</v>
      </c>
      <c r="K82" s="177">
        <f>IF($B$13&gt;K81,0,IF($E$72-(SUM($C$82:J82)+1)&gt;0,IF($B$12&gt;0,$E$72/$B$12,0),0))</f>
        <v>273611.11111111112</v>
      </c>
      <c r="L82" s="177">
        <f>IF($B$13&gt;L81,0,IF($E$72-(SUM($C$82:K82)+1)&gt;0,IF($B$12&gt;0,$E$72/$B$12,0),0))</f>
        <v>273611.11111111112</v>
      </c>
      <c r="M82" s="177">
        <f>IF($B$13&gt;M81,0,IF($E$72-(SUM($C$82:L82)+1)&gt;0,IF($B$12&gt;0,$E$72/$B$12,0),0))</f>
        <v>0</v>
      </c>
      <c r="N82" s="177">
        <f>IF($B$13&gt;N81,0,IF($E$72-(SUM($C$82:M82)+1)&gt;0,IF($B$12&gt;0,$E$72/$B$12,0),0))</f>
        <v>0</v>
      </c>
      <c r="O82" s="177">
        <f>IF($B$13&gt;O81,0,IF($E$72-(SUM($C$82:N82)+1)&gt;0,IF($B$12&gt;0,$E$72/$B$12,0),0))</f>
        <v>0</v>
      </c>
      <c r="P82" s="177">
        <f>IF($B$13&gt;P81,0,IF($E$72-(SUM($C$82:O82)+1)&gt;0,IF($B$12&gt;0,$E$72/$B$12,0),0))</f>
        <v>0</v>
      </c>
      <c r="Q82" s="177">
        <f>IF($B$13&gt;Q81,0,IF($E$72-(SUM($C$82:P82)+1)&gt;0,IF($B$12&gt;0,$E$72/$B$12,0),0))</f>
        <v>0</v>
      </c>
      <c r="R82" s="177">
        <f>IF($B$13&gt;R81,0,IF($E$72-(SUM($C$82:Q82)+1)&gt;0,IF($B$12&gt;0,$E$72/$B$12,0),0))</f>
        <v>0</v>
      </c>
      <c r="S82" s="177">
        <f>IF($B$13&gt;S81,0,IF($E$72-(SUM($C$82:R82)+1)&gt;0,IF($B$12&gt;0,$E$72/$B$12,0),0))</f>
        <v>0</v>
      </c>
      <c r="T82" s="177">
        <f>IF($B$13&gt;T81,0,IF($E$72-(SUM($C$82:S82)+1)&gt;0,IF($B$12&gt;0,$E$72/$B$12,0),0))</f>
        <v>0</v>
      </c>
      <c r="U82" s="177">
        <f>IF($B$13&gt;U81,0,IF($E$72-(SUM($C$82:T82)+1)&gt;0,IF($B$12&gt;0,$E$72/$B$12,0),0))</f>
        <v>0</v>
      </c>
      <c r="V82" s="177">
        <f>IF($B$13&gt;V81,0,IF($E$72-(SUM($C$82:U82)+1)&gt;0,IF($B$12&gt;0,$E$72/$B$12,0),0))</f>
        <v>0</v>
      </c>
      <c r="W82" s="177">
        <f>IF($B$13&gt;W81,0,IF($E$72-(SUM($C$82:V82)+1)&gt;0,IF($B$12&gt;0,$E$72/$B$12,0),0))</f>
        <v>0</v>
      </c>
      <c r="X82" s="177">
        <f>IF($B$13&gt;X81,0,IF($E$72-(SUM($C$82:W82)+1)&gt;0,IF($B$12&gt;0,$E$72/$B$12,0),0))</f>
        <v>0</v>
      </c>
      <c r="Y82" s="177">
        <f>IF($B$13&gt;Y81,0,IF($E$72-(SUM($C$82:X82)+1)&gt;0,IF($B$12&gt;0,$E$72/$B$12,0),0))</f>
        <v>0</v>
      </c>
      <c r="Z82" s="177">
        <f>IF($B$13&gt;Z81,0,IF($E$72-(SUM($C$82:Y82)+1)&gt;0,IF($B$12&gt;0,$E$72/$B$12,0),0))</f>
        <v>0</v>
      </c>
      <c r="AA82" s="177">
        <f>IF($B$13&gt;AA81,0,IF($E$72-(SUM($C$82:Z82)+1)&gt;0,IF($B$12&gt;0,$E$72/$B$12,0),0))</f>
        <v>0</v>
      </c>
      <c r="AB82" s="178">
        <f>IF($B$13&gt;AB81,0,IF($E$72-(SUM($C$82:AA82)+1)&gt;0,IF($B$12&gt;0,$E$72/$B$12,0),0))</f>
        <v>0</v>
      </c>
      <c r="AC82" s="178">
        <f>IF($B$13&gt;AC81,0,IF($E$72-(SUM($C$82:AB82)+1)&gt;0,IF($B$12&gt;0,$E$72/$B$12,0),0))</f>
        <v>0</v>
      </c>
      <c r="AD82" s="178">
        <f>IF($B$13&gt;AD81,0,IF($E$72-(SUM($C$82:AC82)+1)&gt;0,IF($B$12&gt;0,$E$72/$B$12,0),0))</f>
        <v>0</v>
      </c>
      <c r="AE82" s="178">
        <f>IF($B$13&gt;AE81,0,IF($E$72-(SUM($C$82:AD82)+1)&gt;0,IF($B$12&gt;0,$E$72/$B$12,0),0))</f>
        <v>0</v>
      </c>
      <c r="AF82" s="178">
        <f>IF($B$13&gt;AF81,0,IF($E$72-(SUM($C$82:AE82)+1)&gt;0,IF($B$12&gt;0,$E$72/$B$12,0),0))</f>
        <v>0</v>
      </c>
      <c r="AG82" s="178">
        <f>IF($B$13&gt;AG81,0,IF($E$72-(SUM($C$82:AF82)+1)&gt;0,IF($B$12&gt;0,$E$72/$B$12,0),0))</f>
        <v>0</v>
      </c>
      <c r="AH82" s="178">
        <f>IF($B$13&gt;AH81,0,IF($E$72-(SUM($C$82:AG82)+1)&gt;0,IF($B$12&gt;0,$E$72/$B$12,0),0))</f>
        <v>0</v>
      </c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  <c r="BD82" s="17"/>
      <c r="BE82" s="17"/>
      <c r="BF82" s="17"/>
      <c r="BG82" s="17"/>
      <c r="BH82" s="17"/>
      <c r="BI82" s="17"/>
      <c r="BJ82" s="17"/>
      <c r="BK82" s="17"/>
      <c r="BL82" s="17"/>
      <c r="BM82" s="17"/>
      <c r="BN82" s="17"/>
      <c r="BO82" s="17"/>
      <c r="BP82" s="17"/>
      <c r="BQ82" s="17"/>
      <c r="BR82" s="17"/>
      <c r="BS82" s="17"/>
      <c r="BT82" s="17"/>
      <c r="BU82" s="17"/>
      <c r="BV82" s="17"/>
    </row>
    <row r="83" spans="1:74" s="16" customFormat="1" x14ac:dyDescent="0.25">
      <c r="A83" s="191"/>
      <c r="B83" s="180" t="s">
        <v>50</v>
      </c>
      <c r="C83" s="192"/>
      <c r="D83" s="193"/>
      <c r="E83" s="193"/>
      <c r="F83" s="182">
        <f>($E$72-SUM($C$82:E82))*$B$14</f>
        <v>129965.27777777778</v>
      </c>
      <c r="G83" s="182">
        <f>($E$72-SUM($C$82:F82))*$B$14</f>
        <v>129965.27777777778</v>
      </c>
      <c r="H83" s="182">
        <f>($E$72-SUM($C$82:G82))*$B$14</f>
        <v>129965.27777777778</v>
      </c>
      <c r="I83" s="182">
        <f>($E$72-SUM($C$82:H82))*$B$14</f>
        <v>103972.22222222223</v>
      </c>
      <c r="J83" s="182">
        <f>($E$72-SUM($C$82:I82))*$B$14</f>
        <v>77979.166666666657</v>
      </c>
      <c r="K83" s="182">
        <f>($E$72-SUM($C$82:J82))*$B$14</f>
        <v>51986.111111111102</v>
      </c>
      <c r="L83" s="182">
        <f>($E$72-SUM($C$82:K82))*$B$14</f>
        <v>25993.055555555547</v>
      </c>
      <c r="M83" s="182">
        <f>($E$72-SUM($C$82:L82))*$B$14</f>
        <v>0</v>
      </c>
      <c r="N83" s="182">
        <f>($E$72-SUM($C$82:M82))*$B$14</f>
        <v>0</v>
      </c>
      <c r="O83" s="182">
        <f>($E$72-SUM($C$82:N82))*$B$14</f>
        <v>0</v>
      </c>
      <c r="P83" s="182">
        <f>($E$72-SUM($C$82:O82))*$B$14</f>
        <v>0</v>
      </c>
      <c r="Q83" s="182">
        <f>($E$72-SUM($C$82:P82))*$B$14</f>
        <v>0</v>
      </c>
      <c r="R83" s="182">
        <f>($E$72-SUM($C$82:Q82))*$B$14</f>
        <v>0</v>
      </c>
      <c r="S83" s="182">
        <f>($E$72-SUM($C$82:R82))*$B$14</f>
        <v>0</v>
      </c>
      <c r="T83" s="182">
        <f>($E$72-SUM($C$82:S82))*$B$14</f>
        <v>0</v>
      </c>
      <c r="U83" s="182">
        <f>($E$72-SUM($C$82:T82))*$B$14</f>
        <v>0</v>
      </c>
      <c r="V83" s="182">
        <f>($E$72-SUM($C$82:U82))*$B$14</f>
        <v>0</v>
      </c>
      <c r="W83" s="182">
        <f>($E$72-SUM($C$82:V82))*$B$14</f>
        <v>0</v>
      </c>
      <c r="X83" s="182">
        <f>($E$72-SUM($C$82:W82))*$B$14</f>
        <v>0</v>
      </c>
      <c r="Y83" s="182">
        <f>($E$72-SUM($C$82:X82))*$B$14</f>
        <v>0</v>
      </c>
      <c r="Z83" s="182">
        <f>($E$72-SUM($C$82:Y82))*$B$14</f>
        <v>0</v>
      </c>
      <c r="AA83" s="182">
        <f>($E$72-SUM($C$82:Z82))*$B$14</f>
        <v>0</v>
      </c>
      <c r="AB83" s="183">
        <f>($E$72-SUM($C$82:AA82))*$B$14</f>
        <v>0</v>
      </c>
      <c r="AC83" s="183">
        <f>($E$72-SUM($C$82:AB82))*$B$14</f>
        <v>0</v>
      </c>
      <c r="AD83" s="183">
        <f>($E$72-SUM($C$82:AC82))*$B$14</f>
        <v>0</v>
      </c>
      <c r="AE83" s="183">
        <f>($E$72-SUM($C$82:AD82))*$B$14</f>
        <v>0</v>
      </c>
      <c r="AF83" s="183">
        <f>($E$72-SUM($C$82:AE82))*$B$14</f>
        <v>0</v>
      </c>
      <c r="AG83" s="183">
        <f>($E$72-SUM($C$82:AF82))*$B$14</f>
        <v>0</v>
      </c>
      <c r="AH83" s="183">
        <f>($E$72-SUM($C$82:AG82))*$B$14</f>
        <v>0</v>
      </c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  <c r="BH83" s="17"/>
      <c r="BI83" s="17"/>
      <c r="BJ83" s="17"/>
      <c r="BK83" s="17"/>
      <c r="BL83" s="17"/>
      <c r="BM83" s="17"/>
      <c r="BN83" s="17"/>
      <c r="BO83" s="17"/>
      <c r="BP83" s="17"/>
      <c r="BQ83" s="17"/>
      <c r="BR83" s="17"/>
      <c r="BS83" s="17"/>
      <c r="BT83" s="17"/>
      <c r="BU83" s="17"/>
      <c r="BV83" s="17"/>
    </row>
    <row r="84" spans="1:74" ht="15" customHeight="1" x14ac:dyDescent="0.25">
      <c r="A84" s="184"/>
      <c r="B84" s="185"/>
      <c r="C84" s="186"/>
      <c r="D84" s="187"/>
      <c r="E84" s="194"/>
      <c r="F84" s="194"/>
      <c r="G84" s="172">
        <v>1</v>
      </c>
      <c r="H84" s="172">
        <f>G84+1</f>
        <v>2</v>
      </c>
      <c r="I84" s="172">
        <f t="shared" ref="I84:AH84" si="26">H84+1</f>
        <v>3</v>
      </c>
      <c r="J84" s="172">
        <f t="shared" si="26"/>
        <v>4</v>
      </c>
      <c r="K84" s="172">
        <f t="shared" si="26"/>
        <v>5</v>
      </c>
      <c r="L84" s="172">
        <f t="shared" si="26"/>
        <v>6</v>
      </c>
      <c r="M84" s="172">
        <f t="shared" si="26"/>
        <v>7</v>
      </c>
      <c r="N84" s="172">
        <f t="shared" si="26"/>
        <v>8</v>
      </c>
      <c r="O84" s="172">
        <f t="shared" si="26"/>
        <v>9</v>
      </c>
      <c r="P84" s="172">
        <f t="shared" si="26"/>
        <v>10</v>
      </c>
      <c r="Q84" s="172">
        <f t="shared" si="26"/>
        <v>11</v>
      </c>
      <c r="R84" s="172">
        <f t="shared" si="26"/>
        <v>12</v>
      </c>
      <c r="S84" s="172">
        <f t="shared" si="26"/>
        <v>13</v>
      </c>
      <c r="T84" s="172">
        <f t="shared" si="26"/>
        <v>14</v>
      </c>
      <c r="U84" s="172">
        <f t="shared" si="26"/>
        <v>15</v>
      </c>
      <c r="V84" s="172">
        <f t="shared" si="26"/>
        <v>16</v>
      </c>
      <c r="W84" s="172">
        <f t="shared" si="26"/>
        <v>17</v>
      </c>
      <c r="X84" s="172">
        <f t="shared" si="26"/>
        <v>18</v>
      </c>
      <c r="Y84" s="172">
        <f t="shared" si="26"/>
        <v>19</v>
      </c>
      <c r="Z84" s="172">
        <f t="shared" si="26"/>
        <v>20</v>
      </c>
      <c r="AA84" s="172">
        <f t="shared" si="26"/>
        <v>21</v>
      </c>
      <c r="AB84" s="173">
        <f t="shared" si="26"/>
        <v>22</v>
      </c>
      <c r="AC84" s="173">
        <f t="shared" si="26"/>
        <v>23</v>
      </c>
      <c r="AD84" s="173">
        <f t="shared" si="26"/>
        <v>24</v>
      </c>
      <c r="AE84" s="173">
        <f t="shared" si="26"/>
        <v>25</v>
      </c>
      <c r="AF84" s="173">
        <f t="shared" si="26"/>
        <v>26</v>
      </c>
      <c r="AG84" s="173">
        <f t="shared" si="26"/>
        <v>27</v>
      </c>
      <c r="AH84" s="173">
        <f t="shared" si="26"/>
        <v>28</v>
      </c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</row>
    <row r="85" spans="1:74" s="16" customFormat="1" x14ac:dyDescent="0.25">
      <c r="A85" s="184">
        <f>A82+1</f>
        <v>4</v>
      </c>
      <c r="B85" s="188" t="s">
        <v>49</v>
      </c>
      <c r="C85" s="189"/>
      <c r="D85" s="190"/>
      <c r="E85" s="190"/>
      <c r="F85" s="190"/>
      <c r="G85" s="177">
        <f>IF($B$13&gt;G84,0,IF($F$72-(SUM($C$85:F85)+1)&gt;0,IF($B$12&gt;0,$F$72/$B$12,0),0))</f>
        <v>0</v>
      </c>
      <c r="H85" s="177">
        <f>IF($B$13&gt;H84,0,IF($F$72-(SUM($C$85:G85)+1)&gt;0,IF($B$12&gt;0,$F$72/$B$12,0),0))</f>
        <v>0</v>
      </c>
      <c r="I85" s="177">
        <f>IF($B$13&gt;I84,0,IF($F$72-(SUM($C$85:H85)+1)&gt;0,IF($B$12&gt;0,$F$72/$B$12,0),0))</f>
        <v>273611.11111111112</v>
      </c>
      <c r="J85" s="177">
        <f>IF($B$13&gt;J84,0,IF($F$72-(SUM($C$85:I85)+1)&gt;0,IF($B$12&gt;0,$F$72/$B$12,0),0))</f>
        <v>273611.11111111112</v>
      </c>
      <c r="K85" s="177">
        <f>IF($B$13&gt;K84,0,IF($F$72-(SUM($C$85:J85)+1)&gt;0,IF($B$12&gt;0,$F$72/$B$12,0),0))</f>
        <v>273611.11111111112</v>
      </c>
      <c r="L85" s="177">
        <f>IF($B$13&gt;L84,0,IF($F$72-(SUM($C$85:K85)+1)&gt;0,IF($B$12&gt;0,$F$72/$B$12,0),0))</f>
        <v>273611.11111111112</v>
      </c>
      <c r="M85" s="177">
        <f>IF($B$13&gt;M84,0,IF($F$72-(SUM($C$85:L85)+1)&gt;0,IF($B$12&gt;0,$F$72/$B$12,0),0))</f>
        <v>273611.11111111112</v>
      </c>
      <c r="N85" s="177">
        <f>IF($B$13&gt;N84,0,IF($F$72-(SUM($C$85:M85)+1)&gt;0,IF($B$12&gt;0,$F$72/$B$12,0),0))</f>
        <v>0</v>
      </c>
      <c r="O85" s="177">
        <f>IF($B$13&gt;O84,0,IF($F$72-(SUM($C$85:N85)+1)&gt;0,IF($B$12&gt;0,$F$72/$B$12,0),0))</f>
        <v>0</v>
      </c>
      <c r="P85" s="177">
        <f>IF($B$13&gt;P84,0,IF($F$72-(SUM($C$85:O85)+1)&gt;0,IF($B$12&gt;0,$F$72/$B$12,0),0))</f>
        <v>0</v>
      </c>
      <c r="Q85" s="177">
        <f>IF($B$13&gt;Q84,0,IF($F$72-(SUM($C$85:P85)+1)&gt;0,IF($B$12&gt;0,$F$72/$B$12,0),0))</f>
        <v>0</v>
      </c>
      <c r="R85" s="177">
        <f>IF($B$13&gt;R84,0,IF($F$72-(SUM($C$85:Q85)+1)&gt;0,IF($B$12&gt;0,$F$72/$B$12,0),0))</f>
        <v>0</v>
      </c>
      <c r="S85" s="177">
        <f>IF($B$13&gt;S84,0,IF($F$72-(SUM($C$85:R85)+1)&gt;0,IF($B$12&gt;0,$F$72/$B$12,0),0))</f>
        <v>0</v>
      </c>
      <c r="T85" s="177">
        <f>IF($B$13&gt;T84,0,IF($F$72-(SUM($C$85:S85)+1)&gt;0,IF($B$12&gt;0,$F$72/$B$12,0),0))</f>
        <v>0</v>
      </c>
      <c r="U85" s="177">
        <f>IF($B$13&gt;U84,0,IF($F$72-(SUM($C$85:T85)+1)&gt;0,IF($B$12&gt;0,$F$72/$B$12,0),0))</f>
        <v>0</v>
      </c>
      <c r="V85" s="177">
        <f>IF($B$13&gt;V84,0,IF($F$72-(SUM($C$85:U85)+1)&gt;0,IF($B$12&gt;0,$F$72/$B$12,0),0))</f>
        <v>0</v>
      </c>
      <c r="W85" s="177">
        <f>IF($B$13&gt;W84,0,IF($F$72-(SUM($C$85:V85)+1)&gt;0,IF($B$12&gt;0,$F$72/$B$12,0),0))</f>
        <v>0</v>
      </c>
      <c r="X85" s="177">
        <f>IF($B$13&gt;X84,0,IF($F$72-(SUM($C$85:W85)+1)&gt;0,IF($B$12&gt;0,$F$72/$B$12,0),0))</f>
        <v>0</v>
      </c>
      <c r="Y85" s="177">
        <f>IF($B$13&gt;Y84,0,IF($F$72-(SUM($C$85:X85)+1)&gt;0,IF($B$12&gt;0,$F$72/$B$12,0),0))</f>
        <v>0</v>
      </c>
      <c r="Z85" s="177">
        <f>IF($B$13&gt;Z84,0,IF($F$72-(SUM($C$85:Y85)+1)&gt;0,IF($B$12&gt;0,$F$72/$B$12,0),0))</f>
        <v>0</v>
      </c>
      <c r="AA85" s="177">
        <f>IF($B$13&gt;AA84,0,IF($F$72-(SUM($C$85:Z85)+1)&gt;0,IF($B$12&gt;0,$F$72/$B$12,0),0))</f>
        <v>0</v>
      </c>
      <c r="AB85" s="178">
        <f>IF($B$13&gt;AB84,0,IF($F$72-(SUM($C$85:AA85)+1)&gt;0,IF($B$12&gt;0,$F$72/$B$12,0),0))</f>
        <v>0</v>
      </c>
      <c r="AC85" s="178">
        <f>IF($B$13&gt;AC84,0,IF($F$72-(SUM($C$85:AB85)+1)&gt;0,IF($B$12&gt;0,$F$72/$B$12,0),0))</f>
        <v>0</v>
      </c>
      <c r="AD85" s="178">
        <f>IF($B$13&gt;AD84,0,IF($F$72-(SUM($C$85:AC85)+1)&gt;0,IF($B$12&gt;0,$F$72/$B$12,0),0))</f>
        <v>0</v>
      </c>
      <c r="AE85" s="178">
        <f>IF($B$13&gt;AE84,0,IF($F$72-(SUM($C$85:AD85)+1)&gt;0,IF($B$12&gt;0,$F$72/$B$12,0),0))</f>
        <v>0</v>
      </c>
      <c r="AF85" s="178">
        <f>IF($B$13&gt;AF84,0,IF($F$72-(SUM($C$85:AE85)+1)&gt;0,IF($B$12&gt;0,$F$72/$B$12,0),0))</f>
        <v>0</v>
      </c>
      <c r="AG85" s="178">
        <f>IF($B$13&gt;AG84,0,IF($F$72-(SUM($C$85:AF85)+1)&gt;0,IF($B$12&gt;0,$F$72/$B$12,0),0))</f>
        <v>0</v>
      </c>
      <c r="AH85" s="178">
        <f>IF($B$13&gt;AH84,0,IF($F$72-(SUM($C$85:AG85)+1)&gt;0,IF($B$12&gt;0,$F$72/$B$12,0),0))</f>
        <v>0</v>
      </c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  <c r="BI85" s="17"/>
      <c r="BJ85" s="17"/>
      <c r="BK85" s="17"/>
      <c r="BL85" s="17"/>
      <c r="BM85" s="17"/>
      <c r="BN85" s="17"/>
      <c r="BO85" s="17"/>
      <c r="BP85" s="17"/>
      <c r="BQ85" s="17"/>
      <c r="BR85" s="17"/>
      <c r="BS85" s="17"/>
      <c r="BT85" s="17"/>
      <c r="BU85" s="17"/>
      <c r="BV85" s="17"/>
    </row>
    <row r="86" spans="1:74" s="16" customFormat="1" x14ac:dyDescent="0.25">
      <c r="A86" s="191"/>
      <c r="B86" s="180" t="s">
        <v>50</v>
      </c>
      <c r="C86" s="192"/>
      <c r="D86" s="193"/>
      <c r="E86" s="193"/>
      <c r="F86" s="193"/>
      <c r="G86" s="182">
        <f>($F$72-SUM($C$85:F85))*$B$14</f>
        <v>129965.27777777778</v>
      </c>
      <c r="H86" s="182">
        <f>($F$72-SUM($C$85:G85))*$B$14</f>
        <v>129965.27777777778</v>
      </c>
      <c r="I86" s="182">
        <f>($F$72-SUM($C$85:H85))*$B$14</f>
        <v>129965.27777777778</v>
      </c>
      <c r="J86" s="182">
        <f>($F$72-SUM($C$85:I85))*$B$14</f>
        <v>103972.22222222223</v>
      </c>
      <c r="K86" s="182">
        <f>($F$72-SUM($C$85:J85))*$B$14</f>
        <v>77979.166666666657</v>
      </c>
      <c r="L86" s="182">
        <f>($F$72-SUM($C$85:K85))*$B$14</f>
        <v>51986.111111111102</v>
      </c>
      <c r="M86" s="182">
        <f>($F$72-SUM($C$85:L85))*$B$14</f>
        <v>25993.055555555547</v>
      </c>
      <c r="N86" s="182">
        <f>($F$72-SUM($C$85:M85))*$B$14</f>
        <v>0</v>
      </c>
      <c r="O86" s="182">
        <f>($F$72-SUM($C$85:N85))*$B$14</f>
        <v>0</v>
      </c>
      <c r="P86" s="182">
        <f>($F$72-SUM($C$85:O85))*$B$14</f>
        <v>0</v>
      </c>
      <c r="Q86" s="182">
        <f>($F$72-SUM($C$85:P85))*$B$14</f>
        <v>0</v>
      </c>
      <c r="R86" s="182">
        <f>($F$72-SUM($C$85:Q85))*$B$14</f>
        <v>0</v>
      </c>
      <c r="S86" s="182">
        <f>($F$72-SUM($C$85:R85))*$B$14</f>
        <v>0</v>
      </c>
      <c r="T86" s="182">
        <f>($F$72-SUM($C$85:S85))*$B$14</f>
        <v>0</v>
      </c>
      <c r="U86" s="182">
        <f>($F$72-SUM($C$85:T85))*$B$14</f>
        <v>0</v>
      </c>
      <c r="V86" s="182">
        <f>($F$72-SUM($C$85:U85))*$B$14</f>
        <v>0</v>
      </c>
      <c r="W86" s="182">
        <f>($F$72-SUM($C$85:V85))*$B$14</f>
        <v>0</v>
      </c>
      <c r="X86" s="182">
        <f>($F$72-SUM($C$85:W85))*$B$14</f>
        <v>0</v>
      </c>
      <c r="Y86" s="182">
        <f>($F$72-SUM($C$85:X85))*$B$14</f>
        <v>0</v>
      </c>
      <c r="Z86" s="182">
        <f>($F$72-SUM($C$85:Y85))*$B$14</f>
        <v>0</v>
      </c>
      <c r="AA86" s="182">
        <f>($F$72-SUM($C$85:Z85))*$B$14</f>
        <v>0</v>
      </c>
      <c r="AB86" s="183">
        <f>($F$72-SUM($C$85:AA85))*$B$14</f>
        <v>0</v>
      </c>
      <c r="AC86" s="183">
        <f>($F$72-SUM($C$85:AB85))*$B$14</f>
        <v>0</v>
      </c>
      <c r="AD86" s="183">
        <f>($F$72-SUM($C$85:AC85))*$B$14</f>
        <v>0</v>
      </c>
      <c r="AE86" s="183">
        <f>($F$72-SUM($C$85:AD85))*$B$14</f>
        <v>0</v>
      </c>
      <c r="AF86" s="183">
        <f>($F$72-SUM($C$85:AE85))*$B$14</f>
        <v>0</v>
      </c>
      <c r="AG86" s="183">
        <f>($F$72-SUM($C$85:AF85))*$B$14</f>
        <v>0</v>
      </c>
      <c r="AH86" s="183">
        <f>($F$72-SUM($C$85:AG85))*$B$14</f>
        <v>0</v>
      </c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  <c r="BD86" s="17"/>
      <c r="BE86" s="17"/>
      <c r="BF86" s="17"/>
      <c r="BG86" s="17"/>
      <c r="BH86" s="17"/>
      <c r="BI86" s="17"/>
      <c r="BJ86" s="17"/>
      <c r="BK86" s="17"/>
      <c r="BL86" s="17"/>
      <c r="BM86" s="17"/>
      <c r="BN86" s="17"/>
      <c r="BO86" s="17"/>
      <c r="BP86" s="17"/>
      <c r="BQ86" s="17"/>
      <c r="BR86" s="17"/>
      <c r="BS86" s="17"/>
      <c r="BT86" s="17"/>
      <c r="BU86" s="17"/>
      <c r="BV86" s="17"/>
    </row>
    <row r="87" spans="1:74" ht="9" customHeight="1" x14ac:dyDescent="0.25">
      <c r="A87" s="184"/>
      <c r="B87" s="185"/>
      <c r="C87" s="186"/>
      <c r="D87" s="187"/>
      <c r="E87" s="194"/>
      <c r="F87" s="194"/>
      <c r="G87" s="194"/>
      <c r="H87" s="172">
        <v>1</v>
      </c>
      <c r="I87" s="172">
        <f>H87+1</f>
        <v>2</v>
      </c>
      <c r="J87" s="172">
        <f t="shared" ref="J87:AH87" si="27">I87+1</f>
        <v>3</v>
      </c>
      <c r="K87" s="172">
        <f t="shared" si="27"/>
        <v>4</v>
      </c>
      <c r="L87" s="172">
        <f t="shared" si="27"/>
        <v>5</v>
      </c>
      <c r="M87" s="172">
        <f t="shared" si="27"/>
        <v>6</v>
      </c>
      <c r="N87" s="172">
        <f t="shared" si="27"/>
        <v>7</v>
      </c>
      <c r="O87" s="172">
        <f t="shared" si="27"/>
        <v>8</v>
      </c>
      <c r="P87" s="172">
        <f t="shared" si="27"/>
        <v>9</v>
      </c>
      <c r="Q87" s="172">
        <f t="shared" si="27"/>
        <v>10</v>
      </c>
      <c r="R87" s="172">
        <f t="shared" si="27"/>
        <v>11</v>
      </c>
      <c r="S87" s="172">
        <f t="shared" si="27"/>
        <v>12</v>
      </c>
      <c r="T87" s="172">
        <f t="shared" si="27"/>
        <v>13</v>
      </c>
      <c r="U87" s="172">
        <f t="shared" si="27"/>
        <v>14</v>
      </c>
      <c r="V87" s="172">
        <f t="shared" si="27"/>
        <v>15</v>
      </c>
      <c r="W87" s="172">
        <f t="shared" si="27"/>
        <v>16</v>
      </c>
      <c r="X87" s="172">
        <f t="shared" si="27"/>
        <v>17</v>
      </c>
      <c r="Y87" s="172">
        <f t="shared" si="27"/>
        <v>18</v>
      </c>
      <c r="Z87" s="172">
        <f t="shared" si="27"/>
        <v>19</v>
      </c>
      <c r="AA87" s="172">
        <f t="shared" si="27"/>
        <v>20</v>
      </c>
      <c r="AB87" s="173">
        <f t="shared" si="27"/>
        <v>21</v>
      </c>
      <c r="AC87" s="173">
        <f t="shared" si="27"/>
        <v>22</v>
      </c>
      <c r="AD87" s="173">
        <f t="shared" si="27"/>
        <v>23</v>
      </c>
      <c r="AE87" s="173">
        <f t="shared" si="27"/>
        <v>24</v>
      </c>
      <c r="AF87" s="173">
        <f t="shared" si="27"/>
        <v>25</v>
      </c>
      <c r="AG87" s="173">
        <f t="shared" si="27"/>
        <v>26</v>
      </c>
      <c r="AH87" s="173">
        <f t="shared" si="27"/>
        <v>27</v>
      </c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</row>
    <row r="88" spans="1:74" s="16" customFormat="1" x14ac:dyDescent="0.25">
      <c r="A88" s="184">
        <f>A85+1</f>
        <v>5</v>
      </c>
      <c r="B88" s="188" t="s">
        <v>49</v>
      </c>
      <c r="C88" s="189"/>
      <c r="D88" s="190"/>
      <c r="E88" s="190"/>
      <c r="F88" s="190"/>
      <c r="G88" s="190"/>
      <c r="H88" s="177">
        <f>IF($B$13&gt;H87,0,IF($G$72-(SUM($C$88:G88)+1)&gt;0,IF($B$12&gt;0,$G$72/$B$12,0),0))</f>
        <v>0</v>
      </c>
      <c r="I88" s="177">
        <f>IF($B$13&gt;I87,0,IF($G$72-(SUM($C$88:H88)+1)&gt;0,IF($B$12&gt;0,$G$72/$B$12,0),0))</f>
        <v>0</v>
      </c>
      <c r="J88" s="177">
        <f>IF($B$13&gt;J87,0,IF($G$72-(SUM($C$88:I88)+1)&gt;0,IF($B$12&gt;0,$G$72/$B$12,0),0))</f>
        <v>273611.11111111112</v>
      </c>
      <c r="K88" s="177">
        <f>IF($B$13&gt;K87,0,IF($G$72-(SUM($C$88:J88)+1)&gt;0,IF($B$12&gt;0,$G$72/$B$12,0),0))</f>
        <v>273611.11111111112</v>
      </c>
      <c r="L88" s="177">
        <f>IF($B$13&gt;L87,0,IF($G$72-(SUM($C$88:K88)+1)&gt;0,IF($B$12&gt;0,$G$72/$B$12,0),0))</f>
        <v>273611.11111111112</v>
      </c>
      <c r="M88" s="177">
        <f>IF($B$13&gt;M87,0,IF($G$72-(SUM($C$88:L88)+1)&gt;0,IF($B$12&gt;0,$G$72/$B$12,0),0))</f>
        <v>273611.11111111112</v>
      </c>
      <c r="N88" s="177">
        <f>IF($B$13&gt;N87,0,IF($G$72-(SUM($C$88:M88)+1)&gt;0,IF($B$12&gt;0,$G$72/$B$12,0),0))</f>
        <v>273611.11111111112</v>
      </c>
      <c r="O88" s="177">
        <f>IF($B$13&gt;O87,0,IF($G$72-(SUM($C$88:N88)+1)&gt;0,IF($B$12&gt;0,$G$72/$B$12,0),0))</f>
        <v>0</v>
      </c>
      <c r="P88" s="177">
        <f>IF($B$13&gt;P87,0,IF($G$72-(SUM($C$88:O88)+1)&gt;0,IF($B$12&gt;0,$G$72/$B$12,0),0))</f>
        <v>0</v>
      </c>
      <c r="Q88" s="177">
        <f>IF($B$13&gt;Q87,0,IF($G$72-(SUM($C$88:P88)+1)&gt;0,IF($B$12&gt;0,$G$72/$B$12,0),0))</f>
        <v>0</v>
      </c>
      <c r="R88" s="177">
        <f>IF($B$13&gt;R87,0,IF($G$72-(SUM($C$88:Q88)+1)&gt;0,IF($B$12&gt;0,$G$72/$B$12,0),0))</f>
        <v>0</v>
      </c>
      <c r="S88" s="177">
        <f>IF($B$13&gt;S87,0,IF($G$72-(SUM($C$88:R88)+1)&gt;0,IF($B$12&gt;0,$G$72/$B$12,0),0))</f>
        <v>0</v>
      </c>
      <c r="T88" s="177">
        <f>IF($B$13&gt;T87,0,IF($G$72-(SUM($C$88:S88)+1)&gt;0,IF($B$12&gt;0,$G$72/$B$12,0),0))</f>
        <v>0</v>
      </c>
      <c r="U88" s="177">
        <f>IF($B$13&gt;U87,0,IF($G$72-(SUM($C$88:T88)+1)&gt;0,IF($B$12&gt;0,$G$72/$B$12,0),0))</f>
        <v>0</v>
      </c>
      <c r="V88" s="177">
        <f>IF($B$13&gt;V87,0,IF($G$72-(SUM($C$88:U88)+1)&gt;0,IF($B$12&gt;0,$G$72/$B$12,0),0))</f>
        <v>0</v>
      </c>
      <c r="W88" s="177">
        <f>IF($B$13&gt;W87,0,IF($G$72-(SUM($C$88:V88)+1)&gt;0,IF($B$12&gt;0,$G$72/$B$12,0),0))</f>
        <v>0</v>
      </c>
      <c r="X88" s="177">
        <f>IF($B$13&gt;X87,0,IF($G$72-(SUM($C$88:W88)+1)&gt;0,IF($B$12&gt;0,$G$72/$B$12,0),0))</f>
        <v>0</v>
      </c>
      <c r="Y88" s="177">
        <f>IF($B$13&gt;Y87,0,IF($G$72-(SUM($C$88:X88)+1)&gt;0,IF($B$12&gt;0,$G$72/$B$12,0),0))</f>
        <v>0</v>
      </c>
      <c r="Z88" s="177">
        <f>IF($B$13&gt;Z87,0,IF($G$72-(SUM($C$88:Y88)+1)&gt;0,IF($B$12&gt;0,$G$72/$B$12,0),0))</f>
        <v>0</v>
      </c>
      <c r="AA88" s="177">
        <f>IF($B$13&gt;AA87,0,IF($G$72-(SUM($C$88:Z88)+1)&gt;0,IF($B$12&gt;0,$G$72/$B$12,0),0))</f>
        <v>0</v>
      </c>
      <c r="AB88" s="178">
        <f>IF($B$13&gt;AB87,0,IF($G$72-(SUM($C$88:AA88)+1)&gt;0,IF($B$12&gt;0,$G$72/$B$12,0),0))</f>
        <v>0</v>
      </c>
      <c r="AC88" s="178">
        <f>IF($B$13&gt;AC87,0,IF($G$72-(SUM($C$88:AB88)+1)&gt;0,IF($B$12&gt;0,$G$72/$B$12,0),0))</f>
        <v>0</v>
      </c>
      <c r="AD88" s="178">
        <f>IF($B$13&gt;AD87,0,IF($G$72-(SUM($C$88:AC88)+1)&gt;0,IF($B$12&gt;0,$G$72/$B$12,0),0))</f>
        <v>0</v>
      </c>
      <c r="AE88" s="178">
        <f>IF($B$13&gt;AE87,0,IF($G$72-(SUM($C$88:AD88)+1)&gt;0,IF($B$12&gt;0,$G$72/$B$12,0),0))</f>
        <v>0</v>
      </c>
      <c r="AF88" s="178">
        <f>IF($B$13&gt;AF87,0,IF($G$72-(SUM($C$88:AE88)+1)&gt;0,IF($B$12&gt;0,$G$72/$B$12,0),0))</f>
        <v>0</v>
      </c>
      <c r="AG88" s="178">
        <f>IF($B$13&gt;AG87,0,IF($G$72-(SUM($C$88:AF88)+1)&gt;0,IF($B$12&gt;0,$G$72/$B$12,0),0))</f>
        <v>0</v>
      </c>
      <c r="AH88" s="178">
        <f>IF($B$13&gt;AH87,0,IF($G$72-(SUM($C$88:AG88)+1)&gt;0,IF($B$12&gt;0,$G$72/$B$12,0),0))</f>
        <v>0</v>
      </c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  <c r="BC88" s="17"/>
      <c r="BD88" s="17"/>
      <c r="BE88" s="17"/>
      <c r="BF88" s="17"/>
      <c r="BG88" s="17"/>
      <c r="BH88" s="17"/>
      <c r="BI88" s="17"/>
      <c r="BJ88" s="17"/>
      <c r="BK88" s="17"/>
      <c r="BL88" s="17"/>
      <c r="BM88" s="17"/>
      <c r="BN88" s="17"/>
      <c r="BO88" s="17"/>
      <c r="BP88" s="17"/>
      <c r="BQ88" s="17"/>
      <c r="BR88" s="17"/>
      <c r="BS88" s="17"/>
      <c r="BT88" s="17"/>
      <c r="BU88" s="17"/>
      <c r="BV88" s="17"/>
    </row>
    <row r="89" spans="1:74" s="16" customFormat="1" x14ac:dyDescent="0.25">
      <c r="A89" s="195"/>
      <c r="B89" s="180" t="s">
        <v>50</v>
      </c>
      <c r="C89" s="192"/>
      <c r="D89" s="193"/>
      <c r="E89" s="193"/>
      <c r="F89" s="193"/>
      <c r="G89" s="193"/>
      <c r="H89" s="182">
        <f>($G$72-SUM($C$88:G88))*$B$14</f>
        <v>129965.27777777778</v>
      </c>
      <c r="I89" s="182">
        <f>($G$72-SUM($C$88:H88))*$B$14</f>
        <v>129965.27777777778</v>
      </c>
      <c r="J89" s="182">
        <f>($G$72-SUM($C$88:I88))*$B$14</f>
        <v>129965.27777777778</v>
      </c>
      <c r="K89" s="182">
        <f>($G$72-SUM($C$88:J88))*$B$14</f>
        <v>103972.22222222223</v>
      </c>
      <c r="L89" s="182">
        <f>($G$72-SUM($C$88:K88))*$B$14</f>
        <v>77979.166666666657</v>
      </c>
      <c r="M89" s="182">
        <f>($G$72-SUM($C$88:L88))*$B$14</f>
        <v>51986.111111111102</v>
      </c>
      <c r="N89" s="182">
        <f>($G$72-SUM($C$88:M88))*$B$14</f>
        <v>25993.055555555547</v>
      </c>
      <c r="O89" s="182">
        <f>($G$72-SUM($C$88:N88))*$B$14</f>
        <v>0</v>
      </c>
      <c r="P89" s="182">
        <f>($G$72-SUM($C$88:O88))*$B$14</f>
        <v>0</v>
      </c>
      <c r="Q89" s="182">
        <f>($G$72-SUM($C$88:P88))*$B$14</f>
        <v>0</v>
      </c>
      <c r="R89" s="182">
        <f>($G$72-SUM($C$88:Q88))*$B$14</f>
        <v>0</v>
      </c>
      <c r="S89" s="182">
        <f>($G$72-SUM($C$88:R88))*$B$14</f>
        <v>0</v>
      </c>
      <c r="T89" s="182">
        <f>($G$72-SUM($C$88:S88))*$B$14</f>
        <v>0</v>
      </c>
      <c r="U89" s="182">
        <f>($G$72-SUM($C$88:T88))*$B$14</f>
        <v>0</v>
      </c>
      <c r="V89" s="182">
        <f>($G$72-SUM($C$88:U88))*$B$14</f>
        <v>0</v>
      </c>
      <c r="W89" s="182">
        <f>($G$72-SUM($C$88:V88))*$B$14</f>
        <v>0</v>
      </c>
      <c r="X89" s="182">
        <f>($G$72-SUM($C$88:W88))*$B$14</f>
        <v>0</v>
      </c>
      <c r="Y89" s="182">
        <f>($G$72-SUM($C$88:X88))*$B$14</f>
        <v>0</v>
      </c>
      <c r="Z89" s="182">
        <f>($G$72-SUM($C$88:Y88))*$B$14</f>
        <v>0</v>
      </c>
      <c r="AA89" s="182">
        <f>($G$72-SUM($C$88:Z88))*$B$14</f>
        <v>0</v>
      </c>
      <c r="AB89" s="183">
        <f>($G$72-SUM($C$88:AA88))*$B$14</f>
        <v>0</v>
      </c>
      <c r="AC89" s="183">
        <f>($G$72-SUM($C$88:AB88))*$B$14</f>
        <v>0</v>
      </c>
      <c r="AD89" s="183">
        <f>($G$72-SUM($C$88:AC88))*$B$14</f>
        <v>0</v>
      </c>
      <c r="AE89" s="183">
        <f>($G$72-SUM($C$88:AD88))*$B$14</f>
        <v>0</v>
      </c>
      <c r="AF89" s="183">
        <f>($G$72-SUM($C$88:AE88))*$B$14</f>
        <v>0</v>
      </c>
      <c r="AG89" s="183">
        <f>($G$72-SUM($C$88:AF88))*$B$14</f>
        <v>0</v>
      </c>
      <c r="AH89" s="183">
        <f>($G$72-SUM($C$88:AG88))*$B$14</f>
        <v>0</v>
      </c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  <c r="BA89" s="17"/>
      <c r="BB89" s="17"/>
      <c r="BC89" s="17"/>
      <c r="BD89" s="17"/>
      <c r="BE89" s="17"/>
      <c r="BF89" s="17"/>
      <c r="BG89" s="17"/>
      <c r="BH89" s="17"/>
      <c r="BI89" s="17"/>
      <c r="BJ89" s="17"/>
      <c r="BK89" s="17"/>
      <c r="BL89" s="17"/>
      <c r="BM89" s="17"/>
      <c r="BN89" s="17"/>
      <c r="BO89" s="17"/>
      <c r="BP89" s="17"/>
      <c r="BQ89" s="17"/>
      <c r="BR89" s="17"/>
      <c r="BS89" s="17"/>
      <c r="BT89" s="17"/>
      <c r="BU89" s="17"/>
      <c r="BV89" s="17"/>
    </row>
    <row r="90" spans="1:74" ht="9" customHeight="1" x14ac:dyDescent="0.25">
      <c r="A90" s="184"/>
      <c r="B90" s="185"/>
      <c r="C90" s="186"/>
      <c r="D90" s="187"/>
      <c r="E90" s="194"/>
      <c r="F90" s="194"/>
      <c r="G90" s="194"/>
      <c r="H90" s="194"/>
      <c r="I90" s="172">
        <v>1</v>
      </c>
      <c r="J90" s="172">
        <f>I90+1</f>
        <v>2</v>
      </c>
      <c r="K90" s="172">
        <f t="shared" ref="K90:AH90" si="28">J90+1</f>
        <v>3</v>
      </c>
      <c r="L90" s="172">
        <f t="shared" si="28"/>
        <v>4</v>
      </c>
      <c r="M90" s="172">
        <f t="shared" si="28"/>
        <v>5</v>
      </c>
      <c r="N90" s="172">
        <f t="shared" si="28"/>
        <v>6</v>
      </c>
      <c r="O90" s="172">
        <f t="shared" si="28"/>
        <v>7</v>
      </c>
      <c r="P90" s="172">
        <f t="shared" si="28"/>
        <v>8</v>
      </c>
      <c r="Q90" s="172">
        <f t="shared" si="28"/>
        <v>9</v>
      </c>
      <c r="R90" s="172">
        <f t="shared" si="28"/>
        <v>10</v>
      </c>
      <c r="S90" s="172">
        <f t="shared" si="28"/>
        <v>11</v>
      </c>
      <c r="T90" s="172">
        <f t="shared" si="28"/>
        <v>12</v>
      </c>
      <c r="U90" s="172">
        <f t="shared" si="28"/>
        <v>13</v>
      </c>
      <c r="V90" s="172">
        <f t="shared" si="28"/>
        <v>14</v>
      </c>
      <c r="W90" s="172">
        <f t="shared" si="28"/>
        <v>15</v>
      </c>
      <c r="X90" s="172">
        <f t="shared" si="28"/>
        <v>16</v>
      </c>
      <c r="Y90" s="172">
        <f t="shared" si="28"/>
        <v>17</v>
      </c>
      <c r="Z90" s="172">
        <f t="shared" si="28"/>
        <v>18</v>
      </c>
      <c r="AA90" s="172">
        <f t="shared" si="28"/>
        <v>19</v>
      </c>
      <c r="AB90" s="173">
        <f t="shared" si="28"/>
        <v>20</v>
      </c>
      <c r="AC90" s="173">
        <f t="shared" si="28"/>
        <v>21</v>
      </c>
      <c r="AD90" s="173">
        <f t="shared" si="28"/>
        <v>22</v>
      </c>
      <c r="AE90" s="173">
        <f t="shared" si="28"/>
        <v>23</v>
      </c>
      <c r="AF90" s="173">
        <f t="shared" si="28"/>
        <v>24</v>
      </c>
      <c r="AG90" s="173">
        <f t="shared" si="28"/>
        <v>25</v>
      </c>
      <c r="AH90" s="173">
        <f t="shared" si="28"/>
        <v>26</v>
      </c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19"/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</row>
    <row r="91" spans="1:74" s="16" customFormat="1" x14ac:dyDescent="0.25">
      <c r="A91" s="184">
        <f>A88+1</f>
        <v>6</v>
      </c>
      <c r="B91" s="188" t="s">
        <v>49</v>
      </c>
      <c r="C91" s="189"/>
      <c r="D91" s="190"/>
      <c r="E91" s="190"/>
      <c r="F91" s="190"/>
      <c r="G91" s="190"/>
      <c r="H91" s="190"/>
      <c r="I91" s="177">
        <f>IF($B$13&gt;I90,0,IF($H$72-(SUM($C$91:H91)+1)&gt;0,IF($B$12&gt;0,$H$72/$B$12,0),0))</f>
        <v>0</v>
      </c>
      <c r="J91" s="177">
        <f>IF($B$13&gt;J90,0,IF($H$72-(SUM($C$91:I91)+1)&gt;0,IF($B$12&gt;0,$H$72/$B$12,0),0))</f>
        <v>0</v>
      </c>
      <c r="K91" s="177">
        <f>IF($B$13&gt;K90,0,IF($H$72-(SUM($C$91:J91)+1)&gt;0,IF($B$12&gt;0,$H$72/$B$12,0),0))</f>
        <v>273611.11111111112</v>
      </c>
      <c r="L91" s="177">
        <f>IF($B$13&gt;L90,0,IF($H$72-(SUM($C$91:K91)+1)&gt;0,IF($B$12&gt;0,$H$72/$B$12,0),0))</f>
        <v>273611.11111111112</v>
      </c>
      <c r="M91" s="177">
        <f>IF($B$13&gt;M90,0,IF($H$72-(SUM($C$91:L91)+1)&gt;0,IF($B$12&gt;0,$H$72/$B$12,0),0))</f>
        <v>273611.11111111112</v>
      </c>
      <c r="N91" s="177">
        <f>IF($B$13&gt;N90,0,IF($H$72-(SUM($C$91:M91)+1)&gt;0,IF($B$12&gt;0,$H$72/$B$12,0),0))</f>
        <v>273611.11111111112</v>
      </c>
      <c r="O91" s="177">
        <f>IF($B$13&gt;O90,0,IF($H$72-(SUM($C$91:N91)+1)&gt;0,IF($B$12&gt;0,$H$72/$B$12,0),0))</f>
        <v>273611.11111111112</v>
      </c>
      <c r="P91" s="177">
        <f>IF($B$13&gt;P90,0,IF($H$72-(SUM($C$91:O91)+1)&gt;0,IF($B$12&gt;0,$H$72/$B$12,0),0))</f>
        <v>0</v>
      </c>
      <c r="Q91" s="177">
        <f>IF($B$13&gt;Q90,0,IF($H$72-(SUM($C$91:P91)+1)&gt;0,IF($B$12&gt;0,$H$72/$B$12,0),0))</f>
        <v>0</v>
      </c>
      <c r="R91" s="177">
        <f>IF($B$13&gt;R90,0,IF($H$72-(SUM($C$91:Q91)+1)&gt;0,IF($B$12&gt;0,$H$72/$B$12,0),0))</f>
        <v>0</v>
      </c>
      <c r="S91" s="177">
        <f>IF($B$13&gt;S90,0,IF($H$72-(SUM($C$91:R91)+1)&gt;0,IF($B$12&gt;0,$H$72/$B$12,0),0))</f>
        <v>0</v>
      </c>
      <c r="T91" s="177">
        <f>IF($B$13&gt;T90,0,IF($H$72-(SUM($C$91:S91)+1)&gt;0,IF($B$12&gt;0,$H$72/$B$12,0),0))</f>
        <v>0</v>
      </c>
      <c r="U91" s="177">
        <f>IF($B$13&gt;U90,0,IF($H$72-(SUM($C$91:T91)+1)&gt;0,IF($B$12&gt;0,$H$72/$B$12,0),0))</f>
        <v>0</v>
      </c>
      <c r="V91" s="177">
        <f>IF($B$13&gt;V90,0,IF($H$72-(SUM($C$91:U91)+1)&gt;0,IF($B$12&gt;0,$H$72/$B$12,0),0))</f>
        <v>0</v>
      </c>
      <c r="W91" s="177">
        <f>IF($B$13&gt;W90,0,IF($H$72-(SUM($C$91:V91)+1)&gt;0,IF($B$12&gt;0,$H$72/$B$12,0),0))</f>
        <v>0</v>
      </c>
      <c r="X91" s="177">
        <f>IF($B$13&gt;X90,0,IF($H$72-(SUM($C$91:W91)+1)&gt;0,IF($B$12&gt;0,$H$72/$B$12,0),0))</f>
        <v>0</v>
      </c>
      <c r="Y91" s="177">
        <f>IF($B$13&gt;Y90,0,IF($H$72-(SUM($C$91:X91)+1)&gt;0,IF($B$12&gt;0,$H$72/$B$12,0),0))</f>
        <v>0</v>
      </c>
      <c r="Z91" s="177">
        <f>IF($B$13&gt;Z90,0,IF($H$72-(SUM($C$91:Y91)+1)&gt;0,IF($B$12&gt;0,$H$72/$B$12,0),0))</f>
        <v>0</v>
      </c>
      <c r="AA91" s="177">
        <f>IF($B$13&gt;AA90,0,IF($H$72-(SUM($C$91:Z91)+1)&gt;0,IF($B$12&gt;0,$H$72/$B$12,0),0))</f>
        <v>0</v>
      </c>
      <c r="AB91" s="178">
        <f>IF($B$13&gt;AB90,0,IF($H$72-(SUM($C$91:AA91)+1)&gt;0,IF($B$12&gt;0,$H$72/$B$12,0),0))</f>
        <v>0</v>
      </c>
      <c r="AC91" s="178">
        <f>IF($B$13&gt;AC90,0,IF($H$72-(SUM($C$91:AB91)+1)&gt;0,IF($B$12&gt;0,$H$72/$B$12,0),0))</f>
        <v>0</v>
      </c>
      <c r="AD91" s="178">
        <f>IF($B$13&gt;AD90,0,IF($H$72-(SUM($C$91:AC91)+1)&gt;0,IF($B$12&gt;0,$H$72/$B$12,0),0))</f>
        <v>0</v>
      </c>
      <c r="AE91" s="178">
        <f>IF($B$13&gt;AE90,0,IF($H$72-(SUM($C$91:AD91)+1)&gt;0,IF($B$12&gt;0,$H$72/$B$12,0),0))</f>
        <v>0</v>
      </c>
      <c r="AF91" s="178">
        <f>IF($B$13&gt;AF90,0,IF($H$72-(SUM($C$91:AE91)+1)&gt;0,IF($B$12&gt;0,$H$72/$B$12,0),0))</f>
        <v>0</v>
      </c>
      <c r="AG91" s="178">
        <f>IF($B$13&gt;AG90,0,IF($H$72-(SUM($C$91:AF91)+1)&gt;0,IF($B$12&gt;0,$H$72/$B$12,0),0))</f>
        <v>0</v>
      </c>
      <c r="AH91" s="178">
        <f>IF($B$13&gt;AH90,0,IF($H$72-(SUM($C$91:AG91)+1)&gt;0,IF($B$12&gt;0,$H$72/$B$12,0),0))</f>
        <v>0</v>
      </c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  <c r="BC91" s="17"/>
      <c r="BD91" s="17"/>
      <c r="BE91" s="17"/>
      <c r="BF91" s="17"/>
      <c r="BG91" s="17"/>
      <c r="BH91" s="17"/>
      <c r="BI91" s="17"/>
      <c r="BJ91" s="17"/>
      <c r="BK91" s="17"/>
      <c r="BL91" s="17"/>
      <c r="BM91" s="17"/>
      <c r="BN91" s="17"/>
      <c r="BO91" s="17"/>
      <c r="BP91" s="17"/>
      <c r="BQ91" s="17"/>
      <c r="BR91" s="17"/>
      <c r="BS91" s="17"/>
      <c r="BT91" s="17"/>
      <c r="BU91" s="17"/>
      <c r="BV91" s="17"/>
    </row>
    <row r="92" spans="1:74" s="16" customFormat="1" x14ac:dyDescent="0.25">
      <c r="A92" s="196"/>
      <c r="B92" s="180" t="s">
        <v>50</v>
      </c>
      <c r="C92" s="192"/>
      <c r="D92" s="193"/>
      <c r="E92" s="193"/>
      <c r="F92" s="193"/>
      <c r="G92" s="193"/>
      <c r="H92" s="193"/>
      <c r="I92" s="182">
        <f>($H$72-SUM($C$91:H91))*$B$14</f>
        <v>129965.27777777778</v>
      </c>
      <c r="J92" s="182">
        <f>($H$72-SUM($C$91:I91))*$B$14</f>
        <v>129965.27777777778</v>
      </c>
      <c r="K92" s="182">
        <f>($H$72-SUM($C$91:J91))*$B$14</f>
        <v>129965.27777777778</v>
      </c>
      <c r="L92" s="182">
        <f>($H$72-SUM($C$91:K91))*$B$14</f>
        <v>103972.22222222223</v>
      </c>
      <c r="M92" s="182">
        <f>($H$72-SUM($C$91:L91))*$B$14</f>
        <v>77979.166666666657</v>
      </c>
      <c r="N92" s="182">
        <f>($H$72-SUM($C$91:M91))*$B$14</f>
        <v>51986.111111111102</v>
      </c>
      <c r="O92" s="182">
        <f>($H$72-SUM($C$91:N91))*$B$14</f>
        <v>25993.055555555547</v>
      </c>
      <c r="P92" s="182">
        <f>($H$72-SUM($C$91:O91))*$B$14</f>
        <v>0</v>
      </c>
      <c r="Q92" s="182">
        <f>($H$72-SUM($C$91:P91))*$B$14</f>
        <v>0</v>
      </c>
      <c r="R92" s="182">
        <f>($H$72-SUM($C$91:Q91))*$B$14</f>
        <v>0</v>
      </c>
      <c r="S92" s="182">
        <f>($H$72-SUM($C$91:R91))*$B$14</f>
        <v>0</v>
      </c>
      <c r="T92" s="182">
        <f>($H$72-SUM($C$91:S91))*$B$14</f>
        <v>0</v>
      </c>
      <c r="U92" s="182">
        <f>($H$72-SUM($C$91:T91))*$B$14</f>
        <v>0</v>
      </c>
      <c r="V92" s="182">
        <f>($H$72-SUM($C$91:U91))*$B$14</f>
        <v>0</v>
      </c>
      <c r="W92" s="182">
        <f>($H$72-SUM($C$91:V91))*$B$14</f>
        <v>0</v>
      </c>
      <c r="X92" s="182">
        <f>($H$72-SUM($C$91:W91))*$B$14</f>
        <v>0</v>
      </c>
      <c r="Y92" s="182">
        <f>($H$72-SUM($C$91:X91))*$B$14</f>
        <v>0</v>
      </c>
      <c r="Z92" s="182">
        <f>($H$72-SUM($C$91:Y91))*$B$14</f>
        <v>0</v>
      </c>
      <c r="AA92" s="182">
        <f>($H$72-SUM($C$91:Z91))*$B$14</f>
        <v>0</v>
      </c>
      <c r="AB92" s="183">
        <f>($H$72-SUM($C$91:AA91))*$B$14</f>
        <v>0</v>
      </c>
      <c r="AC92" s="183">
        <f>($H$72-SUM($C$91:AB91))*$B$14</f>
        <v>0</v>
      </c>
      <c r="AD92" s="183">
        <f>($H$72-SUM($C$91:AC91))*$B$14</f>
        <v>0</v>
      </c>
      <c r="AE92" s="183">
        <f>($H$72-SUM($C$91:AD91))*$B$14</f>
        <v>0</v>
      </c>
      <c r="AF92" s="183">
        <f>($H$72-SUM($C$91:AE91))*$B$14</f>
        <v>0</v>
      </c>
      <c r="AG92" s="183">
        <f>($H$72-SUM($C$91:AF91))*$B$14</f>
        <v>0</v>
      </c>
      <c r="AH92" s="183">
        <f>($H$72-SUM($C$91:AG91))*$B$14</f>
        <v>0</v>
      </c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  <c r="BD92" s="17"/>
      <c r="BE92" s="17"/>
      <c r="BF92" s="17"/>
      <c r="BG92" s="17"/>
      <c r="BH92" s="17"/>
      <c r="BI92" s="17"/>
      <c r="BJ92" s="17"/>
      <c r="BK92" s="17"/>
      <c r="BL92" s="17"/>
      <c r="BM92" s="17"/>
      <c r="BN92" s="17"/>
      <c r="BO92" s="17"/>
      <c r="BP92" s="17"/>
      <c r="BQ92" s="17"/>
      <c r="BR92" s="17"/>
      <c r="BS92" s="17"/>
      <c r="BT92" s="17"/>
      <c r="BU92" s="17"/>
      <c r="BV92" s="17"/>
    </row>
    <row r="93" spans="1:74" x14ac:dyDescent="0.25">
      <c r="A93" s="40"/>
      <c r="B93" s="20"/>
      <c r="C93" s="34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29"/>
      <c r="AC93" s="29"/>
      <c r="AD93" s="29"/>
      <c r="AE93" s="29"/>
      <c r="AF93" s="29"/>
      <c r="AG93" s="29"/>
      <c r="AH93" s="29"/>
    </row>
    <row r="94" spans="1:74" s="21" customFormat="1" x14ac:dyDescent="0.25">
      <c r="A94" s="203" t="s">
        <v>60</v>
      </c>
      <c r="B94" s="199" t="s">
        <v>37</v>
      </c>
      <c r="C94" s="204">
        <f t="shared" ref="C94:AH94" si="29">C34</f>
        <v>0</v>
      </c>
      <c r="D94" s="204">
        <f t="shared" si="29"/>
        <v>147434.05326242212</v>
      </c>
      <c r="E94" s="204">
        <f t="shared" si="29"/>
        <v>281465.01077371492</v>
      </c>
      <c r="F94" s="204">
        <f t="shared" si="29"/>
        <v>403311.33578398114</v>
      </c>
      <c r="G94" s="204">
        <f t="shared" si="29"/>
        <v>514080.72215695045</v>
      </c>
      <c r="H94" s="204">
        <f t="shared" si="29"/>
        <v>614780.16431419528</v>
      </c>
      <c r="I94" s="204">
        <f t="shared" si="29"/>
        <v>706325.1117298723</v>
      </c>
      <c r="J94" s="204">
        <f t="shared" si="29"/>
        <v>706325.1117298723</v>
      </c>
      <c r="K94" s="204">
        <f t="shared" si="29"/>
        <v>706325.1117298723</v>
      </c>
      <c r="L94" s="204">
        <f t="shared" si="29"/>
        <v>706325.1117298723</v>
      </c>
      <c r="M94" s="204">
        <f t="shared" si="29"/>
        <v>706325.1117298723</v>
      </c>
      <c r="N94" s="204">
        <f t="shared" si="29"/>
        <v>706325.1117298723</v>
      </c>
      <c r="O94" s="204">
        <f t="shared" si="29"/>
        <v>706325.1117298723</v>
      </c>
      <c r="P94" s="204">
        <f t="shared" si="29"/>
        <v>706325.1117298723</v>
      </c>
      <c r="Q94" s="204">
        <f t="shared" si="29"/>
        <v>706325.1117298723</v>
      </c>
      <c r="R94" s="204">
        <f t="shared" si="29"/>
        <v>706325.1117298723</v>
      </c>
      <c r="S94" s="204">
        <f t="shared" si="29"/>
        <v>706325.1117298723</v>
      </c>
      <c r="T94" s="204">
        <f t="shared" si="29"/>
        <v>706325.1117298723</v>
      </c>
      <c r="U94" s="204">
        <f t="shared" si="29"/>
        <v>706325.1117298723</v>
      </c>
      <c r="V94" s="204">
        <f t="shared" si="29"/>
        <v>706325.1117298723</v>
      </c>
      <c r="W94" s="204">
        <f t="shared" si="29"/>
        <v>706325.1117298723</v>
      </c>
      <c r="X94" s="204">
        <f t="shared" si="29"/>
        <v>706325.1117298723</v>
      </c>
      <c r="Y94" s="204">
        <f t="shared" si="29"/>
        <v>706325.1117298723</v>
      </c>
      <c r="Z94" s="204">
        <f t="shared" si="29"/>
        <v>706325.1117298723</v>
      </c>
      <c r="AA94" s="204">
        <f t="shared" si="29"/>
        <v>706325.1117298723</v>
      </c>
      <c r="AB94" s="204">
        <f t="shared" si="29"/>
        <v>706325.1117298723</v>
      </c>
      <c r="AC94" s="204">
        <f t="shared" si="29"/>
        <v>706325.1117298723</v>
      </c>
      <c r="AD94" s="204">
        <f t="shared" si="29"/>
        <v>558891.05846745032</v>
      </c>
      <c r="AE94" s="204">
        <f t="shared" si="29"/>
        <v>424860.10095615743</v>
      </c>
      <c r="AF94" s="204">
        <f t="shared" si="29"/>
        <v>303013.77594589122</v>
      </c>
      <c r="AG94" s="204">
        <f t="shared" si="29"/>
        <v>192244.38957292194</v>
      </c>
      <c r="AH94" s="204">
        <f t="shared" si="29"/>
        <v>91544.947415677147</v>
      </c>
    </row>
    <row r="95" spans="1:74" s="21" customFormat="1" x14ac:dyDescent="0.25">
      <c r="A95" s="203" t="s">
        <v>55</v>
      </c>
      <c r="B95" s="199" t="s">
        <v>37</v>
      </c>
      <c r="C95" s="204">
        <f t="shared" ref="C95:AH95" si="30">C26</f>
        <v>0</v>
      </c>
      <c r="D95" s="204">
        <f t="shared" si="30"/>
        <v>124368.68686868688</v>
      </c>
      <c r="E95" s="204">
        <f t="shared" si="30"/>
        <v>237431.12947658403</v>
      </c>
      <c r="F95" s="204">
        <f t="shared" si="30"/>
        <v>340215.16821103601</v>
      </c>
      <c r="G95" s="204">
        <f t="shared" si="30"/>
        <v>433655.20342417416</v>
      </c>
      <c r="H95" s="204">
        <f t="shared" si="30"/>
        <v>518600.6899815725</v>
      </c>
      <c r="I95" s="204">
        <f t="shared" si="30"/>
        <v>595823.85957920738</v>
      </c>
      <c r="J95" s="204">
        <f t="shared" si="30"/>
        <v>595823.85957920738</v>
      </c>
      <c r="K95" s="204">
        <f t="shared" si="30"/>
        <v>595823.85957920738</v>
      </c>
      <c r="L95" s="204">
        <f t="shared" si="30"/>
        <v>595823.85957920738</v>
      </c>
      <c r="M95" s="204">
        <f t="shared" si="30"/>
        <v>595823.85957920738</v>
      </c>
      <c r="N95" s="204">
        <f t="shared" si="30"/>
        <v>595823.85957920738</v>
      </c>
      <c r="O95" s="204">
        <f t="shared" si="30"/>
        <v>595823.85957920738</v>
      </c>
      <c r="P95" s="204">
        <f t="shared" si="30"/>
        <v>595823.85957920738</v>
      </c>
      <c r="Q95" s="204">
        <f t="shared" si="30"/>
        <v>595823.85957920738</v>
      </c>
      <c r="R95" s="204">
        <f t="shared" si="30"/>
        <v>595823.85957920738</v>
      </c>
      <c r="S95" s="204">
        <f t="shared" si="30"/>
        <v>595823.85957920738</v>
      </c>
      <c r="T95" s="204">
        <f t="shared" si="30"/>
        <v>595823.85957920738</v>
      </c>
      <c r="U95" s="204">
        <f t="shared" si="30"/>
        <v>595823.85957920738</v>
      </c>
      <c r="V95" s="204">
        <f t="shared" si="30"/>
        <v>595823.85957920738</v>
      </c>
      <c r="W95" s="204">
        <f t="shared" si="30"/>
        <v>595823.85957920738</v>
      </c>
      <c r="X95" s="204">
        <f t="shared" si="30"/>
        <v>595823.85957920738</v>
      </c>
      <c r="Y95" s="204">
        <f t="shared" si="30"/>
        <v>595823.85957920738</v>
      </c>
      <c r="Z95" s="204">
        <f t="shared" si="30"/>
        <v>595823.85957920738</v>
      </c>
      <c r="AA95" s="204">
        <f t="shared" si="30"/>
        <v>595823.85957920738</v>
      </c>
      <c r="AB95" s="204">
        <f t="shared" si="30"/>
        <v>595823.85957920738</v>
      </c>
      <c r="AC95" s="204">
        <f t="shared" si="30"/>
        <v>595823.85957920738</v>
      </c>
      <c r="AD95" s="204">
        <f t="shared" si="30"/>
        <v>471455.17271052051</v>
      </c>
      <c r="AE95" s="204">
        <f t="shared" si="30"/>
        <v>358392.73010262335</v>
      </c>
      <c r="AF95" s="204">
        <f t="shared" si="30"/>
        <v>255608.69136817136</v>
      </c>
      <c r="AG95" s="204">
        <f t="shared" si="30"/>
        <v>162168.65615503321</v>
      </c>
      <c r="AH95" s="204">
        <f t="shared" si="30"/>
        <v>77223.169597634886</v>
      </c>
    </row>
    <row r="96" spans="1:74" s="21" customFormat="1" x14ac:dyDescent="0.25">
      <c r="A96" s="203" t="s">
        <v>56</v>
      </c>
      <c r="B96" s="199" t="s">
        <v>37</v>
      </c>
      <c r="C96" s="204">
        <f t="shared" ref="C96" si="31">C94-C95</f>
        <v>0</v>
      </c>
      <c r="D96" s="204">
        <f>D94-D95</f>
        <v>23065.366393735239</v>
      </c>
      <c r="E96" s="204">
        <f t="shared" ref="E96:AH96" si="32">E94-E95</f>
        <v>44033.881297130894</v>
      </c>
      <c r="F96" s="204">
        <f t="shared" si="32"/>
        <v>63096.167572945124</v>
      </c>
      <c r="G96" s="204">
        <f t="shared" si="32"/>
        <v>80425.518732776283</v>
      </c>
      <c r="H96" s="204">
        <f t="shared" si="32"/>
        <v>96179.474332622776</v>
      </c>
      <c r="I96" s="204">
        <f t="shared" si="32"/>
        <v>110501.25215066492</v>
      </c>
      <c r="J96" s="204">
        <f t="shared" si="32"/>
        <v>110501.25215066492</v>
      </c>
      <c r="K96" s="204">
        <f t="shared" si="32"/>
        <v>110501.25215066492</v>
      </c>
      <c r="L96" s="204">
        <f t="shared" si="32"/>
        <v>110501.25215066492</v>
      </c>
      <c r="M96" s="204">
        <f t="shared" si="32"/>
        <v>110501.25215066492</v>
      </c>
      <c r="N96" s="204">
        <f t="shared" si="32"/>
        <v>110501.25215066492</v>
      </c>
      <c r="O96" s="204">
        <f t="shared" si="32"/>
        <v>110501.25215066492</v>
      </c>
      <c r="P96" s="204">
        <f t="shared" si="32"/>
        <v>110501.25215066492</v>
      </c>
      <c r="Q96" s="204">
        <f t="shared" si="32"/>
        <v>110501.25215066492</v>
      </c>
      <c r="R96" s="204">
        <f t="shared" si="32"/>
        <v>110501.25215066492</v>
      </c>
      <c r="S96" s="204">
        <f t="shared" si="32"/>
        <v>110501.25215066492</v>
      </c>
      <c r="T96" s="204">
        <f t="shared" si="32"/>
        <v>110501.25215066492</v>
      </c>
      <c r="U96" s="204">
        <f t="shared" si="32"/>
        <v>110501.25215066492</v>
      </c>
      <c r="V96" s="204">
        <f t="shared" si="32"/>
        <v>110501.25215066492</v>
      </c>
      <c r="W96" s="204">
        <f t="shared" si="32"/>
        <v>110501.25215066492</v>
      </c>
      <c r="X96" s="204">
        <f t="shared" si="32"/>
        <v>110501.25215066492</v>
      </c>
      <c r="Y96" s="204">
        <f t="shared" si="32"/>
        <v>110501.25215066492</v>
      </c>
      <c r="Z96" s="204">
        <f t="shared" si="32"/>
        <v>110501.25215066492</v>
      </c>
      <c r="AA96" s="204">
        <f t="shared" si="32"/>
        <v>110501.25215066492</v>
      </c>
      <c r="AB96" s="204">
        <f t="shared" si="32"/>
        <v>110501.25215066492</v>
      </c>
      <c r="AC96" s="204">
        <f t="shared" si="32"/>
        <v>110501.25215066492</v>
      </c>
      <c r="AD96" s="204">
        <f t="shared" si="32"/>
        <v>87435.885756929812</v>
      </c>
      <c r="AE96" s="204">
        <f t="shared" si="32"/>
        <v>66467.370853534085</v>
      </c>
      <c r="AF96" s="204">
        <f t="shared" si="32"/>
        <v>47405.084577719856</v>
      </c>
      <c r="AG96" s="204">
        <f t="shared" si="32"/>
        <v>30075.733417888725</v>
      </c>
      <c r="AH96" s="204">
        <f t="shared" si="32"/>
        <v>14321.777818042261</v>
      </c>
    </row>
    <row r="97" spans="1:34" s="21" customFormat="1" x14ac:dyDescent="0.25">
      <c r="A97" s="203" t="s">
        <v>57</v>
      </c>
      <c r="B97" s="199" t="s">
        <v>37</v>
      </c>
      <c r="C97" s="204">
        <f>C71</f>
        <v>0</v>
      </c>
      <c r="D97" s="204">
        <f t="shared" ref="D97:AH97" si="33">D71</f>
        <v>129965.27777777778</v>
      </c>
      <c r="E97" s="204">
        <f t="shared" si="33"/>
        <v>259930.55555555556</v>
      </c>
      <c r="F97" s="204">
        <f t="shared" si="33"/>
        <v>389895.83333333337</v>
      </c>
      <c r="G97" s="204">
        <f t="shared" si="33"/>
        <v>493868.0555555555</v>
      </c>
      <c r="H97" s="204">
        <f t="shared" si="33"/>
        <v>571847.22222222213</v>
      </c>
      <c r="I97" s="204">
        <f t="shared" si="33"/>
        <v>623833.33333333326</v>
      </c>
      <c r="J97" s="204">
        <f t="shared" si="33"/>
        <v>519861.11111111112</v>
      </c>
      <c r="K97" s="204">
        <f t="shared" si="33"/>
        <v>389895.83333333337</v>
      </c>
      <c r="L97" s="204">
        <f t="shared" si="33"/>
        <v>259930.55555555556</v>
      </c>
      <c r="M97" s="204">
        <f t="shared" si="33"/>
        <v>155958.33333333331</v>
      </c>
      <c r="N97" s="204">
        <f t="shared" si="33"/>
        <v>77979.166666666657</v>
      </c>
      <c r="O97" s="204">
        <f t="shared" si="33"/>
        <v>25993.055555555547</v>
      </c>
      <c r="P97" s="204">
        <f t="shared" si="33"/>
        <v>0</v>
      </c>
      <c r="Q97" s="204">
        <f t="shared" si="33"/>
        <v>0</v>
      </c>
      <c r="R97" s="204">
        <f t="shared" si="33"/>
        <v>0</v>
      </c>
      <c r="S97" s="204">
        <f t="shared" si="33"/>
        <v>0</v>
      </c>
      <c r="T97" s="204">
        <f t="shared" si="33"/>
        <v>0</v>
      </c>
      <c r="U97" s="204">
        <f t="shared" si="33"/>
        <v>0</v>
      </c>
      <c r="V97" s="204">
        <f t="shared" si="33"/>
        <v>0</v>
      </c>
      <c r="W97" s="204">
        <f t="shared" si="33"/>
        <v>0</v>
      </c>
      <c r="X97" s="204">
        <f t="shared" si="33"/>
        <v>0</v>
      </c>
      <c r="Y97" s="204">
        <f t="shared" si="33"/>
        <v>0</v>
      </c>
      <c r="Z97" s="204">
        <f t="shared" si="33"/>
        <v>0</v>
      </c>
      <c r="AA97" s="204">
        <f t="shared" si="33"/>
        <v>0</v>
      </c>
      <c r="AB97" s="204">
        <f t="shared" si="33"/>
        <v>0</v>
      </c>
      <c r="AC97" s="204">
        <f t="shared" si="33"/>
        <v>0</v>
      </c>
      <c r="AD97" s="204">
        <f t="shared" si="33"/>
        <v>0</v>
      </c>
      <c r="AE97" s="204">
        <f t="shared" si="33"/>
        <v>0</v>
      </c>
      <c r="AF97" s="204">
        <f t="shared" si="33"/>
        <v>0</v>
      </c>
      <c r="AG97" s="204">
        <f t="shared" si="33"/>
        <v>0</v>
      </c>
      <c r="AH97" s="204">
        <f t="shared" si="33"/>
        <v>0</v>
      </c>
    </row>
    <row r="98" spans="1:34" s="21" customFormat="1" x14ac:dyDescent="0.25">
      <c r="A98" s="203" t="s">
        <v>58</v>
      </c>
      <c r="B98" s="199" t="s">
        <v>37</v>
      </c>
      <c r="C98" s="204">
        <f>C96-C97</f>
        <v>0</v>
      </c>
      <c r="D98" s="204">
        <f>D96-D97</f>
        <v>-106899.91138404254</v>
      </c>
      <c r="E98" s="204">
        <f t="shared" ref="E98:AH98" si="34">E96-E97</f>
        <v>-215896.67425842467</v>
      </c>
      <c r="F98" s="204">
        <f t="shared" si="34"/>
        <v>-326799.66576038825</v>
      </c>
      <c r="G98" s="204">
        <f t="shared" si="34"/>
        <v>-413442.53682277922</v>
      </c>
      <c r="H98" s="204">
        <f t="shared" si="34"/>
        <v>-475667.74788959936</v>
      </c>
      <c r="I98" s="204">
        <f t="shared" si="34"/>
        <v>-513332.08118266833</v>
      </c>
      <c r="J98" s="204">
        <f t="shared" si="34"/>
        <v>-409359.8589604462</v>
      </c>
      <c r="K98" s="204">
        <f t="shared" si="34"/>
        <v>-279394.58118266845</v>
      </c>
      <c r="L98" s="204">
        <f t="shared" si="34"/>
        <v>-149429.30340489064</v>
      </c>
      <c r="M98" s="204">
        <f t="shared" si="34"/>
        <v>-45457.081182668393</v>
      </c>
      <c r="N98" s="204">
        <f t="shared" si="34"/>
        <v>32522.085483998264</v>
      </c>
      <c r="O98" s="204">
        <f t="shared" si="34"/>
        <v>84508.196595109373</v>
      </c>
      <c r="P98" s="204">
        <f t="shared" si="34"/>
        <v>110501.25215066492</v>
      </c>
      <c r="Q98" s="204">
        <f t="shared" si="34"/>
        <v>110501.25215066492</v>
      </c>
      <c r="R98" s="204">
        <f t="shared" si="34"/>
        <v>110501.25215066492</v>
      </c>
      <c r="S98" s="204">
        <f t="shared" si="34"/>
        <v>110501.25215066492</v>
      </c>
      <c r="T98" s="204">
        <f t="shared" si="34"/>
        <v>110501.25215066492</v>
      </c>
      <c r="U98" s="204">
        <f t="shared" si="34"/>
        <v>110501.25215066492</v>
      </c>
      <c r="V98" s="204">
        <f t="shared" si="34"/>
        <v>110501.25215066492</v>
      </c>
      <c r="W98" s="204">
        <f t="shared" si="34"/>
        <v>110501.25215066492</v>
      </c>
      <c r="X98" s="204">
        <f t="shared" si="34"/>
        <v>110501.25215066492</v>
      </c>
      <c r="Y98" s="204">
        <f t="shared" si="34"/>
        <v>110501.25215066492</v>
      </c>
      <c r="Z98" s="204">
        <f t="shared" si="34"/>
        <v>110501.25215066492</v>
      </c>
      <c r="AA98" s="204">
        <f t="shared" si="34"/>
        <v>110501.25215066492</v>
      </c>
      <c r="AB98" s="204">
        <f t="shared" si="34"/>
        <v>110501.25215066492</v>
      </c>
      <c r="AC98" s="204">
        <f t="shared" si="34"/>
        <v>110501.25215066492</v>
      </c>
      <c r="AD98" s="204">
        <f t="shared" si="34"/>
        <v>87435.885756929812</v>
      </c>
      <c r="AE98" s="204">
        <f t="shared" si="34"/>
        <v>66467.370853534085</v>
      </c>
      <c r="AF98" s="204">
        <f t="shared" si="34"/>
        <v>47405.084577719856</v>
      </c>
      <c r="AG98" s="204">
        <f t="shared" si="34"/>
        <v>30075.733417888725</v>
      </c>
      <c r="AH98" s="204">
        <f t="shared" si="34"/>
        <v>14321.777818042261</v>
      </c>
    </row>
    <row r="99" spans="1:34" s="21" customFormat="1" x14ac:dyDescent="0.25">
      <c r="A99" s="200" t="s">
        <v>61</v>
      </c>
      <c r="B99" s="199" t="s">
        <v>37</v>
      </c>
      <c r="C99" s="204">
        <v>0</v>
      </c>
      <c r="D99" s="204">
        <v>0</v>
      </c>
      <c r="E99" s="204">
        <v>0</v>
      </c>
      <c r="F99" s="204">
        <v>0</v>
      </c>
      <c r="G99" s="204">
        <v>0</v>
      </c>
      <c r="H99" s="204">
        <v>0</v>
      </c>
      <c r="I99" s="204">
        <v>0</v>
      </c>
      <c r="J99" s="204">
        <v>0</v>
      </c>
      <c r="K99" s="204">
        <v>0</v>
      </c>
      <c r="L99" s="204">
        <v>0</v>
      </c>
      <c r="M99" s="204">
        <v>0</v>
      </c>
      <c r="N99" s="204">
        <v>0</v>
      </c>
      <c r="O99" s="204">
        <v>0</v>
      </c>
      <c r="P99" s="204">
        <v>0</v>
      </c>
      <c r="Q99" s="204">
        <v>0</v>
      </c>
      <c r="R99" s="204">
        <v>0</v>
      </c>
      <c r="S99" s="204">
        <v>0</v>
      </c>
      <c r="T99" s="204">
        <v>0</v>
      </c>
      <c r="U99" s="204">
        <v>0</v>
      </c>
      <c r="V99" s="204">
        <v>0</v>
      </c>
      <c r="W99" s="204">
        <v>0</v>
      </c>
      <c r="X99" s="204">
        <v>0</v>
      </c>
      <c r="Y99" s="204">
        <v>0</v>
      </c>
      <c r="Z99" s="204">
        <v>0</v>
      </c>
      <c r="AA99" s="204">
        <v>0</v>
      </c>
      <c r="AB99" s="204">
        <v>0</v>
      </c>
      <c r="AC99" s="204">
        <v>0</v>
      </c>
      <c r="AD99" s="204">
        <v>0</v>
      </c>
      <c r="AE99" s="204">
        <v>0</v>
      </c>
      <c r="AF99" s="204">
        <v>0</v>
      </c>
      <c r="AG99" s="204">
        <v>0</v>
      </c>
      <c r="AH99" s="204">
        <v>0</v>
      </c>
    </row>
    <row r="100" spans="1:34" s="21" customFormat="1" x14ac:dyDescent="0.25">
      <c r="A100" s="203" t="s">
        <v>59</v>
      </c>
      <c r="B100" s="199" t="s">
        <v>37</v>
      </c>
      <c r="C100" s="204">
        <f>C98+C99</f>
        <v>0</v>
      </c>
      <c r="D100" s="204">
        <f>D98+D99</f>
        <v>-106899.91138404254</v>
      </c>
      <c r="E100" s="204">
        <f t="shared" ref="E100:AH100" si="35">E98+E99</f>
        <v>-215896.67425842467</v>
      </c>
      <c r="F100" s="204">
        <f t="shared" si="35"/>
        <v>-326799.66576038825</v>
      </c>
      <c r="G100" s="204">
        <f t="shared" si="35"/>
        <v>-413442.53682277922</v>
      </c>
      <c r="H100" s="204">
        <f t="shared" si="35"/>
        <v>-475667.74788959936</v>
      </c>
      <c r="I100" s="204">
        <f t="shared" si="35"/>
        <v>-513332.08118266833</v>
      </c>
      <c r="J100" s="204">
        <f t="shared" si="35"/>
        <v>-409359.8589604462</v>
      </c>
      <c r="K100" s="204">
        <f t="shared" si="35"/>
        <v>-279394.58118266845</v>
      </c>
      <c r="L100" s="204">
        <f t="shared" si="35"/>
        <v>-149429.30340489064</v>
      </c>
      <c r="M100" s="204">
        <f t="shared" si="35"/>
        <v>-45457.081182668393</v>
      </c>
      <c r="N100" s="204">
        <f t="shared" si="35"/>
        <v>32522.085483998264</v>
      </c>
      <c r="O100" s="204">
        <f t="shared" si="35"/>
        <v>84508.196595109373</v>
      </c>
      <c r="P100" s="204">
        <f t="shared" si="35"/>
        <v>110501.25215066492</v>
      </c>
      <c r="Q100" s="204">
        <f t="shared" si="35"/>
        <v>110501.25215066492</v>
      </c>
      <c r="R100" s="204">
        <f t="shared" si="35"/>
        <v>110501.25215066492</v>
      </c>
      <c r="S100" s="204">
        <f t="shared" si="35"/>
        <v>110501.25215066492</v>
      </c>
      <c r="T100" s="204">
        <f t="shared" si="35"/>
        <v>110501.25215066492</v>
      </c>
      <c r="U100" s="204">
        <f t="shared" si="35"/>
        <v>110501.25215066492</v>
      </c>
      <c r="V100" s="204">
        <f t="shared" si="35"/>
        <v>110501.25215066492</v>
      </c>
      <c r="W100" s="204">
        <f t="shared" si="35"/>
        <v>110501.25215066492</v>
      </c>
      <c r="X100" s="204">
        <f t="shared" si="35"/>
        <v>110501.25215066492</v>
      </c>
      <c r="Y100" s="204">
        <f t="shared" si="35"/>
        <v>110501.25215066492</v>
      </c>
      <c r="Z100" s="204">
        <f t="shared" si="35"/>
        <v>110501.25215066492</v>
      </c>
      <c r="AA100" s="204">
        <f t="shared" si="35"/>
        <v>110501.25215066492</v>
      </c>
      <c r="AB100" s="204">
        <f t="shared" si="35"/>
        <v>110501.25215066492</v>
      </c>
      <c r="AC100" s="204">
        <f t="shared" si="35"/>
        <v>110501.25215066492</v>
      </c>
      <c r="AD100" s="204">
        <f t="shared" si="35"/>
        <v>87435.885756929812</v>
      </c>
      <c r="AE100" s="204">
        <f t="shared" si="35"/>
        <v>66467.370853534085</v>
      </c>
      <c r="AF100" s="204">
        <f t="shared" si="35"/>
        <v>47405.084577719856</v>
      </c>
      <c r="AG100" s="204">
        <f t="shared" si="35"/>
        <v>30075.733417888725</v>
      </c>
      <c r="AH100" s="204">
        <f t="shared" si="35"/>
        <v>14321.777818042261</v>
      </c>
    </row>
    <row r="101" spans="1:34" s="21" customFormat="1" x14ac:dyDescent="0.25">
      <c r="A101" s="200" t="s">
        <v>62</v>
      </c>
      <c r="B101" s="199" t="s">
        <v>37</v>
      </c>
      <c r="C101" s="204">
        <f>IF(C100*$B$17&gt;0,C100*$B$17,0)</f>
        <v>0</v>
      </c>
      <c r="D101" s="204">
        <f>IF(D100*$B$17&gt;0,D100*$B$17,0)</f>
        <v>0</v>
      </c>
      <c r="E101" s="204">
        <f t="shared" ref="E101:AH101" si="36">IF(E100*$B$17&gt;0,E100*$B$17,0)</f>
        <v>0</v>
      </c>
      <c r="F101" s="204">
        <f t="shared" si="36"/>
        <v>0</v>
      </c>
      <c r="G101" s="204">
        <f t="shared" si="36"/>
        <v>0</v>
      </c>
      <c r="H101" s="204">
        <f t="shared" si="36"/>
        <v>0</v>
      </c>
      <c r="I101" s="204">
        <f t="shared" si="36"/>
        <v>0</v>
      </c>
      <c r="J101" s="204">
        <f t="shared" si="36"/>
        <v>0</v>
      </c>
      <c r="K101" s="204">
        <f t="shared" si="36"/>
        <v>0</v>
      </c>
      <c r="L101" s="204">
        <f t="shared" si="36"/>
        <v>0</v>
      </c>
      <c r="M101" s="204">
        <f t="shared" si="36"/>
        <v>0</v>
      </c>
      <c r="N101" s="204">
        <f t="shared" si="36"/>
        <v>9756.6256451994795</v>
      </c>
      <c r="O101" s="204">
        <f t="shared" si="36"/>
        <v>25352.45897853281</v>
      </c>
      <c r="P101" s="204">
        <f t="shared" si="36"/>
        <v>33150.375645199478</v>
      </c>
      <c r="Q101" s="204">
        <f t="shared" si="36"/>
        <v>33150.375645199478</v>
      </c>
      <c r="R101" s="204">
        <f t="shared" si="36"/>
        <v>33150.375645199478</v>
      </c>
      <c r="S101" s="204">
        <f t="shared" si="36"/>
        <v>33150.375645199478</v>
      </c>
      <c r="T101" s="204">
        <f t="shared" si="36"/>
        <v>33150.375645199478</v>
      </c>
      <c r="U101" s="204">
        <f t="shared" si="36"/>
        <v>33150.375645199478</v>
      </c>
      <c r="V101" s="204">
        <f t="shared" si="36"/>
        <v>33150.375645199478</v>
      </c>
      <c r="W101" s="204">
        <f t="shared" si="36"/>
        <v>33150.375645199478</v>
      </c>
      <c r="X101" s="204">
        <f t="shared" si="36"/>
        <v>33150.375645199478</v>
      </c>
      <c r="Y101" s="204">
        <f t="shared" si="36"/>
        <v>33150.375645199478</v>
      </c>
      <c r="Z101" s="204">
        <f t="shared" si="36"/>
        <v>33150.375645199478</v>
      </c>
      <c r="AA101" s="204">
        <f t="shared" si="36"/>
        <v>33150.375645199478</v>
      </c>
      <c r="AB101" s="204">
        <f t="shared" si="36"/>
        <v>33150.375645199478</v>
      </c>
      <c r="AC101" s="204">
        <f t="shared" si="36"/>
        <v>33150.375645199478</v>
      </c>
      <c r="AD101" s="204">
        <f t="shared" si="36"/>
        <v>26230.765727078942</v>
      </c>
      <c r="AE101" s="204">
        <f t="shared" si="36"/>
        <v>19940.211256060225</v>
      </c>
      <c r="AF101" s="204">
        <f t="shared" si="36"/>
        <v>14221.525373315957</v>
      </c>
      <c r="AG101" s="204">
        <f t="shared" si="36"/>
        <v>9022.7200253666178</v>
      </c>
      <c r="AH101" s="204">
        <f t="shared" si="36"/>
        <v>4296.5333454126785</v>
      </c>
    </row>
    <row r="102" spans="1:34" s="21" customFormat="1" x14ac:dyDescent="0.25">
      <c r="A102" s="203" t="s">
        <v>63</v>
      </c>
      <c r="B102" s="199" t="s">
        <v>37</v>
      </c>
      <c r="C102" s="204">
        <f>C100-C101</f>
        <v>0</v>
      </c>
      <c r="D102" s="204">
        <f>D100-D101</f>
        <v>-106899.91138404254</v>
      </c>
      <c r="E102" s="204">
        <f t="shared" ref="E102:AH102" si="37">E100-E101</f>
        <v>-215896.67425842467</v>
      </c>
      <c r="F102" s="204">
        <f t="shared" si="37"/>
        <v>-326799.66576038825</v>
      </c>
      <c r="G102" s="204">
        <f t="shared" si="37"/>
        <v>-413442.53682277922</v>
      </c>
      <c r="H102" s="204">
        <f t="shared" si="37"/>
        <v>-475667.74788959936</v>
      </c>
      <c r="I102" s="204">
        <f t="shared" si="37"/>
        <v>-513332.08118266833</v>
      </c>
      <c r="J102" s="204">
        <f t="shared" si="37"/>
        <v>-409359.8589604462</v>
      </c>
      <c r="K102" s="204">
        <f t="shared" si="37"/>
        <v>-279394.58118266845</v>
      </c>
      <c r="L102" s="204">
        <f t="shared" si="37"/>
        <v>-149429.30340489064</v>
      </c>
      <c r="M102" s="204">
        <f t="shared" si="37"/>
        <v>-45457.081182668393</v>
      </c>
      <c r="N102" s="204">
        <f t="shared" si="37"/>
        <v>22765.459838798786</v>
      </c>
      <c r="O102" s="204">
        <f t="shared" si="37"/>
        <v>59155.73761657656</v>
      </c>
      <c r="P102" s="204">
        <f t="shared" si="37"/>
        <v>77350.87650546545</v>
      </c>
      <c r="Q102" s="204">
        <f t="shared" si="37"/>
        <v>77350.87650546545</v>
      </c>
      <c r="R102" s="204">
        <f t="shared" si="37"/>
        <v>77350.87650546545</v>
      </c>
      <c r="S102" s="204">
        <f t="shared" si="37"/>
        <v>77350.87650546545</v>
      </c>
      <c r="T102" s="204">
        <f t="shared" si="37"/>
        <v>77350.87650546545</v>
      </c>
      <c r="U102" s="204">
        <f t="shared" si="37"/>
        <v>77350.87650546545</v>
      </c>
      <c r="V102" s="204">
        <f t="shared" si="37"/>
        <v>77350.87650546545</v>
      </c>
      <c r="W102" s="204">
        <f t="shared" si="37"/>
        <v>77350.87650546545</v>
      </c>
      <c r="X102" s="204">
        <f t="shared" si="37"/>
        <v>77350.87650546545</v>
      </c>
      <c r="Y102" s="204">
        <f t="shared" si="37"/>
        <v>77350.87650546545</v>
      </c>
      <c r="Z102" s="204">
        <f t="shared" si="37"/>
        <v>77350.87650546545</v>
      </c>
      <c r="AA102" s="204">
        <f t="shared" si="37"/>
        <v>77350.87650546545</v>
      </c>
      <c r="AB102" s="204">
        <f t="shared" si="37"/>
        <v>77350.87650546545</v>
      </c>
      <c r="AC102" s="204">
        <f t="shared" si="37"/>
        <v>77350.87650546545</v>
      </c>
      <c r="AD102" s="204">
        <f t="shared" si="37"/>
        <v>61205.12002985087</v>
      </c>
      <c r="AE102" s="204">
        <f t="shared" si="37"/>
        <v>46527.159597473859</v>
      </c>
      <c r="AF102" s="204">
        <f t="shared" si="37"/>
        <v>33183.5592044039</v>
      </c>
      <c r="AG102" s="204">
        <f t="shared" si="37"/>
        <v>21053.013392522109</v>
      </c>
      <c r="AH102" s="204">
        <f t="shared" si="37"/>
        <v>10025.244472629583</v>
      </c>
    </row>
    <row r="103" spans="1:34" s="21" customFormat="1" x14ac:dyDescent="0.25">
      <c r="A103" s="198" t="s">
        <v>64</v>
      </c>
      <c r="B103" s="199" t="s">
        <v>37</v>
      </c>
      <c r="C103" s="204">
        <f>C102-C72</f>
        <v>-1368055.5555555555</v>
      </c>
      <c r="D103" s="204">
        <f t="shared" ref="D103:AH103" si="38">D102-D72</f>
        <v>-1474955.4669395981</v>
      </c>
      <c r="E103" s="204">
        <f t="shared" si="38"/>
        <v>-1583952.2298139802</v>
      </c>
      <c r="F103" s="204">
        <f t="shared" si="38"/>
        <v>-1694855.2213159436</v>
      </c>
      <c r="G103" s="204">
        <f t="shared" si="38"/>
        <v>-1781498.0923783346</v>
      </c>
      <c r="H103" s="204">
        <f t="shared" si="38"/>
        <v>-1843723.3034451548</v>
      </c>
      <c r="I103" s="204">
        <f t="shared" si="38"/>
        <v>-513332.08118266833</v>
      </c>
      <c r="J103" s="204">
        <f t="shared" si="38"/>
        <v>-409359.8589604462</v>
      </c>
      <c r="K103" s="204">
        <f t="shared" si="38"/>
        <v>-279394.58118266845</v>
      </c>
      <c r="L103" s="204">
        <f t="shared" si="38"/>
        <v>-149429.30340489064</v>
      </c>
      <c r="M103" s="204">
        <f t="shared" si="38"/>
        <v>-45457.081182668393</v>
      </c>
      <c r="N103" s="204">
        <f t="shared" si="38"/>
        <v>22765.459838798786</v>
      </c>
      <c r="O103" s="204">
        <f t="shared" si="38"/>
        <v>59155.73761657656</v>
      </c>
      <c r="P103" s="204">
        <f t="shared" si="38"/>
        <v>77350.87650546545</v>
      </c>
      <c r="Q103" s="204">
        <f t="shared" si="38"/>
        <v>77350.87650546545</v>
      </c>
      <c r="R103" s="204">
        <f t="shared" si="38"/>
        <v>77350.87650546545</v>
      </c>
      <c r="S103" s="204">
        <f t="shared" si="38"/>
        <v>77350.87650546545</v>
      </c>
      <c r="T103" s="204">
        <f t="shared" si="38"/>
        <v>77350.87650546545</v>
      </c>
      <c r="U103" s="204">
        <f t="shared" si="38"/>
        <v>77350.87650546545</v>
      </c>
      <c r="V103" s="204">
        <f t="shared" si="38"/>
        <v>77350.87650546545</v>
      </c>
      <c r="W103" s="204">
        <f t="shared" si="38"/>
        <v>77350.87650546545</v>
      </c>
      <c r="X103" s="204">
        <f t="shared" si="38"/>
        <v>77350.87650546545</v>
      </c>
      <c r="Y103" s="204">
        <f t="shared" si="38"/>
        <v>77350.87650546545</v>
      </c>
      <c r="Z103" s="204">
        <f t="shared" si="38"/>
        <v>77350.87650546545</v>
      </c>
      <c r="AA103" s="204">
        <f t="shared" si="38"/>
        <v>77350.87650546545</v>
      </c>
      <c r="AB103" s="204">
        <f t="shared" si="38"/>
        <v>77350.87650546545</v>
      </c>
      <c r="AC103" s="204">
        <f t="shared" si="38"/>
        <v>77350.87650546545</v>
      </c>
      <c r="AD103" s="204">
        <f t="shared" si="38"/>
        <v>61205.12002985087</v>
      </c>
      <c r="AE103" s="204">
        <f t="shared" si="38"/>
        <v>46527.159597473859</v>
      </c>
      <c r="AF103" s="204">
        <f t="shared" si="38"/>
        <v>33183.5592044039</v>
      </c>
      <c r="AG103" s="204">
        <f t="shared" si="38"/>
        <v>21053.013392522109</v>
      </c>
      <c r="AH103" s="204">
        <f t="shared" si="38"/>
        <v>10025.244472629583</v>
      </c>
    </row>
    <row r="104" spans="1:34" s="21" customFormat="1" x14ac:dyDescent="0.25">
      <c r="A104" s="202" t="s">
        <v>65</v>
      </c>
      <c r="B104" s="201" t="s">
        <v>37</v>
      </c>
      <c r="C104" s="204">
        <f t="shared" ref="C104:AH104" si="39">C103+C31+C32</f>
        <v>-1368055.5555555555</v>
      </c>
      <c r="D104" s="204">
        <f t="shared" si="39"/>
        <v>-1301518.8353556767</v>
      </c>
      <c r="E104" s="204">
        <f t="shared" si="39"/>
        <v>-1251597.2299010721</v>
      </c>
      <c r="F104" s="204">
        <f t="shared" si="39"/>
        <v>-1216789.5989469807</v>
      </c>
      <c r="G104" s="204">
        <f t="shared" si="39"/>
        <v>-1169735.6828577248</v>
      </c>
      <c r="H104" s="204">
        <f t="shared" si="39"/>
        <v>-1109190.1628960951</v>
      </c>
      <c r="I104" s="204">
        <f t="shared" si="39"/>
        <v>334036.91490073962</v>
      </c>
      <c r="J104" s="204">
        <f t="shared" si="39"/>
        <v>441554.48456226569</v>
      </c>
      <c r="K104" s="204">
        <f t="shared" si="39"/>
        <v>575153.74346532999</v>
      </c>
      <c r="L104" s="204">
        <f t="shared" si="39"/>
        <v>708843.85189652641</v>
      </c>
      <c r="M104" s="204">
        <f t="shared" si="39"/>
        <v>816634.02553850284</v>
      </c>
      <c r="N104" s="204">
        <f t="shared" si="39"/>
        <v>888769.96676521807</v>
      </c>
      <c r="O104" s="204">
        <f t="shared" si="39"/>
        <v>929171.47975337505</v>
      </c>
      <c r="P104" s="204">
        <f t="shared" si="39"/>
        <v>951478.13473290263</v>
      </c>
      <c r="Q104" s="204">
        <f t="shared" si="39"/>
        <v>955692.43872580724</v>
      </c>
      <c r="R104" s="204">
        <f t="shared" si="39"/>
        <v>960012.10031853453</v>
      </c>
      <c r="S104" s="204">
        <f t="shared" si="39"/>
        <v>964439.75345107995</v>
      </c>
      <c r="T104" s="204">
        <f t="shared" si="39"/>
        <v>968978.09791193902</v>
      </c>
      <c r="U104" s="204">
        <f t="shared" si="39"/>
        <v>973629.90098431963</v>
      </c>
      <c r="V104" s="204">
        <f t="shared" si="39"/>
        <v>978397.9991335097</v>
      </c>
      <c r="W104" s="204">
        <f t="shared" si="39"/>
        <v>983285.29973642959</v>
      </c>
      <c r="X104" s="204">
        <f t="shared" si="39"/>
        <v>988294.78285442246</v>
      </c>
      <c r="Y104" s="204">
        <f t="shared" si="39"/>
        <v>993429.50305036502</v>
      </c>
      <c r="Z104" s="204">
        <f t="shared" si="39"/>
        <v>998692.59125120635</v>
      </c>
      <c r="AA104" s="204">
        <f t="shared" si="39"/>
        <v>1004087.2566570685</v>
      </c>
      <c r="AB104" s="204">
        <f t="shared" si="39"/>
        <v>1009616.7886980773</v>
      </c>
      <c r="AC104" s="204">
        <f t="shared" si="39"/>
        <v>782905.9750167157</v>
      </c>
      <c r="AD104" s="204">
        <f t="shared" si="39"/>
        <v>619486.89320410846</v>
      </c>
      <c r="AE104" s="204">
        <f t="shared" si="39"/>
        <v>470924.09155628365</v>
      </c>
      <c r="AF104" s="204">
        <f t="shared" si="39"/>
        <v>335866.99914917018</v>
      </c>
      <c r="AG104" s="204">
        <f t="shared" si="39"/>
        <v>213087.82423361254</v>
      </c>
      <c r="AH104" s="204">
        <f t="shared" si="39"/>
        <v>101470.39249219648</v>
      </c>
    </row>
    <row r="105" spans="1:34" customFormat="1" x14ac:dyDescent="0.25">
      <c r="A105" s="58"/>
      <c r="B105" s="20"/>
      <c r="C105" s="11"/>
    </row>
    <row r="106" spans="1:34" customFormat="1" ht="13.5" customHeight="1" x14ac:dyDescent="0.25">
      <c r="A106" s="207" t="s">
        <v>66</v>
      </c>
      <c r="B106" s="208" t="s">
        <v>12</v>
      </c>
      <c r="C106" s="209">
        <f>SUM(C72:AB72)</f>
        <v>8208333.333333334</v>
      </c>
    </row>
    <row r="107" spans="1:34" x14ac:dyDescent="0.25">
      <c r="A107" s="34"/>
      <c r="B107" s="20"/>
    </row>
    <row r="108" spans="1:34" x14ac:dyDescent="0.25">
      <c r="A108" s="205" t="s">
        <v>114</v>
      </c>
      <c r="B108" s="206" t="s">
        <v>67</v>
      </c>
      <c r="C108" s="216" t="e">
        <f>(C102+C71+C70)/(C70+C71)</f>
        <v>#DIV/0!</v>
      </c>
      <c r="D108" s="216">
        <f>(D102+D71+D70)/(D70+D71)</f>
        <v>0.17747329739235235</v>
      </c>
      <c r="E108" s="216">
        <f t="shared" ref="E108:G108" si="40">(E102+E71+E70)/(E70+E71)</f>
        <v>0.16940632932906355</v>
      </c>
      <c r="F108" s="216">
        <f t="shared" si="40"/>
        <v>0.50746609587633151</v>
      </c>
      <c r="G108" s="216">
        <f t="shared" si="40"/>
        <v>0.60287542238385106</v>
      </c>
      <c r="H108" s="216">
        <f>(H102+H71+H70)/(H70+H71)</f>
        <v>0.65845164851903148</v>
      </c>
      <c r="I108" s="216">
        <f>(I102+I71+I70)/(I70+I71)</f>
        <v>0.70125198159371371</v>
      </c>
      <c r="J108" s="216">
        <f t="shared" ref="J108:N108" si="41">(J102+J71+J70)/(J70+J71)</f>
        <v>0.7831684702041336</v>
      </c>
      <c r="K108" s="216">
        <f t="shared" si="41"/>
        <v>0.84106808473284378</v>
      </c>
      <c r="L108" s="216">
        <f t="shared" si="41"/>
        <v>0.88966918068859036</v>
      </c>
      <c r="M108" s="216">
        <f t="shared" si="41"/>
        <v>0.95346286958221893</v>
      </c>
      <c r="N108" s="216">
        <f t="shared" si="41"/>
        <v>1.0364130026634422</v>
      </c>
      <c r="O108" s="216">
        <f>(O102+O71+O70)/(O70+O71)</f>
        <v>1.1974463114940319</v>
      </c>
      <c r="P108" s="216" t="e">
        <f t="shared" ref="P108:AH108" si="42">(P102+P71+P70)/(P70+P71)</f>
        <v>#DIV/0!</v>
      </c>
      <c r="Q108" s="216" t="e">
        <f t="shared" si="42"/>
        <v>#DIV/0!</v>
      </c>
      <c r="R108" s="216" t="e">
        <f t="shared" si="42"/>
        <v>#DIV/0!</v>
      </c>
      <c r="S108" s="216" t="e">
        <f t="shared" si="42"/>
        <v>#DIV/0!</v>
      </c>
      <c r="T108" s="216" t="e">
        <f t="shared" si="42"/>
        <v>#DIV/0!</v>
      </c>
      <c r="U108" s="216" t="e">
        <f t="shared" si="42"/>
        <v>#DIV/0!</v>
      </c>
      <c r="V108" s="216" t="e">
        <f t="shared" si="42"/>
        <v>#DIV/0!</v>
      </c>
      <c r="W108" s="216" t="e">
        <f t="shared" si="42"/>
        <v>#DIV/0!</v>
      </c>
      <c r="X108" s="216" t="e">
        <f t="shared" si="42"/>
        <v>#DIV/0!</v>
      </c>
      <c r="Y108" s="216" t="e">
        <f t="shared" si="42"/>
        <v>#DIV/0!</v>
      </c>
      <c r="Z108" s="216" t="e">
        <f t="shared" si="42"/>
        <v>#DIV/0!</v>
      </c>
      <c r="AA108" s="216" t="e">
        <f t="shared" si="42"/>
        <v>#DIV/0!</v>
      </c>
      <c r="AB108" s="216" t="e">
        <f t="shared" si="42"/>
        <v>#DIV/0!</v>
      </c>
      <c r="AC108" s="216" t="e">
        <f t="shared" si="42"/>
        <v>#DIV/0!</v>
      </c>
      <c r="AD108" s="216" t="e">
        <f t="shared" si="42"/>
        <v>#DIV/0!</v>
      </c>
      <c r="AE108" s="216" t="e">
        <f t="shared" si="42"/>
        <v>#DIV/0!</v>
      </c>
      <c r="AF108" s="216" t="e">
        <f t="shared" si="42"/>
        <v>#DIV/0!</v>
      </c>
      <c r="AG108" s="216" t="e">
        <f t="shared" si="42"/>
        <v>#DIV/0!</v>
      </c>
      <c r="AH108" s="216" t="e">
        <f t="shared" si="42"/>
        <v>#DIV/0!</v>
      </c>
    </row>
    <row r="109" spans="1:34" x14ac:dyDescent="0.25">
      <c r="A109" s="205" t="s">
        <v>115</v>
      </c>
      <c r="B109" s="206" t="s">
        <v>67</v>
      </c>
      <c r="C109" s="216">
        <f>AVERAGE(D108:O108)</f>
        <v>0.7098460578716338</v>
      </c>
      <c r="D109" s="217"/>
      <c r="E109" s="217"/>
      <c r="F109" s="217"/>
      <c r="G109" s="217"/>
      <c r="H109" s="217"/>
      <c r="I109" s="217"/>
      <c r="J109" s="217"/>
      <c r="K109" s="217"/>
      <c r="L109" s="217"/>
      <c r="M109" s="217"/>
      <c r="N109" s="217"/>
      <c r="O109" s="217"/>
      <c r="P109" s="217"/>
      <c r="Q109" s="217"/>
      <c r="R109" s="217"/>
      <c r="S109" s="217"/>
      <c r="T109" s="217"/>
      <c r="U109" s="217"/>
      <c r="V109" s="217"/>
      <c r="W109" s="217"/>
      <c r="X109" s="217"/>
      <c r="Y109" s="217"/>
      <c r="Z109" s="217"/>
      <c r="AA109" s="217"/>
      <c r="AB109" s="217"/>
      <c r="AC109" s="217"/>
      <c r="AD109" s="217"/>
      <c r="AE109" s="217"/>
      <c r="AF109" s="217"/>
      <c r="AG109" s="217"/>
      <c r="AH109" s="217"/>
    </row>
    <row r="110" spans="1:34" x14ac:dyDescent="0.25">
      <c r="A110" s="205" t="s">
        <v>116</v>
      </c>
      <c r="B110" s="206" t="s">
        <v>67</v>
      </c>
      <c r="C110" s="216" t="e">
        <f t="shared" ref="C110:AH110" si="43">(C102+C71*$C15+C70)/(C70+C71*$C15)</f>
        <v>#DIV/0!</v>
      </c>
      <c r="D110" s="216">
        <f t="shared" si="43"/>
        <v>0.17747329739235235</v>
      </c>
      <c r="E110" s="216">
        <f t="shared" si="43"/>
        <v>0.16940632932906355</v>
      </c>
      <c r="F110" s="216">
        <f t="shared" si="43"/>
        <v>0.50746609587633151</v>
      </c>
      <c r="G110" s="216">
        <f t="shared" si="43"/>
        <v>0.60287542238385106</v>
      </c>
      <c r="H110" s="216">
        <f t="shared" si="43"/>
        <v>0.65845164851903148</v>
      </c>
      <c r="I110" s="216">
        <f t="shared" si="43"/>
        <v>0.70125198159371371</v>
      </c>
      <c r="J110" s="216">
        <f t="shared" si="43"/>
        <v>0.7831684702041336</v>
      </c>
      <c r="K110" s="216">
        <f t="shared" si="43"/>
        <v>0.84106808473284378</v>
      </c>
      <c r="L110" s="216">
        <f t="shared" si="43"/>
        <v>0.88966918068859036</v>
      </c>
      <c r="M110" s="216">
        <f t="shared" si="43"/>
        <v>0.95346286958221893</v>
      </c>
      <c r="N110" s="216">
        <f t="shared" si="43"/>
        <v>1.0364130026634422</v>
      </c>
      <c r="O110" s="216">
        <f t="shared" si="43"/>
        <v>1.1974463114940319</v>
      </c>
      <c r="P110" s="216" t="e">
        <f t="shared" si="43"/>
        <v>#DIV/0!</v>
      </c>
      <c r="Q110" s="216" t="e">
        <f t="shared" si="43"/>
        <v>#DIV/0!</v>
      </c>
      <c r="R110" s="216" t="e">
        <f t="shared" si="43"/>
        <v>#DIV/0!</v>
      </c>
      <c r="S110" s="216" t="e">
        <f t="shared" si="43"/>
        <v>#DIV/0!</v>
      </c>
      <c r="T110" s="216" t="e">
        <f t="shared" si="43"/>
        <v>#DIV/0!</v>
      </c>
      <c r="U110" s="216" t="e">
        <f t="shared" si="43"/>
        <v>#DIV/0!</v>
      </c>
      <c r="V110" s="216" t="e">
        <f t="shared" si="43"/>
        <v>#DIV/0!</v>
      </c>
      <c r="W110" s="216" t="e">
        <f t="shared" si="43"/>
        <v>#DIV/0!</v>
      </c>
      <c r="X110" s="216" t="e">
        <f t="shared" si="43"/>
        <v>#DIV/0!</v>
      </c>
      <c r="Y110" s="216" t="e">
        <f t="shared" si="43"/>
        <v>#DIV/0!</v>
      </c>
      <c r="Z110" s="216" t="e">
        <f t="shared" si="43"/>
        <v>#DIV/0!</v>
      </c>
      <c r="AA110" s="216" t="e">
        <f t="shared" si="43"/>
        <v>#DIV/0!</v>
      </c>
      <c r="AB110" s="216" t="e">
        <f t="shared" si="43"/>
        <v>#DIV/0!</v>
      </c>
      <c r="AC110" s="216" t="e">
        <f t="shared" si="43"/>
        <v>#DIV/0!</v>
      </c>
      <c r="AD110" s="216" t="e">
        <f t="shared" si="43"/>
        <v>#DIV/0!</v>
      </c>
      <c r="AE110" s="216" t="e">
        <f t="shared" si="43"/>
        <v>#DIV/0!</v>
      </c>
      <c r="AF110" s="216" t="e">
        <f t="shared" si="43"/>
        <v>#DIV/0!</v>
      </c>
      <c r="AG110" s="216" t="e">
        <f t="shared" si="43"/>
        <v>#DIV/0!</v>
      </c>
      <c r="AH110" s="216" t="e">
        <f t="shared" si="43"/>
        <v>#DIV/0!</v>
      </c>
    </row>
    <row r="111" spans="1:34" x14ac:dyDescent="0.25">
      <c r="A111" s="205" t="s">
        <v>117</v>
      </c>
      <c r="B111" s="206" t="s">
        <v>67</v>
      </c>
      <c r="C111" s="216">
        <f>AVERAGE(D110:O110)</f>
        <v>0.7098460578716338</v>
      </c>
      <c r="D111" s="217"/>
      <c r="E111" s="217"/>
      <c r="F111" s="217"/>
      <c r="G111" s="217"/>
      <c r="H111" s="217"/>
      <c r="I111" s="217"/>
      <c r="J111" s="217"/>
      <c r="K111" s="217"/>
      <c r="L111" s="217"/>
      <c r="M111" s="217"/>
      <c r="N111" s="217"/>
      <c r="O111" s="217"/>
      <c r="P111" s="217"/>
      <c r="Q111" s="217"/>
      <c r="R111" s="217"/>
      <c r="S111" s="217"/>
      <c r="T111" s="217"/>
      <c r="U111" s="217"/>
      <c r="V111" s="217"/>
      <c r="W111" s="217"/>
      <c r="X111" s="217"/>
      <c r="Y111" s="217"/>
      <c r="Z111" s="217"/>
      <c r="AA111" s="217"/>
      <c r="AB111" s="217"/>
      <c r="AC111" s="217"/>
      <c r="AD111" s="217"/>
      <c r="AE111" s="217"/>
      <c r="AF111" s="217"/>
      <c r="AG111" s="217"/>
      <c r="AH111" s="217"/>
    </row>
    <row r="112" spans="1:34" x14ac:dyDescent="0.25">
      <c r="A112" s="205" t="s">
        <v>118</v>
      </c>
      <c r="B112" s="206" t="s">
        <v>67</v>
      </c>
      <c r="C112" s="216" t="e">
        <f t="shared" ref="C112:AH112" si="44">(C102+C71*$C16+C70)/(C70+C71*$C16)</f>
        <v>#DIV/0!</v>
      </c>
      <c r="D112" s="216">
        <f t="shared" si="44"/>
        <v>0.17747329739235235</v>
      </c>
      <c r="E112" s="216">
        <f t="shared" si="44"/>
        <v>0.16940632932906355</v>
      </c>
      <c r="F112" s="216">
        <f t="shared" si="44"/>
        <v>0.50746609587633151</v>
      </c>
      <c r="G112" s="216">
        <f t="shared" si="44"/>
        <v>0.60287542238385106</v>
      </c>
      <c r="H112" s="216">
        <f t="shared" si="44"/>
        <v>0.65845164851903148</v>
      </c>
      <c r="I112" s="216">
        <f t="shared" si="44"/>
        <v>0.70125198159371371</v>
      </c>
      <c r="J112" s="216">
        <f t="shared" si="44"/>
        <v>0.7831684702041336</v>
      </c>
      <c r="K112" s="216">
        <f t="shared" si="44"/>
        <v>0.84106808473284378</v>
      </c>
      <c r="L112" s="216">
        <f t="shared" si="44"/>
        <v>0.88966918068859036</v>
      </c>
      <c r="M112" s="216">
        <f t="shared" si="44"/>
        <v>0.95346286958221893</v>
      </c>
      <c r="N112" s="216">
        <f t="shared" si="44"/>
        <v>1.0364130026634422</v>
      </c>
      <c r="O112" s="216">
        <f t="shared" si="44"/>
        <v>1.1974463114940319</v>
      </c>
      <c r="P112" s="216" t="e">
        <f t="shared" si="44"/>
        <v>#DIV/0!</v>
      </c>
      <c r="Q112" s="216" t="e">
        <f t="shared" si="44"/>
        <v>#DIV/0!</v>
      </c>
      <c r="R112" s="216" t="e">
        <f t="shared" si="44"/>
        <v>#DIV/0!</v>
      </c>
      <c r="S112" s="216" t="e">
        <f t="shared" si="44"/>
        <v>#DIV/0!</v>
      </c>
      <c r="T112" s="216" t="e">
        <f t="shared" si="44"/>
        <v>#DIV/0!</v>
      </c>
      <c r="U112" s="216" t="e">
        <f t="shared" si="44"/>
        <v>#DIV/0!</v>
      </c>
      <c r="V112" s="216" t="e">
        <f t="shared" si="44"/>
        <v>#DIV/0!</v>
      </c>
      <c r="W112" s="216" t="e">
        <f t="shared" si="44"/>
        <v>#DIV/0!</v>
      </c>
      <c r="X112" s="216" t="e">
        <f t="shared" si="44"/>
        <v>#DIV/0!</v>
      </c>
      <c r="Y112" s="216" t="e">
        <f t="shared" si="44"/>
        <v>#DIV/0!</v>
      </c>
      <c r="Z112" s="216" t="e">
        <f t="shared" si="44"/>
        <v>#DIV/0!</v>
      </c>
      <c r="AA112" s="216" t="e">
        <f t="shared" si="44"/>
        <v>#DIV/0!</v>
      </c>
      <c r="AB112" s="216" t="e">
        <f t="shared" si="44"/>
        <v>#DIV/0!</v>
      </c>
      <c r="AC112" s="216" t="e">
        <f t="shared" si="44"/>
        <v>#DIV/0!</v>
      </c>
      <c r="AD112" s="216" t="e">
        <f t="shared" si="44"/>
        <v>#DIV/0!</v>
      </c>
      <c r="AE112" s="216" t="e">
        <f t="shared" si="44"/>
        <v>#DIV/0!</v>
      </c>
      <c r="AF112" s="216" t="e">
        <f t="shared" si="44"/>
        <v>#DIV/0!</v>
      </c>
      <c r="AG112" s="216" t="e">
        <f t="shared" si="44"/>
        <v>#DIV/0!</v>
      </c>
      <c r="AH112" s="216" t="e">
        <f t="shared" si="44"/>
        <v>#DIV/0!</v>
      </c>
    </row>
    <row r="113" spans="1:34" x14ac:dyDescent="0.25">
      <c r="A113" s="205" t="s">
        <v>119</v>
      </c>
      <c r="B113" s="206" t="s">
        <v>67</v>
      </c>
      <c r="C113" s="216">
        <f>AVERAGE(D112:O112)</f>
        <v>0.7098460578716338</v>
      </c>
      <c r="D113" s="217"/>
      <c r="E113" s="217"/>
      <c r="F113" s="217"/>
      <c r="G113" s="217"/>
      <c r="H113" s="217"/>
      <c r="I113" s="217"/>
      <c r="J113" s="217"/>
      <c r="K113" s="217"/>
      <c r="L113" s="217"/>
      <c r="M113" s="217"/>
      <c r="N113" s="217"/>
      <c r="O113" s="217"/>
      <c r="P113" s="217"/>
      <c r="Q113" s="217"/>
      <c r="R113" s="217"/>
      <c r="S113" s="217"/>
      <c r="T113" s="217"/>
      <c r="U113" s="217"/>
      <c r="V113" s="217"/>
      <c r="W113" s="217"/>
      <c r="X113" s="217"/>
      <c r="Y113" s="217"/>
      <c r="Z113" s="217"/>
      <c r="AA113" s="217"/>
      <c r="AB113" s="217"/>
      <c r="AC113" s="217"/>
      <c r="AD113" s="217"/>
      <c r="AE113" s="217"/>
      <c r="AF113" s="217"/>
      <c r="AG113" s="217"/>
      <c r="AH113" s="217"/>
    </row>
    <row r="114" spans="1:34" s="21" customFormat="1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</row>
  </sheetData>
  <mergeCells count="4">
    <mergeCell ref="B20:B21"/>
    <mergeCell ref="D20:I20"/>
    <mergeCell ref="A64:A65"/>
    <mergeCell ref="A66:A67"/>
  </mergeCell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2F6C4-30B0-4813-B48A-0F36BAB570F0}">
  <dimension ref="A1:BV114"/>
  <sheetViews>
    <sheetView topLeftCell="A37" zoomScale="50" zoomScaleNormal="50" workbookViewId="0">
      <selection activeCell="C66" sqref="C66"/>
    </sheetView>
  </sheetViews>
  <sheetFormatPr defaultColWidth="9.140625" defaultRowHeight="15" x14ac:dyDescent="0.25"/>
  <cols>
    <col min="1" max="1" width="72.85546875" style="11" customWidth="1"/>
    <col min="2" max="2" width="21.28515625" style="11" customWidth="1"/>
    <col min="3" max="3" width="19.85546875" style="11" customWidth="1"/>
    <col min="4" max="4" width="20.7109375" style="11" customWidth="1"/>
    <col min="5" max="34" width="15.7109375" style="11" customWidth="1"/>
    <col min="35" max="16384" width="9.140625" style="11"/>
  </cols>
  <sheetData>
    <row r="1" spans="1:34" x14ac:dyDescent="0.25">
      <c r="A1" s="46" t="s">
        <v>41</v>
      </c>
      <c r="B1" s="46"/>
      <c r="C1" s="46"/>
      <c r="D1" s="46"/>
      <c r="E1" s="46" t="s">
        <v>2</v>
      </c>
      <c r="F1" s="265" t="s">
        <v>3</v>
      </c>
      <c r="G1" s="265" t="s">
        <v>4</v>
      </c>
      <c r="H1" s="265" t="s">
        <v>5</v>
      </c>
      <c r="I1" s="265" t="s">
        <v>6</v>
      </c>
      <c r="J1" s="48" t="s">
        <v>7</v>
      </c>
      <c r="K1" s="48" t="s">
        <v>16</v>
      </c>
      <c r="L1" s="48" t="s">
        <v>17</v>
      </c>
      <c r="M1" s="48" t="s">
        <v>18</v>
      </c>
      <c r="N1" s="48" t="s">
        <v>19</v>
      </c>
      <c r="O1" s="48" t="s">
        <v>20</v>
      </c>
      <c r="P1" s="48" t="s">
        <v>21</v>
      </c>
      <c r="Q1" s="48" t="s">
        <v>22</v>
      </c>
      <c r="R1" s="48" t="s">
        <v>23</v>
      </c>
      <c r="S1" s="48" t="s">
        <v>24</v>
      </c>
      <c r="T1" s="48" t="s">
        <v>25</v>
      </c>
      <c r="U1" s="48" t="s">
        <v>26</v>
      </c>
      <c r="V1" s="48" t="s">
        <v>27</v>
      </c>
      <c r="W1" s="48" t="s">
        <v>28</v>
      </c>
      <c r="X1" s="48" t="s">
        <v>29</v>
      </c>
      <c r="Y1" s="48" t="s">
        <v>30</v>
      </c>
      <c r="Z1" s="48" t="s">
        <v>31</v>
      </c>
      <c r="AA1" s="48" t="s">
        <v>32</v>
      </c>
      <c r="AB1" s="48" t="s">
        <v>33</v>
      </c>
      <c r="AC1" s="48" t="s">
        <v>34</v>
      </c>
      <c r="AD1" s="48" t="s">
        <v>35</v>
      </c>
      <c r="AE1" s="48" t="s">
        <v>143</v>
      </c>
      <c r="AF1" s="48" t="s">
        <v>144</v>
      </c>
      <c r="AG1" s="48" t="s">
        <v>145</v>
      </c>
      <c r="AH1" s="48" t="s">
        <v>146</v>
      </c>
    </row>
    <row r="2" spans="1:34" ht="49.5" customHeight="1" x14ac:dyDescent="0.25">
      <c r="A2" s="9" t="s">
        <v>38</v>
      </c>
      <c r="C2" s="153" t="s">
        <v>75</v>
      </c>
      <c r="D2" s="14"/>
      <c r="E2" s="4" t="s">
        <v>74</v>
      </c>
    </row>
    <row r="3" spans="1:34" x14ac:dyDescent="0.25">
      <c r="A3" s="11" t="s">
        <v>131</v>
      </c>
      <c r="B3" s="267">
        <v>0.1</v>
      </c>
      <c r="C3" s="268">
        <f>(((49250000/1800)*300))/6</f>
        <v>1368055.5555555555</v>
      </c>
      <c r="D3" s="13"/>
      <c r="E3" s="13">
        <f>C3/(Interventions!E6+Interventions!E7)</f>
        <v>45.454730042281668</v>
      </c>
    </row>
    <row r="5" spans="1:34" x14ac:dyDescent="0.25">
      <c r="A5" s="9" t="s">
        <v>39</v>
      </c>
      <c r="C5" s="55"/>
      <c r="D5" s="55"/>
    </row>
    <row r="6" spans="1:34" x14ac:dyDescent="0.25">
      <c r="A6" s="11" t="s">
        <v>43</v>
      </c>
      <c r="B6" s="219">
        <v>0.04</v>
      </c>
    </row>
    <row r="7" spans="1:34" x14ac:dyDescent="0.25">
      <c r="A7" s="11" t="s">
        <v>40</v>
      </c>
      <c r="B7"/>
      <c r="C7" s="15">
        <v>0</v>
      </c>
      <c r="D7" s="15">
        <v>1</v>
      </c>
      <c r="E7" s="15">
        <v>2</v>
      </c>
      <c r="F7" s="15">
        <v>3</v>
      </c>
      <c r="G7" s="15">
        <v>4</v>
      </c>
      <c r="H7" s="15">
        <v>5</v>
      </c>
      <c r="I7" s="15">
        <v>6</v>
      </c>
      <c r="J7" s="15">
        <v>7</v>
      </c>
      <c r="K7" s="15">
        <v>8</v>
      </c>
      <c r="L7" s="15">
        <v>9</v>
      </c>
      <c r="M7" s="15">
        <v>10</v>
      </c>
      <c r="N7" s="15">
        <v>11</v>
      </c>
      <c r="O7" s="15">
        <v>12</v>
      </c>
      <c r="P7" s="15">
        <v>13</v>
      </c>
      <c r="Q7" s="15">
        <v>14</v>
      </c>
      <c r="R7" s="15">
        <v>15</v>
      </c>
      <c r="S7" s="15">
        <v>16</v>
      </c>
      <c r="T7" s="15">
        <v>17</v>
      </c>
      <c r="U7" s="15">
        <v>18</v>
      </c>
      <c r="V7" s="15">
        <v>19</v>
      </c>
      <c r="W7" s="15">
        <v>20</v>
      </c>
      <c r="X7" s="15">
        <v>21</v>
      </c>
      <c r="Y7" s="15">
        <v>22</v>
      </c>
      <c r="Z7" s="15">
        <v>23</v>
      </c>
      <c r="AA7" s="15">
        <v>24</v>
      </c>
      <c r="AB7" s="15">
        <v>25</v>
      </c>
      <c r="AC7" s="15">
        <v>26</v>
      </c>
      <c r="AD7" s="15">
        <v>27</v>
      </c>
      <c r="AE7" s="15">
        <v>28</v>
      </c>
      <c r="AF7" s="15">
        <v>29</v>
      </c>
      <c r="AG7" s="15">
        <v>30</v>
      </c>
      <c r="AH7" s="15">
        <v>31</v>
      </c>
    </row>
    <row r="8" spans="1:34" x14ac:dyDescent="0.25">
      <c r="A8" s="11" t="s">
        <v>45</v>
      </c>
      <c r="B8"/>
      <c r="C8" s="49">
        <f>1/((1+$B$6)^C7)</f>
        <v>1</v>
      </c>
      <c r="D8" s="49">
        <f>1*((1-$B$6)^D7)</f>
        <v>0.96</v>
      </c>
      <c r="E8" s="49">
        <f t="shared" ref="E8:AH8" si="0">1*((1-$B$6)^E7)</f>
        <v>0.92159999999999997</v>
      </c>
      <c r="F8" s="49">
        <f t="shared" si="0"/>
        <v>0.88473599999999997</v>
      </c>
      <c r="G8" s="49">
        <f t="shared" si="0"/>
        <v>0.84934655999999997</v>
      </c>
      <c r="H8" s="49">
        <f t="shared" si="0"/>
        <v>0.81537269759999997</v>
      </c>
      <c r="I8" s="49">
        <f t="shared" si="0"/>
        <v>0.78275778969599996</v>
      </c>
      <c r="J8" s="49">
        <f t="shared" si="0"/>
        <v>0.75144747810815993</v>
      </c>
      <c r="K8" s="49">
        <f t="shared" si="0"/>
        <v>0.7213895789838336</v>
      </c>
      <c r="L8" s="49">
        <f t="shared" si="0"/>
        <v>0.69253399582448028</v>
      </c>
      <c r="M8" s="49">
        <f t="shared" si="0"/>
        <v>0.664832635991501</v>
      </c>
      <c r="N8" s="49">
        <f t="shared" si="0"/>
        <v>0.63823933055184101</v>
      </c>
      <c r="O8" s="49">
        <f t="shared" si="0"/>
        <v>0.61270975732976729</v>
      </c>
      <c r="P8" s="49">
        <f t="shared" si="0"/>
        <v>0.58820136703657666</v>
      </c>
      <c r="Q8" s="49">
        <f t="shared" si="0"/>
        <v>0.56467331235511353</v>
      </c>
      <c r="R8" s="49">
        <f t="shared" si="0"/>
        <v>0.54208637986090902</v>
      </c>
      <c r="S8" s="49">
        <f t="shared" si="0"/>
        <v>0.52040292466647264</v>
      </c>
      <c r="T8" s="49">
        <f t="shared" si="0"/>
        <v>0.49958680767981373</v>
      </c>
      <c r="U8" s="49">
        <f t="shared" si="0"/>
        <v>0.47960333537262118</v>
      </c>
      <c r="V8" s="49">
        <f t="shared" si="0"/>
        <v>0.46041920195771635</v>
      </c>
      <c r="W8" s="49">
        <f t="shared" si="0"/>
        <v>0.44200243387940769</v>
      </c>
      <c r="X8" s="49">
        <f t="shared" si="0"/>
        <v>0.42432233652423135</v>
      </c>
      <c r="Y8" s="49">
        <f t="shared" si="0"/>
        <v>0.4073494430632621</v>
      </c>
      <c r="Z8" s="49">
        <f t="shared" si="0"/>
        <v>0.3910554653407316</v>
      </c>
      <c r="AA8" s="49">
        <f t="shared" si="0"/>
        <v>0.37541324672710236</v>
      </c>
      <c r="AB8" s="49">
        <f t="shared" si="0"/>
        <v>0.36039671685801827</v>
      </c>
      <c r="AC8" s="49">
        <f t="shared" si="0"/>
        <v>0.34598084818369751</v>
      </c>
      <c r="AD8" s="49">
        <f t="shared" si="0"/>
        <v>0.33214161425634964</v>
      </c>
      <c r="AE8" s="49">
        <f t="shared" si="0"/>
        <v>0.3188559496860956</v>
      </c>
      <c r="AF8" s="49">
        <f t="shared" si="0"/>
        <v>0.30610171169865186</v>
      </c>
      <c r="AG8" s="49">
        <f t="shared" si="0"/>
        <v>0.29385764323070573</v>
      </c>
      <c r="AH8" s="49">
        <f t="shared" si="0"/>
        <v>0.28210333750147754</v>
      </c>
    </row>
    <row r="9" spans="1:34" x14ac:dyDescent="0.25">
      <c r="A9" s="11" t="s">
        <v>44</v>
      </c>
      <c r="B9" s="219">
        <v>0</v>
      </c>
    </row>
    <row r="10" spans="1:34" x14ac:dyDescent="0.25">
      <c r="A10" s="11" t="s">
        <v>46</v>
      </c>
      <c r="B10"/>
      <c r="C10" s="49">
        <f>1/((1+$B$6)^C9)</f>
        <v>1</v>
      </c>
      <c r="D10" s="49">
        <f>1*((1-$B$9)^D7)</f>
        <v>1</v>
      </c>
      <c r="E10" s="49">
        <f>1*((1-$B$9)^E7)</f>
        <v>1</v>
      </c>
      <c r="F10" s="49">
        <f t="shared" ref="F10:AH10" si="1">1*((1-$B$9)^F7)</f>
        <v>1</v>
      </c>
      <c r="G10" s="49">
        <f t="shared" si="1"/>
        <v>1</v>
      </c>
      <c r="H10" s="49">
        <f t="shared" si="1"/>
        <v>1</v>
      </c>
      <c r="I10" s="49">
        <f t="shared" si="1"/>
        <v>1</v>
      </c>
      <c r="J10" s="49">
        <f t="shared" si="1"/>
        <v>1</v>
      </c>
      <c r="K10" s="49">
        <f t="shared" si="1"/>
        <v>1</v>
      </c>
      <c r="L10" s="49">
        <f t="shared" si="1"/>
        <v>1</v>
      </c>
      <c r="M10" s="49">
        <f t="shared" si="1"/>
        <v>1</v>
      </c>
      <c r="N10" s="49">
        <f t="shared" si="1"/>
        <v>1</v>
      </c>
      <c r="O10" s="49">
        <f t="shared" si="1"/>
        <v>1</v>
      </c>
      <c r="P10" s="49">
        <f t="shared" si="1"/>
        <v>1</v>
      </c>
      <c r="Q10" s="49">
        <f t="shared" si="1"/>
        <v>1</v>
      </c>
      <c r="R10" s="49">
        <f t="shared" si="1"/>
        <v>1</v>
      </c>
      <c r="S10" s="49">
        <f t="shared" si="1"/>
        <v>1</v>
      </c>
      <c r="T10" s="49">
        <f t="shared" si="1"/>
        <v>1</v>
      </c>
      <c r="U10" s="49">
        <f t="shared" si="1"/>
        <v>1</v>
      </c>
      <c r="V10" s="49">
        <f t="shared" si="1"/>
        <v>1</v>
      </c>
      <c r="W10" s="49">
        <f t="shared" si="1"/>
        <v>1</v>
      </c>
      <c r="X10" s="49">
        <f t="shared" si="1"/>
        <v>1</v>
      </c>
      <c r="Y10" s="49">
        <f t="shared" si="1"/>
        <v>1</v>
      </c>
      <c r="Z10" s="49">
        <f t="shared" si="1"/>
        <v>1</v>
      </c>
      <c r="AA10" s="49">
        <f t="shared" si="1"/>
        <v>1</v>
      </c>
      <c r="AB10" s="49">
        <f t="shared" si="1"/>
        <v>1</v>
      </c>
      <c r="AC10" s="49">
        <f t="shared" si="1"/>
        <v>1</v>
      </c>
      <c r="AD10" s="49">
        <f t="shared" si="1"/>
        <v>1</v>
      </c>
      <c r="AE10" s="49">
        <f t="shared" si="1"/>
        <v>1</v>
      </c>
      <c r="AF10" s="49">
        <f t="shared" si="1"/>
        <v>1</v>
      </c>
      <c r="AG10" s="49">
        <f t="shared" si="1"/>
        <v>1</v>
      </c>
      <c r="AH10" s="49">
        <f t="shared" si="1"/>
        <v>1</v>
      </c>
    </row>
    <row r="11" spans="1:34" x14ac:dyDescent="0.25">
      <c r="B11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</row>
    <row r="12" spans="1:34" x14ac:dyDescent="0.25">
      <c r="A12" s="149" t="s">
        <v>52</v>
      </c>
      <c r="B12" s="271">
        <v>5</v>
      </c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</row>
    <row r="13" spans="1:34" x14ac:dyDescent="0.25">
      <c r="A13" s="149" t="s">
        <v>53</v>
      </c>
      <c r="B13" s="271">
        <v>3</v>
      </c>
      <c r="D13" s="124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</row>
    <row r="14" spans="1:34" x14ac:dyDescent="0.25">
      <c r="A14" s="149" t="s">
        <v>110</v>
      </c>
      <c r="B14" s="273">
        <v>0.04</v>
      </c>
      <c r="D14" s="124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</row>
    <row r="15" spans="1:34" x14ac:dyDescent="0.25">
      <c r="A15" s="149" t="s">
        <v>111</v>
      </c>
      <c r="B15" s="273">
        <v>0.04</v>
      </c>
      <c r="C15" s="215">
        <f>B15/B14</f>
        <v>1</v>
      </c>
      <c r="D15" s="124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</row>
    <row r="16" spans="1:34" x14ac:dyDescent="0.25">
      <c r="A16" s="149" t="s">
        <v>112</v>
      </c>
      <c r="B16" s="273">
        <v>0.04</v>
      </c>
      <c r="C16" s="215">
        <f>B16/B14</f>
        <v>1</v>
      </c>
      <c r="D16" s="124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</row>
    <row r="17" spans="1:34" x14ac:dyDescent="0.25">
      <c r="A17" s="147" t="s">
        <v>106</v>
      </c>
      <c r="B17" s="272">
        <v>0.6</v>
      </c>
      <c r="D17" s="100"/>
      <c r="E17" s="100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</row>
    <row r="18" spans="1:34" x14ac:dyDescent="0.25">
      <c r="D18" s="125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</row>
    <row r="19" spans="1:34" ht="15.75" thickBot="1" x14ac:dyDescent="0.3"/>
    <row r="20" spans="1:34" x14ac:dyDescent="0.25">
      <c r="B20" s="300" t="s">
        <v>13</v>
      </c>
      <c r="C20" s="110"/>
      <c r="D20" s="301" t="s">
        <v>1</v>
      </c>
      <c r="E20" s="302"/>
      <c r="F20" s="302"/>
      <c r="G20" s="302"/>
      <c r="H20" s="302"/>
      <c r="I20" s="303"/>
      <c r="J20" s="50"/>
    </row>
    <row r="21" spans="1:34" x14ac:dyDescent="0.25">
      <c r="B21" s="300"/>
      <c r="C21" s="111"/>
      <c r="D21" s="46">
        <v>1</v>
      </c>
      <c r="E21" s="265">
        <v>2</v>
      </c>
      <c r="F21" s="46">
        <v>3</v>
      </c>
      <c r="G21" s="265">
        <v>4</v>
      </c>
      <c r="H21" s="46">
        <v>5</v>
      </c>
      <c r="I21" s="265">
        <v>6</v>
      </c>
      <c r="J21" s="46">
        <v>7</v>
      </c>
      <c r="K21" s="265">
        <v>8</v>
      </c>
      <c r="L21" s="46">
        <v>9</v>
      </c>
      <c r="M21" s="265">
        <v>10</v>
      </c>
      <c r="N21" s="46">
        <v>11</v>
      </c>
      <c r="O21" s="265">
        <v>12</v>
      </c>
      <c r="P21" s="46">
        <v>13</v>
      </c>
      <c r="Q21" s="265">
        <v>14</v>
      </c>
      <c r="R21" s="46">
        <v>15</v>
      </c>
      <c r="S21" s="265">
        <v>16</v>
      </c>
      <c r="T21" s="46">
        <v>17</v>
      </c>
      <c r="U21" s="265">
        <v>18</v>
      </c>
      <c r="V21" s="46">
        <v>19</v>
      </c>
      <c r="W21" s="265">
        <v>20</v>
      </c>
      <c r="X21" s="46">
        <v>21</v>
      </c>
      <c r="Y21" s="265">
        <v>22</v>
      </c>
      <c r="Z21" s="46">
        <v>23</v>
      </c>
      <c r="AA21" s="265">
        <v>24</v>
      </c>
      <c r="AB21" s="46">
        <v>25</v>
      </c>
      <c r="AC21" s="46">
        <v>26</v>
      </c>
      <c r="AD21" s="46">
        <v>27</v>
      </c>
      <c r="AE21" s="46">
        <v>28</v>
      </c>
      <c r="AF21" s="46">
        <v>29</v>
      </c>
      <c r="AG21" s="46">
        <v>30</v>
      </c>
      <c r="AH21" s="46">
        <v>31</v>
      </c>
    </row>
    <row r="22" spans="1:34" x14ac:dyDescent="0.25">
      <c r="B22" s="150"/>
      <c r="C22" s="99">
        <v>44197</v>
      </c>
      <c r="D22" s="99">
        <v>44562</v>
      </c>
      <c r="E22" s="99">
        <v>44927</v>
      </c>
      <c r="F22" s="99">
        <v>45292</v>
      </c>
      <c r="G22" s="99">
        <v>45658</v>
      </c>
      <c r="H22" s="99">
        <v>46023</v>
      </c>
      <c r="I22" s="99">
        <v>46388</v>
      </c>
      <c r="J22" s="99">
        <v>46753</v>
      </c>
      <c r="K22" s="99">
        <v>47119</v>
      </c>
      <c r="L22" s="99">
        <v>47484</v>
      </c>
      <c r="M22" s="99">
        <v>47849</v>
      </c>
      <c r="N22" s="99">
        <v>48214</v>
      </c>
      <c r="O22" s="99">
        <v>48580</v>
      </c>
      <c r="P22" s="99">
        <v>48945</v>
      </c>
      <c r="Q22" s="99">
        <v>49310</v>
      </c>
      <c r="R22" s="99">
        <v>49675</v>
      </c>
      <c r="S22" s="99">
        <v>50041</v>
      </c>
      <c r="T22" s="99">
        <v>50406</v>
      </c>
      <c r="U22" s="99">
        <v>50771</v>
      </c>
      <c r="V22" s="99">
        <v>51136</v>
      </c>
      <c r="W22" s="99">
        <v>51502</v>
      </c>
      <c r="X22" s="99">
        <v>51867</v>
      </c>
      <c r="Y22" s="99">
        <v>52232</v>
      </c>
      <c r="Z22" s="99">
        <v>52597</v>
      </c>
      <c r="AA22" s="99">
        <v>52963</v>
      </c>
      <c r="AB22" s="99">
        <v>53328</v>
      </c>
      <c r="AC22" s="99">
        <v>53693</v>
      </c>
      <c r="AD22" s="99">
        <v>54058</v>
      </c>
      <c r="AE22" s="99">
        <v>54424</v>
      </c>
      <c r="AF22" s="99">
        <v>54789</v>
      </c>
      <c r="AG22" s="99">
        <v>55154</v>
      </c>
      <c r="AH22" s="99">
        <v>55519</v>
      </c>
    </row>
    <row r="23" spans="1:34" x14ac:dyDescent="0.25">
      <c r="A23" s="140" t="s">
        <v>98</v>
      </c>
      <c r="B23" s="136" t="s">
        <v>12</v>
      </c>
      <c r="C23" s="136">
        <v>1368055.5555555555</v>
      </c>
      <c r="D23" s="136">
        <v>1368055.5555555555</v>
      </c>
      <c r="E23" s="136">
        <v>1368055.5555555555</v>
      </c>
      <c r="F23" s="136">
        <v>1368055.5555555555</v>
      </c>
      <c r="G23" s="136">
        <v>1368055.5555555555</v>
      </c>
      <c r="H23" s="136">
        <v>1368055.5555555555</v>
      </c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</row>
    <row r="24" spans="1:34" x14ac:dyDescent="0.25">
      <c r="A24" s="137" t="s">
        <v>10</v>
      </c>
      <c r="B24" s="138" t="s">
        <v>12</v>
      </c>
      <c r="C24" s="139">
        <f>SUM(C25:C26)</f>
        <v>1368055.5555555555</v>
      </c>
      <c r="D24" s="139">
        <f>SUM(D25:D26)</f>
        <v>1368055.5555555555</v>
      </c>
      <c r="E24" s="139">
        <f t="shared" ref="E24:H24" si="2">SUM(E25:E26)</f>
        <v>1368055.5555555555</v>
      </c>
      <c r="F24" s="139">
        <f t="shared" si="2"/>
        <v>1368055.5555555555</v>
      </c>
      <c r="G24" s="139">
        <f t="shared" si="2"/>
        <v>1368055.5555555555</v>
      </c>
      <c r="H24" s="139">
        <f t="shared" si="2"/>
        <v>1368055.5555555555</v>
      </c>
      <c r="I24" s="139">
        <f>I26</f>
        <v>595823.85957920738</v>
      </c>
      <c r="J24" s="139">
        <f t="shared" ref="J24:AH24" si="3">J26</f>
        <v>595823.85957920738</v>
      </c>
      <c r="K24" s="139">
        <f t="shared" si="3"/>
        <v>595823.85957920738</v>
      </c>
      <c r="L24" s="139">
        <f t="shared" si="3"/>
        <v>595823.85957920738</v>
      </c>
      <c r="M24" s="139">
        <f t="shared" si="3"/>
        <v>595823.85957920738</v>
      </c>
      <c r="N24" s="139">
        <f t="shared" si="3"/>
        <v>595823.85957920738</v>
      </c>
      <c r="O24" s="139">
        <f t="shared" si="3"/>
        <v>595823.85957920738</v>
      </c>
      <c r="P24" s="139">
        <f t="shared" si="3"/>
        <v>595823.85957920738</v>
      </c>
      <c r="Q24" s="139">
        <f t="shared" si="3"/>
        <v>595823.85957920738</v>
      </c>
      <c r="R24" s="139">
        <f t="shared" si="3"/>
        <v>595823.85957920738</v>
      </c>
      <c r="S24" s="139">
        <f t="shared" si="3"/>
        <v>595823.85957920738</v>
      </c>
      <c r="T24" s="139">
        <f t="shared" si="3"/>
        <v>595823.85957920738</v>
      </c>
      <c r="U24" s="139">
        <f t="shared" si="3"/>
        <v>595823.85957920738</v>
      </c>
      <c r="V24" s="139">
        <f t="shared" si="3"/>
        <v>595823.85957920738</v>
      </c>
      <c r="W24" s="139">
        <f t="shared" si="3"/>
        <v>595823.85957920738</v>
      </c>
      <c r="X24" s="139">
        <f t="shared" si="3"/>
        <v>595823.85957920738</v>
      </c>
      <c r="Y24" s="139">
        <f t="shared" si="3"/>
        <v>595823.85957920738</v>
      </c>
      <c r="Z24" s="139">
        <f t="shared" si="3"/>
        <v>595823.85957920738</v>
      </c>
      <c r="AA24" s="139">
        <f t="shared" si="3"/>
        <v>595823.85957920738</v>
      </c>
      <c r="AB24" s="139">
        <f t="shared" si="3"/>
        <v>595823.85957920738</v>
      </c>
      <c r="AC24" s="139">
        <f t="shared" si="3"/>
        <v>595823.85957920738</v>
      </c>
      <c r="AD24" s="139">
        <f t="shared" si="3"/>
        <v>471455.17271052051</v>
      </c>
      <c r="AE24" s="139">
        <f t="shared" si="3"/>
        <v>358392.73010262335</v>
      </c>
      <c r="AF24" s="139">
        <f t="shared" si="3"/>
        <v>255608.69136817136</v>
      </c>
      <c r="AG24" s="139">
        <f t="shared" si="3"/>
        <v>162168.65615503321</v>
      </c>
      <c r="AH24" s="139">
        <f t="shared" si="3"/>
        <v>77223.169597634886</v>
      </c>
    </row>
    <row r="25" spans="1:34" ht="14.45" customHeight="1" x14ac:dyDescent="0.25">
      <c r="A25" s="22" t="s">
        <v>136</v>
      </c>
      <c r="B25" s="23" t="s">
        <v>12</v>
      </c>
      <c r="C25" s="24">
        <f>C23</f>
        <v>1368055.5555555555</v>
      </c>
      <c r="D25" s="24">
        <f>D23-D26</f>
        <v>1243686.8686868686</v>
      </c>
      <c r="E25" s="24">
        <f t="shared" ref="E25:H25" si="4">E23-E26</f>
        <v>1130624.4260789715</v>
      </c>
      <c r="F25" s="24">
        <f t="shared" si="4"/>
        <v>1027840.3873445195</v>
      </c>
      <c r="G25" s="24">
        <f t="shared" si="4"/>
        <v>934400.3521313814</v>
      </c>
      <c r="H25" s="24">
        <f t="shared" si="4"/>
        <v>849454.86557398294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4">
        <v>0</v>
      </c>
      <c r="AG25" s="24">
        <v>0</v>
      </c>
      <c r="AH25" s="24">
        <v>0</v>
      </c>
    </row>
    <row r="26" spans="1:34" x14ac:dyDescent="0.25">
      <c r="A26" s="25" t="s">
        <v>15</v>
      </c>
      <c r="B26" s="26" t="s">
        <v>12</v>
      </c>
      <c r="C26" s="112"/>
      <c r="D26" s="27">
        <f>C28*(Interventions!$G$7)</f>
        <v>124368.68686868688</v>
      </c>
      <c r="E26" s="27">
        <f>D28*(Interventions!$G$7)</f>
        <v>237431.12947658403</v>
      </c>
      <c r="F26" s="27">
        <f>E28*(Interventions!$G$7)</f>
        <v>340215.16821103601</v>
      </c>
      <c r="G26" s="27">
        <f>F28*(Interventions!$G$7)</f>
        <v>433655.20342417416</v>
      </c>
      <c r="H26" s="27">
        <f>G28*(Interventions!$G$7)</f>
        <v>518600.6899815725</v>
      </c>
      <c r="I26" s="27">
        <f>H28*(Interventions!$G$7)</f>
        <v>595823.85957920738</v>
      </c>
      <c r="J26" s="27">
        <f>I28*(Interventions!$G$7)</f>
        <v>595823.85957920738</v>
      </c>
      <c r="K26" s="27">
        <f>J28*(Interventions!$G$7)</f>
        <v>595823.85957920738</v>
      </c>
      <c r="L26" s="27">
        <f>K28*(Interventions!$G$7)</f>
        <v>595823.85957920738</v>
      </c>
      <c r="M26" s="27">
        <f>L28*(Interventions!$G$7)</f>
        <v>595823.85957920738</v>
      </c>
      <c r="N26" s="27">
        <f>M28*(Interventions!$G$7)</f>
        <v>595823.85957920738</v>
      </c>
      <c r="O26" s="27">
        <f>N28*(Interventions!$G$7)</f>
        <v>595823.85957920738</v>
      </c>
      <c r="P26" s="27">
        <f>O28*(Interventions!$G$7)</f>
        <v>595823.85957920738</v>
      </c>
      <c r="Q26" s="27">
        <f>P28*(Interventions!$G$7)</f>
        <v>595823.85957920738</v>
      </c>
      <c r="R26" s="27">
        <f>Q28*(Interventions!$G$7)</f>
        <v>595823.85957920738</v>
      </c>
      <c r="S26" s="27">
        <f>R28*(Interventions!$G$7)</f>
        <v>595823.85957920738</v>
      </c>
      <c r="T26" s="27">
        <f>S28*(Interventions!$G$7)</f>
        <v>595823.85957920738</v>
      </c>
      <c r="U26" s="27">
        <f>T28*(Interventions!$G$7)</f>
        <v>595823.85957920738</v>
      </c>
      <c r="V26" s="27">
        <f>U28*(Interventions!$G$7)</f>
        <v>595823.85957920738</v>
      </c>
      <c r="W26" s="27">
        <f>V28*(Interventions!$G$7)</f>
        <v>595823.85957920738</v>
      </c>
      <c r="X26" s="27">
        <f>W28*(Interventions!$G$7)</f>
        <v>595823.85957920738</v>
      </c>
      <c r="Y26" s="27">
        <f>X28*(Interventions!$G$7)</f>
        <v>595823.85957920738</v>
      </c>
      <c r="Z26" s="27">
        <f>Y28*(Interventions!$G$7)</f>
        <v>595823.85957920738</v>
      </c>
      <c r="AA26" s="27">
        <f>Z28*(Interventions!$G$7)</f>
        <v>595823.85957920738</v>
      </c>
      <c r="AB26" s="27">
        <f>AA28*(Interventions!$G$7)</f>
        <v>595823.85957920738</v>
      </c>
      <c r="AC26" s="27">
        <f>AB28*(Interventions!$G$7)</f>
        <v>595823.85957920738</v>
      </c>
      <c r="AD26" s="27">
        <f>AC28*(Interventions!$G$7)</f>
        <v>471455.17271052051</v>
      </c>
      <c r="AE26" s="27">
        <f>AD28*(Interventions!$G$7)</f>
        <v>358392.73010262335</v>
      </c>
      <c r="AF26" s="27">
        <f>AE28*(Interventions!$G$7)</f>
        <v>255608.69136817136</v>
      </c>
      <c r="AG26" s="27">
        <f>AF28*(Interventions!$G$7)</f>
        <v>162168.65615503321</v>
      </c>
      <c r="AH26" s="27">
        <f>AG28*(Interventions!$G$7)</f>
        <v>77223.169597634886</v>
      </c>
    </row>
    <row r="27" spans="1:34" x14ac:dyDescent="0.25">
      <c r="A27" s="41" t="s">
        <v>147</v>
      </c>
      <c r="B27" s="10" t="s">
        <v>135</v>
      </c>
      <c r="C27" s="45">
        <f>E3</f>
        <v>45.454730042281668</v>
      </c>
      <c r="D27" s="45">
        <f>D25/(Interventions!$G$6+Interventions!$G$7)</f>
        <v>41.322481856619696</v>
      </c>
      <c r="E27" s="45">
        <f>E25/(Interventions!$G$6+Interventions!$G$7)</f>
        <v>37.565892596927</v>
      </c>
      <c r="F27" s="45">
        <f>F25/(Interventions!$G$6+Interventions!$G$7)</f>
        <v>34.150811451751814</v>
      </c>
      <c r="G27" s="45">
        <f>G25/(Interventions!$G$6+Interventions!$G$7)</f>
        <v>31.046192228865287</v>
      </c>
      <c r="H27" s="45">
        <f>H25/(Interventions!$G$6+Interventions!$G$7)</f>
        <v>28.223811117150255</v>
      </c>
      <c r="I27" s="45">
        <f>I25/(Interventions!$G$6+Interventions!$G$7)</f>
        <v>0</v>
      </c>
      <c r="J27" s="45">
        <f>J25/(Interventions!$G$6+Interventions!$G$7)</f>
        <v>0</v>
      </c>
      <c r="K27" s="45">
        <f>K25/(Interventions!$G$6+Interventions!$G$7)</f>
        <v>0</v>
      </c>
      <c r="L27" s="45">
        <f>L25/(Interventions!$G$6+Interventions!$G$7)</f>
        <v>0</v>
      </c>
      <c r="M27" s="45">
        <f>M25/(Interventions!$G$6+Interventions!$G$7)</f>
        <v>0</v>
      </c>
      <c r="N27" s="45">
        <f>N25/(Interventions!$G$6+Interventions!$G$7)</f>
        <v>0</v>
      </c>
      <c r="O27" s="45">
        <f>O25/(Interventions!$G$6+Interventions!$G$7)</f>
        <v>0</v>
      </c>
      <c r="P27" s="45">
        <f>P25/(Interventions!$G$6+Interventions!$G$7)</f>
        <v>0</v>
      </c>
      <c r="Q27" s="45">
        <f>Q25/(Interventions!$G$6+Interventions!$G$7)</f>
        <v>0</v>
      </c>
      <c r="R27" s="45">
        <f>R25/(Interventions!$G$6+Interventions!$G$7)</f>
        <v>0</v>
      </c>
      <c r="S27" s="45">
        <f>S25/(Interventions!$G$6+Interventions!$G$7)</f>
        <v>0</v>
      </c>
      <c r="T27" s="45">
        <f>T25/(Interventions!$G$6+Interventions!$G$7)</f>
        <v>0</v>
      </c>
      <c r="U27" s="45">
        <f>U25/(Interventions!$G$6+Interventions!$G$7)</f>
        <v>0</v>
      </c>
      <c r="V27" s="45">
        <f>V25/(Interventions!$G$6+Interventions!$G$7)</f>
        <v>0</v>
      </c>
      <c r="W27" s="45">
        <f>W25/(Interventions!$G$6+Interventions!$G$7)</f>
        <v>0</v>
      </c>
      <c r="X27" s="45">
        <f>X25/(Interventions!$G$6+Interventions!$G$7)</f>
        <v>0</v>
      </c>
      <c r="Y27" s="45">
        <f>Y25/(Interventions!$G$6+Interventions!$G$7)</f>
        <v>0</v>
      </c>
      <c r="Z27" s="45">
        <f>Z25/(Interventions!$G$6+Interventions!$G$7)</f>
        <v>0</v>
      </c>
      <c r="AA27" s="45">
        <f>AA25/(Interventions!$G$6+Interventions!$G$7)</f>
        <v>0</v>
      </c>
      <c r="AB27" s="45">
        <f>AB25/(Interventions!$G$6+Interventions!$G$7)</f>
        <v>0</v>
      </c>
      <c r="AC27" s="45">
        <f>AC25/(Interventions!$G$6+Interventions!$G$7)</f>
        <v>0</v>
      </c>
      <c r="AD27" s="45">
        <f>AD25/(Interventions!$G$6+Interventions!$G$7)</f>
        <v>0</v>
      </c>
      <c r="AE27" s="45">
        <f>AE25/(Interventions!$G$6+Interventions!$G$7)</f>
        <v>0</v>
      </c>
      <c r="AF27" s="45">
        <f>AF25/(Interventions!$G$6+Interventions!$G$7)</f>
        <v>0</v>
      </c>
      <c r="AG27" s="45">
        <f>AG25/(Interventions!$G$6+Interventions!$G$7)</f>
        <v>0</v>
      </c>
      <c r="AH27" s="45">
        <f>AH25/(Interventions!$G$6+Interventions!$G$7)</f>
        <v>0</v>
      </c>
    </row>
    <row r="28" spans="1:34" x14ac:dyDescent="0.25">
      <c r="A28" s="43" t="s">
        <v>148</v>
      </c>
      <c r="B28" s="10" t="s">
        <v>135</v>
      </c>
      <c r="C28" s="42">
        <f>C27</f>
        <v>45.454730042281668</v>
      </c>
      <c r="D28" s="42">
        <f>C28+D27</f>
        <v>86.777211898901356</v>
      </c>
      <c r="E28" s="42">
        <f t="shared" ref="E28:AB28" si="5">D28+E27</f>
        <v>124.34310449582836</v>
      </c>
      <c r="F28" s="42">
        <f t="shared" si="5"/>
        <v>158.49391594758018</v>
      </c>
      <c r="G28" s="42">
        <f t="shared" si="5"/>
        <v>189.54010817644547</v>
      </c>
      <c r="H28" s="42">
        <f t="shared" si="5"/>
        <v>217.76391929359573</v>
      </c>
      <c r="I28" s="42">
        <f t="shared" si="5"/>
        <v>217.76391929359573</v>
      </c>
      <c r="J28" s="42">
        <f t="shared" si="5"/>
        <v>217.76391929359573</v>
      </c>
      <c r="K28" s="42">
        <f t="shared" si="5"/>
        <v>217.76391929359573</v>
      </c>
      <c r="L28" s="42">
        <f t="shared" si="5"/>
        <v>217.76391929359573</v>
      </c>
      <c r="M28" s="42">
        <f t="shared" si="5"/>
        <v>217.76391929359573</v>
      </c>
      <c r="N28" s="42">
        <f t="shared" si="5"/>
        <v>217.76391929359573</v>
      </c>
      <c r="O28" s="42">
        <f t="shared" si="5"/>
        <v>217.76391929359573</v>
      </c>
      <c r="P28" s="42">
        <f t="shared" si="5"/>
        <v>217.76391929359573</v>
      </c>
      <c r="Q28" s="42">
        <f t="shared" si="5"/>
        <v>217.76391929359573</v>
      </c>
      <c r="R28" s="42">
        <f t="shared" si="5"/>
        <v>217.76391929359573</v>
      </c>
      <c r="S28" s="42">
        <f t="shared" si="5"/>
        <v>217.76391929359573</v>
      </c>
      <c r="T28" s="42">
        <f t="shared" si="5"/>
        <v>217.76391929359573</v>
      </c>
      <c r="U28" s="42">
        <f t="shared" si="5"/>
        <v>217.76391929359573</v>
      </c>
      <c r="V28" s="42">
        <f t="shared" si="5"/>
        <v>217.76391929359573</v>
      </c>
      <c r="W28" s="42">
        <f t="shared" si="5"/>
        <v>217.76391929359573</v>
      </c>
      <c r="X28" s="42">
        <f t="shared" si="5"/>
        <v>217.76391929359573</v>
      </c>
      <c r="Y28" s="42">
        <f t="shared" si="5"/>
        <v>217.76391929359573</v>
      </c>
      <c r="Z28" s="42">
        <f t="shared" si="5"/>
        <v>217.76391929359573</v>
      </c>
      <c r="AA28" s="42">
        <f t="shared" si="5"/>
        <v>217.76391929359573</v>
      </c>
      <c r="AB28" s="42">
        <f t="shared" si="5"/>
        <v>217.76391929359573</v>
      </c>
      <c r="AC28" s="42">
        <f>AB28-C27</f>
        <v>172.30918925131408</v>
      </c>
      <c r="AD28" s="42">
        <f t="shared" ref="AD28:AH28" si="6">AC28-D27</f>
        <v>130.98670739469438</v>
      </c>
      <c r="AE28" s="42">
        <f t="shared" si="6"/>
        <v>93.420814797767378</v>
      </c>
      <c r="AF28" s="42">
        <f t="shared" si="6"/>
        <v>59.270003346015564</v>
      </c>
      <c r="AG28" s="42">
        <f t="shared" si="6"/>
        <v>28.223811117150277</v>
      </c>
      <c r="AH28" s="42">
        <f t="shared" si="6"/>
        <v>0</v>
      </c>
    </row>
    <row r="29" spans="1:34" x14ac:dyDescent="0.25">
      <c r="A29" s="43"/>
      <c r="B29" s="10"/>
      <c r="C29" s="10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31"/>
      <c r="R29" s="31"/>
      <c r="S29" s="31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</row>
    <row r="30" spans="1:34" x14ac:dyDescent="0.25">
      <c r="A30" s="115" t="s">
        <v>152</v>
      </c>
      <c r="B30" s="122" t="s">
        <v>37</v>
      </c>
      <c r="C30" s="116">
        <f>C31+C32</f>
        <v>0</v>
      </c>
      <c r="D30" s="116">
        <f>D31+D32</f>
        <v>173436.63158392152</v>
      </c>
      <c r="E30" s="116">
        <f t="shared" ref="E30:AH30" si="7">E31+E32</f>
        <v>332354.99991290813</v>
      </c>
      <c r="F30" s="116">
        <f t="shared" si="7"/>
        <v>478065.62236896303</v>
      </c>
      <c r="G30" s="116">
        <f t="shared" si="7"/>
        <v>611762.40952060977</v>
      </c>
      <c r="H30" s="116">
        <f t="shared" si="7"/>
        <v>734533.14054905972</v>
      </c>
      <c r="I30" s="116">
        <f t="shared" si="7"/>
        <v>847368.9960834079</v>
      </c>
      <c r="J30" s="116">
        <f t="shared" si="7"/>
        <v>850914.34352271189</v>
      </c>
      <c r="K30" s="116">
        <f t="shared" si="7"/>
        <v>854548.32464799844</v>
      </c>
      <c r="L30" s="116">
        <f t="shared" si="7"/>
        <v>858273.15530141711</v>
      </c>
      <c r="M30" s="116">
        <f t="shared" si="7"/>
        <v>862091.10672117118</v>
      </c>
      <c r="N30" s="116">
        <f t="shared" si="7"/>
        <v>866004.50692641921</v>
      </c>
      <c r="O30" s="116">
        <f t="shared" si="7"/>
        <v>870015.74213679845</v>
      </c>
      <c r="P30" s="116">
        <f t="shared" si="7"/>
        <v>874127.25822743715</v>
      </c>
      <c r="Q30" s="116">
        <f t="shared" si="7"/>
        <v>878341.56222034176</v>
      </c>
      <c r="R30" s="116">
        <f t="shared" si="7"/>
        <v>882661.22381306905</v>
      </c>
      <c r="S30" s="116">
        <f t="shared" si="7"/>
        <v>887088.87694561458</v>
      </c>
      <c r="T30" s="116">
        <f t="shared" si="7"/>
        <v>891627.22140647366</v>
      </c>
      <c r="U30" s="116">
        <f t="shared" si="7"/>
        <v>896279.02447885415</v>
      </c>
      <c r="V30" s="116">
        <f t="shared" si="7"/>
        <v>901047.12262804434</v>
      </c>
      <c r="W30" s="116">
        <f t="shared" si="7"/>
        <v>905934.42323096411</v>
      </c>
      <c r="X30" s="116">
        <f t="shared" si="7"/>
        <v>910943.90634895698</v>
      </c>
      <c r="Y30" s="116">
        <f t="shared" si="7"/>
        <v>916078.62654489954</v>
      </c>
      <c r="Z30" s="116">
        <f t="shared" si="7"/>
        <v>921341.71474574087</v>
      </c>
      <c r="AA30" s="116">
        <f t="shared" si="7"/>
        <v>926736.38015160314</v>
      </c>
      <c r="AB30" s="116">
        <f t="shared" si="7"/>
        <v>932265.91219261184</v>
      </c>
      <c r="AC30" s="116">
        <f t="shared" si="7"/>
        <v>705555.09851125022</v>
      </c>
      <c r="AD30" s="116">
        <f t="shared" si="7"/>
        <v>558281.7731742576</v>
      </c>
      <c r="AE30" s="116">
        <f t="shared" si="7"/>
        <v>424396.93195880979</v>
      </c>
      <c r="AF30" s="116">
        <f t="shared" si="7"/>
        <v>302683.43994476629</v>
      </c>
      <c r="AG30" s="116">
        <f t="shared" si="7"/>
        <v>192034.81084109042</v>
      </c>
      <c r="AH30" s="116">
        <f t="shared" si="7"/>
        <v>91445.148019566899</v>
      </c>
    </row>
    <row r="31" spans="1:34" x14ac:dyDescent="0.25">
      <c r="A31" s="41" t="s">
        <v>172</v>
      </c>
      <c r="B31" s="28" t="s">
        <v>37</v>
      </c>
      <c r="C31" s="28"/>
      <c r="D31" s="42">
        <f>C28*'Carbon avoided'!E12</f>
        <v>26163.306246928925</v>
      </c>
      <c r="E31" s="42">
        <f>D28*'Carbon avoided'!F12</f>
        <v>51196.833360467732</v>
      </c>
      <c r="F31" s="42">
        <f>E28*'Carbon avoided'!G12</f>
        <v>75193.963802479164</v>
      </c>
      <c r="G31" s="42">
        <f>F28*'Carbon avoided'!H12</f>
        <v>98242.121850450014</v>
      </c>
      <c r="H31" s="42">
        <f>G28*'Carbon avoided'!I12</f>
        <v>120423.19005737634</v>
      </c>
      <c r="I31" s="42">
        <f>H28*'Carbon avoided'!J12</f>
        <v>141813.89757215773</v>
      </c>
      <c r="J31" s="42">
        <f>I28*'Carbon avoided'!K12</f>
        <v>145359.24501146164</v>
      </c>
      <c r="K31" s="42">
        <f>J28*'Carbon avoided'!L12</f>
        <v>148993.22613674816</v>
      </c>
      <c r="L31" s="42">
        <f>K28*'Carbon avoided'!M12</f>
        <v>152718.05679016685</v>
      </c>
      <c r="M31" s="42">
        <f>L28*'Carbon avoided'!N12</f>
        <v>156536.00820992101</v>
      </c>
      <c r="N31" s="42">
        <f>M28*'Carbon avoided'!O12</f>
        <v>160449.40841516902</v>
      </c>
      <c r="O31" s="42">
        <f>N28*'Carbon avoided'!P12</f>
        <v>164460.64362554823</v>
      </c>
      <c r="P31" s="42">
        <f>O28*'Carbon avoided'!Q12</f>
        <v>168572.15971618693</v>
      </c>
      <c r="Q31" s="42">
        <f>P28*'Carbon avoided'!R12</f>
        <v>172786.46370909156</v>
      </c>
      <c r="R31" s="42">
        <f>Q28*'Carbon avoided'!S12</f>
        <v>177106.12530181883</v>
      </c>
      <c r="S31" s="42">
        <f>R28*'Carbon avoided'!T12</f>
        <v>181533.7784343643</v>
      </c>
      <c r="T31" s="42">
        <f>S28*'Carbon avoided'!U12</f>
        <v>186072.12289522341</v>
      </c>
      <c r="U31" s="42">
        <f>T28*'Carbon avoided'!V12</f>
        <v>190723.92596760398</v>
      </c>
      <c r="V31" s="42">
        <f>U28*'Carbon avoided'!W12</f>
        <v>195492.02411679405</v>
      </c>
      <c r="W31" s="42">
        <f>V28*'Carbon avoided'!X12</f>
        <v>200379.32471971388</v>
      </c>
      <c r="X31" s="42">
        <f>W28*'Carbon avoided'!Y12</f>
        <v>205388.80783770673</v>
      </c>
      <c r="Y31" s="42">
        <f>X28*'Carbon avoided'!Z12</f>
        <v>210523.52803364937</v>
      </c>
      <c r="Z31" s="42">
        <f>Y28*'Carbon avoided'!AA12</f>
        <v>215786.61623449062</v>
      </c>
      <c r="AA31" s="42">
        <f>Z28*'Carbon avoided'!AB12</f>
        <v>221181.28164035286</v>
      </c>
      <c r="AB31" s="42">
        <f>AA28*'Carbon avoided'!AC12</f>
        <v>226710.81368136164</v>
      </c>
      <c r="AC31" s="42">
        <f>AB28*'Carbon avoided'!AD12</f>
        <v>0</v>
      </c>
      <c r="AD31" s="42">
        <f>AC28*'Carbon avoided'!AE12</f>
        <v>0</v>
      </c>
      <c r="AE31" s="42">
        <f>AD28*'Carbon avoided'!AF12</f>
        <v>0</v>
      </c>
      <c r="AF31" s="42">
        <f>AE28*'Carbon avoided'!AG12</f>
        <v>0</v>
      </c>
      <c r="AG31" s="42">
        <f>AF28*'Carbon avoided'!AH12</f>
        <v>0</v>
      </c>
      <c r="AH31" s="42">
        <f>AG28*'Carbon avoided'!AI12</f>
        <v>0</v>
      </c>
    </row>
    <row r="32" spans="1:34" x14ac:dyDescent="0.25">
      <c r="A32" s="41" t="s">
        <v>175</v>
      </c>
      <c r="B32" s="28" t="s">
        <v>37</v>
      </c>
      <c r="C32" s="28"/>
      <c r="D32" s="42">
        <f>C28*Interventions!$G$10</f>
        <v>147273.3253369926</v>
      </c>
      <c r="E32" s="42">
        <f>D28*Interventions!$G$10</f>
        <v>281158.16655244038</v>
      </c>
      <c r="F32" s="42">
        <f>E28*Interventions!$G$10</f>
        <v>402871.65856648388</v>
      </c>
      <c r="G32" s="42">
        <f>F28*Interventions!$G$10</f>
        <v>513520.28767015977</v>
      </c>
      <c r="H32" s="42">
        <f>G28*Interventions!$G$10</f>
        <v>614109.95049168332</v>
      </c>
      <c r="I32" s="42">
        <f>H28*Interventions!$G$10</f>
        <v>705555.09851125022</v>
      </c>
      <c r="J32" s="42">
        <f>I28*Interventions!$G$10</f>
        <v>705555.09851125022</v>
      </c>
      <c r="K32" s="42">
        <f>J28*Interventions!$G$10</f>
        <v>705555.09851125022</v>
      </c>
      <c r="L32" s="42">
        <f>K28*Interventions!$G$10</f>
        <v>705555.09851125022</v>
      </c>
      <c r="M32" s="42">
        <f>L28*Interventions!$G$10</f>
        <v>705555.09851125022</v>
      </c>
      <c r="N32" s="42">
        <f>M28*Interventions!$G$10</f>
        <v>705555.09851125022</v>
      </c>
      <c r="O32" s="42">
        <f>N28*Interventions!$G$10</f>
        <v>705555.09851125022</v>
      </c>
      <c r="P32" s="42">
        <f>O28*Interventions!$G$10</f>
        <v>705555.09851125022</v>
      </c>
      <c r="Q32" s="42">
        <f>P28*Interventions!$G$10</f>
        <v>705555.09851125022</v>
      </c>
      <c r="R32" s="42">
        <f>Q28*Interventions!$G$10</f>
        <v>705555.09851125022</v>
      </c>
      <c r="S32" s="42">
        <f>R28*Interventions!$G$10</f>
        <v>705555.09851125022</v>
      </c>
      <c r="T32" s="42">
        <f>S28*Interventions!$G$10</f>
        <v>705555.09851125022</v>
      </c>
      <c r="U32" s="42">
        <f>T28*Interventions!$G$10</f>
        <v>705555.09851125022</v>
      </c>
      <c r="V32" s="42">
        <f>U28*Interventions!$G$10</f>
        <v>705555.09851125022</v>
      </c>
      <c r="W32" s="42">
        <f>V28*Interventions!$G$10</f>
        <v>705555.09851125022</v>
      </c>
      <c r="X32" s="42">
        <f>W28*Interventions!$G$10</f>
        <v>705555.09851125022</v>
      </c>
      <c r="Y32" s="42">
        <f>X28*Interventions!$G$10</f>
        <v>705555.09851125022</v>
      </c>
      <c r="Z32" s="42">
        <f>Y28*Interventions!$G$10</f>
        <v>705555.09851125022</v>
      </c>
      <c r="AA32" s="42">
        <f>Z28*Interventions!$G$10</f>
        <v>705555.09851125022</v>
      </c>
      <c r="AB32" s="42">
        <f>AA28*Interventions!$G$10</f>
        <v>705555.09851125022</v>
      </c>
      <c r="AC32" s="42">
        <f>AB28*Interventions!$G$10</f>
        <v>705555.09851125022</v>
      </c>
      <c r="AD32" s="42">
        <f>AC28*Interventions!$G$10</f>
        <v>558281.7731742576</v>
      </c>
      <c r="AE32" s="42">
        <f>AD28*Interventions!$G$10</f>
        <v>424396.93195880979</v>
      </c>
      <c r="AF32" s="42">
        <f>AE28*Interventions!$G$10</f>
        <v>302683.43994476629</v>
      </c>
      <c r="AG32" s="42">
        <f>AF28*Interventions!$G$10</f>
        <v>192034.81084109042</v>
      </c>
      <c r="AH32" s="42">
        <f>AG28*Interventions!$G$10</f>
        <v>91445.148019566899</v>
      </c>
    </row>
    <row r="33" spans="1:34" x14ac:dyDescent="0.25">
      <c r="A33" s="44"/>
      <c r="B33" s="10"/>
      <c r="C33" s="10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</row>
    <row r="34" spans="1:34" x14ac:dyDescent="0.25">
      <c r="A34" s="115" t="s">
        <v>150</v>
      </c>
      <c r="B34" s="122" t="s">
        <v>37</v>
      </c>
      <c r="C34" s="116">
        <f t="shared" ref="C34" si="8">SUM(C35:C37)</f>
        <v>0</v>
      </c>
      <c r="D34" s="116">
        <f>SUM(D35:D38)</f>
        <v>147434.05326242212</v>
      </c>
      <c r="E34" s="116">
        <f t="shared" ref="E34:AH34" si="9">SUM(E35:E38)</f>
        <v>281465.01077371492</v>
      </c>
      <c r="F34" s="116">
        <f t="shared" si="9"/>
        <v>403311.33578398114</v>
      </c>
      <c r="G34" s="116">
        <f t="shared" si="9"/>
        <v>514080.72215695045</v>
      </c>
      <c r="H34" s="116">
        <f t="shared" si="9"/>
        <v>614780.16431419528</v>
      </c>
      <c r="I34" s="116">
        <f t="shared" si="9"/>
        <v>706325.1117298723</v>
      </c>
      <c r="J34" s="116">
        <f t="shared" si="9"/>
        <v>706325.1117298723</v>
      </c>
      <c r="K34" s="116">
        <f t="shared" si="9"/>
        <v>706325.1117298723</v>
      </c>
      <c r="L34" s="116">
        <f t="shared" si="9"/>
        <v>706325.1117298723</v>
      </c>
      <c r="M34" s="116">
        <f t="shared" si="9"/>
        <v>706325.1117298723</v>
      </c>
      <c r="N34" s="116">
        <f t="shared" si="9"/>
        <v>706325.1117298723</v>
      </c>
      <c r="O34" s="116">
        <f t="shared" si="9"/>
        <v>706325.1117298723</v>
      </c>
      <c r="P34" s="116">
        <f t="shared" si="9"/>
        <v>706325.1117298723</v>
      </c>
      <c r="Q34" s="116">
        <f t="shared" si="9"/>
        <v>706325.1117298723</v>
      </c>
      <c r="R34" s="116">
        <f t="shared" si="9"/>
        <v>706325.1117298723</v>
      </c>
      <c r="S34" s="116">
        <f t="shared" si="9"/>
        <v>706325.1117298723</v>
      </c>
      <c r="T34" s="116">
        <f t="shared" si="9"/>
        <v>706325.1117298723</v>
      </c>
      <c r="U34" s="116">
        <f t="shared" si="9"/>
        <v>706325.1117298723</v>
      </c>
      <c r="V34" s="116">
        <f t="shared" si="9"/>
        <v>706325.1117298723</v>
      </c>
      <c r="W34" s="116">
        <f t="shared" si="9"/>
        <v>706325.1117298723</v>
      </c>
      <c r="X34" s="116">
        <f t="shared" si="9"/>
        <v>706325.1117298723</v>
      </c>
      <c r="Y34" s="116">
        <f t="shared" si="9"/>
        <v>706325.1117298723</v>
      </c>
      <c r="Z34" s="116">
        <f t="shared" si="9"/>
        <v>706325.1117298723</v>
      </c>
      <c r="AA34" s="116">
        <f t="shared" si="9"/>
        <v>706325.1117298723</v>
      </c>
      <c r="AB34" s="116">
        <f t="shared" si="9"/>
        <v>706325.1117298723</v>
      </c>
      <c r="AC34" s="116">
        <f t="shared" si="9"/>
        <v>706325.1117298723</v>
      </c>
      <c r="AD34" s="116">
        <f t="shared" si="9"/>
        <v>558891.05846745032</v>
      </c>
      <c r="AE34" s="116">
        <f t="shared" si="9"/>
        <v>424860.10095615743</v>
      </c>
      <c r="AF34" s="116">
        <f t="shared" si="9"/>
        <v>303013.77594589122</v>
      </c>
      <c r="AG34" s="116">
        <f t="shared" si="9"/>
        <v>192244.38957292194</v>
      </c>
      <c r="AH34" s="116">
        <f t="shared" si="9"/>
        <v>91544.947415677147</v>
      </c>
    </row>
    <row r="35" spans="1:34" x14ac:dyDescent="0.25">
      <c r="A35" s="41"/>
      <c r="B35" s="28"/>
      <c r="C35" s="28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</row>
    <row r="36" spans="1:34" x14ac:dyDescent="0.25">
      <c r="A36" s="41"/>
      <c r="B36" s="28"/>
      <c r="C36" s="28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</row>
    <row r="37" spans="1:34" x14ac:dyDescent="0.25">
      <c r="A37" s="41"/>
      <c r="B37" s="28"/>
      <c r="C37" s="28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</row>
    <row r="38" spans="1:34" x14ac:dyDescent="0.25">
      <c r="A38" s="241" t="s">
        <v>36</v>
      </c>
      <c r="B38" s="28" t="s">
        <v>37</v>
      </c>
      <c r="C38" s="28"/>
      <c r="D38" s="42">
        <f>C28*Interventions!$G$14</f>
        <v>147434.05326242212</v>
      </c>
      <c r="E38" s="42">
        <f>D28*Interventions!$G$14</f>
        <v>281465.01077371492</v>
      </c>
      <c r="F38" s="42">
        <f>E28*Interventions!$G$14</f>
        <v>403311.33578398114</v>
      </c>
      <c r="G38" s="42">
        <f>F28*Interventions!$G$14</f>
        <v>514080.72215695045</v>
      </c>
      <c r="H38" s="42">
        <f>G28*Interventions!$G$14</f>
        <v>614780.16431419528</v>
      </c>
      <c r="I38" s="42">
        <f>H28*Interventions!$G$14</f>
        <v>706325.1117298723</v>
      </c>
      <c r="J38" s="42">
        <f>I28*Interventions!$G$14</f>
        <v>706325.1117298723</v>
      </c>
      <c r="K38" s="42">
        <f>J28*Interventions!$G$14</f>
        <v>706325.1117298723</v>
      </c>
      <c r="L38" s="42">
        <f>K28*Interventions!$G$14</f>
        <v>706325.1117298723</v>
      </c>
      <c r="M38" s="42">
        <f>L28*Interventions!$G$14</f>
        <v>706325.1117298723</v>
      </c>
      <c r="N38" s="42">
        <f>M28*Interventions!$G$14</f>
        <v>706325.1117298723</v>
      </c>
      <c r="O38" s="42">
        <f>N28*Interventions!$G$14</f>
        <v>706325.1117298723</v>
      </c>
      <c r="P38" s="42">
        <f>O28*Interventions!$G$14</f>
        <v>706325.1117298723</v>
      </c>
      <c r="Q38" s="42">
        <f>P28*Interventions!$G$14</f>
        <v>706325.1117298723</v>
      </c>
      <c r="R38" s="42">
        <f>Q28*Interventions!$G$14</f>
        <v>706325.1117298723</v>
      </c>
      <c r="S38" s="42">
        <f>R28*Interventions!$G$14</f>
        <v>706325.1117298723</v>
      </c>
      <c r="T38" s="42">
        <f>S28*Interventions!$G$14</f>
        <v>706325.1117298723</v>
      </c>
      <c r="U38" s="42">
        <f>T28*Interventions!$G$14</f>
        <v>706325.1117298723</v>
      </c>
      <c r="V38" s="42">
        <f>U28*Interventions!$G$14</f>
        <v>706325.1117298723</v>
      </c>
      <c r="W38" s="42">
        <f>V28*Interventions!$G$14</f>
        <v>706325.1117298723</v>
      </c>
      <c r="X38" s="42">
        <f>W28*Interventions!$G$14</f>
        <v>706325.1117298723</v>
      </c>
      <c r="Y38" s="42">
        <f>X28*Interventions!$G$14</f>
        <v>706325.1117298723</v>
      </c>
      <c r="Z38" s="42">
        <f>Y28*Interventions!$G$14</f>
        <v>706325.1117298723</v>
      </c>
      <c r="AA38" s="42">
        <f>Z28*Interventions!$G$14</f>
        <v>706325.1117298723</v>
      </c>
      <c r="AB38" s="42">
        <f>AA28*Interventions!$G$14</f>
        <v>706325.1117298723</v>
      </c>
      <c r="AC38" s="42">
        <f>AB28*Interventions!$G$14</f>
        <v>706325.1117298723</v>
      </c>
      <c r="AD38" s="42">
        <f>AC28*Interventions!$G$14</f>
        <v>558891.05846745032</v>
      </c>
      <c r="AE38" s="42">
        <f>AD28*Interventions!$G$14</f>
        <v>424860.10095615743</v>
      </c>
      <c r="AF38" s="42">
        <f>AE28*Interventions!$G$14</f>
        <v>303013.77594589122</v>
      </c>
      <c r="AG38" s="42">
        <f>AF28*Interventions!$G$14</f>
        <v>192244.38957292194</v>
      </c>
      <c r="AH38" s="42">
        <f>AG28*Interventions!$G$14</f>
        <v>91544.947415677147</v>
      </c>
    </row>
    <row r="39" spans="1:34" x14ac:dyDescent="0.25">
      <c r="A39" s="117"/>
      <c r="B39" s="28"/>
      <c r="C39" s="28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</row>
    <row r="40" spans="1:34" x14ac:dyDescent="0.25">
      <c r="A40" s="118" t="s">
        <v>154</v>
      </c>
      <c r="B40" s="122" t="s">
        <v>37</v>
      </c>
      <c r="C40" s="116">
        <f t="shared" ref="C40:AH40" si="10">C30+C34</f>
        <v>0</v>
      </c>
      <c r="D40" s="116">
        <f t="shared" si="10"/>
        <v>320870.68484634365</v>
      </c>
      <c r="E40" s="116">
        <f t="shared" si="10"/>
        <v>613820.01068662305</v>
      </c>
      <c r="F40" s="116">
        <f t="shared" si="10"/>
        <v>881376.95815294422</v>
      </c>
      <c r="G40" s="116">
        <f t="shared" si="10"/>
        <v>1125843.1316775603</v>
      </c>
      <c r="H40" s="116">
        <f t="shared" si="10"/>
        <v>1349313.304863255</v>
      </c>
      <c r="I40" s="116">
        <f t="shared" si="10"/>
        <v>1553694.1078132801</v>
      </c>
      <c r="J40" s="116">
        <f t="shared" si="10"/>
        <v>1557239.4552525841</v>
      </c>
      <c r="K40" s="116">
        <f t="shared" si="10"/>
        <v>1560873.4363778709</v>
      </c>
      <c r="L40" s="116">
        <f t="shared" si="10"/>
        <v>1564598.2670312894</v>
      </c>
      <c r="M40" s="116">
        <f t="shared" si="10"/>
        <v>1568416.2184510436</v>
      </c>
      <c r="N40" s="116">
        <f t="shared" si="10"/>
        <v>1572329.6186562916</v>
      </c>
      <c r="O40" s="116">
        <f t="shared" si="10"/>
        <v>1576340.8538666707</v>
      </c>
      <c r="P40" s="116">
        <f t="shared" si="10"/>
        <v>1580452.3699573094</v>
      </c>
      <c r="Q40" s="116">
        <f t="shared" si="10"/>
        <v>1584666.6739502139</v>
      </c>
      <c r="R40" s="116">
        <f t="shared" si="10"/>
        <v>1588986.3355429415</v>
      </c>
      <c r="S40" s="116">
        <f t="shared" si="10"/>
        <v>1593413.9886754868</v>
      </c>
      <c r="T40" s="116">
        <f t="shared" si="10"/>
        <v>1597952.333136346</v>
      </c>
      <c r="U40" s="116">
        <f t="shared" si="10"/>
        <v>1602604.1362087266</v>
      </c>
      <c r="V40" s="116">
        <f t="shared" si="10"/>
        <v>1607372.2343579168</v>
      </c>
      <c r="W40" s="116">
        <f t="shared" si="10"/>
        <v>1612259.5349608364</v>
      </c>
      <c r="X40" s="116">
        <f t="shared" si="10"/>
        <v>1617269.0180788292</v>
      </c>
      <c r="Y40" s="116">
        <f t="shared" si="10"/>
        <v>1622403.7382747717</v>
      </c>
      <c r="Z40" s="116">
        <f t="shared" si="10"/>
        <v>1627666.8264756133</v>
      </c>
      <c r="AA40" s="116">
        <f t="shared" si="10"/>
        <v>1633061.4918814753</v>
      </c>
      <c r="AB40" s="116">
        <f t="shared" si="10"/>
        <v>1638591.0239224841</v>
      </c>
      <c r="AC40" s="116">
        <f t="shared" si="10"/>
        <v>1411880.2102411226</v>
      </c>
      <c r="AD40" s="116">
        <f t="shared" si="10"/>
        <v>1117172.831641708</v>
      </c>
      <c r="AE40" s="116">
        <f t="shared" si="10"/>
        <v>849257.03291496728</v>
      </c>
      <c r="AF40" s="116">
        <f t="shared" si="10"/>
        <v>605697.21589065751</v>
      </c>
      <c r="AG40" s="116">
        <f t="shared" si="10"/>
        <v>384279.20041401236</v>
      </c>
      <c r="AH40" s="116">
        <f t="shared" si="10"/>
        <v>182990.09543524403</v>
      </c>
    </row>
    <row r="41" spans="1:34" s="21" customFormat="1" x14ac:dyDescent="0.25">
      <c r="A41" s="119"/>
      <c r="B41" s="123"/>
      <c r="C41" s="113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</row>
    <row r="42" spans="1:34" x14ac:dyDescent="0.25">
      <c r="A42" s="119" t="s">
        <v>92</v>
      </c>
      <c r="B42" s="28" t="s">
        <v>37</v>
      </c>
      <c r="C42" s="31">
        <f t="shared" ref="C42:AH42" si="11">C40-C24</f>
        <v>-1368055.5555555555</v>
      </c>
      <c r="D42" s="31">
        <f t="shared" si="11"/>
        <v>-1047184.8707092118</v>
      </c>
      <c r="E42" s="31">
        <f t="shared" si="11"/>
        <v>-754235.54486893245</v>
      </c>
      <c r="F42" s="31">
        <f t="shared" si="11"/>
        <v>-486678.59740261128</v>
      </c>
      <c r="G42" s="31">
        <f t="shared" si="11"/>
        <v>-242212.42387799523</v>
      </c>
      <c r="H42" s="31">
        <f t="shared" si="11"/>
        <v>-18742.250692300498</v>
      </c>
      <c r="I42" s="31">
        <f t="shared" si="11"/>
        <v>957870.2482340727</v>
      </c>
      <c r="J42" s="31">
        <f t="shared" si="11"/>
        <v>961415.59567337669</v>
      </c>
      <c r="K42" s="31">
        <f t="shared" si="11"/>
        <v>965049.57679866347</v>
      </c>
      <c r="L42" s="31">
        <f t="shared" si="11"/>
        <v>968774.40745208203</v>
      </c>
      <c r="M42" s="31">
        <f t="shared" si="11"/>
        <v>972592.35887183622</v>
      </c>
      <c r="N42" s="31">
        <f t="shared" si="11"/>
        <v>976505.75907708425</v>
      </c>
      <c r="O42" s="31">
        <f t="shared" si="11"/>
        <v>980516.99428746337</v>
      </c>
      <c r="P42" s="31">
        <f t="shared" si="11"/>
        <v>984628.51037810207</v>
      </c>
      <c r="Q42" s="31">
        <f t="shared" si="11"/>
        <v>988842.81437100656</v>
      </c>
      <c r="R42" s="31">
        <f t="shared" si="11"/>
        <v>993162.47596373409</v>
      </c>
      <c r="S42" s="31">
        <f t="shared" si="11"/>
        <v>997590.12909627939</v>
      </c>
      <c r="T42" s="31">
        <f t="shared" si="11"/>
        <v>1002128.4735571386</v>
      </c>
      <c r="U42" s="31">
        <f t="shared" si="11"/>
        <v>1006780.2766295192</v>
      </c>
      <c r="V42" s="31">
        <f t="shared" si="11"/>
        <v>1011548.3747787094</v>
      </c>
      <c r="W42" s="31">
        <f t="shared" si="11"/>
        <v>1016435.675381629</v>
      </c>
      <c r="X42" s="31">
        <f t="shared" si="11"/>
        <v>1021445.1584996218</v>
      </c>
      <c r="Y42" s="31">
        <f t="shared" si="11"/>
        <v>1026579.8786955643</v>
      </c>
      <c r="Z42" s="31">
        <f t="shared" si="11"/>
        <v>1031842.9668964059</v>
      </c>
      <c r="AA42" s="31">
        <f t="shared" si="11"/>
        <v>1037237.6323022679</v>
      </c>
      <c r="AB42" s="31">
        <f t="shared" si="11"/>
        <v>1042767.1643432768</v>
      </c>
      <c r="AC42" s="31">
        <f t="shared" si="11"/>
        <v>816056.35066191526</v>
      </c>
      <c r="AD42" s="31">
        <f t="shared" si="11"/>
        <v>645717.65893118759</v>
      </c>
      <c r="AE42" s="31">
        <f t="shared" si="11"/>
        <v>490864.30281234393</v>
      </c>
      <c r="AF42" s="31">
        <f t="shared" si="11"/>
        <v>350088.52452248614</v>
      </c>
      <c r="AG42" s="31">
        <f t="shared" si="11"/>
        <v>222110.54425897915</v>
      </c>
      <c r="AH42" s="31">
        <f t="shared" si="11"/>
        <v>105766.92583760915</v>
      </c>
    </row>
    <row r="43" spans="1:34" x14ac:dyDescent="0.25">
      <c r="A43" s="119" t="s">
        <v>93</v>
      </c>
      <c r="B43" s="28" t="s">
        <v>37</v>
      </c>
      <c r="C43" s="31">
        <f t="shared" ref="C43:AH43" si="12">C34-C24</f>
        <v>-1368055.5555555555</v>
      </c>
      <c r="D43" s="31">
        <f t="shared" si="12"/>
        <v>-1220621.5022931334</v>
      </c>
      <c r="E43" s="31">
        <f t="shared" si="12"/>
        <v>-1086590.5447818406</v>
      </c>
      <c r="F43" s="31">
        <f t="shared" si="12"/>
        <v>-964744.21977157437</v>
      </c>
      <c r="G43" s="31">
        <f t="shared" si="12"/>
        <v>-853974.833398605</v>
      </c>
      <c r="H43" s="31">
        <f t="shared" si="12"/>
        <v>-753275.39124136022</v>
      </c>
      <c r="I43" s="31">
        <f t="shared" si="12"/>
        <v>110501.25215066492</v>
      </c>
      <c r="J43" s="31">
        <f t="shared" si="12"/>
        <v>110501.25215066492</v>
      </c>
      <c r="K43" s="31">
        <f t="shared" si="12"/>
        <v>110501.25215066492</v>
      </c>
      <c r="L43" s="31">
        <f t="shared" si="12"/>
        <v>110501.25215066492</v>
      </c>
      <c r="M43" s="31">
        <f t="shared" si="12"/>
        <v>110501.25215066492</v>
      </c>
      <c r="N43" s="31">
        <f t="shared" si="12"/>
        <v>110501.25215066492</v>
      </c>
      <c r="O43" s="31">
        <f t="shared" si="12"/>
        <v>110501.25215066492</v>
      </c>
      <c r="P43" s="31">
        <f t="shared" si="12"/>
        <v>110501.25215066492</v>
      </c>
      <c r="Q43" s="31">
        <f t="shared" si="12"/>
        <v>110501.25215066492</v>
      </c>
      <c r="R43" s="31">
        <f t="shared" si="12"/>
        <v>110501.25215066492</v>
      </c>
      <c r="S43" s="31">
        <f t="shared" si="12"/>
        <v>110501.25215066492</v>
      </c>
      <c r="T43" s="31">
        <f t="shared" si="12"/>
        <v>110501.25215066492</v>
      </c>
      <c r="U43" s="31">
        <f t="shared" si="12"/>
        <v>110501.25215066492</v>
      </c>
      <c r="V43" s="31">
        <f t="shared" si="12"/>
        <v>110501.25215066492</v>
      </c>
      <c r="W43" s="31">
        <f t="shared" si="12"/>
        <v>110501.25215066492</v>
      </c>
      <c r="X43" s="31">
        <f t="shared" si="12"/>
        <v>110501.25215066492</v>
      </c>
      <c r="Y43" s="31">
        <f t="shared" si="12"/>
        <v>110501.25215066492</v>
      </c>
      <c r="Z43" s="31">
        <f t="shared" si="12"/>
        <v>110501.25215066492</v>
      </c>
      <c r="AA43" s="31">
        <f t="shared" si="12"/>
        <v>110501.25215066492</v>
      </c>
      <c r="AB43" s="31">
        <f t="shared" si="12"/>
        <v>110501.25215066492</v>
      </c>
      <c r="AC43" s="31">
        <f t="shared" si="12"/>
        <v>110501.25215066492</v>
      </c>
      <c r="AD43" s="31">
        <f t="shared" si="12"/>
        <v>87435.885756929812</v>
      </c>
      <c r="AE43" s="31">
        <f t="shared" si="12"/>
        <v>66467.370853534085</v>
      </c>
      <c r="AF43" s="31">
        <f t="shared" si="12"/>
        <v>47405.084577719856</v>
      </c>
      <c r="AG43" s="31">
        <f t="shared" si="12"/>
        <v>30075.733417888725</v>
      </c>
      <c r="AH43" s="31">
        <f t="shared" si="12"/>
        <v>14321.777818042261</v>
      </c>
    </row>
    <row r="44" spans="1:34" x14ac:dyDescent="0.25">
      <c r="A44" s="127"/>
      <c r="B44" s="127"/>
      <c r="C44" s="127"/>
      <c r="D44" s="127"/>
      <c r="E44" s="127"/>
      <c r="F44" s="127"/>
      <c r="G44" s="127"/>
      <c r="H44" s="127"/>
      <c r="I44" s="127"/>
      <c r="J44" s="127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</row>
    <row r="45" spans="1:34" x14ac:dyDescent="0.25">
      <c r="A45" s="51" t="s">
        <v>47</v>
      </c>
      <c r="B45" s="28" t="s">
        <v>37</v>
      </c>
      <c r="C45" s="31">
        <f t="shared" ref="C45:AH45" si="13">(C25+C26)*C$8</f>
        <v>1368055.5555555555</v>
      </c>
      <c r="D45" s="31">
        <f t="shared" si="13"/>
        <v>1313333.3333333333</v>
      </c>
      <c r="E45" s="31">
        <f t="shared" si="13"/>
        <v>1260800</v>
      </c>
      <c r="F45" s="31">
        <f t="shared" si="13"/>
        <v>1210368</v>
      </c>
      <c r="G45" s="31">
        <f t="shared" si="13"/>
        <v>1161953.28</v>
      </c>
      <c r="H45" s="31">
        <f t="shared" si="13"/>
        <v>1115475.1487999998</v>
      </c>
      <c r="I45" s="31">
        <f t="shared" si="13"/>
        <v>466385.76737236022</v>
      </c>
      <c r="J45" s="31">
        <f t="shared" si="13"/>
        <v>447730.33667746576</v>
      </c>
      <c r="K45" s="31">
        <f t="shared" si="13"/>
        <v>429821.12321036722</v>
      </c>
      <c r="L45" s="31">
        <f t="shared" si="13"/>
        <v>412628.27828195255</v>
      </c>
      <c r="M45" s="31">
        <f t="shared" si="13"/>
        <v>396123.14715067437</v>
      </c>
      <c r="N45" s="31">
        <f t="shared" si="13"/>
        <v>380278.22126464744</v>
      </c>
      <c r="O45" s="31">
        <f t="shared" si="13"/>
        <v>365067.09241406148</v>
      </c>
      <c r="P45" s="31">
        <f t="shared" si="13"/>
        <v>350464.40871749906</v>
      </c>
      <c r="Q45" s="31">
        <f t="shared" si="13"/>
        <v>336445.83236879908</v>
      </c>
      <c r="R45" s="31">
        <f t="shared" si="13"/>
        <v>322987.99907404714</v>
      </c>
      <c r="S45" s="31">
        <f t="shared" si="13"/>
        <v>310068.47911108524</v>
      </c>
      <c r="T45" s="31">
        <f t="shared" si="13"/>
        <v>297665.73994664184</v>
      </c>
      <c r="U45" s="31">
        <f t="shared" si="13"/>
        <v>285759.11034877616</v>
      </c>
      <c r="V45" s="31">
        <f t="shared" si="13"/>
        <v>274328.7459348251</v>
      </c>
      <c r="W45" s="31">
        <f t="shared" si="13"/>
        <v>263355.59609743208</v>
      </c>
      <c r="X45" s="31">
        <f t="shared" si="13"/>
        <v>252821.37225353479</v>
      </c>
      <c r="Y45" s="31">
        <f t="shared" si="13"/>
        <v>242708.51736339342</v>
      </c>
      <c r="Z45" s="31">
        <f t="shared" si="13"/>
        <v>233000.17666885766</v>
      </c>
      <c r="AA45" s="31">
        <f t="shared" si="13"/>
        <v>223680.16960210336</v>
      </c>
      <c r="AB45" s="31">
        <f t="shared" si="13"/>
        <v>214732.96281801924</v>
      </c>
      <c r="AC45" s="31">
        <f t="shared" si="13"/>
        <v>206143.64430529845</v>
      </c>
      <c r="AD45" s="31">
        <f t="shared" si="13"/>
        <v>156589.88211357841</v>
      </c>
      <c r="AE45" s="31">
        <f t="shared" si="13"/>
        <v>114275.6543174645</v>
      </c>
      <c r="AF45" s="31">
        <f t="shared" si="13"/>
        <v>78242.257952849672</v>
      </c>
      <c r="AG45" s="31">
        <f t="shared" si="13"/>
        <v>47654.499103608738</v>
      </c>
      <c r="AH45" s="31">
        <f t="shared" si="13"/>
        <v>21784.913875935432</v>
      </c>
    </row>
    <row r="46" spans="1:34" x14ac:dyDescent="0.25">
      <c r="A46" s="51" t="s">
        <v>70</v>
      </c>
      <c r="B46" s="28" t="s">
        <v>37</v>
      </c>
      <c r="C46" s="31">
        <f t="shared" ref="C46:AH46" si="14">C34*C$8</f>
        <v>0</v>
      </c>
      <c r="D46" s="31">
        <f t="shared" si="14"/>
        <v>141536.69113192524</v>
      </c>
      <c r="E46" s="31">
        <f t="shared" si="14"/>
        <v>259398.15392905567</v>
      </c>
      <c r="F46" s="31">
        <f t="shared" si="14"/>
        <v>356824.05797617632</v>
      </c>
      <c r="G46" s="31">
        <f t="shared" si="14"/>
        <v>436632.69292632164</v>
      </c>
      <c r="H46" s="31">
        <f t="shared" si="14"/>
        <v>501274.96100783662</v>
      </c>
      <c r="I46" s="31">
        <f t="shared" si="14"/>
        <v>552881.48326445511</v>
      </c>
      <c r="J46" s="31">
        <f t="shared" si="14"/>
        <v>530766.22393387684</v>
      </c>
      <c r="K46" s="31">
        <f t="shared" si="14"/>
        <v>509535.57497652178</v>
      </c>
      <c r="L46" s="31">
        <f t="shared" si="14"/>
        <v>489154.15197746095</v>
      </c>
      <c r="M46" s="31">
        <f t="shared" si="14"/>
        <v>469587.98589836247</v>
      </c>
      <c r="N46" s="31">
        <f t="shared" si="14"/>
        <v>450804.46646242798</v>
      </c>
      <c r="O46" s="31">
        <f t="shared" si="14"/>
        <v>432772.28780393081</v>
      </c>
      <c r="P46" s="31">
        <f t="shared" si="14"/>
        <v>415461.39629177365</v>
      </c>
      <c r="Q46" s="31">
        <f t="shared" si="14"/>
        <v>398842.94044010265</v>
      </c>
      <c r="R46" s="31">
        <f t="shared" si="14"/>
        <v>382889.22282249853</v>
      </c>
      <c r="S46" s="31">
        <f t="shared" si="14"/>
        <v>367573.65390959859</v>
      </c>
      <c r="T46" s="31">
        <f t="shared" si="14"/>
        <v>352870.70775321464</v>
      </c>
      <c r="U46" s="31">
        <f t="shared" si="14"/>
        <v>338755.87944308604</v>
      </c>
      <c r="V46" s="31">
        <f t="shared" si="14"/>
        <v>325205.64426536264</v>
      </c>
      <c r="W46" s="31">
        <f t="shared" si="14"/>
        <v>312197.41849474813</v>
      </c>
      <c r="X46" s="31">
        <f t="shared" si="14"/>
        <v>299709.5217549582</v>
      </c>
      <c r="Y46" s="31">
        <f t="shared" si="14"/>
        <v>287721.14088475984</v>
      </c>
      <c r="Z46" s="31">
        <f t="shared" si="14"/>
        <v>276212.29524936946</v>
      </c>
      <c r="AA46" s="31">
        <f t="shared" si="14"/>
        <v>265163.80343939469</v>
      </c>
      <c r="AB46" s="31">
        <f t="shared" si="14"/>
        <v>254557.25130181891</v>
      </c>
      <c r="AC46" s="31">
        <f t="shared" si="14"/>
        <v>244374.96124974612</v>
      </c>
      <c r="AD46" s="31">
        <f t="shared" si="14"/>
        <v>185630.97835281884</v>
      </c>
      <c r="AE46" s="31">
        <f t="shared" si="14"/>
        <v>135469.17097410603</v>
      </c>
      <c r="AF46" s="31">
        <f t="shared" si="14"/>
        <v>92753.035485309083</v>
      </c>
      <c r="AG46" s="31">
        <f t="shared" si="14"/>
        <v>56492.483244224502</v>
      </c>
      <c r="AH46" s="31">
        <f t="shared" si="14"/>
        <v>25825.135197359785</v>
      </c>
    </row>
    <row r="47" spans="1:34" x14ac:dyDescent="0.25">
      <c r="A47" s="51" t="s">
        <v>153</v>
      </c>
      <c r="B47" s="28" t="s">
        <v>37</v>
      </c>
      <c r="C47" s="31">
        <f t="shared" ref="C47:AH47" si="15">C30*C$10</f>
        <v>0</v>
      </c>
      <c r="D47" s="31">
        <f t="shared" si="15"/>
        <v>173436.63158392152</v>
      </c>
      <c r="E47" s="31">
        <f t="shared" si="15"/>
        <v>332354.99991290813</v>
      </c>
      <c r="F47" s="31">
        <f t="shared" si="15"/>
        <v>478065.62236896303</v>
      </c>
      <c r="G47" s="31">
        <f t="shared" si="15"/>
        <v>611762.40952060977</v>
      </c>
      <c r="H47" s="31">
        <f t="shared" si="15"/>
        <v>734533.14054905972</v>
      </c>
      <c r="I47" s="31">
        <f t="shared" si="15"/>
        <v>847368.9960834079</v>
      </c>
      <c r="J47" s="31">
        <f t="shared" si="15"/>
        <v>850914.34352271189</v>
      </c>
      <c r="K47" s="31">
        <f t="shared" si="15"/>
        <v>854548.32464799844</v>
      </c>
      <c r="L47" s="31">
        <f t="shared" si="15"/>
        <v>858273.15530141711</v>
      </c>
      <c r="M47" s="31">
        <f t="shared" si="15"/>
        <v>862091.10672117118</v>
      </c>
      <c r="N47" s="31">
        <f t="shared" si="15"/>
        <v>866004.50692641921</v>
      </c>
      <c r="O47" s="31">
        <f t="shared" si="15"/>
        <v>870015.74213679845</v>
      </c>
      <c r="P47" s="31">
        <f t="shared" si="15"/>
        <v>874127.25822743715</v>
      </c>
      <c r="Q47" s="31">
        <f t="shared" si="15"/>
        <v>878341.56222034176</v>
      </c>
      <c r="R47" s="31">
        <f t="shared" si="15"/>
        <v>882661.22381306905</v>
      </c>
      <c r="S47" s="31">
        <f t="shared" si="15"/>
        <v>887088.87694561458</v>
      </c>
      <c r="T47" s="31">
        <f t="shared" si="15"/>
        <v>891627.22140647366</v>
      </c>
      <c r="U47" s="31">
        <f t="shared" si="15"/>
        <v>896279.02447885415</v>
      </c>
      <c r="V47" s="31">
        <f t="shared" si="15"/>
        <v>901047.12262804434</v>
      </c>
      <c r="W47" s="31">
        <f t="shared" si="15"/>
        <v>905934.42323096411</v>
      </c>
      <c r="X47" s="31">
        <f t="shared" si="15"/>
        <v>910943.90634895698</v>
      </c>
      <c r="Y47" s="31">
        <f t="shared" si="15"/>
        <v>916078.62654489954</v>
      </c>
      <c r="Z47" s="31">
        <f t="shared" si="15"/>
        <v>921341.71474574087</v>
      </c>
      <c r="AA47" s="31">
        <f t="shared" si="15"/>
        <v>926736.38015160314</v>
      </c>
      <c r="AB47" s="31">
        <f t="shared" si="15"/>
        <v>932265.91219261184</v>
      </c>
      <c r="AC47" s="31">
        <f t="shared" si="15"/>
        <v>705555.09851125022</v>
      </c>
      <c r="AD47" s="31">
        <f t="shared" si="15"/>
        <v>558281.7731742576</v>
      </c>
      <c r="AE47" s="31">
        <f t="shared" si="15"/>
        <v>424396.93195880979</v>
      </c>
      <c r="AF47" s="31">
        <f t="shared" si="15"/>
        <v>302683.43994476629</v>
      </c>
      <c r="AG47" s="31">
        <f t="shared" si="15"/>
        <v>192034.81084109042</v>
      </c>
      <c r="AH47" s="31">
        <f t="shared" si="15"/>
        <v>91445.148019566899</v>
      </c>
    </row>
    <row r="48" spans="1:34" x14ac:dyDescent="0.25">
      <c r="A48" s="119" t="s">
        <v>42</v>
      </c>
      <c r="B48" s="28" t="s">
        <v>37</v>
      </c>
      <c r="C48" s="31">
        <f>C47+C46-C45</f>
        <v>-1368055.5555555555</v>
      </c>
      <c r="D48" s="31">
        <f>D47+D46-D45</f>
        <v>-998360.01061748643</v>
      </c>
      <c r="E48" s="31">
        <f>E47+E46-E45</f>
        <v>-669046.84615803626</v>
      </c>
      <c r="F48" s="31">
        <f t="shared" ref="F48:AH48" si="16">F47+F46-F45</f>
        <v>-375478.31965486065</v>
      </c>
      <c r="G48" s="31">
        <f t="shared" si="16"/>
        <v>-113558.17755306861</v>
      </c>
      <c r="H48" s="31">
        <f t="shared" si="16"/>
        <v>120332.95275689638</v>
      </c>
      <c r="I48" s="31">
        <f t="shared" si="16"/>
        <v>933864.71197550278</v>
      </c>
      <c r="J48" s="31">
        <f t="shared" si="16"/>
        <v>933950.23077912279</v>
      </c>
      <c r="K48" s="31">
        <f t="shared" si="16"/>
        <v>934262.77641415293</v>
      </c>
      <c r="L48" s="31">
        <f t="shared" si="16"/>
        <v>934799.02899692557</v>
      </c>
      <c r="M48" s="31">
        <f t="shared" si="16"/>
        <v>935555.94546885928</v>
      </c>
      <c r="N48" s="31">
        <f t="shared" si="16"/>
        <v>936530.75212419976</v>
      </c>
      <c r="O48" s="31">
        <f t="shared" si="16"/>
        <v>937720.93752666772</v>
      </c>
      <c r="P48" s="31">
        <f t="shared" si="16"/>
        <v>939124.24580171169</v>
      </c>
      <c r="Q48" s="31">
        <f t="shared" si="16"/>
        <v>940738.67029164545</v>
      </c>
      <c r="R48" s="31">
        <f t="shared" si="16"/>
        <v>942562.44756152038</v>
      </c>
      <c r="S48" s="31">
        <f t="shared" si="16"/>
        <v>944594.05174412811</v>
      </c>
      <c r="T48" s="31">
        <f t="shared" si="16"/>
        <v>946832.18921304645</v>
      </c>
      <c r="U48" s="31">
        <f t="shared" si="16"/>
        <v>949275.79357316392</v>
      </c>
      <c r="V48" s="31">
        <f t="shared" si="16"/>
        <v>951924.02095858171</v>
      </c>
      <c r="W48" s="31">
        <f t="shared" si="16"/>
        <v>954776.2456282801</v>
      </c>
      <c r="X48" s="31">
        <f t="shared" si="16"/>
        <v>957832.05585038033</v>
      </c>
      <c r="Y48" s="31">
        <f t="shared" si="16"/>
        <v>961091.25006626593</v>
      </c>
      <c r="Z48" s="31">
        <f t="shared" si="16"/>
        <v>964553.83332625264</v>
      </c>
      <c r="AA48" s="31">
        <f t="shared" si="16"/>
        <v>968220.01398889464</v>
      </c>
      <c r="AB48" s="31">
        <f t="shared" si="16"/>
        <v>972090.20067641151</v>
      </c>
      <c r="AC48" s="31">
        <f t="shared" si="16"/>
        <v>743786.41545569792</v>
      </c>
      <c r="AD48" s="31">
        <f t="shared" si="16"/>
        <v>587322.86941349809</v>
      </c>
      <c r="AE48" s="31">
        <f t="shared" si="16"/>
        <v>445590.44861545129</v>
      </c>
      <c r="AF48" s="31">
        <f t="shared" si="16"/>
        <v>317194.2174772257</v>
      </c>
      <c r="AG48" s="31">
        <f t="shared" si="16"/>
        <v>200872.79498170619</v>
      </c>
      <c r="AH48" s="31">
        <f t="shared" si="16"/>
        <v>95485.369340991252</v>
      </c>
    </row>
    <row r="49" spans="1:34" x14ac:dyDescent="0.25">
      <c r="A49" s="51"/>
      <c r="B49" s="28"/>
      <c r="C49" s="28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</row>
    <row r="50" spans="1:34" x14ac:dyDescent="0.25">
      <c r="A50" s="141" t="s">
        <v>88</v>
      </c>
      <c r="B50" s="142" t="s">
        <v>37</v>
      </c>
      <c r="C50" s="143">
        <f>XNPV(B$6,C42:AH42,C$22:AH$22)</f>
        <v>8237261.8974573137</v>
      </c>
      <c r="D50" s="117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</row>
    <row r="51" spans="1:34" x14ac:dyDescent="0.25">
      <c r="A51" s="141" t="s">
        <v>84</v>
      </c>
      <c r="B51" s="142" t="s">
        <v>37</v>
      </c>
      <c r="C51" s="143">
        <f>XNPV(B$6,C43:AH43,C$22:AH$22)</f>
        <v>-4398082.9229763607</v>
      </c>
      <c r="D51" s="117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</row>
    <row r="52" spans="1:34" s="21" customFormat="1" x14ac:dyDescent="0.25">
      <c r="A52" s="126"/>
      <c r="B52" s="28"/>
      <c r="C52" s="28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</row>
    <row r="53" spans="1:34" x14ac:dyDescent="0.25">
      <c r="A53" s="120" t="s">
        <v>101</v>
      </c>
      <c r="B53" s="28" t="s">
        <v>67</v>
      </c>
      <c r="C53" s="32">
        <f>(XNPV($B$6,C30,C$22)+XNPV($B$6,C34,C$22))/(XNPV($B$6,C24,C$22))</f>
        <v>0</v>
      </c>
      <c r="D53" s="32">
        <f t="shared" ref="D53:AH53" si="17">(XNPV($B$6,D30,D$22)+XNPV($B$6,D34,D$22))/(XNPV($B$6,D24,D$22))</f>
        <v>0.23454506912626136</v>
      </c>
      <c r="E53" s="32">
        <f t="shared" si="17"/>
        <v>0.44868061694859757</v>
      </c>
      <c r="F53" s="32">
        <f t="shared" si="17"/>
        <v>0.6442552384468222</v>
      </c>
      <c r="G53" s="32">
        <f t="shared" si="17"/>
        <v>0.82295132467801368</v>
      </c>
      <c r="H53" s="32">
        <f t="shared" si="17"/>
        <v>0.98630008071222708</v>
      </c>
      <c r="I53" s="32">
        <f t="shared" si="17"/>
        <v>2.6076399641171735</v>
      </c>
      <c r="J53" s="32">
        <f t="shared" si="17"/>
        <v>2.6135902921919971</v>
      </c>
      <c r="K53" s="32">
        <f t="shared" si="17"/>
        <v>2.6196893784686917</v>
      </c>
      <c r="L53" s="32">
        <f t="shared" si="17"/>
        <v>2.6259409419023032</v>
      </c>
      <c r="M53" s="32">
        <f t="shared" si="17"/>
        <v>2.632348794421755</v>
      </c>
      <c r="N53" s="32">
        <f t="shared" si="17"/>
        <v>2.6389168432541932</v>
      </c>
      <c r="O53" s="32">
        <f t="shared" si="17"/>
        <v>2.6456490933074424</v>
      </c>
      <c r="P53" s="32">
        <f t="shared" si="17"/>
        <v>2.6525496496120224</v>
      </c>
      <c r="Q53" s="32">
        <f t="shared" si="17"/>
        <v>2.6596227198242173</v>
      </c>
      <c r="R53" s="32">
        <f t="shared" si="17"/>
        <v>2.6668726167917174</v>
      </c>
      <c r="S53" s="32">
        <f t="shared" si="17"/>
        <v>2.6743037611834044</v>
      </c>
      <c r="T53" s="32">
        <f t="shared" si="17"/>
        <v>2.6819206841848837</v>
      </c>
      <c r="U53" s="32">
        <f t="shared" si="17"/>
        <v>2.6897280302614002</v>
      </c>
      <c r="V53" s="32">
        <f t="shared" si="17"/>
        <v>2.6977305599898296</v>
      </c>
      <c r="W53" s="32">
        <f t="shared" si="17"/>
        <v>2.7059331529614692</v>
      </c>
      <c r="X53" s="32">
        <f t="shared" si="17"/>
        <v>2.7143408107574003</v>
      </c>
      <c r="Y53" s="32">
        <f t="shared" si="17"/>
        <v>2.7229586599982296</v>
      </c>
      <c r="Z53" s="32">
        <f t="shared" si="17"/>
        <v>2.7317919554700798</v>
      </c>
      <c r="AA53" s="32">
        <f t="shared" si="17"/>
        <v>2.740846083328726</v>
      </c>
      <c r="AB53" s="32">
        <f t="shared" si="17"/>
        <v>2.7501265643838382</v>
      </c>
      <c r="AC53" s="32">
        <f t="shared" si="17"/>
        <v>2.3696268411242278</v>
      </c>
      <c r="AD53" s="32">
        <f t="shared" si="17"/>
        <v>2.3696268411242278</v>
      </c>
      <c r="AE53" s="32">
        <f t="shared" si="17"/>
        <v>2.3696268411242278</v>
      </c>
      <c r="AF53" s="32">
        <f t="shared" si="17"/>
        <v>2.3696268411242274</v>
      </c>
      <c r="AG53" s="32">
        <f t="shared" si="17"/>
        <v>2.3696268411242274</v>
      </c>
      <c r="AH53" s="32">
        <f t="shared" si="17"/>
        <v>2.3696268411242274</v>
      </c>
    </row>
    <row r="54" spans="1:34" x14ac:dyDescent="0.25">
      <c r="A54" s="120" t="s">
        <v>99</v>
      </c>
      <c r="B54" s="28" t="s">
        <v>67</v>
      </c>
      <c r="C54" s="108">
        <f>(XNPV(B$6,C30:W30,C$22:W$22)+XNPV(B$6,C34:W34,C$22:W$22))/(XNPV(B$6,C24:W24,C$22:W$22))</f>
        <v>1.4068626490127609</v>
      </c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117"/>
      <c r="AD54" s="31"/>
      <c r="AE54" s="117"/>
      <c r="AF54" s="31"/>
      <c r="AG54" s="117"/>
      <c r="AH54" s="31"/>
    </row>
    <row r="55" spans="1:34" x14ac:dyDescent="0.25">
      <c r="A55" s="126" t="s">
        <v>107</v>
      </c>
      <c r="B55" s="28" t="s">
        <v>67</v>
      </c>
      <c r="C55" s="32">
        <f>(XNPV($B$6,C47,C$22)+XNPV($B$6,C46,C$22))/(XNPV($B$6,C45,C$22))</f>
        <v>0</v>
      </c>
      <c r="D55" s="32">
        <f t="shared" ref="D55:AH55" si="18">(XNPV($B$14,D47,D$22)+XNPV($B$14,D46,D$22))/(XNPV($B$14,D45,D$22))</f>
        <v>0.23982740308313208</v>
      </c>
      <c r="E55" s="32">
        <f t="shared" si="18"/>
        <v>0.46934736186703979</v>
      </c>
      <c r="F55" s="32">
        <f t="shared" si="18"/>
        <v>0.68978168651611682</v>
      </c>
      <c r="G55" s="32">
        <f t="shared" si="18"/>
        <v>0.90226958389147227</v>
      </c>
      <c r="H55" s="32">
        <f t="shared" si="18"/>
        <v>1.1078759602007697</v>
      </c>
      <c r="I55" s="32">
        <f>(XNPV($B$14,I47,I$22)+XNPV($B$14,I46,I$22))/(XNPV($B$14,I45,I$22))</f>
        <v>3.002343933514398</v>
      </c>
      <c r="J55" s="32">
        <f t="shared" si="18"/>
        <v>3.08596593590199</v>
      </c>
      <c r="K55" s="32">
        <f t="shared" si="18"/>
        <v>3.1736083360354002</v>
      </c>
      <c r="L55" s="32">
        <f t="shared" si="18"/>
        <v>3.2654749521509263</v>
      </c>
      <c r="M55" s="32">
        <f t="shared" si="18"/>
        <v>3.3617805528365134</v>
      </c>
      <c r="N55" s="32">
        <f t="shared" si="18"/>
        <v>3.4627514797184213</v>
      </c>
      <c r="O55" s="32">
        <f t="shared" si="18"/>
        <v>3.5686263073613289</v>
      </c>
      <c r="P55" s="32">
        <f t="shared" si="18"/>
        <v>3.6796565426953731</v>
      </c>
      <c r="Q55" s="32">
        <f t="shared" si="18"/>
        <v>3.7961073664317042</v>
      </c>
      <c r="R55" s="32">
        <f t="shared" si="18"/>
        <v>3.9182584190858178</v>
      </c>
      <c r="S55" s="32">
        <f t="shared" si="18"/>
        <v>4.0464046343959961</v>
      </c>
      <c r="T55" s="32">
        <f t="shared" si="18"/>
        <v>4.1808571231031531</v>
      </c>
      <c r="U55" s="32">
        <f t="shared" si="18"/>
        <v>4.3219441102491851</v>
      </c>
      <c r="V55" s="32">
        <f t="shared" si="18"/>
        <v>4.4700119293540581</v>
      </c>
      <c r="W55" s="32">
        <f t="shared" si="18"/>
        <v>4.6254260770484912</v>
      </c>
      <c r="X55" s="32">
        <f t="shared" si="18"/>
        <v>4.7885723319698048</v>
      </c>
      <c r="Y55" s="32">
        <f t="shared" si="18"/>
        <v>4.9598579419744038</v>
      </c>
      <c r="Z55" s="32">
        <f t="shared" si="18"/>
        <v>5.1397128839824306</v>
      </c>
      <c r="AA55" s="32">
        <f t="shared" si="18"/>
        <v>5.3285912010493668</v>
      </c>
      <c r="AB55" s="32">
        <f t="shared" si="18"/>
        <v>5.5269724215570637</v>
      </c>
      <c r="AC55" s="32">
        <f t="shared" si="18"/>
        <v>4.6080977318619212</v>
      </c>
      <c r="AD55" s="32">
        <f t="shared" si="18"/>
        <v>4.7507076541988749</v>
      </c>
      <c r="AE55" s="32">
        <f t="shared" si="18"/>
        <v>4.8992596566332036</v>
      </c>
      <c r="AF55" s="32">
        <f t="shared" si="18"/>
        <v>5.0540013258356273</v>
      </c>
      <c r="AG55" s="32">
        <f t="shared" si="18"/>
        <v>5.2151905645881538</v>
      </c>
      <c r="AH55" s="32">
        <f t="shared" si="18"/>
        <v>5.383096021622034</v>
      </c>
    </row>
    <row r="56" spans="1:34" x14ac:dyDescent="0.25">
      <c r="A56" s="141" t="s">
        <v>108</v>
      </c>
      <c r="B56" s="142" t="s">
        <v>67</v>
      </c>
      <c r="C56" s="144">
        <f>(XNPV(B$6,C47:AH47,C$22:AH$22)+XNPV(B$6,C46:AH46,C$22:AH$22))/(XNPV(B$6,C45:AH45,C$22:AH$22))</f>
        <v>1.7468053551692362</v>
      </c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117"/>
      <c r="AD56" s="32"/>
      <c r="AE56" s="117"/>
      <c r="AF56" s="32"/>
      <c r="AG56" s="117"/>
      <c r="AH56" s="32"/>
    </row>
    <row r="57" spans="1:34" x14ac:dyDescent="0.25">
      <c r="A57" s="126" t="s">
        <v>100</v>
      </c>
      <c r="B57" s="28" t="s">
        <v>67</v>
      </c>
      <c r="C57" s="32">
        <f>(XNPV($B$6,C46,C$22))/(XNPV($B$6,C45,C$22))</f>
        <v>0</v>
      </c>
      <c r="D57" s="32">
        <f t="shared" ref="D57:AH57" si="19">(XNPV($B$6,D46,D$22))/(XNPV($B$6,D45,D$22))</f>
        <v>0.1077690541613644</v>
      </c>
      <c r="E57" s="32">
        <f t="shared" si="19"/>
        <v>0.20574092158078655</v>
      </c>
      <c r="F57" s="32">
        <f t="shared" si="19"/>
        <v>0.29480625559844303</v>
      </c>
      <c r="G57" s="32">
        <f t="shared" si="19"/>
        <v>0.37577474106903991</v>
      </c>
      <c r="H57" s="32">
        <f t="shared" si="19"/>
        <v>0.44938245513321889</v>
      </c>
      <c r="I57" s="32">
        <f t="shared" si="19"/>
        <v>1.185459595775008</v>
      </c>
      <c r="J57" s="32">
        <f t="shared" si="19"/>
        <v>1.185459595775008</v>
      </c>
      <c r="K57" s="32">
        <f t="shared" si="19"/>
        <v>1.1854595957750078</v>
      </c>
      <c r="L57" s="32">
        <f t="shared" si="19"/>
        <v>1.185459595775008</v>
      </c>
      <c r="M57" s="32">
        <f t="shared" si="19"/>
        <v>1.185459595775008</v>
      </c>
      <c r="N57" s="32">
        <f t="shared" si="19"/>
        <v>1.185459595775008</v>
      </c>
      <c r="O57" s="32">
        <f t="shared" si="19"/>
        <v>1.185459595775008</v>
      </c>
      <c r="P57" s="32">
        <f t="shared" si="19"/>
        <v>1.185459595775008</v>
      </c>
      <c r="Q57" s="32">
        <f t="shared" si="19"/>
        <v>1.185459595775008</v>
      </c>
      <c r="R57" s="32">
        <f t="shared" si="19"/>
        <v>1.1854595957750078</v>
      </c>
      <c r="S57" s="32">
        <f t="shared" si="19"/>
        <v>1.1854595957750078</v>
      </c>
      <c r="T57" s="32">
        <f t="shared" si="19"/>
        <v>1.1854595957750078</v>
      </c>
      <c r="U57" s="32">
        <f t="shared" si="19"/>
        <v>1.1854595957750078</v>
      </c>
      <c r="V57" s="32">
        <f t="shared" si="19"/>
        <v>1.185459595775008</v>
      </c>
      <c r="W57" s="32">
        <f t="shared" si="19"/>
        <v>1.185459595775008</v>
      </c>
      <c r="X57" s="32">
        <f t="shared" si="19"/>
        <v>1.185459595775008</v>
      </c>
      <c r="Y57" s="32">
        <f t="shared" si="19"/>
        <v>1.1854595957750078</v>
      </c>
      <c r="Z57" s="32">
        <f t="shared" si="19"/>
        <v>1.185459595775008</v>
      </c>
      <c r="AA57" s="32">
        <f t="shared" si="19"/>
        <v>1.185459595775008</v>
      </c>
      <c r="AB57" s="32">
        <f t="shared" si="19"/>
        <v>1.185459595775008</v>
      </c>
      <c r="AC57" s="32">
        <f t="shared" si="19"/>
        <v>1.185459595775008</v>
      </c>
      <c r="AD57" s="32">
        <f t="shared" si="19"/>
        <v>1.1854595957750083</v>
      </c>
      <c r="AE57" s="32">
        <f t="shared" si="19"/>
        <v>1.185459595775008</v>
      </c>
      <c r="AF57" s="32">
        <f t="shared" si="19"/>
        <v>1.185459595775008</v>
      </c>
      <c r="AG57" s="32">
        <f t="shared" si="19"/>
        <v>1.1854595957750083</v>
      </c>
      <c r="AH57" s="32">
        <f t="shared" si="19"/>
        <v>1.1854595957750083</v>
      </c>
    </row>
    <row r="58" spans="1:34" x14ac:dyDescent="0.25">
      <c r="A58" s="141" t="s">
        <v>102</v>
      </c>
      <c r="B58" s="142" t="s">
        <v>67</v>
      </c>
      <c r="C58" s="144">
        <f>(XNPV(B$6,C46:AH46,C$22:AH$22))/(XNPV(B$6,C45:AH45,C$22:AH$22))</f>
        <v>0.57894534868173164</v>
      </c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117"/>
      <c r="AD58" s="32"/>
      <c r="AE58" s="117"/>
      <c r="AF58" s="32"/>
      <c r="AG58" s="117"/>
      <c r="AH58" s="32"/>
    </row>
    <row r="59" spans="1:34" s="21" customFormat="1" x14ac:dyDescent="0.25">
      <c r="A59" s="120"/>
      <c r="B59" s="127"/>
      <c r="C59" s="128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127"/>
      <c r="AD59" s="32"/>
      <c r="AE59" s="127"/>
      <c r="AF59" s="32"/>
      <c r="AG59" s="127"/>
      <c r="AH59" s="32"/>
    </row>
    <row r="60" spans="1:34" x14ac:dyDescent="0.25">
      <c r="A60" s="141" t="s">
        <v>95</v>
      </c>
      <c r="B60" s="145" t="s">
        <v>68</v>
      </c>
      <c r="C60" s="146">
        <f>XIRR(C42:AH42, C$22:AH$22, 0.01)</f>
        <v>0.14283774852752684</v>
      </c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117"/>
      <c r="AD60" s="32"/>
      <c r="AE60" s="117"/>
      <c r="AF60" s="32"/>
      <c r="AG60" s="117"/>
      <c r="AH60" s="32"/>
    </row>
    <row r="61" spans="1:34" x14ac:dyDescent="0.25">
      <c r="A61" s="220" t="s">
        <v>103</v>
      </c>
      <c r="B61" s="221" t="s">
        <v>68</v>
      </c>
      <c r="C61" s="222" t="e">
        <f>XIRR(C42:H42, C$22:H$22, 0.01)</f>
        <v>#NUM!</v>
      </c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117"/>
      <c r="AD61" s="32"/>
      <c r="AE61" s="117"/>
      <c r="AF61" s="32"/>
      <c r="AG61" s="117"/>
      <c r="AH61" s="32"/>
    </row>
    <row r="62" spans="1:34" x14ac:dyDescent="0.25">
      <c r="A62" s="141" t="s">
        <v>96</v>
      </c>
      <c r="B62" s="145" t="s">
        <v>68</v>
      </c>
      <c r="C62" s="269">
        <f>XIRR(C43:AH43, C$22:AH$22, 0.01)</f>
        <v>4.7683715820312501E-9</v>
      </c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117"/>
      <c r="AD62" s="32"/>
      <c r="AE62" s="117"/>
      <c r="AF62" s="32"/>
      <c r="AG62" s="117"/>
      <c r="AH62" s="32"/>
    </row>
    <row r="63" spans="1:34" x14ac:dyDescent="0.25">
      <c r="A63" s="220" t="s">
        <v>104</v>
      </c>
      <c r="B63" s="221" t="s">
        <v>68</v>
      </c>
      <c r="C63" s="223" t="e">
        <f>XIRR(C43:H43, C$22:H$22, 0.01)</f>
        <v>#NUM!</v>
      </c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117"/>
      <c r="AD63" s="32"/>
      <c r="AE63" s="117"/>
      <c r="AF63" s="32"/>
      <c r="AG63" s="117"/>
      <c r="AH63" s="32"/>
    </row>
    <row r="64" spans="1:34" x14ac:dyDescent="0.25">
      <c r="A64" s="304" t="s">
        <v>89</v>
      </c>
      <c r="B64" s="145" t="s">
        <v>69</v>
      </c>
      <c r="C64" s="151">
        <f>IF(I65,$J$21-$D$21)+1</f>
        <v>7</v>
      </c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117"/>
      <c r="AD64" s="32"/>
      <c r="AE64" s="117"/>
      <c r="AF64" s="32"/>
      <c r="AG64" s="117"/>
      <c r="AH64" s="32"/>
    </row>
    <row r="65" spans="1:74" x14ac:dyDescent="0.25">
      <c r="A65" s="305"/>
      <c r="B65" s="129" t="s">
        <v>69</v>
      </c>
      <c r="C65" s="130">
        <f>(D34+D30)/C25</f>
        <v>0.23454506912626136</v>
      </c>
      <c r="D65" s="121">
        <f>(SUM($D$34:E34)+SUM($D$30:E30))/SUM($C$25:D25)</f>
        <v>0.35788012127730712</v>
      </c>
      <c r="E65" s="121">
        <f>(SUM($D$34:F34)+SUM($D$30:F30))/SUM($C$25:E25)</f>
        <v>0.48527248298224601</v>
      </c>
      <c r="F65" s="121">
        <f>(SUM($D$34:G34)+SUM($D$30:G30))/SUM($C$25:F25)</f>
        <v>0.61672599088230851</v>
      </c>
      <c r="G65" s="121">
        <f>(SUM($D$34:H34)+SUM($D$30:H30))/SUM($C$25:G25)</f>
        <v>0.75223826050745202</v>
      </c>
      <c r="H65" s="121">
        <f>(SUM($D$34:I34)+SUM($D$30:I30))/SUM($C$25:H25)</f>
        <v>0.89180080871061818</v>
      </c>
      <c r="I65" s="121">
        <f>(SUM($D$34:J34)+SUM($D$30:J30))/SUM($C$25:I25)</f>
        <v>1.129399926182618</v>
      </c>
      <c r="J65" s="121"/>
      <c r="K65" s="121"/>
      <c r="L65" s="121"/>
      <c r="M65" s="121"/>
      <c r="N65" s="121"/>
      <c r="O65" s="121"/>
      <c r="P65" s="121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17"/>
      <c r="AD65" s="121"/>
      <c r="AE65" s="117"/>
      <c r="AF65" s="121"/>
      <c r="AG65" s="117"/>
      <c r="AH65" s="121"/>
    </row>
    <row r="66" spans="1:74" x14ac:dyDescent="0.25">
      <c r="A66" s="306" t="s">
        <v>105</v>
      </c>
      <c r="B66" s="145" t="s">
        <v>69</v>
      </c>
      <c r="C66" s="152">
        <f>IF(N67,$O$21-$D$21)+1</f>
        <v>12</v>
      </c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117"/>
      <c r="AD66" s="32"/>
      <c r="AE66" s="117"/>
      <c r="AF66" s="32"/>
      <c r="AG66" s="117"/>
      <c r="AH66" s="32"/>
    </row>
    <row r="67" spans="1:74" x14ac:dyDescent="0.25">
      <c r="A67" s="305"/>
      <c r="B67" s="28" t="s">
        <v>69</v>
      </c>
      <c r="C67" s="131">
        <f>D34/C25</f>
        <v>0.1077690541613644</v>
      </c>
      <c r="D67" s="32">
        <f>SUM($D$34:E34)/SUM($C$25:D25)</f>
        <v>0.16421951110303148</v>
      </c>
      <c r="E67" s="32">
        <f>SUM($D$34:F34)/SUM($C$25:E25)</f>
        <v>0.22237541991604801</v>
      </c>
      <c r="F67" s="32">
        <f>SUM($D$34:G34)/SUM($C$25:F25)</f>
        <v>0.28222906362362055</v>
      </c>
      <c r="G67" s="32">
        <f>SUM($D$34:H34)/SUM($C$25:G25)</f>
        <v>0.34376970815637597</v>
      </c>
      <c r="H67" s="32">
        <f>SUM($D$34:I34)/SUM($C$25:H25)</f>
        <v>0.40698367099555383</v>
      </c>
      <c r="I67" s="32">
        <f>SUM($D$34:J34)/SUM($C$25:I25)</f>
        <v>0.51475272515691828</v>
      </c>
      <c r="J67" s="32">
        <f>SUM($D$34:K34)/SUM($C$25:J25)</f>
        <v>0.62252177931828268</v>
      </c>
      <c r="K67" s="32">
        <f>SUM($D$34:L34)/SUM($C$25:K25)</f>
        <v>0.73029083347964707</v>
      </c>
      <c r="L67" s="32">
        <f>SUM($D$34:M34)/SUM($C$25:L25)</f>
        <v>0.83805988764101147</v>
      </c>
      <c r="M67" s="32">
        <f>SUM($D$34:N34)/SUM($C$25:M25)</f>
        <v>0.94582894180237587</v>
      </c>
      <c r="N67" s="32">
        <f>SUM($D$34:O34)/SUM($C$25:N25)</f>
        <v>1.0535979959637403</v>
      </c>
      <c r="O67" s="32"/>
      <c r="P67" s="32"/>
      <c r="Q67" s="32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117"/>
      <c r="AD67" s="31"/>
      <c r="AE67" s="117"/>
      <c r="AF67" s="31"/>
      <c r="AG67" s="117"/>
      <c r="AH67" s="31"/>
    </row>
    <row r="68" spans="1:74" ht="3" customHeight="1" x14ac:dyDescent="0.25">
      <c r="A68" s="33"/>
      <c r="B68" s="162"/>
      <c r="C68" s="162"/>
      <c r="D68" s="163"/>
      <c r="E68" s="164"/>
      <c r="F68" s="164"/>
      <c r="G68" s="164"/>
      <c r="H68" s="164"/>
      <c r="I68" s="164"/>
      <c r="J68" s="164"/>
      <c r="K68" s="164"/>
      <c r="L68" s="164"/>
      <c r="M68" s="164"/>
      <c r="N68" s="164"/>
      <c r="O68" s="164"/>
      <c r="P68" s="164"/>
      <c r="Q68" s="164"/>
      <c r="R68" s="164"/>
      <c r="S68" s="164"/>
      <c r="T68" s="164"/>
      <c r="U68" s="164"/>
      <c r="V68" s="164"/>
      <c r="W68" s="164"/>
      <c r="X68" s="164"/>
      <c r="Y68" s="164"/>
      <c r="Z68" s="164"/>
      <c r="AA68" s="164"/>
      <c r="AB68" s="164"/>
      <c r="AC68" s="164"/>
      <c r="AD68" s="164"/>
      <c r="AE68" s="164"/>
      <c r="AF68" s="164"/>
      <c r="AG68" s="164"/>
      <c r="AH68" s="164"/>
    </row>
    <row r="69" spans="1:74" ht="23.45" customHeight="1" x14ac:dyDescent="0.25">
      <c r="A69" s="210" t="s">
        <v>54</v>
      </c>
      <c r="B69" s="211"/>
      <c r="C69" s="211"/>
      <c r="D69" s="212"/>
      <c r="E69" s="213"/>
      <c r="F69" s="213"/>
      <c r="G69" s="213"/>
      <c r="H69" s="213"/>
      <c r="I69" s="213"/>
      <c r="J69" s="213"/>
      <c r="K69" s="213"/>
      <c r="L69" s="213"/>
      <c r="M69" s="213"/>
      <c r="N69" s="213"/>
      <c r="O69" s="213"/>
      <c r="P69" s="213"/>
      <c r="Q69" s="213"/>
      <c r="R69" s="213"/>
      <c r="S69" s="213"/>
      <c r="T69" s="213"/>
      <c r="U69" s="213"/>
      <c r="V69" s="213"/>
      <c r="W69" s="213"/>
      <c r="X69" s="213"/>
      <c r="Y69" s="213"/>
      <c r="Z69" s="213"/>
      <c r="AA69" s="213"/>
      <c r="AB69" s="213"/>
      <c r="AC69" s="214"/>
      <c r="AD69" s="213"/>
      <c r="AE69" s="214"/>
      <c r="AF69" s="213"/>
      <c r="AG69" s="214"/>
      <c r="AH69" s="213"/>
    </row>
    <row r="70" spans="1:74" x14ac:dyDescent="0.25">
      <c r="A70" s="154" t="s">
        <v>48</v>
      </c>
      <c r="B70" s="155" t="s">
        <v>49</v>
      </c>
      <c r="C70" s="156">
        <f>C76+C79+C82+C85+C88+C91</f>
        <v>0</v>
      </c>
      <c r="D70" s="156">
        <f>D76+D79+D82+D85+D88+D91</f>
        <v>0</v>
      </c>
      <c r="E70" s="156">
        <f t="shared" ref="E70:AH71" si="20">E76+E79+E82+E85+E88+E91</f>
        <v>0</v>
      </c>
      <c r="F70" s="156">
        <f t="shared" si="20"/>
        <v>273611.11111111112</v>
      </c>
      <c r="G70" s="156">
        <f>G76+G79+G82+G85+G88+G91</f>
        <v>547222.22222222225</v>
      </c>
      <c r="H70" s="156">
        <f t="shared" si="20"/>
        <v>820833.33333333337</v>
      </c>
      <c r="I70" s="156">
        <f t="shared" si="20"/>
        <v>1094444.4444444445</v>
      </c>
      <c r="J70" s="156">
        <f t="shared" si="20"/>
        <v>1368055.5555555555</v>
      </c>
      <c r="K70" s="156">
        <f t="shared" si="20"/>
        <v>1368055.5555555555</v>
      </c>
      <c r="L70" s="156">
        <f t="shared" si="20"/>
        <v>1094444.4444444445</v>
      </c>
      <c r="M70" s="156">
        <f t="shared" si="20"/>
        <v>820833.33333333337</v>
      </c>
      <c r="N70" s="156">
        <f t="shared" si="20"/>
        <v>547222.22222222225</v>
      </c>
      <c r="O70" s="156">
        <f t="shared" si="20"/>
        <v>273611.11111111112</v>
      </c>
      <c r="P70" s="156">
        <f t="shared" si="20"/>
        <v>0</v>
      </c>
      <c r="Q70" s="156">
        <f t="shared" si="20"/>
        <v>0</v>
      </c>
      <c r="R70" s="156">
        <f t="shared" si="20"/>
        <v>0</v>
      </c>
      <c r="S70" s="156">
        <f t="shared" si="20"/>
        <v>0</v>
      </c>
      <c r="T70" s="156">
        <f t="shared" si="20"/>
        <v>0</v>
      </c>
      <c r="U70" s="156">
        <f t="shared" si="20"/>
        <v>0</v>
      </c>
      <c r="V70" s="156">
        <f t="shared" si="20"/>
        <v>0</v>
      </c>
      <c r="W70" s="156">
        <f t="shared" si="20"/>
        <v>0</v>
      </c>
      <c r="X70" s="156">
        <f t="shared" si="20"/>
        <v>0</v>
      </c>
      <c r="Y70" s="156">
        <f t="shared" si="20"/>
        <v>0</v>
      </c>
      <c r="Z70" s="156">
        <f t="shared" si="20"/>
        <v>0</v>
      </c>
      <c r="AA70" s="156">
        <f t="shared" si="20"/>
        <v>0</v>
      </c>
      <c r="AB70" s="157">
        <f t="shared" si="20"/>
        <v>0</v>
      </c>
      <c r="AC70" s="157">
        <f t="shared" si="20"/>
        <v>0</v>
      </c>
      <c r="AD70" s="157">
        <f t="shared" si="20"/>
        <v>0</v>
      </c>
      <c r="AE70" s="157">
        <f t="shared" si="20"/>
        <v>0</v>
      </c>
      <c r="AF70" s="157">
        <f t="shared" si="20"/>
        <v>0</v>
      </c>
      <c r="AG70" s="157">
        <f t="shared" si="20"/>
        <v>0</v>
      </c>
      <c r="AH70" s="157">
        <f t="shared" si="20"/>
        <v>0</v>
      </c>
    </row>
    <row r="71" spans="1:74" x14ac:dyDescent="0.25">
      <c r="A71" s="158"/>
      <c r="B71" s="159" t="s">
        <v>50</v>
      </c>
      <c r="C71" s="160">
        <f>C77+C80+C83+C86+C89+C92</f>
        <v>0</v>
      </c>
      <c r="D71" s="160">
        <f>D77+D80+D83+D86+D89+D92</f>
        <v>54722.222222222219</v>
      </c>
      <c r="E71" s="160">
        <f t="shared" si="20"/>
        <v>109444.44444444444</v>
      </c>
      <c r="F71" s="160">
        <f t="shared" si="20"/>
        <v>164166.66666666666</v>
      </c>
      <c r="G71" s="160">
        <f t="shared" si="20"/>
        <v>207944.44444444444</v>
      </c>
      <c r="H71" s="160">
        <f t="shared" si="20"/>
        <v>240777.77777777775</v>
      </c>
      <c r="I71" s="160">
        <f t="shared" si="20"/>
        <v>262666.66666666663</v>
      </c>
      <c r="J71" s="160">
        <f t="shared" si="20"/>
        <v>218888.88888888888</v>
      </c>
      <c r="K71" s="160">
        <f t="shared" si="20"/>
        <v>164166.66666666666</v>
      </c>
      <c r="L71" s="160">
        <f t="shared" si="20"/>
        <v>109444.44444444444</v>
      </c>
      <c r="M71" s="160">
        <f t="shared" si="20"/>
        <v>65666.666666666657</v>
      </c>
      <c r="N71" s="160">
        <f t="shared" si="20"/>
        <v>32833.333333333328</v>
      </c>
      <c r="O71" s="160">
        <f t="shared" si="20"/>
        <v>10944.44444444444</v>
      </c>
      <c r="P71" s="160">
        <f t="shared" si="20"/>
        <v>0</v>
      </c>
      <c r="Q71" s="160">
        <f t="shared" si="20"/>
        <v>0</v>
      </c>
      <c r="R71" s="160">
        <f t="shared" si="20"/>
        <v>0</v>
      </c>
      <c r="S71" s="160">
        <f t="shared" si="20"/>
        <v>0</v>
      </c>
      <c r="T71" s="160">
        <f t="shared" si="20"/>
        <v>0</v>
      </c>
      <c r="U71" s="160">
        <f t="shared" si="20"/>
        <v>0</v>
      </c>
      <c r="V71" s="160">
        <f t="shared" si="20"/>
        <v>0</v>
      </c>
      <c r="W71" s="160">
        <f t="shared" si="20"/>
        <v>0</v>
      </c>
      <c r="X71" s="160">
        <f t="shared" si="20"/>
        <v>0</v>
      </c>
      <c r="Y71" s="160">
        <f t="shared" si="20"/>
        <v>0</v>
      </c>
      <c r="Z71" s="160">
        <f t="shared" si="20"/>
        <v>0</v>
      </c>
      <c r="AA71" s="160">
        <f t="shared" si="20"/>
        <v>0</v>
      </c>
      <c r="AB71" s="161">
        <f t="shared" si="20"/>
        <v>0</v>
      </c>
      <c r="AC71" s="161">
        <f t="shared" si="20"/>
        <v>0</v>
      </c>
      <c r="AD71" s="161">
        <f t="shared" si="20"/>
        <v>0</v>
      </c>
      <c r="AE71" s="161">
        <f t="shared" si="20"/>
        <v>0</v>
      </c>
      <c r="AF71" s="161">
        <f t="shared" si="20"/>
        <v>0</v>
      </c>
      <c r="AG71" s="161">
        <f t="shared" si="20"/>
        <v>0</v>
      </c>
      <c r="AH71" s="161">
        <f t="shared" si="20"/>
        <v>0</v>
      </c>
    </row>
    <row r="72" spans="1:74" x14ac:dyDescent="0.25">
      <c r="A72" s="197" t="s">
        <v>109</v>
      </c>
      <c r="B72" s="36" t="s">
        <v>51</v>
      </c>
      <c r="C72" s="37">
        <f t="shared" ref="C72:H72" si="21">C24</f>
        <v>1368055.5555555555</v>
      </c>
      <c r="D72" s="37">
        <f t="shared" si="21"/>
        <v>1368055.5555555555</v>
      </c>
      <c r="E72" s="37">
        <f t="shared" si="21"/>
        <v>1368055.5555555555</v>
      </c>
      <c r="F72" s="37">
        <f t="shared" si="21"/>
        <v>1368055.5555555555</v>
      </c>
      <c r="G72" s="37">
        <f t="shared" si="21"/>
        <v>1368055.5555555555</v>
      </c>
      <c r="H72" s="37">
        <f t="shared" si="21"/>
        <v>1368055.5555555555</v>
      </c>
      <c r="I72" s="37">
        <f t="shared" ref="I72:AH72" si="22">I25</f>
        <v>0</v>
      </c>
      <c r="J72" s="37">
        <f t="shared" si="22"/>
        <v>0</v>
      </c>
      <c r="K72" s="37">
        <f t="shared" si="22"/>
        <v>0</v>
      </c>
      <c r="L72" s="37">
        <f t="shared" si="22"/>
        <v>0</v>
      </c>
      <c r="M72" s="37">
        <f t="shared" si="22"/>
        <v>0</v>
      </c>
      <c r="N72" s="37">
        <f t="shared" si="22"/>
        <v>0</v>
      </c>
      <c r="O72" s="37">
        <f t="shared" si="22"/>
        <v>0</v>
      </c>
      <c r="P72" s="37">
        <f t="shared" si="22"/>
        <v>0</v>
      </c>
      <c r="Q72" s="37">
        <f t="shared" si="22"/>
        <v>0</v>
      </c>
      <c r="R72" s="37">
        <f t="shared" si="22"/>
        <v>0</v>
      </c>
      <c r="S72" s="37">
        <f t="shared" si="22"/>
        <v>0</v>
      </c>
      <c r="T72" s="37">
        <f t="shared" si="22"/>
        <v>0</v>
      </c>
      <c r="U72" s="37">
        <f t="shared" si="22"/>
        <v>0</v>
      </c>
      <c r="V72" s="37">
        <f t="shared" si="22"/>
        <v>0</v>
      </c>
      <c r="W72" s="37">
        <f t="shared" si="22"/>
        <v>0</v>
      </c>
      <c r="X72" s="37">
        <f t="shared" si="22"/>
        <v>0</v>
      </c>
      <c r="Y72" s="37">
        <f t="shared" si="22"/>
        <v>0</v>
      </c>
      <c r="Z72" s="37">
        <f t="shared" si="22"/>
        <v>0</v>
      </c>
      <c r="AA72" s="37">
        <f t="shared" si="22"/>
        <v>0</v>
      </c>
      <c r="AB72" s="38">
        <f t="shared" si="22"/>
        <v>0</v>
      </c>
      <c r="AC72" s="38">
        <f t="shared" si="22"/>
        <v>0</v>
      </c>
      <c r="AD72" s="38">
        <f t="shared" si="22"/>
        <v>0</v>
      </c>
      <c r="AE72" s="38">
        <f t="shared" si="22"/>
        <v>0</v>
      </c>
      <c r="AF72" s="38">
        <f t="shared" si="22"/>
        <v>0</v>
      </c>
      <c r="AG72" s="38">
        <f t="shared" si="22"/>
        <v>0</v>
      </c>
      <c r="AH72" s="38">
        <f t="shared" si="22"/>
        <v>0</v>
      </c>
    </row>
    <row r="73" spans="1:74" x14ac:dyDescent="0.25">
      <c r="C73" s="39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8"/>
      <c r="AC73" s="18"/>
      <c r="AD73" s="18"/>
      <c r="AE73" s="18"/>
      <c r="AF73" s="18"/>
      <c r="AG73" s="18"/>
      <c r="AH73" s="18"/>
    </row>
    <row r="74" spans="1:74" x14ac:dyDescent="0.25">
      <c r="A74" s="21"/>
      <c r="B74" s="21"/>
      <c r="C74" s="165">
        <v>1</v>
      </c>
      <c r="D74" s="166">
        <v>2</v>
      </c>
      <c r="E74" s="166">
        <v>3</v>
      </c>
      <c r="F74" s="166">
        <v>4</v>
      </c>
      <c r="G74" s="166">
        <v>5</v>
      </c>
      <c r="H74" s="166">
        <v>6</v>
      </c>
      <c r="I74" s="166">
        <v>7</v>
      </c>
      <c r="J74" s="165">
        <v>8</v>
      </c>
      <c r="K74" s="166">
        <v>9</v>
      </c>
      <c r="L74" s="166">
        <v>10</v>
      </c>
      <c r="M74" s="166">
        <v>11</v>
      </c>
      <c r="N74" s="166">
        <v>12</v>
      </c>
      <c r="O74" s="166">
        <v>13</v>
      </c>
      <c r="P74" s="166">
        <v>14</v>
      </c>
      <c r="Q74" s="165">
        <v>15</v>
      </c>
      <c r="R74" s="166">
        <v>16</v>
      </c>
      <c r="S74" s="166">
        <v>17</v>
      </c>
      <c r="T74" s="166">
        <v>18</v>
      </c>
      <c r="U74" s="166">
        <v>19</v>
      </c>
      <c r="V74" s="166">
        <v>20</v>
      </c>
      <c r="W74" s="166">
        <v>21</v>
      </c>
      <c r="X74" s="165">
        <v>22</v>
      </c>
      <c r="Y74" s="166">
        <v>23</v>
      </c>
      <c r="Z74" s="166">
        <v>24</v>
      </c>
      <c r="AA74" s="166">
        <v>25</v>
      </c>
      <c r="AB74" s="167">
        <v>26</v>
      </c>
      <c r="AC74" s="167">
        <v>27</v>
      </c>
      <c r="AD74" s="167">
        <v>28</v>
      </c>
      <c r="AE74" s="167">
        <v>29</v>
      </c>
      <c r="AF74" s="167">
        <v>30</v>
      </c>
      <c r="AG74" s="167">
        <v>31</v>
      </c>
      <c r="AH74" s="167">
        <v>32</v>
      </c>
    </row>
    <row r="75" spans="1:74" ht="9" customHeight="1" x14ac:dyDescent="0.25">
      <c r="A75" s="168"/>
      <c r="B75" s="169"/>
      <c r="C75" s="170"/>
      <c r="D75" s="171">
        <v>1</v>
      </c>
      <c r="E75" s="172">
        <f>D75+1</f>
        <v>2</v>
      </c>
      <c r="F75" s="172">
        <f t="shared" ref="F75:AH75" si="23">E75+1</f>
        <v>3</v>
      </c>
      <c r="G75" s="172">
        <f t="shared" si="23"/>
        <v>4</v>
      </c>
      <c r="H75" s="172">
        <f t="shared" si="23"/>
        <v>5</v>
      </c>
      <c r="I75" s="172">
        <f t="shared" si="23"/>
        <v>6</v>
      </c>
      <c r="J75" s="172">
        <f t="shared" si="23"/>
        <v>7</v>
      </c>
      <c r="K75" s="172">
        <f t="shared" si="23"/>
        <v>8</v>
      </c>
      <c r="L75" s="172">
        <f t="shared" si="23"/>
        <v>9</v>
      </c>
      <c r="M75" s="172">
        <f t="shared" si="23"/>
        <v>10</v>
      </c>
      <c r="N75" s="172">
        <f t="shared" si="23"/>
        <v>11</v>
      </c>
      <c r="O75" s="172">
        <f t="shared" si="23"/>
        <v>12</v>
      </c>
      <c r="P75" s="172">
        <f t="shared" si="23"/>
        <v>13</v>
      </c>
      <c r="Q75" s="172">
        <f t="shared" si="23"/>
        <v>14</v>
      </c>
      <c r="R75" s="172">
        <f t="shared" si="23"/>
        <v>15</v>
      </c>
      <c r="S75" s="172">
        <f t="shared" si="23"/>
        <v>16</v>
      </c>
      <c r="T75" s="172">
        <f t="shared" si="23"/>
        <v>17</v>
      </c>
      <c r="U75" s="172">
        <f t="shared" si="23"/>
        <v>18</v>
      </c>
      <c r="V75" s="172">
        <f t="shared" si="23"/>
        <v>19</v>
      </c>
      <c r="W75" s="172">
        <f t="shared" si="23"/>
        <v>20</v>
      </c>
      <c r="X75" s="172">
        <f t="shared" si="23"/>
        <v>21</v>
      </c>
      <c r="Y75" s="172">
        <f t="shared" si="23"/>
        <v>22</v>
      </c>
      <c r="Z75" s="172">
        <f t="shared" si="23"/>
        <v>23</v>
      </c>
      <c r="AA75" s="172">
        <f t="shared" si="23"/>
        <v>24</v>
      </c>
      <c r="AB75" s="173">
        <f t="shared" si="23"/>
        <v>25</v>
      </c>
      <c r="AC75" s="173">
        <f t="shared" si="23"/>
        <v>26</v>
      </c>
      <c r="AD75" s="173">
        <f t="shared" si="23"/>
        <v>27</v>
      </c>
      <c r="AE75" s="173">
        <f t="shared" si="23"/>
        <v>28</v>
      </c>
      <c r="AF75" s="173">
        <f t="shared" si="23"/>
        <v>29</v>
      </c>
      <c r="AG75" s="173">
        <f t="shared" si="23"/>
        <v>30</v>
      </c>
      <c r="AH75" s="173">
        <f t="shared" si="23"/>
        <v>31</v>
      </c>
    </row>
    <row r="76" spans="1:74" s="16" customFormat="1" x14ac:dyDescent="0.25">
      <c r="A76" s="174">
        <v>1</v>
      </c>
      <c r="B76" s="175" t="s">
        <v>49</v>
      </c>
      <c r="C76" s="176"/>
      <c r="D76" s="177">
        <f>IF($B$13&gt;D75,0,IF($C$72-(SUM($C$76:C76)+1)&gt;0,IF($B$12&gt;0,$C$72/$B$12,0),0))</f>
        <v>0</v>
      </c>
      <c r="E76" s="177">
        <f>IF($B$13&gt;E75,0,IF($C$72-(SUM($C$76:D76)+1)&gt;0,IF($B$12&gt;0,$C$72/$B$12,0),0))</f>
        <v>0</v>
      </c>
      <c r="F76" s="177">
        <f>IF($B$13&gt;F75,0,IF($C$72-(SUM($C$76:E76)+1)&gt;0,IF($B$12&gt;0,$C$72/$B$12,0),0))</f>
        <v>273611.11111111112</v>
      </c>
      <c r="G76" s="177">
        <f>IF($B$13&gt;G75,0,IF($C$72-(SUM($C$76:F76)+1)&gt;0,IF($B$12&gt;0,$C$72/$B$12,0),0))</f>
        <v>273611.11111111112</v>
      </c>
      <c r="H76" s="177">
        <f>IF($B$13&gt;H75,0,IF($C$72-(SUM($C$76:G76)+1)&gt;0,IF($B$12&gt;0,$C$72/$B$12,0),0))</f>
        <v>273611.11111111112</v>
      </c>
      <c r="I76" s="177">
        <f>IF($B$13&gt;I75,0,IF($C$72-(SUM($C$76:H76)+1)&gt;0,IF($B$12&gt;0,$C$72/$B$12,0),0))</f>
        <v>273611.11111111112</v>
      </c>
      <c r="J76" s="177">
        <f>IF($B$13&gt;J75,0,IF($C$72-(SUM($C$76:I76)+1)&gt;0,IF($B$12&gt;0,$C$72/$B$12,0),0))</f>
        <v>273611.11111111112</v>
      </c>
      <c r="K76" s="177">
        <f>IF($B$13&gt;K75,0,IF($C$72-(SUM($C$76:J76)+1)&gt;0,IF($B$12&gt;0,$C$72/$B$12,0),0))</f>
        <v>0</v>
      </c>
      <c r="L76" s="177">
        <f>IF($B$13&gt;L75,0,IF($C$72-(SUM($C$76:K76)+1)&gt;0,IF($B$12&gt;0,$C$72/$B$12,0),0))</f>
        <v>0</v>
      </c>
      <c r="M76" s="177">
        <f>IF($B$13&gt;M75,0,IF($C$72-(SUM($C$76:L76)+1)&gt;0,IF($B$12&gt;0,$C$72/$B$12,0),0))</f>
        <v>0</v>
      </c>
      <c r="N76" s="177">
        <f>IF($B$13&gt;N75,0,IF($C$72-(SUM($C$76:M76)+1)&gt;0,IF($B$12&gt;0,$C$72/$B$12,0),0))</f>
        <v>0</v>
      </c>
      <c r="O76" s="177">
        <f>IF($B$13&gt;O75,0,IF($C$72-(SUM($C$76:N76)+1)&gt;0,IF($B$12&gt;0,$C$72/$B$12,0),0))</f>
        <v>0</v>
      </c>
      <c r="P76" s="177">
        <f>IF($B$13&gt;P75,0,IF($C$72-(SUM($C$76:O76)+1)&gt;0,IF($B$12&gt;0,$C$72/$B$12,0),0))</f>
        <v>0</v>
      </c>
      <c r="Q76" s="177">
        <f>IF($B$13&gt;Q75,0,IF($C$72-(SUM($C$76:P76)+1)&gt;0,IF($B$12&gt;0,$C$72/$B$12,0),0))</f>
        <v>0</v>
      </c>
      <c r="R76" s="177">
        <f>IF($B$13&gt;R75,0,IF($C$72-(SUM($C$76:Q76)+1)&gt;0,IF($B$12&gt;0,$C$72/$B$12,0),0))</f>
        <v>0</v>
      </c>
      <c r="S76" s="177">
        <f>IF($B$13&gt;S75,0,IF($C$72-(SUM($C$76:R76)+1)&gt;0,IF($B$12&gt;0,$C$72/$B$12,0),0))</f>
        <v>0</v>
      </c>
      <c r="T76" s="177">
        <f>IF($B$13&gt;T75,0,IF($C$72-(SUM($C$76:S76)+1)&gt;0,IF($B$12&gt;0,$C$72/$B$12,0),0))</f>
        <v>0</v>
      </c>
      <c r="U76" s="177">
        <f>IF($B$13&gt;U75,0,IF($C$72-(SUM($C$76:T76)+1)&gt;0,IF($B$12&gt;0,$C$72/$B$12,0),0))</f>
        <v>0</v>
      </c>
      <c r="V76" s="177">
        <f>IF($B$13&gt;V75,0,IF($C$72-(SUM($C$76:U76)+1)&gt;0,IF($B$12&gt;0,$C$72/$B$12,0),0))</f>
        <v>0</v>
      </c>
      <c r="W76" s="177">
        <f>IF($B$13&gt;W75,0,IF($C$72-(SUM($C$76:V76)+1)&gt;0,IF($B$12&gt;0,$C$72/$B$12,0),0))</f>
        <v>0</v>
      </c>
      <c r="X76" s="177">
        <f>IF($B$13&gt;X75,0,IF($C$72-(SUM($C$76:W76)+1)&gt;0,IF($B$12&gt;0,$C$72/$B$12,0),0))</f>
        <v>0</v>
      </c>
      <c r="Y76" s="177">
        <f>IF($B$13&gt;Y75,0,IF($C$72-(SUM($C$76:X76)+1)&gt;0,IF($B$12&gt;0,$C$72/$B$12,0),0))</f>
        <v>0</v>
      </c>
      <c r="Z76" s="177">
        <f>IF($B$13&gt;Z75,0,IF($C$72-(SUM($C$76:Y76)+1)&gt;0,IF($B$12&gt;0,$C$72/$B$12,0),0))</f>
        <v>0</v>
      </c>
      <c r="AA76" s="177">
        <f>IF($B$13&gt;AA75,0,IF($C$72-(SUM($C$76:Z76)+1)&gt;0,IF($B$12&gt;0,$C$72/$B$12,0),0))</f>
        <v>0</v>
      </c>
      <c r="AB76" s="178">
        <f>IF($B$13&gt;AB75,0,IF($C$72-(SUM($C$76:AA76)+1)&gt;0,IF($B$12&gt;0,$C$72/$B$12,0),0))</f>
        <v>0</v>
      </c>
      <c r="AC76" s="178">
        <f>IF($B$13&gt;AC75,0,IF($C$72-(SUM($C$76:AB76)+1)&gt;0,IF($B$12&gt;0,$C$72/$B$12,0),0))</f>
        <v>0</v>
      </c>
      <c r="AD76" s="178">
        <f>IF($B$13&gt;AD75,0,IF($C$72-(SUM($C$76:AC76)+1)&gt;0,IF($B$12&gt;0,$C$72/$B$12,0),0))</f>
        <v>0</v>
      </c>
      <c r="AE76" s="178">
        <f>IF($B$13&gt;AE75,0,IF($C$72-(SUM($C$76:AD76)+1)&gt;0,IF($B$12&gt;0,$C$72/$B$12,0),0))</f>
        <v>0</v>
      </c>
      <c r="AF76" s="178">
        <f>IF($B$13&gt;AF75,0,IF($C$72-(SUM($C$76:AE76)+1)&gt;0,IF($B$12&gt;0,$C$72/$B$12,0),0))</f>
        <v>0</v>
      </c>
      <c r="AG76" s="178">
        <f>IF($B$13&gt;AG75,0,IF($C$72-(SUM($C$76:AF76)+1)&gt;0,IF($B$12&gt;0,$C$72/$B$12,0),0))</f>
        <v>0</v>
      </c>
      <c r="AH76" s="178">
        <f>IF($B$13&gt;AH75,0,IF($C$72-(SUM($C$76:AG76)+1)&gt;0,IF($B$12&gt;0,$C$72/$B$12,0),0))</f>
        <v>0</v>
      </c>
    </row>
    <row r="77" spans="1:74" s="16" customFormat="1" ht="11.25" customHeight="1" x14ac:dyDescent="0.25">
      <c r="A77" s="179"/>
      <c r="B77" s="180" t="s">
        <v>50</v>
      </c>
      <c r="C77" s="181"/>
      <c r="D77" s="182">
        <f>($C$72-SUM($C$76:C76))*$B$14</f>
        <v>54722.222222222219</v>
      </c>
      <c r="E77" s="182">
        <f>($C$72-SUM($C$76:D76))*$B$14</f>
        <v>54722.222222222219</v>
      </c>
      <c r="F77" s="182">
        <f>($C$72-SUM($C$76:E76))*$B$14</f>
        <v>54722.222222222219</v>
      </c>
      <c r="G77" s="182">
        <f>($C$72-SUM($C$76:F76))*$B$14</f>
        <v>43777.777777777781</v>
      </c>
      <c r="H77" s="182">
        <f>($C$72-SUM($C$76:G76))*$B$14</f>
        <v>32833.333333333328</v>
      </c>
      <c r="I77" s="182">
        <f>($C$72-SUM($C$76:H76))*$B$14</f>
        <v>21888.888888888887</v>
      </c>
      <c r="J77" s="182">
        <f>($C$72-SUM($C$76:I76))*$B$14</f>
        <v>10944.44444444444</v>
      </c>
      <c r="K77" s="182">
        <f>($C$72-SUM($C$76:J76))*$B$14</f>
        <v>0</v>
      </c>
      <c r="L77" s="182">
        <f>($C$72-SUM($C$76:K76))*$B$14</f>
        <v>0</v>
      </c>
      <c r="M77" s="182">
        <f>($C$72-SUM($C$76:L76))*$B$14</f>
        <v>0</v>
      </c>
      <c r="N77" s="182">
        <f>($C$72-SUM($C$76:M76))*$B$14</f>
        <v>0</v>
      </c>
      <c r="O77" s="182">
        <f>($C$72-SUM($C$76:N76))*$B$14</f>
        <v>0</v>
      </c>
      <c r="P77" s="182">
        <f>($C$72-SUM($C$76:O76))*$B$14</f>
        <v>0</v>
      </c>
      <c r="Q77" s="182">
        <f>($C$72-SUM($C$76:P76))*$B$14</f>
        <v>0</v>
      </c>
      <c r="R77" s="182">
        <f>($C$72-SUM($C$76:Q76))*$B$14</f>
        <v>0</v>
      </c>
      <c r="S77" s="182">
        <f>($C$72-SUM($C$76:R76))*$B$14</f>
        <v>0</v>
      </c>
      <c r="T77" s="182">
        <f>($C$72-SUM($C$76:S76))*$B$14</f>
        <v>0</v>
      </c>
      <c r="U77" s="182">
        <f>($C$72-SUM($C$76:T76))*$B$14</f>
        <v>0</v>
      </c>
      <c r="V77" s="182">
        <f>($C$72-SUM($C$76:U76))*$B$14</f>
        <v>0</v>
      </c>
      <c r="W77" s="182">
        <f>($C$72-SUM($C$76:V76))*$B$14</f>
        <v>0</v>
      </c>
      <c r="X77" s="182">
        <f>($C$72-SUM($C$76:W76))*$B$14</f>
        <v>0</v>
      </c>
      <c r="Y77" s="182">
        <f>($C$72-SUM($C$76:X76))*$B$14</f>
        <v>0</v>
      </c>
      <c r="Z77" s="182">
        <f>($C$72-SUM($C$76:Y76))*$B$14</f>
        <v>0</v>
      </c>
      <c r="AA77" s="182">
        <f>($C$72-SUM($C$76:Z76))*$B$14</f>
        <v>0</v>
      </c>
      <c r="AB77" s="183">
        <f>($C$72-SUM($C$76:AA76))*$B$14</f>
        <v>0</v>
      </c>
      <c r="AC77" s="183">
        <f>($C$72-SUM($C$76:AB76))*$B$14</f>
        <v>0</v>
      </c>
      <c r="AD77" s="183">
        <f>($C$72-SUM($C$76:AC76))*$B$14</f>
        <v>0</v>
      </c>
      <c r="AE77" s="183">
        <f>($C$72-SUM($C$76:AD76))*$B$14</f>
        <v>0</v>
      </c>
      <c r="AF77" s="183">
        <f>($C$72-SUM($C$76:AE76))*$B$14</f>
        <v>0</v>
      </c>
      <c r="AG77" s="183">
        <f>($C$72-SUM($C$76:AF76))*$B$14</f>
        <v>0</v>
      </c>
      <c r="AH77" s="183">
        <f>($C$72-SUM($C$76:AG76))*$B$14</f>
        <v>0</v>
      </c>
    </row>
    <row r="78" spans="1:74" ht="13.5" customHeight="1" x14ac:dyDescent="0.25">
      <c r="A78" s="184"/>
      <c r="B78" s="185"/>
      <c r="C78" s="186"/>
      <c r="D78" s="187"/>
      <c r="E78" s="172">
        <v>1</v>
      </c>
      <c r="F78" s="172">
        <f>E78+1</f>
        <v>2</v>
      </c>
      <c r="G78" s="172">
        <f t="shared" ref="G78:AH78" si="24">F78+1</f>
        <v>3</v>
      </c>
      <c r="H78" s="172">
        <f t="shared" si="24"/>
        <v>4</v>
      </c>
      <c r="I78" s="172">
        <f t="shared" si="24"/>
        <v>5</v>
      </c>
      <c r="J78" s="172">
        <f t="shared" si="24"/>
        <v>6</v>
      </c>
      <c r="K78" s="172">
        <f t="shared" si="24"/>
        <v>7</v>
      </c>
      <c r="L78" s="172">
        <f t="shared" si="24"/>
        <v>8</v>
      </c>
      <c r="M78" s="172">
        <f t="shared" si="24"/>
        <v>9</v>
      </c>
      <c r="N78" s="172">
        <f t="shared" si="24"/>
        <v>10</v>
      </c>
      <c r="O78" s="172">
        <f t="shared" si="24"/>
        <v>11</v>
      </c>
      <c r="P78" s="172">
        <f t="shared" si="24"/>
        <v>12</v>
      </c>
      <c r="Q78" s="172">
        <f t="shared" si="24"/>
        <v>13</v>
      </c>
      <c r="R78" s="172">
        <f t="shared" si="24"/>
        <v>14</v>
      </c>
      <c r="S78" s="172">
        <f t="shared" si="24"/>
        <v>15</v>
      </c>
      <c r="T78" s="172">
        <f t="shared" si="24"/>
        <v>16</v>
      </c>
      <c r="U78" s="172">
        <f t="shared" si="24"/>
        <v>17</v>
      </c>
      <c r="V78" s="172">
        <f t="shared" si="24"/>
        <v>18</v>
      </c>
      <c r="W78" s="172">
        <f t="shared" si="24"/>
        <v>19</v>
      </c>
      <c r="X78" s="172">
        <f t="shared" si="24"/>
        <v>20</v>
      </c>
      <c r="Y78" s="172">
        <f t="shared" si="24"/>
        <v>21</v>
      </c>
      <c r="Z78" s="172">
        <f t="shared" si="24"/>
        <v>22</v>
      </c>
      <c r="AA78" s="172">
        <f t="shared" si="24"/>
        <v>23</v>
      </c>
      <c r="AB78" s="173">
        <f t="shared" si="24"/>
        <v>24</v>
      </c>
      <c r="AC78" s="173">
        <f t="shared" si="24"/>
        <v>25</v>
      </c>
      <c r="AD78" s="173">
        <f t="shared" si="24"/>
        <v>26</v>
      </c>
      <c r="AE78" s="173">
        <f t="shared" si="24"/>
        <v>27</v>
      </c>
      <c r="AF78" s="173">
        <f t="shared" si="24"/>
        <v>28</v>
      </c>
      <c r="AG78" s="173">
        <f t="shared" si="24"/>
        <v>29</v>
      </c>
      <c r="AH78" s="173">
        <f t="shared" si="24"/>
        <v>30</v>
      </c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</row>
    <row r="79" spans="1:74" s="16" customFormat="1" x14ac:dyDescent="0.25">
      <c r="A79" s="184">
        <f>A76+1</f>
        <v>2</v>
      </c>
      <c r="B79" s="188" t="s">
        <v>49</v>
      </c>
      <c r="C79" s="189"/>
      <c r="D79" s="190"/>
      <c r="E79" s="177">
        <f>IF($B$13&gt;E78,0,IF($D$72-(SUM($C$79:D79)+1)&gt;0,IF($B$12&gt;0,$D$72/$B$12,0),0))</f>
        <v>0</v>
      </c>
      <c r="F79" s="177">
        <f>IF($B$13&gt;F78,0,IF($D$72-(SUM($C$79:E79)+1)&gt;0,IF($B$12&gt;0,$D$72/$B$12,0),0))</f>
        <v>0</v>
      </c>
      <c r="G79" s="177">
        <f>IF($B$13&gt;G78,0,IF($D$72-(SUM($C$79:F79)+1)&gt;0,IF($B$12&gt;0,$D$72/$B$12,0),0))</f>
        <v>273611.11111111112</v>
      </c>
      <c r="H79" s="177">
        <f>IF($B$13&gt;H78,0,IF($D$72-(SUM($C$79:G79)+1)&gt;0,IF($B$12&gt;0,$D$72/$B$12,0),0))</f>
        <v>273611.11111111112</v>
      </c>
      <c r="I79" s="177">
        <f>IF($B$13&gt;I78,0,IF($D$72-(SUM($C$79:H79)+1)&gt;0,IF($B$12&gt;0,$D$72/$B$12,0),0))</f>
        <v>273611.11111111112</v>
      </c>
      <c r="J79" s="177">
        <f>IF($B$13&gt;J78,0,IF($D$72-(SUM($C$79:I79)+1)&gt;0,IF($B$12&gt;0,$D$72/$B$12,0),0))</f>
        <v>273611.11111111112</v>
      </c>
      <c r="K79" s="177">
        <f>IF($B$13&gt;K78,0,IF($D$72-(SUM($C$79:J79)+1)&gt;0,IF($B$12&gt;0,$D$72/$B$12,0),0))</f>
        <v>273611.11111111112</v>
      </c>
      <c r="L79" s="177">
        <f>IF($B$13&gt;L78,0,IF($D$72-(SUM($C$79:K79)+1)&gt;0,IF($B$12&gt;0,$D$72/$B$12,0),0))</f>
        <v>0</v>
      </c>
      <c r="M79" s="177">
        <f>IF($B$13&gt;M78,0,IF($D$72-(SUM($C$79:L79)+1)&gt;0,IF($B$12&gt;0,$D$72/$B$12,0),0))</f>
        <v>0</v>
      </c>
      <c r="N79" s="177">
        <f>IF($B$13&gt;N78,0,IF($D$72-(SUM($C$79:M79)+1)&gt;0,IF($B$12&gt;0,$D$72/$B$12,0),0))</f>
        <v>0</v>
      </c>
      <c r="O79" s="177">
        <f>IF($B$13&gt;O78,0,IF($D$72-(SUM($C$79:N79)+1)&gt;0,IF($B$12&gt;0,$D$72/$B$12,0),0))</f>
        <v>0</v>
      </c>
      <c r="P79" s="177">
        <f>IF($B$13&gt;P78,0,IF($D$72-(SUM($C$79:O79)+1)&gt;0,IF($B$12&gt;0,$D$72/$B$12,0),0))</f>
        <v>0</v>
      </c>
      <c r="Q79" s="177">
        <f>IF($B$13&gt;Q78,0,IF($D$72-(SUM($C$79:P79)+1)&gt;0,IF($B$12&gt;0,$D$72/$B$12,0),0))</f>
        <v>0</v>
      </c>
      <c r="R79" s="177">
        <f>IF($B$13&gt;R78,0,IF($D$72-(SUM($C$79:Q79)+1)&gt;0,IF($B$12&gt;0,$D$72/$B$12,0),0))</f>
        <v>0</v>
      </c>
      <c r="S79" s="177">
        <f>IF($B$13&gt;S78,0,IF($D$72-(SUM($C$79:R79)+1)&gt;0,IF($B$12&gt;0,$D$72/$B$12,0),0))</f>
        <v>0</v>
      </c>
      <c r="T79" s="177">
        <f>IF($B$13&gt;T78,0,IF($D$72-(SUM($C$79:S79)+1)&gt;0,IF($B$12&gt;0,$D$72/$B$12,0),0))</f>
        <v>0</v>
      </c>
      <c r="U79" s="177">
        <f>IF($B$13&gt;U78,0,IF($D$72-(SUM($C$79:T79)+1)&gt;0,IF($B$12&gt;0,$D$72/$B$12,0),0))</f>
        <v>0</v>
      </c>
      <c r="V79" s="177">
        <f>IF($B$13&gt;V78,0,IF($D$72-(SUM($C$79:U79)+1)&gt;0,IF($B$12&gt;0,$D$72/$B$12,0),0))</f>
        <v>0</v>
      </c>
      <c r="W79" s="177">
        <f>IF($B$13&gt;W78,0,IF($D$72-(SUM($C$79:V79)+1)&gt;0,IF($B$12&gt;0,$D$72/$B$12,0),0))</f>
        <v>0</v>
      </c>
      <c r="X79" s="177">
        <f>IF($B$13&gt;X78,0,IF($D$72-(SUM($C$79:W79)+1)&gt;0,IF($B$12&gt;0,$D$72/$B$12,0),0))</f>
        <v>0</v>
      </c>
      <c r="Y79" s="177">
        <f>IF($B$13&gt;Y78,0,IF($D$72-(SUM($C$79:X79)+1)&gt;0,IF($B$12&gt;0,$D$72/$B$12,0),0))</f>
        <v>0</v>
      </c>
      <c r="Z79" s="177">
        <f>IF($B$13&gt;Z78,0,IF($D$72-(SUM($C$79:Y79)+1)&gt;0,IF($B$12&gt;0,$D$72/$B$12,0),0))</f>
        <v>0</v>
      </c>
      <c r="AA79" s="177">
        <f>IF($B$13&gt;AA78,0,IF($D$72-(SUM($C$79:Z79)+1)&gt;0,IF($B$12&gt;0,$D$72/$B$12,0),0))</f>
        <v>0</v>
      </c>
      <c r="AB79" s="178">
        <f>IF($B$13&gt;AB78,0,IF($D$72-(SUM($C$79:AA79)+1)&gt;0,IF($B$12&gt;0,$D$72/$B$12,0),0))</f>
        <v>0</v>
      </c>
      <c r="AC79" s="178">
        <f>IF($B$13&gt;AC78,0,IF($D$72-(SUM($C$79:AB79)+1)&gt;0,IF($B$12&gt;0,$D$72/$B$12,0),0))</f>
        <v>0</v>
      </c>
      <c r="AD79" s="178">
        <f>IF($B$13&gt;AD78,0,IF($D$72-(SUM($C$79:AC79)+1)&gt;0,IF($B$12&gt;0,$D$72/$B$12,0),0))</f>
        <v>0</v>
      </c>
      <c r="AE79" s="178">
        <f>IF($B$13&gt;AE78,0,IF($D$72-(SUM($C$79:AD79)+1)&gt;0,IF($B$12&gt;0,$D$72/$B$12,0),0))</f>
        <v>0</v>
      </c>
      <c r="AF79" s="178">
        <f>IF($B$13&gt;AF78,0,IF($D$72-(SUM($C$79:AE79)+1)&gt;0,IF($B$12&gt;0,$D$72/$B$12,0),0))</f>
        <v>0</v>
      </c>
      <c r="AG79" s="178">
        <f>IF($B$13&gt;AG78,0,IF($D$72-(SUM($C$79:AF79)+1)&gt;0,IF($B$12&gt;0,$D$72/$B$12,0),0))</f>
        <v>0</v>
      </c>
      <c r="AH79" s="178">
        <f>IF($B$13&gt;AH78,0,IF($D$72-(SUM($C$79:AG79)+1)&gt;0,IF($B$12&gt;0,$D$72/$B$12,0),0))</f>
        <v>0</v>
      </c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  <c r="BI79" s="17"/>
      <c r="BJ79" s="17"/>
      <c r="BK79" s="17"/>
      <c r="BL79" s="17"/>
      <c r="BM79" s="17"/>
      <c r="BN79" s="17"/>
      <c r="BO79" s="17"/>
      <c r="BP79" s="17"/>
      <c r="BQ79" s="17"/>
      <c r="BR79" s="17"/>
      <c r="BS79" s="17"/>
      <c r="BT79" s="17"/>
      <c r="BU79" s="17"/>
      <c r="BV79" s="17"/>
    </row>
    <row r="80" spans="1:74" s="16" customFormat="1" x14ac:dyDescent="0.25">
      <c r="A80" s="191"/>
      <c r="B80" s="180" t="s">
        <v>50</v>
      </c>
      <c r="C80" s="192"/>
      <c r="D80" s="193"/>
      <c r="E80" s="182">
        <f>($D$72-SUM($C$79:D79))*$B$14</f>
        <v>54722.222222222219</v>
      </c>
      <c r="F80" s="182">
        <f>($D$72-SUM($C$79:E79))*$B$14</f>
        <v>54722.222222222219</v>
      </c>
      <c r="G80" s="182">
        <f>($D$72-SUM($C$79:F79))*$B$14</f>
        <v>54722.222222222219</v>
      </c>
      <c r="H80" s="182">
        <f>($D$72-SUM($C$79:G79))*$B$14</f>
        <v>43777.777777777781</v>
      </c>
      <c r="I80" s="182">
        <f>($D$72-SUM($C$79:H79))*$B$14</f>
        <v>32833.333333333328</v>
      </c>
      <c r="J80" s="182">
        <f>($D$72-SUM($C$79:I79))*$B$14</f>
        <v>21888.888888888887</v>
      </c>
      <c r="K80" s="182">
        <f>($D$72-SUM($C$79:J79))*$B$14</f>
        <v>10944.44444444444</v>
      </c>
      <c r="L80" s="182">
        <f>($D$72-SUM($C$79:K79))*$B$14</f>
        <v>0</v>
      </c>
      <c r="M80" s="182">
        <f>($D$72-SUM($C$79:L79))*$B$14</f>
        <v>0</v>
      </c>
      <c r="N80" s="182">
        <f>($D$72-SUM($C$79:M79))*$B$14</f>
        <v>0</v>
      </c>
      <c r="O80" s="182">
        <f>($D$72-SUM($C$79:N79))*$B$14</f>
        <v>0</v>
      </c>
      <c r="P80" s="182">
        <f>($D$72-SUM($C$79:O79))*$B$14</f>
        <v>0</v>
      </c>
      <c r="Q80" s="182">
        <f>($D$72-SUM($C$79:P79))*$B$14</f>
        <v>0</v>
      </c>
      <c r="R80" s="182">
        <f>($D$72-SUM($C$79:Q79))*$B$14</f>
        <v>0</v>
      </c>
      <c r="S80" s="182">
        <f>($D$72-SUM($C$79:R79))*$B$14</f>
        <v>0</v>
      </c>
      <c r="T80" s="182">
        <f>($D$72-SUM($C$79:S79))*$B$14</f>
        <v>0</v>
      </c>
      <c r="U80" s="182">
        <f>($D$72-SUM($C$79:T79))*$B$14</f>
        <v>0</v>
      </c>
      <c r="V80" s="182">
        <f>($D$72-SUM($C$79:U79))*$B$14</f>
        <v>0</v>
      </c>
      <c r="W80" s="182">
        <f>($D$72-SUM($C$79:V79))*$B$14</f>
        <v>0</v>
      </c>
      <c r="X80" s="182">
        <f>($D$72-SUM($C$79:W79))*$B$14</f>
        <v>0</v>
      </c>
      <c r="Y80" s="182">
        <f>($D$72-SUM($C$79:X79))*$B$14</f>
        <v>0</v>
      </c>
      <c r="Z80" s="182">
        <f>($D$72-SUM($C$79:Y79))*$B$14</f>
        <v>0</v>
      </c>
      <c r="AA80" s="182">
        <f>($D$72-SUM($C$79:Z79))*$B$14</f>
        <v>0</v>
      </c>
      <c r="AB80" s="183">
        <f>($D$72-SUM($C$79:AA79))*$B$14</f>
        <v>0</v>
      </c>
      <c r="AC80" s="183">
        <f>($D$72-SUM($C$79:AB79))*$B$14</f>
        <v>0</v>
      </c>
      <c r="AD80" s="183">
        <f>($D$72-SUM($C$79:AC79))*$B$14</f>
        <v>0</v>
      </c>
      <c r="AE80" s="183">
        <f>($D$72-SUM($C$79:AD79))*$B$14</f>
        <v>0</v>
      </c>
      <c r="AF80" s="183">
        <f>($D$72-SUM($C$79:AE79))*$B$14</f>
        <v>0</v>
      </c>
      <c r="AG80" s="183">
        <f>($D$72-SUM($C$79:AF79))*$B$14</f>
        <v>0</v>
      </c>
      <c r="AH80" s="183">
        <f>($D$72-SUM($C$79:AG79))*$B$14</f>
        <v>0</v>
      </c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  <c r="BI80" s="17"/>
      <c r="BJ80" s="17"/>
      <c r="BK80" s="17"/>
      <c r="BL80" s="17"/>
      <c r="BM80" s="17"/>
      <c r="BN80" s="17"/>
      <c r="BO80" s="17"/>
      <c r="BP80" s="17"/>
      <c r="BQ80" s="17"/>
      <c r="BR80" s="17"/>
      <c r="BS80" s="17"/>
      <c r="BT80" s="17"/>
      <c r="BU80" s="17"/>
      <c r="BV80" s="17"/>
    </row>
    <row r="81" spans="1:74" ht="12" customHeight="1" x14ac:dyDescent="0.25">
      <c r="A81" s="184"/>
      <c r="B81" s="185"/>
      <c r="C81" s="186"/>
      <c r="D81" s="187"/>
      <c r="E81" s="194"/>
      <c r="F81" s="172">
        <v>1</v>
      </c>
      <c r="G81" s="172">
        <f>F81+1</f>
        <v>2</v>
      </c>
      <c r="H81" s="172">
        <f t="shared" ref="H81:AH81" si="25">G81+1</f>
        <v>3</v>
      </c>
      <c r="I81" s="172">
        <f t="shared" si="25"/>
        <v>4</v>
      </c>
      <c r="J81" s="172">
        <f t="shared" si="25"/>
        <v>5</v>
      </c>
      <c r="K81" s="172">
        <f t="shared" si="25"/>
        <v>6</v>
      </c>
      <c r="L81" s="172">
        <f t="shared" si="25"/>
        <v>7</v>
      </c>
      <c r="M81" s="172">
        <f t="shared" si="25"/>
        <v>8</v>
      </c>
      <c r="N81" s="172">
        <f t="shared" si="25"/>
        <v>9</v>
      </c>
      <c r="O81" s="172">
        <f t="shared" si="25"/>
        <v>10</v>
      </c>
      <c r="P81" s="172">
        <f t="shared" si="25"/>
        <v>11</v>
      </c>
      <c r="Q81" s="172">
        <f t="shared" si="25"/>
        <v>12</v>
      </c>
      <c r="R81" s="172">
        <f t="shared" si="25"/>
        <v>13</v>
      </c>
      <c r="S81" s="172">
        <f t="shared" si="25"/>
        <v>14</v>
      </c>
      <c r="T81" s="172">
        <f t="shared" si="25"/>
        <v>15</v>
      </c>
      <c r="U81" s="172">
        <f t="shared" si="25"/>
        <v>16</v>
      </c>
      <c r="V81" s="172">
        <f t="shared" si="25"/>
        <v>17</v>
      </c>
      <c r="W81" s="172">
        <f t="shared" si="25"/>
        <v>18</v>
      </c>
      <c r="X81" s="172">
        <f t="shared" si="25"/>
        <v>19</v>
      </c>
      <c r="Y81" s="172">
        <f t="shared" si="25"/>
        <v>20</v>
      </c>
      <c r="Z81" s="172">
        <f t="shared" si="25"/>
        <v>21</v>
      </c>
      <c r="AA81" s="172">
        <f t="shared" si="25"/>
        <v>22</v>
      </c>
      <c r="AB81" s="173">
        <f t="shared" si="25"/>
        <v>23</v>
      </c>
      <c r="AC81" s="173">
        <f t="shared" si="25"/>
        <v>24</v>
      </c>
      <c r="AD81" s="173">
        <f t="shared" si="25"/>
        <v>25</v>
      </c>
      <c r="AE81" s="173">
        <f t="shared" si="25"/>
        <v>26</v>
      </c>
      <c r="AF81" s="173">
        <f t="shared" si="25"/>
        <v>27</v>
      </c>
      <c r="AG81" s="173">
        <f t="shared" si="25"/>
        <v>28</v>
      </c>
      <c r="AH81" s="173">
        <f t="shared" si="25"/>
        <v>29</v>
      </c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</row>
    <row r="82" spans="1:74" s="16" customFormat="1" x14ac:dyDescent="0.25">
      <c r="A82" s="184">
        <f>A79+1</f>
        <v>3</v>
      </c>
      <c r="B82" s="188" t="s">
        <v>49</v>
      </c>
      <c r="C82" s="189"/>
      <c r="D82" s="190"/>
      <c r="E82" s="190"/>
      <c r="F82" s="177">
        <f>IF($B$13&gt;F81,0,IF($E$72-(SUM($C$82:E82)+1)&gt;0,IF($B$12&gt;0,$E$72/$B$12,0),0))</f>
        <v>0</v>
      </c>
      <c r="G82" s="177">
        <f>IF($B$13&gt;G81,0,IF($E$72-(SUM($C$82:F82)+1)&gt;0,IF($B$12&gt;0,$E$72/$B$12,0),0))</f>
        <v>0</v>
      </c>
      <c r="H82" s="177">
        <f>IF($B$13&gt;H81,0,IF($E$72-(SUM($C$82:G82)+1)&gt;0,IF($B$12&gt;0,$E$72/$B$12,0),0))</f>
        <v>273611.11111111112</v>
      </c>
      <c r="I82" s="177">
        <f>IF($B$13&gt;I81,0,IF($E$72-(SUM($C$82:H82)+1)&gt;0,IF($B$12&gt;0,$E$72/$B$12,0),0))</f>
        <v>273611.11111111112</v>
      </c>
      <c r="J82" s="177">
        <f>IF($B$13&gt;J81,0,IF($E$72-(SUM($C$82:I82)+1)&gt;0,IF($B$12&gt;0,$E$72/$B$12,0),0))</f>
        <v>273611.11111111112</v>
      </c>
      <c r="K82" s="177">
        <f>IF($B$13&gt;K81,0,IF($E$72-(SUM($C$82:J82)+1)&gt;0,IF($B$12&gt;0,$E$72/$B$12,0),0))</f>
        <v>273611.11111111112</v>
      </c>
      <c r="L82" s="177">
        <f>IF($B$13&gt;L81,0,IF($E$72-(SUM($C$82:K82)+1)&gt;0,IF($B$12&gt;0,$E$72/$B$12,0),0))</f>
        <v>273611.11111111112</v>
      </c>
      <c r="M82" s="177">
        <f>IF($B$13&gt;M81,0,IF($E$72-(SUM($C$82:L82)+1)&gt;0,IF($B$12&gt;0,$E$72/$B$12,0),0))</f>
        <v>0</v>
      </c>
      <c r="N82" s="177">
        <f>IF($B$13&gt;N81,0,IF($E$72-(SUM($C$82:M82)+1)&gt;0,IF($B$12&gt;0,$E$72/$B$12,0),0))</f>
        <v>0</v>
      </c>
      <c r="O82" s="177">
        <f>IF($B$13&gt;O81,0,IF($E$72-(SUM($C$82:N82)+1)&gt;0,IF($B$12&gt;0,$E$72/$B$12,0),0))</f>
        <v>0</v>
      </c>
      <c r="P82" s="177">
        <f>IF($B$13&gt;P81,0,IF($E$72-(SUM($C$82:O82)+1)&gt;0,IF($B$12&gt;0,$E$72/$B$12,0),0))</f>
        <v>0</v>
      </c>
      <c r="Q82" s="177">
        <f>IF($B$13&gt;Q81,0,IF($E$72-(SUM($C$82:P82)+1)&gt;0,IF($B$12&gt;0,$E$72/$B$12,0),0))</f>
        <v>0</v>
      </c>
      <c r="R82" s="177">
        <f>IF($B$13&gt;R81,0,IF($E$72-(SUM($C$82:Q82)+1)&gt;0,IF($B$12&gt;0,$E$72/$B$12,0),0))</f>
        <v>0</v>
      </c>
      <c r="S82" s="177">
        <f>IF($B$13&gt;S81,0,IF($E$72-(SUM($C$82:R82)+1)&gt;0,IF($B$12&gt;0,$E$72/$B$12,0),0))</f>
        <v>0</v>
      </c>
      <c r="T82" s="177">
        <f>IF($B$13&gt;T81,0,IF($E$72-(SUM($C$82:S82)+1)&gt;0,IF($B$12&gt;0,$E$72/$B$12,0),0))</f>
        <v>0</v>
      </c>
      <c r="U82" s="177">
        <f>IF($B$13&gt;U81,0,IF($E$72-(SUM($C$82:T82)+1)&gt;0,IF($B$12&gt;0,$E$72/$B$12,0),0))</f>
        <v>0</v>
      </c>
      <c r="V82" s="177">
        <f>IF($B$13&gt;V81,0,IF($E$72-(SUM($C$82:U82)+1)&gt;0,IF($B$12&gt;0,$E$72/$B$12,0),0))</f>
        <v>0</v>
      </c>
      <c r="W82" s="177">
        <f>IF($B$13&gt;W81,0,IF($E$72-(SUM($C$82:V82)+1)&gt;0,IF($B$12&gt;0,$E$72/$B$12,0),0))</f>
        <v>0</v>
      </c>
      <c r="X82" s="177">
        <f>IF($B$13&gt;X81,0,IF($E$72-(SUM($C$82:W82)+1)&gt;0,IF($B$12&gt;0,$E$72/$B$12,0),0))</f>
        <v>0</v>
      </c>
      <c r="Y82" s="177">
        <f>IF($B$13&gt;Y81,0,IF($E$72-(SUM($C$82:X82)+1)&gt;0,IF($B$12&gt;0,$E$72/$B$12,0),0))</f>
        <v>0</v>
      </c>
      <c r="Z82" s="177">
        <f>IF($B$13&gt;Z81,0,IF($E$72-(SUM($C$82:Y82)+1)&gt;0,IF($B$12&gt;0,$E$72/$B$12,0),0))</f>
        <v>0</v>
      </c>
      <c r="AA82" s="177">
        <f>IF($B$13&gt;AA81,0,IF($E$72-(SUM($C$82:Z82)+1)&gt;0,IF($B$12&gt;0,$E$72/$B$12,0),0))</f>
        <v>0</v>
      </c>
      <c r="AB82" s="178">
        <f>IF($B$13&gt;AB81,0,IF($E$72-(SUM($C$82:AA82)+1)&gt;0,IF($B$12&gt;0,$E$72/$B$12,0),0))</f>
        <v>0</v>
      </c>
      <c r="AC82" s="178">
        <f>IF($B$13&gt;AC81,0,IF($E$72-(SUM($C$82:AB82)+1)&gt;0,IF($B$12&gt;0,$E$72/$B$12,0),0))</f>
        <v>0</v>
      </c>
      <c r="AD82" s="178">
        <f>IF($B$13&gt;AD81,0,IF($E$72-(SUM($C$82:AC82)+1)&gt;0,IF($B$12&gt;0,$E$72/$B$12,0),0))</f>
        <v>0</v>
      </c>
      <c r="AE82" s="178">
        <f>IF($B$13&gt;AE81,0,IF($E$72-(SUM($C$82:AD82)+1)&gt;0,IF($B$12&gt;0,$E$72/$B$12,0),0))</f>
        <v>0</v>
      </c>
      <c r="AF82" s="178">
        <f>IF($B$13&gt;AF81,0,IF($E$72-(SUM($C$82:AE82)+1)&gt;0,IF($B$12&gt;0,$E$72/$B$12,0),0))</f>
        <v>0</v>
      </c>
      <c r="AG82" s="178">
        <f>IF($B$13&gt;AG81,0,IF($E$72-(SUM($C$82:AF82)+1)&gt;0,IF($B$12&gt;0,$E$72/$B$12,0),0))</f>
        <v>0</v>
      </c>
      <c r="AH82" s="178">
        <f>IF($B$13&gt;AH81,0,IF($E$72-(SUM($C$82:AG82)+1)&gt;0,IF($B$12&gt;0,$E$72/$B$12,0),0))</f>
        <v>0</v>
      </c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  <c r="BD82" s="17"/>
      <c r="BE82" s="17"/>
      <c r="BF82" s="17"/>
      <c r="BG82" s="17"/>
      <c r="BH82" s="17"/>
      <c r="BI82" s="17"/>
      <c r="BJ82" s="17"/>
      <c r="BK82" s="17"/>
      <c r="BL82" s="17"/>
      <c r="BM82" s="17"/>
      <c r="BN82" s="17"/>
      <c r="BO82" s="17"/>
      <c r="BP82" s="17"/>
      <c r="BQ82" s="17"/>
      <c r="BR82" s="17"/>
      <c r="BS82" s="17"/>
      <c r="BT82" s="17"/>
      <c r="BU82" s="17"/>
      <c r="BV82" s="17"/>
    </row>
    <row r="83" spans="1:74" s="16" customFormat="1" x14ac:dyDescent="0.25">
      <c r="A83" s="191"/>
      <c r="B83" s="180" t="s">
        <v>50</v>
      </c>
      <c r="C83" s="192"/>
      <c r="D83" s="193"/>
      <c r="E83" s="193"/>
      <c r="F83" s="182">
        <f>($E$72-SUM($C$82:E82))*$B$14</f>
        <v>54722.222222222219</v>
      </c>
      <c r="G83" s="182">
        <f>($E$72-SUM($C$82:F82))*$B$14</f>
        <v>54722.222222222219</v>
      </c>
      <c r="H83" s="182">
        <f>($E$72-SUM($C$82:G82))*$B$14</f>
        <v>54722.222222222219</v>
      </c>
      <c r="I83" s="182">
        <f>($E$72-SUM($C$82:H82))*$B$14</f>
        <v>43777.777777777781</v>
      </c>
      <c r="J83" s="182">
        <f>($E$72-SUM($C$82:I82))*$B$14</f>
        <v>32833.333333333328</v>
      </c>
      <c r="K83" s="182">
        <f>($E$72-SUM($C$82:J82))*$B$14</f>
        <v>21888.888888888887</v>
      </c>
      <c r="L83" s="182">
        <f>($E$72-SUM($C$82:K82))*$B$14</f>
        <v>10944.44444444444</v>
      </c>
      <c r="M83" s="182">
        <f>($E$72-SUM($C$82:L82))*$B$14</f>
        <v>0</v>
      </c>
      <c r="N83" s="182">
        <f>($E$72-SUM($C$82:M82))*$B$14</f>
        <v>0</v>
      </c>
      <c r="O83" s="182">
        <f>($E$72-SUM($C$82:N82))*$B$14</f>
        <v>0</v>
      </c>
      <c r="P83" s="182">
        <f>($E$72-SUM($C$82:O82))*$B$14</f>
        <v>0</v>
      </c>
      <c r="Q83" s="182">
        <f>($E$72-SUM($C$82:P82))*$B$14</f>
        <v>0</v>
      </c>
      <c r="R83" s="182">
        <f>($E$72-SUM($C$82:Q82))*$B$14</f>
        <v>0</v>
      </c>
      <c r="S83" s="182">
        <f>($E$72-SUM($C$82:R82))*$B$14</f>
        <v>0</v>
      </c>
      <c r="T83" s="182">
        <f>($E$72-SUM($C$82:S82))*$B$14</f>
        <v>0</v>
      </c>
      <c r="U83" s="182">
        <f>($E$72-SUM($C$82:T82))*$B$14</f>
        <v>0</v>
      </c>
      <c r="V83" s="182">
        <f>($E$72-SUM($C$82:U82))*$B$14</f>
        <v>0</v>
      </c>
      <c r="W83" s="182">
        <f>($E$72-SUM($C$82:V82))*$B$14</f>
        <v>0</v>
      </c>
      <c r="X83" s="182">
        <f>($E$72-SUM($C$82:W82))*$B$14</f>
        <v>0</v>
      </c>
      <c r="Y83" s="182">
        <f>($E$72-SUM($C$82:X82))*$B$14</f>
        <v>0</v>
      </c>
      <c r="Z83" s="182">
        <f>($E$72-SUM($C$82:Y82))*$B$14</f>
        <v>0</v>
      </c>
      <c r="AA83" s="182">
        <f>($E$72-SUM($C$82:Z82))*$B$14</f>
        <v>0</v>
      </c>
      <c r="AB83" s="183">
        <f>($E$72-SUM($C$82:AA82))*$B$14</f>
        <v>0</v>
      </c>
      <c r="AC83" s="183">
        <f>($E$72-SUM($C$82:AB82))*$B$14</f>
        <v>0</v>
      </c>
      <c r="AD83" s="183">
        <f>($E$72-SUM($C$82:AC82))*$B$14</f>
        <v>0</v>
      </c>
      <c r="AE83" s="183">
        <f>($E$72-SUM($C$82:AD82))*$B$14</f>
        <v>0</v>
      </c>
      <c r="AF83" s="183">
        <f>($E$72-SUM($C$82:AE82))*$B$14</f>
        <v>0</v>
      </c>
      <c r="AG83" s="183">
        <f>($E$72-SUM($C$82:AF82))*$B$14</f>
        <v>0</v>
      </c>
      <c r="AH83" s="183">
        <f>($E$72-SUM($C$82:AG82))*$B$14</f>
        <v>0</v>
      </c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  <c r="BH83" s="17"/>
      <c r="BI83" s="17"/>
      <c r="BJ83" s="17"/>
      <c r="BK83" s="17"/>
      <c r="BL83" s="17"/>
      <c r="BM83" s="17"/>
      <c r="BN83" s="17"/>
      <c r="BO83" s="17"/>
      <c r="BP83" s="17"/>
      <c r="BQ83" s="17"/>
      <c r="BR83" s="17"/>
      <c r="BS83" s="17"/>
      <c r="BT83" s="17"/>
      <c r="BU83" s="17"/>
      <c r="BV83" s="17"/>
    </row>
    <row r="84" spans="1:74" ht="15" customHeight="1" x14ac:dyDescent="0.25">
      <c r="A84" s="184"/>
      <c r="B84" s="185"/>
      <c r="C84" s="186"/>
      <c r="D84" s="187"/>
      <c r="E84" s="194"/>
      <c r="F84" s="194"/>
      <c r="G84" s="172">
        <v>1</v>
      </c>
      <c r="H84" s="172">
        <f>G84+1</f>
        <v>2</v>
      </c>
      <c r="I84" s="172">
        <f t="shared" ref="I84:AH84" si="26">H84+1</f>
        <v>3</v>
      </c>
      <c r="J84" s="172">
        <f t="shared" si="26"/>
        <v>4</v>
      </c>
      <c r="K84" s="172">
        <f t="shared" si="26"/>
        <v>5</v>
      </c>
      <c r="L84" s="172">
        <f t="shared" si="26"/>
        <v>6</v>
      </c>
      <c r="M84" s="172">
        <f t="shared" si="26"/>
        <v>7</v>
      </c>
      <c r="N84" s="172">
        <f t="shared" si="26"/>
        <v>8</v>
      </c>
      <c r="O84" s="172">
        <f t="shared" si="26"/>
        <v>9</v>
      </c>
      <c r="P84" s="172">
        <f t="shared" si="26"/>
        <v>10</v>
      </c>
      <c r="Q84" s="172">
        <f t="shared" si="26"/>
        <v>11</v>
      </c>
      <c r="R84" s="172">
        <f t="shared" si="26"/>
        <v>12</v>
      </c>
      <c r="S84" s="172">
        <f t="shared" si="26"/>
        <v>13</v>
      </c>
      <c r="T84" s="172">
        <f t="shared" si="26"/>
        <v>14</v>
      </c>
      <c r="U84" s="172">
        <f t="shared" si="26"/>
        <v>15</v>
      </c>
      <c r="V84" s="172">
        <f t="shared" si="26"/>
        <v>16</v>
      </c>
      <c r="W84" s="172">
        <f t="shared" si="26"/>
        <v>17</v>
      </c>
      <c r="X84" s="172">
        <f t="shared" si="26"/>
        <v>18</v>
      </c>
      <c r="Y84" s="172">
        <f t="shared" si="26"/>
        <v>19</v>
      </c>
      <c r="Z84" s="172">
        <f t="shared" si="26"/>
        <v>20</v>
      </c>
      <c r="AA84" s="172">
        <f t="shared" si="26"/>
        <v>21</v>
      </c>
      <c r="AB84" s="173">
        <f t="shared" si="26"/>
        <v>22</v>
      </c>
      <c r="AC84" s="173">
        <f t="shared" si="26"/>
        <v>23</v>
      </c>
      <c r="AD84" s="173">
        <f t="shared" si="26"/>
        <v>24</v>
      </c>
      <c r="AE84" s="173">
        <f t="shared" si="26"/>
        <v>25</v>
      </c>
      <c r="AF84" s="173">
        <f t="shared" si="26"/>
        <v>26</v>
      </c>
      <c r="AG84" s="173">
        <f t="shared" si="26"/>
        <v>27</v>
      </c>
      <c r="AH84" s="173">
        <f t="shared" si="26"/>
        <v>28</v>
      </c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</row>
    <row r="85" spans="1:74" s="16" customFormat="1" x14ac:dyDescent="0.25">
      <c r="A85" s="184">
        <f>A82+1</f>
        <v>4</v>
      </c>
      <c r="B85" s="188" t="s">
        <v>49</v>
      </c>
      <c r="C85" s="189"/>
      <c r="D85" s="190"/>
      <c r="E85" s="190"/>
      <c r="F85" s="190"/>
      <c r="G85" s="177">
        <f>IF($B$13&gt;G84,0,IF($F$72-(SUM($C$85:F85)+1)&gt;0,IF($B$12&gt;0,$F$72/$B$12,0),0))</f>
        <v>0</v>
      </c>
      <c r="H85" s="177">
        <f>IF($B$13&gt;H84,0,IF($F$72-(SUM($C$85:G85)+1)&gt;0,IF($B$12&gt;0,$F$72/$B$12,0),0))</f>
        <v>0</v>
      </c>
      <c r="I85" s="177">
        <f>IF($B$13&gt;I84,0,IF($F$72-(SUM($C$85:H85)+1)&gt;0,IF($B$12&gt;0,$F$72/$B$12,0),0))</f>
        <v>273611.11111111112</v>
      </c>
      <c r="J85" s="177">
        <f>IF($B$13&gt;J84,0,IF($F$72-(SUM($C$85:I85)+1)&gt;0,IF($B$12&gt;0,$F$72/$B$12,0),0))</f>
        <v>273611.11111111112</v>
      </c>
      <c r="K85" s="177">
        <f>IF($B$13&gt;K84,0,IF($F$72-(SUM($C$85:J85)+1)&gt;0,IF($B$12&gt;0,$F$72/$B$12,0),0))</f>
        <v>273611.11111111112</v>
      </c>
      <c r="L85" s="177">
        <f>IF($B$13&gt;L84,0,IF($F$72-(SUM($C$85:K85)+1)&gt;0,IF($B$12&gt;0,$F$72/$B$12,0),0))</f>
        <v>273611.11111111112</v>
      </c>
      <c r="M85" s="177">
        <f>IF($B$13&gt;M84,0,IF($F$72-(SUM($C$85:L85)+1)&gt;0,IF($B$12&gt;0,$F$72/$B$12,0),0))</f>
        <v>273611.11111111112</v>
      </c>
      <c r="N85" s="177">
        <f>IF($B$13&gt;N84,0,IF($F$72-(SUM($C$85:M85)+1)&gt;0,IF($B$12&gt;0,$F$72/$B$12,0),0))</f>
        <v>0</v>
      </c>
      <c r="O85" s="177">
        <f>IF($B$13&gt;O84,0,IF($F$72-(SUM($C$85:N85)+1)&gt;0,IF($B$12&gt;0,$F$72/$B$12,0),0))</f>
        <v>0</v>
      </c>
      <c r="P85" s="177">
        <f>IF($B$13&gt;P84,0,IF($F$72-(SUM($C$85:O85)+1)&gt;0,IF($B$12&gt;0,$F$72/$B$12,0),0))</f>
        <v>0</v>
      </c>
      <c r="Q85" s="177">
        <f>IF($B$13&gt;Q84,0,IF($F$72-(SUM($C$85:P85)+1)&gt;0,IF($B$12&gt;0,$F$72/$B$12,0),0))</f>
        <v>0</v>
      </c>
      <c r="R85" s="177">
        <f>IF($B$13&gt;R84,0,IF($F$72-(SUM($C$85:Q85)+1)&gt;0,IF($B$12&gt;0,$F$72/$B$12,0),0))</f>
        <v>0</v>
      </c>
      <c r="S85" s="177">
        <f>IF($B$13&gt;S84,0,IF($F$72-(SUM($C$85:R85)+1)&gt;0,IF($B$12&gt;0,$F$72/$B$12,0),0))</f>
        <v>0</v>
      </c>
      <c r="T85" s="177">
        <f>IF($B$13&gt;T84,0,IF($F$72-(SUM($C$85:S85)+1)&gt;0,IF($B$12&gt;0,$F$72/$B$12,0),0))</f>
        <v>0</v>
      </c>
      <c r="U85" s="177">
        <f>IF($B$13&gt;U84,0,IF($F$72-(SUM($C$85:T85)+1)&gt;0,IF($B$12&gt;0,$F$72/$B$12,0),0))</f>
        <v>0</v>
      </c>
      <c r="V85" s="177">
        <f>IF($B$13&gt;V84,0,IF($F$72-(SUM($C$85:U85)+1)&gt;0,IF($B$12&gt;0,$F$72/$B$12,0),0))</f>
        <v>0</v>
      </c>
      <c r="W85" s="177">
        <f>IF($B$13&gt;W84,0,IF($F$72-(SUM($C$85:V85)+1)&gt;0,IF($B$12&gt;0,$F$72/$B$12,0),0))</f>
        <v>0</v>
      </c>
      <c r="X85" s="177">
        <f>IF($B$13&gt;X84,0,IF($F$72-(SUM($C$85:W85)+1)&gt;0,IF($B$12&gt;0,$F$72/$B$12,0),0))</f>
        <v>0</v>
      </c>
      <c r="Y85" s="177">
        <f>IF($B$13&gt;Y84,0,IF($F$72-(SUM($C$85:X85)+1)&gt;0,IF($B$12&gt;0,$F$72/$B$12,0),0))</f>
        <v>0</v>
      </c>
      <c r="Z85" s="177">
        <f>IF($B$13&gt;Z84,0,IF($F$72-(SUM($C$85:Y85)+1)&gt;0,IF($B$12&gt;0,$F$72/$B$12,0),0))</f>
        <v>0</v>
      </c>
      <c r="AA85" s="177">
        <f>IF($B$13&gt;AA84,0,IF($F$72-(SUM($C$85:Z85)+1)&gt;0,IF($B$12&gt;0,$F$72/$B$12,0),0))</f>
        <v>0</v>
      </c>
      <c r="AB85" s="178">
        <f>IF($B$13&gt;AB84,0,IF($F$72-(SUM($C$85:AA85)+1)&gt;0,IF($B$12&gt;0,$F$72/$B$12,0),0))</f>
        <v>0</v>
      </c>
      <c r="AC85" s="178">
        <f>IF($B$13&gt;AC84,0,IF($F$72-(SUM($C$85:AB85)+1)&gt;0,IF($B$12&gt;0,$F$72/$B$12,0),0))</f>
        <v>0</v>
      </c>
      <c r="AD85" s="178">
        <f>IF($B$13&gt;AD84,0,IF($F$72-(SUM($C$85:AC85)+1)&gt;0,IF($B$12&gt;0,$F$72/$B$12,0),0))</f>
        <v>0</v>
      </c>
      <c r="AE85" s="178">
        <f>IF($B$13&gt;AE84,0,IF($F$72-(SUM($C$85:AD85)+1)&gt;0,IF($B$12&gt;0,$F$72/$B$12,0),0))</f>
        <v>0</v>
      </c>
      <c r="AF85" s="178">
        <f>IF($B$13&gt;AF84,0,IF($F$72-(SUM($C$85:AE85)+1)&gt;0,IF($B$12&gt;0,$F$72/$B$12,0),0))</f>
        <v>0</v>
      </c>
      <c r="AG85" s="178">
        <f>IF($B$13&gt;AG84,0,IF($F$72-(SUM($C$85:AF85)+1)&gt;0,IF($B$12&gt;0,$F$72/$B$12,0),0))</f>
        <v>0</v>
      </c>
      <c r="AH85" s="178">
        <f>IF($B$13&gt;AH84,0,IF($F$72-(SUM($C$85:AG85)+1)&gt;0,IF($B$12&gt;0,$F$72/$B$12,0),0))</f>
        <v>0</v>
      </c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  <c r="BI85" s="17"/>
      <c r="BJ85" s="17"/>
      <c r="BK85" s="17"/>
      <c r="BL85" s="17"/>
      <c r="BM85" s="17"/>
      <c r="BN85" s="17"/>
      <c r="BO85" s="17"/>
      <c r="BP85" s="17"/>
      <c r="BQ85" s="17"/>
      <c r="BR85" s="17"/>
      <c r="BS85" s="17"/>
      <c r="BT85" s="17"/>
      <c r="BU85" s="17"/>
      <c r="BV85" s="17"/>
    </row>
    <row r="86" spans="1:74" s="16" customFormat="1" x14ac:dyDescent="0.25">
      <c r="A86" s="191"/>
      <c r="B86" s="180" t="s">
        <v>50</v>
      </c>
      <c r="C86" s="192"/>
      <c r="D86" s="193"/>
      <c r="E86" s="193"/>
      <c r="F86" s="193"/>
      <c r="G86" s="182">
        <f>($F$72-SUM($C$85:F85))*$B$14</f>
        <v>54722.222222222219</v>
      </c>
      <c r="H86" s="182">
        <f>($F$72-SUM($C$85:G85))*$B$14</f>
        <v>54722.222222222219</v>
      </c>
      <c r="I86" s="182">
        <f>($F$72-SUM($C$85:H85))*$B$14</f>
        <v>54722.222222222219</v>
      </c>
      <c r="J86" s="182">
        <f>($F$72-SUM($C$85:I85))*$B$14</f>
        <v>43777.777777777781</v>
      </c>
      <c r="K86" s="182">
        <f>($F$72-SUM($C$85:J85))*$B$14</f>
        <v>32833.333333333328</v>
      </c>
      <c r="L86" s="182">
        <f>($F$72-SUM($C$85:K85))*$B$14</f>
        <v>21888.888888888887</v>
      </c>
      <c r="M86" s="182">
        <f>($F$72-SUM($C$85:L85))*$B$14</f>
        <v>10944.44444444444</v>
      </c>
      <c r="N86" s="182">
        <f>($F$72-SUM($C$85:M85))*$B$14</f>
        <v>0</v>
      </c>
      <c r="O86" s="182">
        <f>($F$72-SUM($C$85:N85))*$B$14</f>
        <v>0</v>
      </c>
      <c r="P86" s="182">
        <f>($F$72-SUM($C$85:O85))*$B$14</f>
        <v>0</v>
      </c>
      <c r="Q86" s="182">
        <f>($F$72-SUM($C$85:P85))*$B$14</f>
        <v>0</v>
      </c>
      <c r="R86" s="182">
        <f>($F$72-SUM($C$85:Q85))*$B$14</f>
        <v>0</v>
      </c>
      <c r="S86" s="182">
        <f>($F$72-SUM($C$85:R85))*$B$14</f>
        <v>0</v>
      </c>
      <c r="T86" s="182">
        <f>($F$72-SUM($C$85:S85))*$B$14</f>
        <v>0</v>
      </c>
      <c r="U86" s="182">
        <f>($F$72-SUM($C$85:T85))*$B$14</f>
        <v>0</v>
      </c>
      <c r="V86" s="182">
        <f>($F$72-SUM($C$85:U85))*$B$14</f>
        <v>0</v>
      </c>
      <c r="W86" s="182">
        <f>($F$72-SUM($C$85:V85))*$B$14</f>
        <v>0</v>
      </c>
      <c r="X86" s="182">
        <f>($F$72-SUM($C$85:W85))*$B$14</f>
        <v>0</v>
      </c>
      <c r="Y86" s="182">
        <f>($F$72-SUM($C$85:X85))*$B$14</f>
        <v>0</v>
      </c>
      <c r="Z86" s="182">
        <f>($F$72-SUM($C$85:Y85))*$B$14</f>
        <v>0</v>
      </c>
      <c r="AA86" s="182">
        <f>($F$72-SUM($C$85:Z85))*$B$14</f>
        <v>0</v>
      </c>
      <c r="AB86" s="183">
        <f>($F$72-SUM($C$85:AA85))*$B$14</f>
        <v>0</v>
      </c>
      <c r="AC86" s="183">
        <f>($F$72-SUM($C$85:AB85))*$B$14</f>
        <v>0</v>
      </c>
      <c r="AD86" s="183">
        <f>($F$72-SUM($C$85:AC85))*$B$14</f>
        <v>0</v>
      </c>
      <c r="AE86" s="183">
        <f>($F$72-SUM($C$85:AD85))*$B$14</f>
        <v>0</v>
      </c>
      <c r="AF86" s="183">
        <f>($F$72-SUM($C$85:AE85))*$B$14</f>
        <v>0</v>
      </c>
      <c r="AG86" s="183">
        <f>($F$72-SUM($C$85:AF85))*$B$14</f>
        <v>0</v>
      </c>
      <c r="AH86" s="183">
        <f>($F$72-SUM($C$85:AG85))*$B$14</f>
        <v>0</v>
      </c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  <c r="BD86" s="17"/>
      <c r="BE86" s="17"/>
      <c r="BF86" s="17"/>
      <c r="BG86" s="17"/>
      <c r="BH86" s="17"/>
      <c r="BI86" s="17"/>
      <c r="BJ86" s="17"/>
      <c r="BK86" s="17"/>
      <c r="BL86" s="17"/>
      <c r="BM86" s="17"/>
      <c r="BN86" s="17"/>
      <c r="BO86" s="17"/>
      <c r="BP86" s="17"/>
      <c r="BQ86" s="17"/>
      <c r="BR86" s="17"/>
      <c r="BS86" s="17"/>
      <c r="BT86" s="17"/>
      <c r="BU86" s="17"/>
      <c r="BV86" s="17"/>
    </row>
    <row r="87" spans="1:74" ht="9" customHeight="1" x14ac:dyDescent="0.25">
      <c r="A87" s="184"/>
      <c r="B87" s="185"/>
      <c r="C87" s="186"/>
      <c r="D87" s="187"/>
      <c r="E87" s="194"/>
      <c r="F87" s="194"/>
      <c r="G87" s="194"/>
      <c r="H87" s="172">
        <v>1</v>
      </c>
      <c r="I87" s="172">
        <f>H87+1</f>
        <v>2</v>
      </c>
      <c r="J87" s="172">
        <f t="shared" ref="J87:AH87" si="27">I87+1</f>
        <v>3</v>
      </c>
      <c r="K87" s="172">
        <f t="shared" si="27"/>
        <v>4</v>
      </c>
      <c r="L87" s="172">
        <f t="shared" si="27"/>
        <v>5</v>
      </c>
      <c r="M87" s="172">
        <f t="shared" si="27"/>
        <v>6</v>
      </c>
      <c r="N87" s="172">
        <f t="shared" si="27"/>
        <v>7</v>
      </c>
      <c r="O87" s="172">
        <f t="shared" si="27"/>
        <v>8</v>
      </c>
      <c r="P87" s="172">
        <f t="shared" si="27"/>
        <v>9</v>
      </c>
      <c r="Q87" s="172">
        <f t="shared" si="27"/>
        <v>10</v>
      </c>
      <c r="R87" s="172">
        <f t="shared" si="27"/>
        <v>11</v>
      </c>
      <c r="S87" s="172">
        <f t="shared" si="27"/>
        <v>12</v>
      </c>
      <c r="T87" s="172">
        <f t="shared" si="27"/>
        <v>13</v>
      </c>
      <c r="U87" s="172">
        <f t="shared" si="27"/>
        <v>14</v>
      </c>
      <c r="V87" s="172">
        <f t="shared" si="27"/>
        <v>15</v>
      </c>
      <c r="W87" s="172">
        <f t="shared" si="27"/>
        <v>16</v>
      </c>
      <c r="X87" s="172">
        <f t="shared" si="27"/>
        <v>17</v>
      </c>
      <c r="Y87" s="172">
        <f t="shared" si="27"/>
        <v>18</v>
      </c>
      <c r="Z87" s="172">
        <f t="shared" si="27"/>
        <v>19</v>
      </c>
      <c r="AA87" s="172">
        <f t="shared" si="27"/>
        <v>20</v>
      </c>
      <c r="AB87" s="173">
        <f t="shared" si="27"/>
        <v>21</v>
      </c>
      <c r="AC87" s="173">
        <f t="shared" si="27"/>
        <v>22</v>
      </c>
      <c r="AD87" s="173">
        <f t="shared" si="27"/>
        <v>23</v>
      </c>
      <c r="AE87" s="173">
        <f t="shared" si="27"/>
        <v>24</v>
      </c>
      <c r="AF87" s="173">
        <f t="shared" si="27"/>
        <v>25</v>
      </c>
      <c r="AG87" s="173">
        <f t="shared" si="27"/>
        <v>26</v>
      </c>
      <c r="AH87" s="173">
        <f t="shared" si="27"/>
        <v>27</v>
      </c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</row>
    <row r="88" spans="1:74" s="16" customFormat="1" x14ac:dyDescent="0.25">
      <c r="A88" s="184">
        <f>A85+1</f>
        <v>5</v>
      </c>
      <c r="B88" s="188" t="s">
        <v>49</v>
      </c>
      <c r="C88" s="189"/>
      <c r="D88" s="190"/>
      <c r="E88" s="190"/>
      <c r="F88" s="190"/>
      <c r="G88" s="190"/>
      <c r="H88" s="177">
        <f>IF($B$13&gt;H87,0,IF($G$72-(SUM($C$88:G88)+1)&gt;0,IF($B$12&gt;0,$G$72/$B$12,0),0))</f>
        <v>0</v>
      </c>
      <c r="I88" s="177">
        <f>IF($B$13&gt;I87,0,IF($G$72-(SUM($C$88:H88)+1)&gt;0,IF($B$12&gt;0,$G$72/$B$12,0),0))</f>
        <v>0</v>
      </c>
      <c r="J88" s="177">
        <f>IF($B$13&gt;J87,0,IF($G$72-(SUM($C$88:I88)+1)&gt;0,IF($B$12&gt;0,$G$72/$B$12,0),0))</f>
        <v>273611.11111111112</v>
      </c>
      <c r="K88" s="177">
        <f>IF($B$13&gt;K87,0,IF($G$72-(SUM($C$88:J88)+1)&gt;0,IF($B$12&gt;0,$G$72/$B$12,0),0))</f>
        <v>273611.11111111112</v>
      </c>
      <c r="L88" s="177">
        <f>IF($B$13&gt;L87,0,IF($G$72-(SUM($C$88:K88)+1)&gt;0,IF($B$12&gt;0,$G$72/$B$12,0),0))</f>
        <v>273611.11111111112</v>
      </c>
      <c r="M88" s="177">
        <f>IF($B$13&gt;M87,0,IF($G$72-(SUM($C$88:L88)+1)&gt;0,IF($B$12&gt;0,$G$72/$B$12,0),0))</f>
        <v>273611.11111111112</v>
      </c>
      <c r="N88" s="177">
        <f>IF($B$13&gt;N87,0,IF($G$72-(SUM($C$88:M88)+1)&gt;0,IF($B$12&gt;0,$G$72/$B$12,0),0))</f>
        <v>273611.11111111112</v>
      </c>
      <c r="O88" s="177">
        <f>IF($B$13&gt;O87,0,IF($G$72-(SUM($C$88:N88)+1)&gt;0,IF($B$12&gt;0,$G$72/$B$12,0),0))</f>
        <v>0</v>
      </c>
      <c r="P88" s="177">
        <f>IF($B$13&gt;P87,0,IF($G$72-(SUM($C$88:O88)+1)&gt;0,IF($B$12&gt;0,$G$72/$B$12,0),0))</f>
        <v>0</v>
      </c>
      <c r="Q88" s="177">
        <f>IF($B$13&gt;Q87,0,IF($G$72-(SUM($C$88:P88)+1)&gt;0,IF($B$12&gt;0,$G$72/$B$12,0),0))</f>
        <v>0</v>
      </c>
      <c r="R88" s="177">
        <f>IF($B$13&gt;R87,0,IF($G$72-(SUM($C$88:Q88)+1)&gt;0,IF($B$12&gt;0,$G$72/$B$12,0),0))</f>
        <v>0</v>
      </c>
      <c r="S88" s="177">
        <f>IF($B$13&gt;S87,0,IF($G$72-(SUM($C$88:R88)+1)&gt;0,IF($B$12&gt;0,$G$72/$B$12,0),0))</f>
        <v>0</v>
      </c>
      <c r="T88" s="177">
        <f>IF($B$13&gt;T87,0,IF($G$72-(SUM($C$88:S88)+1)&gt;0,IF($B$12&gt;0,$G$72/$B$12,0),0))</f>
        <v>0</v>
      </c>
      <c r="U88" s="177">
        <f>IF($B$13&gt;U87,0,IF($G$72-(SUM($C$88:T88)+1)&gt;0,IF($B$12&gt;0,$G$72/$B$12,0),0))</f>
        <v>0</v>
      </c>
      <c r="V88" s="177">
        <f>IF($B$13&gt;V87,0,IF($G$72-(SUM($C$88:U88)+1)&gt;0,IF($B$12&gt;0,$G$72/$B$12,0),0))</f>
        <v>0</v>
      </c>
      <c r="W88" s="177">
        <f>IF($B$13&gt;W87,0,IF($G$72-(SUM($C$88:V88)+1)&gt;0,IF($B$12&gt;0,$G$72/$B$12,0),0))</f>
        <v>0</v>
      </c>
      <c r="X88" s="177">
        <f>IF($B$13&gt;X87,0,IF($G$72-(SUM($C$88:W88)+1)&gt;0,IF($B$12&gt;0,$G$72/$B$12,0),0))</f>
        <v>0</v>
      </c>
      <c r="Y88" s="177">
        <f>IF($B$13&gt;Y87,0,IF($G$72-(SUM($C$88:X88)+1)&gt;0,IF($B$12&gt;0,$G$72/$B$12,0),0))</f>
        <v>0</v>
      </c>
      <c r="Z88" s="177">
        <f>IF($B$13&gt;Z87,0,IF($G$72-(SUM($C$88:Y88)+1)&gt;0,IF($B$12&gt;0,$G$72/$B$12,0),0))</f>
        <v>0</v>
      </c>
      <c r="AA88" s="177">
        <f>IF($B$13&gt;AA87,0,IF($G$72-(SUM($C$88:Z88)+1)&gt;0,IF($B$12&gt;0,$G$72/$B$12,0),0))</f>
        <v>0</v>
      </c>
      <c r="AB88" s="178">
        <f>IF($B$13&gt;AB87,0,IF($G$72-(SUM($C$88:AA88)+1)&gt;0,IF($B$12&gt;0,$G$72/$B$12,0),0))</f>
        <v>0</v>
      </c>
      <c r="AC88" s="178">
        <f>IF($B$13&gt;AC87,0,IF($G$72-(SUM($C$88:AB88)+1)&gt;0,IF($B$12&gt;0,$G$72/$B$12,0),0))</f>
        <v>0</v>
      </c>
      <c r="AD88" s="178">
        <f>IF($B$13&gt;AD87,0,IF($G$72-(SUM($C$88:AC88)+1)&gt;0,IF($B$12&gt;0,$G$72/$B$12,0),0))</f>
        <v>0</v>
      </c>
      <c r="AE88" s="178">
        <f>IF($B$13&gt;AE87,0,IF($G$72-(SUM($C$88:AD88)+1)&gt;0,IF($B$12&gt;0,$G$72/$B$12,0),0))</f>
        <v>0</v>
      </c>
      <c r="AF88" s="178">
        <f>IF($B$13&gt;AF87,0,IF($G$72-(SUM($C$88:AE88)+1)&gt;0,IF($B$12&gt;0,$G$72/$B$12,0),0))</f>
        <v>0</v>
      </c>
      <c r="AG88" s="178">
        <f>IF($B$13&gt;AG87,0,IF($G$72-(SUM($C$88:AF88)+1)&gt;0,IF($B$12&gt;0,$G$72/$B$12,0),0))</f>
        <v>0</v>
      </c>
      <c r="AH88" s="178">
        <f>IF($B$13&gt;AH87,0,IF($G$72-(SUM($C$88:AG88)+1)&gt;0,IF($B$12&gt;0,$G$72/$B$12,0),0))</f>
        <v>0</v>
      </c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  <c r="BC88" s="17"/>
      <c r="BD88" s="17"/>
      <c r="BE88" s="17"/>
      <c r="BF88" s="17"/>
      <c r="BG88" s="17"/>
      <c r="BH88" s="17"/>
      <c r="BI88" s="17"/>
      <c r="BJ88" s="17"/>
      <c r="BK88" s="17"/>
      <c r="BL88" s="17"/>
      <c r="BM88" s="17"/>
      <c r="BN88" s="17"/>
      <c r="BO88" s="17"/>
      <c r="BP88" s="17"/>
      <c r="BQ88" s="17"/>
      <c r="BR88" s="17"/>
      <c r="BS88" s="17"/>
      <c r="BT88" s="17"/>
      <c r="BU88" s="17"/>
      <c r="BV88" s="17"/>
    </row>
    <row r="89" spans="1:74" s="16" customFormat="1" x14ac:dyDescent="0.25">
      <c r="A89" s="195"/>
      <c r="B89" s="180" t="s">
        <v>50</v>
      </c>
      <c r="C89" s="192"/>
      <c r="D89" s="193"/>
      <c r="E89" s="193"/>
      <c r="F89" s="193"/>
      <c r="G89" s="193"/>
      <c r="H89" s="182">
        <f>($G$72-SUM($C$88:G88))*$B$14</f>
        <v>54722.222222222219</v>
      </c>
      <c r="I89" s="182">
        <f>($G$72-SUM($C$88:H88))*$B$14</f>
        <v>54722.222222222219</v>
      </c>
      <c r="J89" s="182">
        <f>($G$72-SUM($C$88:I88))*$B$14</f>
        <v>54722.222222222219</v>
      </c>
      <c r="K89" s="182">
        <f>($G$72-SUM($C$88:J88))*$B$14</f>
        <v>43777.777777777781</v>
      </c>
      <c r="L89" s="182">
        <f>($G$72-SUM($C$88:K88))*$B$14</f>
        <v>32833.333333333328</v>
      </c>
      <c r="M89" s="182">
        <f>($G$72-SUM($C$88:L88))*$B$14</f>
        <v>21888.888888888887</v>
      </c>
      <c r="N89" s="182">
        <f>($G$72-SUM($C$88:M88))*$B$14</f>
        <v>10944.44444444444</v>
      </c>
      <c r="O89" s="182">
        <f>($G$72-SUM($C$88:N88))*$B$14</f>
        <v>0</v>
      </c>
      <c r="P89" s="182">
        <f>($G$72-SUM($C$88:O88))*$B$14</f>
        <v>0</v>
      </c>
      <c r="Q89" s="182">
        <f>($G$72-SUM($C$88:P88))*$B$14</f>
        <v>0</v>
      </c>
      <c r="R89" s="182">
        <f>($G$72-SUM($C$88:Q88))*$B$14</f>
        <v>0</v>
      </c>
      <c r="S89" s="182">
        <f>($G$72-SUM($C$88:R88))*$B$14</f>
        <v>0</v>
      </c>
      <c r="T89" s="182">
        <f>($G$72-SUM($C$88:S88))*$B$14</f>
        <v>0</v>
      </c>
      <c r="U89" s="182">
        <f>($G$72-SUM($C$88:T88))*$B$14</f>
        <v>0</v>
      </c>
      <c r="V89" s="182">
        <f>($G$72-SUM($C$88:U88))*$B$14</f>
        <v>0</v>
      </c>
      <c r="W89" s="182">
        <f>($G$72-SUM($C$88:V88))*$B$14</f>
        <v>0</v>
      </c>
      <c r="X89" s="182">
        <f>($G$72-SUM($C$88:W88))*$B$14</f>
        <v>0</v>
      </c>
      <c r="Y89" s="182">
        <f>($G$72-SUM($C$88:X88))*$B$14</f>
        <v>0</v>
      </c>
      <c r="Z89" s="182">
        <f>($G$72-SUM($C$88:Y88))*$B$14</f>
        <v>0</v>
      </c>
      <c r="AA89" s="182">
        <f>($G$72-SUM($C$88:Z88))*$B$14</f>
        <v>0</v>
      </c>
      <c r="AB89" s="183">
        <f>($G$72-SUM($C$88:AA88))*$B$14</f>
        <v>0</v>
      </c>
      <c r="AC89" s="183">
        <f>($G$72-SUM($C$88:AB88))*$B$14</f>
        <v>0</v>
      </c>
      <c r="AD89" s="183">
        <f>($G$72-SUM($C$88:AC88))*$B$14</f>
        <v>0</v>
      </c>
      <c r="AE89" s="183">
        <f>($G$72-SUM($C$88:AD88))*$B$14</f>
        <v>0</v>
      </c>
      <c r="AF89" s="183">
        <f>($G$72-SUM($C$88:AE88))*$B$14</f>
        <v>0</v>
      </c>
      <c r="AG89" s="183">
        <f>($G$72-SUM($C$88:AF88))*$B$14</f>
        <v>0</v>
      </c>
      <c r="AH89" s="183">
        <f>($G$72-SUM($C$88:AG88))*$B$14</f>
        <v>0</v>
      </c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  <c r="BA89" s="17"/>
      <c r="BB89" s="17"/>
      <c r="BC89" s="17"/>
      <c r="BD89" s="17"/>
      <c r="BE89" s="17"/>
      <c r="BF89" s="17"/>
      <c r="BG89" s="17"/>
      <c r="BH89" s="17"/>
      <c r="BI89" s="17"/>
      <c r="BJ89" s="17"/>
      <c r="BK89" s="17"/>
      <c r="BL89" s="17"/>
      <c r="BM89" s="17"/>
      <c r="BN89" s="17"/>
      <c r="BO89" s="17"/>
      <c r="BP89" s="17"/>
      <c r="BQ89" s="17"/>
      <c r="BR89" s="17"/>
      <c r="BS89" s="17"/>
      <c r="BT89" s="17"/>
      <c r="BU89" s="17"/>
      <c r="BV89" s="17"/>
    </row>
    <row r="90" spans="1:74" ht="9" customHeight="1" x14ac:dyDescent="0.25">
      <c r="A90" s="184"/>
      <c r="B90" s="185"/>
      <c r="C90" s="186"/>
      <c r="D90" s="187"/>
      <c r="E90" s="194"/>
      <c r="F90" s="194"/>
      <c r="G90" s="194"/>
      <c r="H90" s="194"/>
      <c r="I90" s="172">
        <v>1</v>
      </c>
      <c r="J90" s="172">
        <f>I90+1</f>
        <v>2</v>
      </c>
      <c r="K90" s="172">
        <f t="shared" ref="K90:AH90" si="28">J90+1</f>
        <v>3</v>
      </c>
      <c r="L90" s="172">
        <f t="shared" si="28"/>
        <v>4</v>
      </c>
      <c r="M90" s="172">
        <f t="shared" si="28"/>
        <v>5</v>
      </c>
      <c r="N90" s="172">
        <f t="shared" si="28"/>
        <v>6</v>
      </c>
      <c r="O90" s="172">
        <f t="shared" si="28"/>
        <v>7</v>
      </c>
      <c r="P90" s="172">
        <f t="shared" si="28"/>
        <v>8</v>
      </c>
      <c r="Q90" s="172">
        <f t="shared" si="28"/>
        <v>9</v>
      </c>
      <c r="R90" s="172">
        <f t="shared" si="28"/>
        <v>10</v>
      </c>
      <c r="S90" s="172">
        <f t="shared" si="28"/>
        <v>11</v>
      </c>
      <c r="T90" s="172">
        <f t="shared" si="28"/>
        <v>12</v>
      </c>
      <c r="U90" s="172">
        <f t="shared" si="28"/>
        <v>13</v>
      </c>
      <c r="V90" s="172">
        <f t="shared" si="28"/>
        <v>14</v>
      </c>
      <c r="W90" s="172">
        <f t="shared" si="28"/>
        <v>15</v>
      </c>
      <c r="X90" s="172">
        <f t="shared" si="28"/>
        <v>16</v>
      </c>
      <c r="Y90" s="172">
        <f t="shared" si="28"/>
        <v>17</v>
      </c>
      <c r="Z90" s="172">
        <f t="shared" si="28"/>
        <v>18</v>
      </c>
      <c r="AA90" s="172">
        <f t="shared" si="28"/>
        <v>19</v>
      </c>
      <c r="AB90" s="173">
        <f t="shared" si="28"/>
        <v>20</v>
      </c>
      <c r="AC90" s="173">
        <f t="shared" si="28"/>
        <v>21</v>
      </c>
      <c r="AD90" s="173">
        <f t="shared" si="28"/>
        <v>22</v>
      </c>
      <c r="AE90" s="173">
        <f t="shared" si="28"/>
        <v>23</v>
      </c>
      <c r="AF90" s="173">
        <f t="shared" si="28"/>
        <v>24</v>
      </c>
      <c r="AG90" s="173">
        <f t="shared" si="28"/>
        <v>25</v>
      </c>
      <c r="AH90" s="173">
        <f t="shared" si="28"/>
        <v>26</v>
      </c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19"/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</row>
    <row r="91" spans="1:74" s="16" customFormat="1" x14ac:dyDescent="0.25">
      <c r="A91" s="184">
        <f>A88+1</f>
        <v>6</v>
      </c>
      <c r="B91" s="188" t="s">
        <v>49</v>
      </c>
      <c r="C91" s="189"/>
      <c r="D91" s="190"/>
      <c r="E91" s="190"/>
      <c r="F91" s="190"/>
      <c r="G91" s="190"/>
      <c r="H91" s="190"/>
      <c r="I91" s="177">
        <f>IF($B$13&gt;I90,0,IF($H$72-(SUM($C$91:H91)+1)&gt;0,IF($B$12&gt;0,$H$72/$B$12,0),0))</f>
        <v>0</v>
      </c>
      <c r="J91" s="177">
        <f>IF($B$13&gt;J90,0,IF($H$72-(SUM($C$91:I91)+1)&gt;0,IF($B$12&gt;0,$H$72/$B$12,0),0))</f>
        <v>0</v>
      </c>
      <c r="K91" s="177">
        <f>IF($B$13&gt;K90,0,IF($H$72-(SUM($C$91:J91)+1)&gt;0,IF($B$12&gt;0,$H$72/$B$12,0),0))</f>
        <v>273611.11111111112</v>
      </c>
      <c r="L91" s="177">
        <f>IF($B$13&gt;L90,0,IF($H$72-(SUM($C$91:K91)+1)&gt;0,IF($B$12&gt;0,$H$72/$B$12,0),0))</f>
        <v>273611.11111111112</v>
      </c>
      <c r="M91" s="177">
        <f>IF($B$13&gt;M90,0,IF($H$72-(SUM($C$91:L91)+1)&gt;0,IF($B$12&gt;0,$H$72/$B$12,0),0))</f>
        <v>273611.11111111112</v>
      </c>
      <c r="N91" s="177">
        <f>IF($B$13&gt;N90,0,IF($H$72-(SUM($C$91:M91)+1)&gt;0,IF($B$12&gt;0,$H$72/$B$12,0),0))</f>
        <v>273611.11111111112</v>
      </c>
      <c r="O91" s="177">
        <f>IF($B$13&gt;O90,0,IF($H$72-(SUM($C$91:N91)+1)&gt;0,IF($B$12&gt;0,$H$72/$B$12,0),0))</f>
        <v>273611.11111111112</v>
      </c>
      <c r="P91" s="177">
        <f>IF($B$13&gt;P90,0,IF($H$72-(SUM($C$91:O91)+1)&gt;0,IF($B$12&gt;0,$H$72/$B$12,0),0))</f>
        <v>0</v>
      </c>
      <c r="Q91" s="177">
        <f>IF($B$13&gt;Q90,0,IF($H$72-(SUM($C$91:P91)+1)&gt;0,IF($B$12&gt;0,$H$72/$B$12,0),0))</f>
        <v>0</v>
      </c>
      <c r="R91" s="177">
        <f>IF($B$13&gt;R90,0,IF($H$72-(SUM($C$91:Q91)+1)&gt;0,IF($B$12&gt;0,$H$72/$B$12,0),0))</f>
        <v>0</v>
      </c>
      <c r="S91" s="177">
        <f>IF($B$13&gt;S90,0,IF($H$72-(SUM($C$91:R91)+1)&gt;0,IF($B$12&gt;0,$H$72/$B$12,0),0))</f>
        <v>0</v>
      </c>
      <c r="T91" s="177">
        <f>IF($B$13&gt;T90,0,IF($H$72-(SUM($C$91:S91)+1)&gt;0,IF($B$12&gt;0,$H$72/$B$12,0),0))</f>
        <v>0</v>
      </c>
      <c r="U91" s="177">
        <f>IF($B$13&gt;U90,0,IF($H$72-(SUM($C$91:T91)+1)&gt;0,IF($B$12&gt;0,$H$72/$B$12,0),0))</f>
        <v>0</v>
      </c>
      <c r="V91" s="177">
        <f>IF($B$13&gt;V90,0,IF($H$72-(SUM($C$91:U91)+1)&gt;0,IF($B$12&gt;0,$H$72/$B$12,0),0))</f>
        <v>0</v>
      </c>
      <c r="W91" s="177">
        <f>IF($B$13&gt;W90,0,IF($H$72-(SUM($C$91:V91)+1)&gt;0,IF($B$12&gt;0,$H$72/$B$12,0),0))</f>
        <v>0</v>
      </c>
      <c r="X91" s="177">
        <f>IF($B$13&gt;X90,0,IF($H$72-(SUM($C$91:W91)+1)&gt;0,IF($B$12&gt;0,$H$72/$B$12,0),0))</f>
        <v>0</v>
      </c>
      <c r="Y91" s="177">
        <f>IF($B$13&gt;Y90,0,IF($H$72-(SUM($C$91:X91)+1)&gt;0,IF($B$12&gt;0,$H$72/$B$12,0),0))</f>
        <v>0</v>
      </c>
      <c r="Z91" s="177">
        <f>IF($B$13&gt;Z90,0,IF($H$72-(SUM($C$91:Y91)+1)&gt;0,IF($B$12&gt;0,$H$72/$B$12,0),0))</f>
        <v>0</v>
      </c>
      <c r="AA91" s="177">
        <f>IF($B$13&gt;AA90,0,IF($H$72-(SUM($C$91:Z91)+1)&gt;0,IF($B$12&gt;0,$H$72/$B$12,0),0))</f>
        <v>0</v>
      </c>
      <c r="AB91" s="178">
        <f>IF($B$13&gt;AB90,0,IF($H$72-(SUM($C$91:AA91)+1)&gt;0,IF($B$12&gt;0,$H$72/$B$12,0),0))</f>
        <v>0</v>
      </c>
      <c r="AC91" s="178">
        <f>IF($B$13&gt;AC90,0,IF($H$72-(SUM($C$91:AB91)+1)&gt;0,IF($B$12&gt;0,$H$72/$B$12,0),0))</f>
        <v>0</v>
      </c>
      <c r="AD91" s="178">
        <f>IF($B$13&gt;AD90,0,IF($H$72-(SUM($C$91:AC91)+1)&gt;0,IF($B$12&gt;0,$H$72/$B$12,0),0))</f>
        <v>0</v>
      </c>
      <c r="AE91" s="178">
        <f>IF($B$13&gt;AE90,0,IF($H$72-(SUM($C$91:AD91)+1)&gt;0,IF($B$12&gt;0,$H$72/$B$12,0),0))</f>
        <v>0</v>
      </c>
      <c r="AF91" s="178">
        <f>IF($B$13&gt;AF90,0,IF($H$72-(SUM($C$91:AE91)+1)&gt;0,IF($B$12&gt;0,$H$72/$B$12,0),0))</f>
        <v>0</v>
      </c>
      <c r="AG91" s="178">
        <f>IF($B$13&gt;AG90,0,IF($H$72-(SUM($C$91:AF91)+1)&gt;0,IF($B$12&gt;0,$H$72/$B$12,0),0))</f>
        <v>0</v>
      </c>
      <c r="AH91" s="178">
        <f>IF($B$13&gt;AH90,0,IF($H$72-(SUM($C$91:AG91)+1)&gt;0,IF($B$12&gt;0,$H$72/$B$12,0),0))</f>
        <v>0</v>
      </c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  <c r="BC91" s="17"/>
      <c r="BD91" s="17"/>
      <c r="BE91" s="17"/>
      <c r="BF91" s="17"/>
      <c r="BG91" s="17"/>
      <c r="BH91" s="17"/>
      <c r="BI91" s="17"/>
      <c r="BJ91" s="17"/>
      <c r="BK91" s="17"/>
      <c r="BL91" s="17"/>
      <c r="BM91" s="17"/>
      <c r="BN91" s="17"/>
      <c r="BO91" s="17"/>
      <c r="BP91" s="17"/>
      <c r="BQ91" s="17"/>
      <c r="BR91" s="17"/>
      <c r="BS91" s="17"/>
      <c r="BT91" s="17"/>
      <c r="BU91" s="17"/>
      <c r="BV91" s="17"/>
    </row>
    <row r="92" spans="1:74" s="16" customFormat="1" x14ac:dyDescent="0.25">
      <c r="A92" s="196"/>
      <c r="B92" s="180" t="s">
        <v>50</v>
      </c>
      <c r="C92" s="192"/>
      <c r="D92" s="193"/>
      <c r="E92" s="193"/>
      <c r="F92" s="193"/>
      <c r="G92" s="193"/>
      <c r="H92" s="193"/>
      <c r="I92" s="182">
        <f>($H$72-SUM($C$91:H91))*$B$14</f>
        <v>54722.222222222219</v>
      </c>
      <c r="J92" s="182">
        <f>($H$72-SUM($C$91:I91))*$B$14</f>
        <v>54722.222222222219</v>
      </c>
      <c r="K92" s="182">
        <f>($H$72-SUM($C$91:J91))*$B$14</f>
        <v>54722.222222222219</v>
      </c>
      <c r="L92" s="182">
        <f>($H$72-SUM($C$91:K91))*$B$14</f>
        <v>43777.777777777781</v>
      </c>
      <c r="M92" s="182">
        <f>($H$72-SUM($C$91:L91))*$B$14</f>
        <v>32833.333333333328</v>
      </c>
      <c r="N92" s="182">
        <f>($H$72-SUM($C$91:M91))*$B$14</f>
        <v>21888.888888888887</v>
      </c>
      <c r="O92" s="182">
        <f>($H$72-SUM($C$91:N91))*$B$14</f>
        <v>10944.44444444444</v>
      </c>
      <c r="P92" s="182">
        <f>($H$72-SUM($C$91:O91))*$B$14</f>
        <v>0</v>
      </c>
      <c r="Q92" s="182">
        <f>($H$72-SUM($C$91:P91))*$B$14</f>
        <v>0</v>
      </c>
      <c r="R92" s="182">
        <f>($H$72-SUM($C$91:Q91))*$B$14</f>
        <v>0</v>
      </c>
      <c r="S92" s="182">
        <f>($H$72-SUM($C$91:R91))*$B$14</f>
        <v>0</v>
      </c>
      <c r="T92" s="182">
        <f>($H$72-SUM($C$91:S91))*$B$14</f>
        <v>0</v>
      </c>
      <c r="U92" s="182">
        <f>($H$72-SUM($C$91:T91))*$B$14</f>
        <v>0</v>
      </c>
      <c r="V92" s="182">
        <f>($H$72-SUM($C$91:U91))*$B$14</f>
        <v>0</v>
      </c>
      <c r="W92" s="182">
        <f>($H$72-SUM($C$91:V91))*$B$14</f>
        <v>0</v>
      </c>
      <c r="X92" s="182">
        <f>($H$72-SUM($C$91:W91))*$B$14</f>
        <v>0</v>
      </c>
      <c r="Y92" s="182">
        <f>($H$72-SUM($C$91:X91))*$B$14</f>
        <v>0</v>
      </c>
      <c r="Z92" s="182">
        <f>($H$72-SUM($C$91:Y91))*$B$14</f>
        <v>0</v>
      </c>
      <c r="AA92" s="182">
        <f>($H$72-SUM($C$91:Z91))*$B$14</f>
        <v>0</v>
      </c>
      <c r="AB92" s="183">
        <f>($H$72-SUM($C$91:AA91))*$B$14</f>
        <v>0</v>
      </c>
      <c r="AC92" s="183">
        <f>($H$72-SUM($C$91:AB91))*$B$14</f>
        <v>0</v>
      </c>
      <c r="AD92" s="183">
        <f>($H$72-SUM($C$91:AC91))*$B$14</f>
        <v>0</v>
      </c>
      <c r="AE92" s="183">
        <f>($H$72-SUM($C$91:AD91))*$B$14</f>
        <v>0</v>
      </c>
      <c r="AF92" s="183">
        <f>($H$72-SUM($C$91:AE91))*$B$14</f>
        <v>0</v>
      </c>
      <c r="AG92" s="183">
        <f>($H$72-SUM($C$91:AF91))*$B$14</f>
        <v>0</v>
      </c>
      <c r="AH92" s="183">
        <f>($H$72-SUM($C$91:AG91))*$B$14</f>
        <v>0</v>
      </c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  <c r="BD92" s="17"/>
      <c r="BE92" s="17"/>
      <c r="BF92" s="17"/>
      <c r="BG92" s="17"/>
      <c r="BH92" s="17"/>
      <c r="BI92" s="17"/>
      <c r="BJ92" s="17"/>
      <c r="BK92" s="17"/>
      <c r="BL92" s="17"/>
      <c r="BM92" s="17"/>
      <c r="BN92" s="17"/>
      <c r="BO92" s="17"/>
      <c r="BP92" s="17"/>
      <c r="BQ92" s="17"/>
      <c r="BR92" s="17"/>
      <c r="BS92" s="17"/>
      <c r="BT92" s="17"/>
      <c r="BU92" s="17"/>
      <c r="BV92" s="17"/>
    </row>
    <row r="93" spans="1:74" x14ac:dyDescent="0.25">
      <c r="A93" s="40"/>
      <c r="B93" s="20"/>
      <c r="C93" s="34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29"/>
      <c r="AC93" s="29"/>
      <c r="AD93" s="29"/>
      <c r="AE93" s="29"/>
      <c r="AF93" s="29"/>
      <c r="AG93" s="29"/>
      <c r="AH93" s="29"/>
    </row>
    <row r="94" spans="1:74" s="21" customFormat="1" x14ac:dyDescent="0.25">
      <c r="A94" s="203" t="s">
        <v>60</v>
      </c>
      <c r="B94" s="199" t="s">
        <v>37</v>
      </c>
      <c r="C94" s="204">
        <f t="shared" ref="C94:AH94" si="29">C34</f>
        <v>0</v>
      </c>
      <c r="D94" s="204">
        <f t="shared" si="29"/>
        <v>147434.05326242212</v>
      </c>
      <c r="E94" s="204">
        <f t="shared" si="29"/>
        <v>281465.01077371492</v>
      </c>
      <c r="F94" s="204">
        <f t="shared" si="29"/>
        <v>403311.33578398114</v>
      </c>
      <c r="G94" s="204">
        <f t="shared" si="29"/>
        <v>514080.72215695045</v>
      </c>
      <c r="H94" s="204">
        <f t="shared" si="29"/>
        <v>614780.16431419528</v>
      </c>
      <c r="I94" s="204">
        <f t="shared" si="29"/>
        <v>706325.1117298723</v>
      </c>
      <c r="J94" s="204">
        <f t="shared" si="29"/>
        <v>706325.1117298723</v>
      </c>
      <c r="K94" s="204">
        <f t="shared" si="29"/>
        <v>706325.1117298723</v>
      </c>
      <c r="L94" s="204">
        <f t="shared" si="29"/>
        <v>706325.1117298723</v>
      </c>
      <c r="M94" s="204">
        <f t="shared" si="29"/>
        <v>706325.1117298723</v>
      </c>
      <c r="N94" s="204">
        <f t="shared" si="29"/>
        <v>706325.1117298723</v>
      </c>
      <c r="O94" s="204">
        <f t="shared" si="29"/>
        <v>706325.1117298723</v>
      </c>
      <c r="P94" s="204">
        <f t="shared" si="29"/>
        <v>706325.1117298723</v>
      </c>
      <c r="Q94" s="204">
        <f t="shared" si="29"/>
        <v>706325.1117298723</v>
      </c>
      <c r="R94" s="204">
        <f t="shared" si="29"/>
        <v>706325.1117298723</v>
      </c>
      <c r="S94" s="204">
        <f t="shared" si="29"/>
        <v>706325.1117298723</v>
      </c>
      <c r="T94" s="204">
        <f t="shared" si="29"/>
        <v>706325.1117298723</v>
      </c>
      <c r="U94" s="204">
        <f t="shared" si="29"/>
        <v>706325.1117298723</v>
      </c>
      <c r="V94" s="204">
        <f t="shared" si="29"/>
        <v>706325.1117298723</v>
      </c>
      <c r="W94" s="204">
        <f t="shared" si="29"/>
        <v>706325.1117298723</v>
      </c>
      <c r="X94" s="204">
        <f t="shared" si="29"/>
        <v>706325.1117298723</v>
      </c>
      <c r="Y94" s="204">
        <f t="shared" si="29"/>
        <v>706325.1117298723</v>
      </c>
      <c r="Z94" s="204">
        <f t="shared" si="29"/>
        <v>706325.1117298723</v>
      </c>
      <c r="AA94" s="204">
        <f t="shared" si="29"/>
        <v>706325.1117298723</v>
      </c>
      <c r="AB94" s="204">
        <f t="shared" si="29"/>
        <v>706325.1117298723</v>
      </c>
      <c r="AC94" s="204">
        <f t="shared" si="29"/>
        <v>706325.1117298723</v>
      </c>
      <c r="AD94" s="204">
        <f t="shared" si="29"/>
        <v>558891.05846745032</v>
      </c>
      <c r="AE94" s="204">
        <f t="shared" si="29"/>
        <v>424860.10095615743</v>
      </c>
      <c r="AF94" s="204">
        <f t="shared" si="29"/>
        <v>303013.77594589122</v>
      </c>
      <c r="AG94" s="204">
        <f t="shared" si="29"/>
        <v>192244.38957292194</v>
      </c>
      <c r="AH94" s="204">
        <f t="shared" si="29"/>
        <v>91544.947415677147</v>
      </c>
    </row>
    <row r="95" spans="1:74" s="21" customFormat="1" x14ac:dyDescent="0.25">
      <c r="A95" s="203" t="s">
        <v>55</v>
      </c>
      <c r="B95" s="199" t="s">
        <v>37</v>
      </c>
      <c r="C95" s="204">
        <f t="shared" ref="C95:AH95" si="30">C26</f>
        <v>0</v>
      </c>
      <c r="D95" s="204">
        <f t="shared" si="30"/>
        <v>124368.68686868688</v>
      </c>
      <c r="E95" s="204">
        <f t="shared" si="30"/>
        <v>237431.12947658403</v>
      </c>
      <c r="F95" s="204">
        <f t="shared" si="30"/>
        <v>340215.16821103601</v>
      </c>
      <c r="G95" s="204">
        <f t="shared" si="30"/>
        <v>433655.20342417416</v>
      </c>
      <c r="H95" s="204">
        <f t="shared" si="30"/>
        <v>518600.6899815725</v>
      </c>
      <c r="I95" s="204">
        <f t="shared" si="30"/>
        <v>595823.85957920738</v>
      </c>
      <c r="J95" s="204">
        <f t="shared" si="30"/>
        <v>595823.85957920738</v>
      </c>
      <c r="K95" s="204">
        <f t="shared" si="30"/>
        <v>595823.85957920738</v>
      </c>
      <c r="L95" s="204">
        <f t="shared" si="30"/>
        <v>595823.85957920738</v>
      </c>
      <c r="M95" s="204">
        <f t="shared" si="30"/>
        <v>595823.85957920738</v>
      </c>
      <c r="N95" s="204">
        <f t="shared" si="30"/>
        <v>595823.85957920738</v>
      </c>
      <c r="O95" s="204">
        <f t="shared" si="30"/>
        <v>595823.85957920738</v>
      </c>
      <c r="P95" s="204">
        <f t="shared" si="30"/>
        <v>595823.85957920738</v>
      </c>
      <c r="Q95" s="204">
        <f t="shared" si="30"/>
        <v>595823.85957920738</v>
      </c>
      <c r="R95" s="204">
        <f t="shared" si="30"/>
        <v>595823.85957920738</v>
      </c>
      <c r="S95" s="204">
        <f t="shared" si="30"/>
        <v>595823.85957920738</v>
      </c>
      <c r="T95" s="204">
        <f t="shared" si="30"/>
        <v>595823.85957920738</v>
      </c>
      <c r="U95" s="204">
        <f t="shared" si="30"/>
        <v>595823.85957920738</v>
      </c>
      <c r="V95" s="204">
        <f t="shared" si="30"/>
        <v>595823.85957920738</v>
      </c>
      <c r="W95" s="204">
        <f t="shared" si="30"/>
        <v>595823.85957920738</v>
      </c>
      <c r="X95" s="204">
        <f t="shared" si="30"/>
        <v>595823.85957920738</v>
      </c>
      <c r="Y95" s="204">
        <f t="shared" si="30"/>
        <v>595823.85957920738</v>
      </c>
      <c r="Z95" s="204">
        <f t="shared" si="30"/>
        <v>595823.85957920738</v>
      </c>
      <c r="AA95" s="204">
        <f t="shared" si="30"/>
        <v>595823.85957920738</v>
      </c>
      <c r="AB95" s="204">
        <f t="shared" si="30"/>
        <v>595823.85957920738</v>
      </c>
      <c r="AC95" s="204">
        <f t="shared" si="30"/>
        <v>595823.85957920738</v>
      </c>
      <c r="AD95" s="204">
        <f t="shared" si="30"/>
        <v>471455.17271052051</v>
      </c>
      <c r="AE95" s="204">
        <f t="shared" si="30"/>
        <v>358392.73010262335</v>
      </c>
      <c r="AF95" s="204">
        <f t="shared" si="30"/>
        <v>255608.69136817136</v>
      </c>
      <c r="AG95" s="204">
        <f t="shared" si="30"/>
        <v>162168.65615503321</v>
      </c>
      <c r="AH95" s="204">
        <f t="shared" si="30"/>
        <v>77223.169597634886</v>
      </c>
    </row>
    <row r="96" spans="1:74" s="21" customFormat="1" x14ac:dyDescent="0.25">
      <c r="A96" s="203" t="s">
        <v>56</v>
      </c>
      <c r="B96" s="199" t="s">
        <v>37</v>
      </c>
      <c r="C96" s="204">
        <f t="shared" ref="C96" si="31">C94-C95</f>
        <v>0</v>
      </c>
      <c r="D96" s="204">
        <f>D94-D95</f>
        <v>23065.366393735239</v>
      </c>
      <c r="E96" s="204">
        <f t="shared" ref="E96:AH96" si="32">E94-E95</f>
        <v>44033.881297130894</v>
      </c>
      <c r="F96" s="204">
        <f t="shared" si="32"/>
        <v>63096.167572945124</v>
      </c>
      <c r="G96" s="204">
        <f t="shared" si="32"/>
        <v>80425.518732776283</v>
      </c>
      <c r="H96" s="204">
        <f t="shared" si="32"/>
        <v>96179.474332622776</v>
      </c>
      <c r="I96" s="204">
        <f t="shared" si="32"/>
        <v>110501.25215066492</v>
      </c>
      <c r="J96" s="204">
        <f t="shared" si="32"/>
        <v>110501.25215066492</v>
      </c>
      <c r="K96" s="204">
        <f t="shared" si="32"/>
        <v>110501.25215066492</v>
      </c>
      <c r="L96" s="204">
        <f t="shared" si="32"/>
        <v>110501.25215066492</v>
      </c>
      <c r="M96" s="204">
        <f t="shared" si="32"/>
        <v>110501.25215066492</v>
      </c>
      <c r="N96" s="204">
        <f t="shared" si="32"/>
        <v>110501.25215066492</v>
      </c>
      <c r="O96" s="204">
        <f t="shared" si="32"/>
        <v>110501.25215066492</v>
      </c>
      <c r="P96" s="204">
        <f t="shared" si="32"/>
        <v>110501.25215066492</v>
      </c>
      <c r="Q96" s="204">
        <f t="shared" si="32"/>
        <v>110501.25215066492</v>
      </c>
      <c r="R96" s="204">
        <f t="shared" si="32"/>
        <v>110501.25215066492</v>
      </c>
      <c r="S96" s="204">
        <f t="shared" si="32"/>
        <v>110501.25215066492</v>
      </c>
      <c r="T96" s="204">
        <f t="shared" si="32"/>
        <v>110501.25215066492</v>
      </c>
      <c r="U96" s="204">
        <f t="shared" si="32"/>
        <v>110501.25215066492</v>
      </c>
      <c r="V96" s="204">
        <f t="shared" si="32"/>
        <v>110501.25215066492</v>
      </c>
      <c r="W96" s="204">
        <f t="shared" si="32"/>
        <v>110501.25215066492</v>
      </c>
      <c r="X96" s="204">
        <f t="shared" si="32"/>
        <v>110501.25215066492</v>
      </c>
      <c r="Y96" s="204">
        <f t="shared" si="32"/>
        <v>110501.25215066492</v>
      </c>
      <c r="Z96" s="204">
        <f t="shared" si="32"/>
        <v>110501.25215066492</v>
      </c>
      <c r="AA96" s="204">
        <f t="shared" si="32"/>
        <v>110501.25215066492</v>
      </c>
      <c r="AB96" s="204">
        <f t="shared" si="32"/>
        <v>110501.25215066492</v>
      </c>
      <c r="AC96" s="204">
        <f t="shared" si="32"/>
        <v>110501.25215066492</v>
      </c>
      <c r="AD96" s="204">
        <f t="shared" si="32"/>
        <v>87435.885756929812</v>
      </c>
      <c r="AE96" s="204">
        <f t="shared" si="32"/>
        <v>66467.370853534085</v>
      </c>
      <c r="AF96" s="204">
        <f t="shared" si="32"/>
        <v>47405.084577719856</v>
      </c>
      <c r="AG96" s="204">
        <f t="shared" si="32"/>
        <v>30075.733417888725</v>
      </c>
      <c r="AH96" s="204">
        <f t="shared" si="32"/>
        <v>14321.777818042261</v>
      </c>
    </row>
    <row r="97" spans="1:34" s="21" customFormat="1" x14ac:dyDescent="0.25">
      <c r="A97" s="203" t="s">
        <v>57</v>
      </c>
      <c r="B97" s="199" t="s">
        <v>37</v>
      </c>
      <c r="C97" s="204">
        <f>C71</f>
        <v>0</v>
      </c>
      <c r="D97" s="204">
        <f t="shared" ref="D97:AH97" si="33">D71</f>
        <v>54722.222222222219</v>
      </c>
      <c r="E97" s="204">
        <f t="shared" si="33"/>
        <v>109444.44444444444</v>
      </c>
      <c r="F97" s="204">
        <f t="shared" si="33"/>
        <v>164166.66666666666</v>
      </c>
      <c r="G97" s="204">
        <f t="shared" si="33"/>
        <v>207944.44444444444</v>
      </c>
      <c r="H97" s="204">
        <f t="shared" si="33"/>
        <v>240777.77777777775</v>
      </c>
      <c r="I97" s="204">
        <f t="shared" si="33"/>
        <v>262666.66666666663</v>
      </c>
      <c r="J97" s="204">
        <f t="shared" si="33"/>
        <v>218888.88888888888</v>
      </c>
      <c r="K97" s="204">
        <f t="shared" si="33"/>
        <v>164166.66666666666</v>
      </c>
      <c r="L97" s="204">
        <f t="shared" si="33"/>
        <v>109444.44444444444</v>
      </c>
      <c r="M97" s="204">
        <f t="shared" si="33"/>
        <v>65666.666666666657</v>
      </c>
      <c r="N97" s="204">
        <f t="shared" si="33"/>
        <v>32833.333333333328</v>
      </c>
      <c r="O97" s="204">
        <f t="shared" si="33"/>
        <v>10944.44444444444</v>
      </c>
      <c r="P97" s="204">
        <f t="shared" si="33"/>
        <v>0</v>
      </c>
      <c r="Q97" s="204">
        <f t="shared" si="33"/>
        <v>0</v>
      </c>
      <c r="R97" s="204">
        <f t="shared" si="33"/>
        <v>0</v>
      </c>
      <c r="S97" s="204">
        <f t="shared" si="33"/>
        <v>0</v>
      </c>
      <c r="T97" s="204">
        <f t="shared" si="33"/>
        <v>0</v>
      </c>
      <c r="U97" s="204">
        <f t="shared" si="33"/>
        <v>0</v>
      </c>
      <c r="V97" s="204">
        <f t="shared" si="33"/>
        <v>0</v>
      </c>
      <c r="W97" s="204">
        <f t="shared" si="33"/>
        <v>0</v>
      </c>
      <c r="X97" s="204">
        <f t="shared" si="33"/>
        <v>0</v>
      </c>
      <c r="Y97" s="204">
        <f t="shared" si="33"/>
        <v>0</v>
      </c>
      <c r="Z97" s="204">
        <f t="shared" si="33"/>
        <v>0</v>
      </c>
      <c r="AA97" s="204">
        <f t="shared" si="33"/>
        <v>0</v>
      </c>
      <c r="AB97" s="204">
        <f t="shared" si="33"/>
        <v>0</v>
      </c>
      <c r="AC97" s="204">
        <f t="shared" si="33"/>
        <v>0</v>
      </c>
      <c r="AD97" s="204">
        <f t="shared" si="33"/>
        <v>0</v>
      </c>
      <c r="AE97" s="204">
        <f t="shared" si="33"/>
        <v>0</v>
      </c>
      <c r="AF97" s="204">
        <f t="shared" si="33"/>
        <v>0</v>
      </c>
      <c r="AG97" s="204">
        <f t="shared" si="33"/>
        <v>0</v>
      </c>
      <c r="AH97" s="204">
        <f t="shared" si="33"/>
        <v>0</v>
      </c>
    </row>
    <row r="98" spans="1:34" s="21" customFormat="1" x14ac:dyDescent="0.25">
      <c r="A98" s="203" t="s">
        <v>58</v>
      </c>
      <c r="B98" s="199" t="s">
        <v>37</v>
      </c>
      <c r="C98" s="204">
        <f>C96-C97</f>
        <v>0</v>
      </c>
      <c r="D98" s="204">
        <f>D96-D97</f>
        <v>-31656.85582848698</v>
      </c>
      <c r="E98" s="204">
        <f t="shared" ref="E98:AH98" si="34">E96-E97</f>
        <v>-65410.563147313544</v>
      </c>
      <c r="F98" s="204">
        <f t="shared" si="34"/>
        <v>-101070.49909372153</v>
      </c>
      <c r="G98" s="204">
        <f t="shared" si="34"/>
        <v>-127518.92571166815</v>
      </c>
      <c r="H98" s="204">
        <f t="shared" si="34"/>
        <v>-144598.30344515498</v>
      </c>
      <c r="I98" s="204">
        <f t="shared" si="34"/>
        <v>-152165.41451600171</v>
      </c>
      <c r="J98" s="204">
        <f t="shared" si="34"/>
        <v>-108387.63673822396</v>
      </c>
      <c r="K98" s="204">
        <f t="shared" si="34"/>
        <v>-53665.414516001736</v>
      </c>
      <c r="L98" s="204">
        <f t="shared" si="34"/>
        <v>1056.8077062204829</v>
      </c>
      <c r="M98" s="204">
        <f t="shared" si="34"/>
        <v>44834.585483998264</v>
      </c>
      <c r="N98" s="204">
        <f t="shared" si="34"/>
        <v>77667.918817331592</v>
      </c>
      <c r="O98" s="204">
        <f t="shared" si="34"/>
        <v>99556.807706220483</v>
      </c>
      <c r="P98" s="204">
        <f t="shared" si="34"/>
        <v>110501.25215066492</v>
      </c>
      <c r="Q98" s="204">
        <f t="shared" si="34"/>
        <v>110501.25215066492</v>
      </c>
      <c r="R98" s="204">
        <f t="shared" si="34"/>
        <v>110501.25215066492</v>
      </c>
      <c r="S98" s="204">
        <f t="shared" si="34"/>
        <v>110501.25215066492</v>
      </c>
      <c r="T98" s="204">
        <f t="shared" si="34"/>
        <v>110501.25215066492</v>
      </c>
      <c r="U98" s="204">
        <f t="shared" si="34"/>
        <v>110501.25215066492</v>
      </c>
      <c r="V98" s="204">
        <f t="shared" si="34"/>
        <v>110501.25215066492</v>
      </c>
      <c r="W98" s="204">
        <f t="shared" si="34"/>
        <v>110501.25215066492</v>
      </c>
      <c r="X98" s="204">
        <f t="shared" si="34"/>
        <v>110501.25215066492</v>
      </c>
      <c r="Y98" s="204">
        <f t="shared" si="34"/>
        <v>110501.25215066492</v>
      </c>
      <c r="Z98" s="204">
        <f t="shared" si="34"/>
        <v>110501.25215066492</v>
      </c>
      <c r="AA98" s="204">
        <f t="shared" si="34"/>
        <v>110501.25215066492</v>
      </c>
      <c r="AB98" s="204">
        <f t="shared" si="34"/>
        <v>110501.25215066492</v>
      </c>
      <c r="AC98" s="204">
        <f t="shared" si="34"/>
        <v>110501.25215066492</v>
      </c>
      <c r="AD98" s="204">
        <f t="shared" si="34"/>
        <v>87435.885756929812</v>
      </c>
      <c r="AE98" s="204">
        <f t="shared" si="34"/>
        <v>66467.370853534085</v>
      </c>
      <c r="AF98" s="204">
        <f t="shared" si="34"/>
        <v>47405.084577719856</v>
      </c>
      <c r="AG98" s="204">
        <f t="shared" si="34"/>
        <v>30075.733417888725</v>
      </c>
      <c r="AH98" s="204">
        <f t="shared" si="34"/>
        <v>14321.777818042261</v>
      </c>
    </row>
    <row r="99" spans="1:34" s="21" customFormat="1" x14ac:dyDescent="0.25">
      <c r="A99" s="200" t="s">
        <v>61</v>
      </c>
      <c r="B99" s="199" t="s">
        <v>37</v>
      </c>
      <c r="C99" s="204">
        <v>0</v>
      </c>
      <c r="D99" s="204">
        <v>0</v>
      </c>
      <c r="E99" s="204">
        <v>0</v>
      </c>
      <c r="F99" s="204">
        <v>0</v>
      </c>
      <c r="G99" s="204">
        <v>0</v>
      </c>
      <c r="H99" s="204">
        <v>0</v>
      </c>
      <c r="I99" s="204">
        <v>0</v>
      </c>
      <c r="J99" s="204">
        <v>0</v>
      </c>
      <c r="K99" s="204">
        <v>0</v>
      </c>
      <c r="L99" s="204">
        <v>0</v>
      </c>
      <c r="M99" s="204">
        <v>0</v>
      </c>
      <c r="N99" s="204">
        <v>0</v>
      </c>
      <c r="O99" s="204">
        <v>0</v>
      </c>
      <c r="P99" s="204">
        <v>0</v>
      </c>
      <c r="Q99" s="204">
        <v>0</v>
      </c>
      <c r="R99" s="204">
        <v>0</v>
      </c>
      <c r="S99" s="204">
        <v>0</v>
      </c>
      <c r="T99" s="204">
        <v>0</v>
      </c>
      <c r="U99" s="204">
        <v>0</v>
      </c>
      <c r="V99" s="204">
        <v>0</v>
      </c>
      <c r="W99" s="204">
        <v>0</v>
      </c>
      <c r="X99" s="204">
        <v>0</v>
      </c>
      <c r="Y99" s="204">
        <v>0</v>
      </c>
      <c r="Z99" s="204">
        <v>0</v>
      </c>
      <c r="AA99" s="204">
        <v>0</v>
      </c>
      <c r="AB99" s="204">
        <v>0</v>
      </c>
      <c r="AC99" s="204">
        <v>0</v>
      </c>
      <c r="AD99" s="204">
        <v>0</v>
      </c>
      <c r="AE99" s="204">
        <v>0</v>
      </c>
      <c r="AF99" s="204">
        <v>0</v>
      </c>
      <c r="AG99" s="204">
        <v>0</v>
      </c>
      <c r="AH99" s="204">
        <v>0</v>
      </c>
    </row>
    <row r="100" spans="1:34" s="21" customFormat="1" x14ac:dyDescent="0.25">
      <c r="A100" s="203" t="s">
        <v>59</v>
      </c>
      <c r="B100" s="199" t="s">
        <v>37</v>
      </c>
      <c r="C100" s="204">
        <f>C98+C99</f>
        <v>0</v>
      </c>
      <c r="D100" s="204">
        <f>D98+D99</f>
        <v>-31656.85582848698</v>
      </c>
      <c r="E100" s="204">
        <f t="shared" ref="E100:AH100" si="35">E98+E99</f>
        <v>-65410.563147313544</v>
      </c>
      <c r="F100" s="204">
        <f t="shared" si="35"/>
        <v>-101070.49909372153</v>
      </c>
      <c r="G100" s="204">
        <f t="shared" si="35"/>
        <v>-127518.92571166815</v>
      </c>
      <c r="H100" s="204">
        <f t="shared" si="35"/>
        <v>-144598.30344515498</v>
      </c>
      <c r="I100" s="204">
        <f t="shared" si="35"/>
        <v>-152165.41451600171</v>
      </c>
      <c r="J100" s="204">
        <f t="shared" si="35"/>
        <v>-108387.63673822396</v>
      </c>
      <c r="K100" s="204">
        <f t="shared" si="35"/>
        <v>-53665.414516001736</v>
      </c>
      <c r="L100" s="204">
        <f t="shared" si="35"/>
        <v>1056.8077062204829</v>
      </c>
      <c r="M100" s="204">
        <f t="shared" si="35"/>
        <v>44834.585483998264</v>
      </c>
      <c r="N100" s="204">
        <f t="shared" si="35"/>
        <v>77667.918817331592</v>
      </c>
      <c r="O100" s="204">
        <f t="shared" si="35"/>
        <v>99556.807706220483</v>
      </c>
      <c r="P100" s="204">
        <f t="shared" si="35"/>
        <v>110501.25215066492</v>
      </c>
      <c r="Q100" s="204">
        <f t="shared" si="35"/>
        <v>110501.25215066492</v>
      </c>
      <c r="R100" s="204">
        <f t="shared" si="35"/>
        <v>110501.25215066492</v>
      </c>
      <c r="S100" s="204">
        <f t="shared" si="35"/>
        <v>110501.25215066492</v>
      </c>
      <c r="T100" s="204">
        <f t="shared" si="35"/>
        <v>110501.25215066492</v>
      </c>
      <c r="U100" s="204">
        <f t="shared" si="35"/>
        <v>110501.25215066492</v>
      </c>
      <c r="V100" s="204">
        <f t="shared" si="35"/>
        <v>110501.25215066492</v>
      </c>
      <c r="W100" s="204">
        <f t="shared" si="35"/>
        <v>110501.25215066492</v>
      </c>
      <c r="X100" s="204">
        <f t="shared" si="35"/>
        <v>110501.25215066492</v>
      </c>
      <c r="Y100" s="204">
        <f t="shared" si="35"/>
        <v>110501.25215066492</v>
      </c>
      <c r="Z100" s="204">
        <f t="shared" si="35"/>
        <v>110501.25215066492</v>
      </c>
      <c r="AA100" s="204">
        <f t="shared" si="35"/>
        <v>110501.25215066492</v>
      </c>
      <c r="AB100" s="204">
        <f t="shared" si="35"/>
        <v>110501.25215066492</v>
      </c>
      <c r="AC100" s="204">
        <f t="shared" si="35"/>
        <v>110501.25215066492</v>
      </c>
      <c r="AD100" s="204">
        <f t="shared" si="35"/>
        <v>87435.885756929812</v>
      </c>
      <c r="AE100" s="204">
        <f t="shared" si="35"/>
        <v>66467.370853534085</v>
      </c>
      <c r="AF100" s="204">
        <f t="shared" si="35"/>
        <v>47405.084577719856</v>
      </c>
      <c r="AG100" s="204">
        <f t="shared" si="35"/>
        <v>30075.733417888725</v>
      </c>
      <c r="AH100" s="204">
        <f t="shared" si="35"/>
        <v>14321.777818042261</v>
      </c>
    </row>
    <row r="101" spans="1:34" s="21" customFormat="1" x14ac:dyDescent="0.25">
      <c r="A101" s="200" t="s">
        <v>62</v>
      </c>
      <c r="B101" s="199" t="s">
        <v>37</v>
      </c>
      <c r="C101" s="204">
        <f>IF(C100*$B$17&gt;0,C100*$B$17,0)</f>
        <v>0</v>
      </c>
      <c r="D101" s="204">
        <f>IF(D100*$B$17&gt;0,D100*$B$17,0)</f>
        <v>0</v>
      </c>
      <c r="E101" s="204">
        <f t="shared" ref="E101:AH101" si="36">IF(E100*$B$17&gt;0,E100*$B$17,0)</f>
        <v>0</v>
      </c>
      <c r="F101" s="204">
        <f t="shared" si="36"/>
        <v>0</v>
      </c>
      <c r="G101" s="204">
        <f t="shared" si="36"/>
        <v>0</v>
      </c>
      <c r="H101" s="204">
        <f t="shared" si="36"/>
        <v>0</v>
      </c>
      <c r="I101" s="204">
        <f t="shared" si="36"/>
        <v>0</v>
      </c>
      <c r="J101" s="204">
        <f t="shared" si="36"/>
        <v>0</v>
      </c>
      <c r="K101" s="204">
        <f t="shared" si="36"/>
        <v>0</v>
      </c>
      <c r="L101" s="204">
        <f t="shared" si="36"/>
        <v>634.08462373228974</v>
      </c>
      <c r="M101" s="204">
        <f t="shared" si="36"/>
        <v>26900.751290398959</v>
      </c>
      <c r="N101" s="204">
        <f t="shared" si="36"/>
        <v>46600.751290398955</v>
      </c>
      <c r="O101" s="204">
        <f t="shared" si="36"/>
        <v>59734.084623732284</v>
      </c>
      <c r="P101" s="204">
        <f t="shared" si="36"/>
        <v>66300.751290398955</v>
      </c>
      <c r="Q101" s="204">
        <f t="shared" si="36"/>
        <v>66300.751290398955</v>
      </c>
      <c r="R101" s="204">
        <f t="shared" si="36"/>
        <v>66300.751290398955</v>
      </c>
      <c r="S101" s="204">
        <f t="shared" si="36"/>
        <v>66300.751290398955</v>
      </c>
      <c r="T101" s="204">
        <f t="shared" si="36"/>
        <v>66300.751290398955</v>
      </c>
      <c r="U101" s="204">
        <f t="shared" si="36"/>
        <v>66300.751290398955</v>
      </c>
      <c r="V101" s="204">
        <f t="shared" si="36"/>
        <v>66300.751290398955</v>
      </c>
      <c r="W101" s="204">
        <f t="shared" si="36"/>
        <v>66300.751290398955</v>
      </c>
      <c r="X101" s="204">
        <f t="shared" si="36"/>
        <v>66300.751290398955</v>
      </c>
      <c r="Y101" s="204">
        <f t="shared" si="36"/>
        <v>66300.751290398955</v>
      </c>
      <c r="Z101" s="204">
        <f t="shared" si="36"/>
        <v>66300.751290398955</v>
      </c>
      <c r="AA101" s="204">
        <f t="shared" si="36"/>
        <v>66300.751290398955</v>
      </c>
      <c r="AB101" s="204">
        <f t="shared" si="36"/>
        <v>66300.751290398955</v>
      </c>
      <c r="AC101" s="204">
        <f t="shared" si="36"/>
        <v>66300.751290398955</v>
      </c>
      <c r="AD101" s="204">
        <f t="shared" si="36"/>
        <v>52461.531454157885</v>
      </c>
      <c r="AE101" s="204">
        <f t="shared" si="36"/>
        <v>39880.422512120451</v>
      </c>
      <c r="AF101" s="204">
        <f t="shared" si="36"/>
        <v>28443.050746631914</v>
      </c>
      <c r="AG101" s="204">
        <f t="shared" si="36"/>
        <v>18045.440050733236</v>
      </c>
      <c r="AH101" s="204">
        <f t="shared" si="36"/>
        <v>8593.066690825357</v>
      </c>
    </row>
    <row r="102" spans="1:34" s="21" customFormat="1" x14ac:dyDescent="0.25">
      <c r="A102" s="203" t="s">
        <v>63</v>
      </c>
      <c r="B102" s="199" t="s">
        <v>37</v>
      </c>
      <c r="C102" s="204">
        <f>C100-C101</f>
        <v>0</v>
      </c>
      <c r="D102" s="204">
        <f>D100-D101</f>
        <v>-31656.85582848698</v>
      </c>
      <c r="E102" s="204">
        <f t="shared" ref="E102:AH102" si="37">E100-E101</f>
        <v>-65410.563147313544</v>
      </c>
      <c r="F102" s="204">
        <f t="shared" si="37"/>
        <v>-101070.49909372153</v>
      </c>
      <c r="G102" s="204">
        <f t="shared" si="37"/>
        <v>-127518.92571166815</v>
      </c>
      <c r="H102" s="204">
        <f t="shared" si="37"/>
        <v>-144598.30344515498</v>
      </c>
      <c r="I102" s="204">
        <f t="shared" si="37"/>
        <v>-152165.41451600171</v>
      </c>
      <c r="J102" s="204">
        <f t="shared" si="37"/>
        <v>-108387.63673822396</v>
      </c>
      <c r="K102" s="204">
        <f t="shared" si="37"/>
        <v>-53665.414516001736</v>
      </c>
      <c r="L102" s="204">
        <f t="shared" si="37"/>
        <v>422.7230824881932</v>
      </c>
      <c r="M102" s="204">
        <f t="shared" si="37"/>
        <v>17933.834193599305</v>
      </c>
      <c r="N102" s="204">
        <f t="shared" si="37"/>
        <v>31067.167526932637</v>
      </c>
      <c r="O102" s="204">
        <f t="shared" si="37"/>
        <v>39822.723082488199</v>
      </c>
      <c r="P102" s="204">
        <f t="shared" si="37"/>
        <v>44200.500860265965</v>
      </c>
      <c r="Q102" s="204">
        <f t="shared" si="37"/>
        <v>44200.500860265965</v>
      </c>
      <c r="R102" s="204">
        <f t="shared" si="37"/>
        <v>44200.500860265965</v>
      </c>
      <c r="S102" s="204">
        <f t="shared" si="37"/>
        <v>44200.500860265965</v>
      </c>
      <c r="T102" s="204">
        <f t="shared" si="37"/>
        <v>44200.500860265965</v>
      </c>
      <c r="U102" s="204">
        <f t="shared" si="37"/>
        <v>44200.500860265965</v>
      </c>
      <c r="V102" s="204">
        <f t="shared" si="37"/>
        <v>44200.500860265965</v>
      </c>
      <c r="W102" s="204">
        <f t="shared" si="37"/>
        <v>44200.500860265965</v>
      </c>
      <c r="X102" s="204">
        <f t="shared" si="37"/>
        <v>44200.500860265965</v>
      </c>
      <c r="Y102" s="204">
        <f t="shared" si="37"/>
        <v>44200.500860265965</v>
      </c>
      <c r="Z102" s="204">
        <f t="shared" si="37"/>
        <v>44200.500860265965</v>
      </c>
      <c r="AA102" s="204">
        <f t="shared" si="37"/>
        <v>44200.500860265965</v>
      </c>
      <c r="AB102" s="204">
        <f t="shared" si="37"/>
        <v>44200.500860265965</v>
      </c>
      <c r="AC102" s="204">
        <f t="shared" si="37"/>
        <v>44200.500860265965</v>
      </c>
      <c r="AD102" s="204">
        <f t="shared" si="37"/>
        <v>34974.354302771928</v>
      </c>
      <c r="AE102" s="204">
        <f t="shared" si="37"/>
        <v>26586.948341413634</v>
      </c>
      <c r="AF102" s="204">
        <f t="shared" si="37"/>
        <v>18962.033831087942</v>
      </c>
      <c r="AG102" s="204">
        <f t="shared" si="37"/>
        <v>12030.293367155489</v>
      </c>
      <c r="AH102" s="204">
        <f t="shared" si="37"/>
        <v>5728.7111272169041</v>
      </c>
    </row>
    <row r="103" spans="1:34" s="21" customFormat="1" x14ac:dyDescent="0.25">
      <c r="A103" s="198" t="s">
        <v>64</v>
      </c>
      <c r="B103" s="199" t="s">
        <v>37</v>
      </c>
      <c r="C103" s="204">
        <f>C102-C72</f>
        <v>-1368055.5555555555</v>
      </c>
      <c r="D103" s="204">
        <f t="shared" ref="D103:AH103" si="38">D102-D72</f>
        <v>-1399712.4113840426</v>
      </c>
      <c r="E103" s="204">
        <f t="shared" si="38"/>
        <v>-1433466.1187028689</v>
      </c>
      <c r="F103" s="204">
        <f t="shared" si="38"/>
        <v>-1469126.0546492771</v>
      </c>
      <c r="G103" s="204">
        <f t="shared" si="38"/>
        <v>-1495574.4812672236</v>
      </c>
      <c r="H103" s="204">
        <f t="shared" si="38"/>
        <v>-1512653.8590007105</v>
      </c>
      <c r="I103" s="204">
        <f t="shared" si="38"/>
        <v>-152165.41451600171</v>
      </c>
      <c r="J103" s="204">
        <f t="shared" si="38"/>
        <v>-108387.63673822396</v>
      </c>
      <c r="K103" s="204">
        <f t="shared" si="38"/>
        <v>-53665.414516001736</v>
      </c>
      <c r="L103" s="204">
        <f t="shared" si="38"/>
        <v>422.7230824881932</v>
      </c>
      <c r="M103" s="204">
        <f t="shared" si="38"/>
        <v>17933.834193599305</v>
      </c>
      <c r="N103" s="204">
        <f t="shared" si="38"/>
        <v>31067.167526932637</v>
      </c>
      <c r="O103" s="204">
        <f t="shared" si="38"/>
        <v>39822.723082488199</v>
      </c>
      <c r="P103" s="204">
        <f t="shared" si="38"/>
        <v>44200.500860265965</v>
      </c>
      <c r="Q103" s="204">
        <f t="shared" si="38"/>
        <v>44200.500860265965</v>
      </c>
      <c r="R103" s="204">
        <f t="shared" si="38"/>
        <v>44200.500860265965</v>
      </c>
      <c r="S103" s="204">
        <f t="shared" si="38"/>
        <v>44200.500860265965</v>
      </c>
      <c r="T103" s="204">
        <f t="shared" si="38"/>
        <v>44200.500860265965</v>
      </c>
      <c r="U103" s="204">
        <f t="shared" si="38"/>
        <v>44200.500860265965</v>
      </c>
      <c r="V103" s="204">
        <f t="shared" si="38"/>
        <v>44200.500860265965</v>
      </c>
      <c r="W103" s="204">
        <f t="shared" si="38"/>
        <v>44200.500860265965</v>
      </c>
      <c r="X103" s="204">
        <f t="shared" si="38"/>
        <v>44200.500860265965</v>
      </c>
      <c r="Y103" s="204">
        <f t="shared" si="38"/>
        <v>44200.500860265965</v>
      </c>
      <c r="Z103" s="204">
        <f t="shared" si="38"/>
        <v>44200.500860265965</v>
      </c>
      <c r="AA103" s="204">
        <f t="shared" si="38"/>
        <v>44200.500860265965</v>
      </c>
      <c r="AB103" s="204">
        <f t="shared" si="38"/>
        <v>44200.500860265965</v>
      </c>
      <c r="AC103" s="204">
        <f t="shared" si="38"/>
        <v>44200.500860265965</v>
      </c>
      <c r="AD103" s="204">
        <f t="shared" si="38"/>
        <v>34974.354302771928</v>
      </c>
      <c r="AE103" s="204">
        <f t="shared" si="38"/>
        <v>26586.948341413634</v>
      </c>
      <c r="AF103" s="204">
        <f t="shared" si="38"/>
        <v>18962.033831087942</v>
      </c>
      <c r="AG103" s="204">
        <f t="shared" si="38"/>
        <v>12030.293367155489</v>
      </c>
      <c r="AH103" s="204">
        <f t="shared" si="38"/>
        <v>5728.7111272169041</v>
      </c>
    </row>
    <row r="104" spans="1:34" s="21" customFormat="1" x14ac:dyDescent="0.25">
      <c r="A104" s="202" t="s">
        <v>65</v>
      </c>
      <c r="B104" s="201" t="s">
        <v>37</v>
      </c>
      <c r="C104" s="204">
        <f t="shared" ref="C104:AH104" si="39">C103+C31+C32</f>
        <v>-1368055.5555555555</v>
      </c>
      <c r="D104" s="204">
        <f t="shared" si="39"/>
        <v>-1226275.7798001212</v>
      </c>
      <c r="E104" s="204">
        <f t="shared" si="39"/>
        <v>-1101111.1187899606</v>
      </c>
      <c r="F104" s="204">
        <f t="shared" si="39"/>
        <v>-991060.43228031404</v>
      </c>
      <c r="G104" s="204">
        <f t="shared" si="39"/>
        <v>-883812.07174661383</v>
      </c>
      <c r="H104" s="204">
        <f t="shared" si="39"/>
        <v>-778120.71845165081</v>
      </c>
      <c r="I104" s="204">
        <f t="shared" si="39"/>
        <v>695203.58156740619</v>
      </c>
      <c r="J104" s="204">
        <f t="shared" si="39"/>
        <v>742526.70678448793</v>
      </c>
      <c r="K104" s="204">
        <f t="shared" si="39"/>
        <v>800882.91013199661</v>
      </c>
      <c r="L104" s="204">
        <f t="shared" si="39"/>
        <v>858695.87838390528</v>
      </c>
      <c r="M104" s="204">
        <f t="shared" si="39"/>
        <v>880024.94091477059</v>
      </c>
      <c r="N104" s="204">
        <f t="shared" si="39"/>
        <v>897071.67445335188</v>
      </c>
      <c r="O104" s="204">
        <f t="shared" si="39"/>
        <v>909838.46521928662</v>
      </c>
      <c r="P104" s="204">
        <f t="shared" si="39"/>
        <v>918327.75908770319</v>
      </c>
      <c r="Q104" s="204">
        <f t="shared" si="39"/>
        <v>922542.06308060768</v>
      </c>
      <c r="R104" s="204">
        <f t="shared" si="39"/>
        <v>926861.72467333497</v>
      </c>
      <c r="S104" s="204">
        <f t="shared" si="39"/>
        <v>931289.3778058805</v>
      </c>
      <c r="T104" s="204">
        <f t="shared" si="39"/>
        <v>935827.72226673958</v>
      </c>
      <c r="U104" s="204">
        <f t="shared" si="39"/>
        <v>940479.52533912018</v>
      </c>
      <c r="V104" s="204">
        <f t="shared" si="39"/>
        <v>945247.62348831026</v>
      </c>
      <c r="W104" s="204">
        <f t="shared" si="39"/>
        <v>950134.92409123015</v>
      </c>
      <c r="X104" s="204">
        <f t="shared" si="39"/>
        <v>955144.4072092229</v>
      </c>
      <c r="Y104" s="204">
        <f t="shared" si="39"/>
        <v>960279.12740516558</v>
      </c>
      <c r="Z104" s="204">
        <f t="shared" si="39"/>
        <v>965542.21560600679</v>
      </c>
      <c r="AA104" s="204">
        <f t="shared" si="39"/>
        <v>970936.88101186906</v>
      </c>
      <c r="AB104" s="204">
        <f t="shared" si="39"/>
        <v>976466.41305287788</v>
      </c>
      <c r="AC104" s="204">
        <f t="shared" si="39"/>
        <v>749755.59937151615</v>
      </c>
      <c r="AD104" s="204">
        <f t="shared" si="39"/>
        <v>593256.12747702957</v>
      </c>
      <c r="AE104" s="204">
        <f t="shared" si="39"/>
        <v>450983.88030022342</v>
      </c>
      <c r="AF104" s="204">
        <f t="shared" si="39"/>
        <v>321645.47377585422</v>
      </c>
      <c r="AG104" s="204">
        <f t="shared" si="39"/>
        <v>204065.1042082459</v>
      </c>
      <c r="AH104" s="204">
        <f t="shared" si="39"/>
        <v>97173.859146783798</v>
      </c>
    </row>
    <row r="105" spans="1:34" customFormat="1" x14ac:dyDescent="0.25">
      <c r="A105" s="58"/>
      <c r="B105" s="20"/>
      <c r="C105" s="11"/>
    </row>
    <row r="106" spans="1:34" customFormat="1" ht="13.5" customHeight="1" x14ac:dyDescent="0.25">
      <c r="A106" s="207" t="s">
        <v>66</v>
      </c>
      <c r="B106" s="208" t="s">
        <v>12</v>
      </c>
      <c r="C106" s="209">
        <f>SUM(C72:AB72)</f>
        <v>8208333.333333334</v>
      </c>
    </row>
    <row r="107" spans="1:34" x14ac:dyDescent="0.25">
      <c r="A107" s="34"/>
      <c r="B107" s="20"/>
    </row>
    <row r="108" spans="1:34" x14ac:dyDescent="0.25">
      <c r="A108" s="205" t="s">
        <v>114</v>
      </c>
      <c r="B108" s="206" t="s">
        <v>67</v>
      </c>
      <c r="C108" s="216" t="e">
        <f>(C102+C71+C70)/(C70+C71)</f>
        <v>#DIV/0!</v>
      </c>
      <c r="D108" s="216">
        <f>(D102+D71+D70)/(D70+D71)</f>
        <v>0.42149908130683689</v>
      </c>
      <c r="E108" s="216">
        <f t="shared" ref="E108:G108" si="40">(E102+E71+E70)/(E70+E71)</f>
        <v>0.40234003215652597</v>
      </c>
      <c r="F108" s="216">
        <f t="shared" si="40"/>
        <v>0.76912830156256506</v>
      </c>
      <c r="G108" s="216">
        <f t="shared" si="40"/>
        <v>0.83113803701831623</v>
      </c>
      <c r="H108" s="216">
        <f>(H102+H71+H70)/(H70+H71)</f>
        <v>0.86379352859842029</v>
      </c>
      <c r="I108" s="216">
        <f>(I102+I71+I70)/(I70+I71)</f>
        <v>0.8878754928242989</v>
      </c>
      <c r="J108" s="216">
        <f t="shared" ref="J108:N108" si="41">(J102+J71+J70)/(J70+J71)</f>
        <v>0.93170042144974508</v>
      </c>
      <c r="K108" s="216">
        <f t="shared" si="41"/>
        <v>0.96497543650152173</v>
      </c>
      <c r="L108" s="216">
        <f t="shared" si="41"/>
        <v>1.0003511313098656</v>
      </c>
      <c r="M108" s="216">
        <f t="shared" si="41"/>
        <v>1.0202299314084595</v>
      </c>
      <c r="N108" s="216">
        <f t="shared" si="41"/>
        <v>1.0535589517751927</v>
      </c>
      <c r="O108" s="216">
        <f>(O102+O71+O70)/(O70+O71)</f>
        <v>1.1399470940032777</v>
      </c>
      <c r="P108" s="216" t="e">
        <f t="shared" ref="P108:AH108" si="42">(P102+P71+P70)/(P70+P71)</f>
        <v>#DIV/0!</v>
      </c>
      <c r="Q108" s="216" t="e">
        <f t="shared" si="42"/>
        <v>#DIV/0!</v>
      </c>
      <c r="R108" s="216" t="e">
        <f t="shared" si="42"/>
        <v>#DIV/0!</v>
      </c>
      <c r="S108" s="216" t="e">
        <f t="shared" si="42"/>
        <v>#DIV/0!</v>
      </c>
      <c r="T108" s="216" t="e">
        <f t="shared" si="42"/>
        <v>#DIV/0!</v>
      </c>
      <c r="U108" s="216" t="e">
        <f t="shared" si="42"/>
        <v>#DIV/0!</v>
      </c>
      <c r="V108" s="216" t="e">
        <f t="shared" si="42"/>
        <v>#DIV/0!</v>
      </c>
      <c r="W108" s="216" t="e">
        <f t="shared" si="42"/>
        <v>#DIV/0!</v>
      </c>
      <c r="X108" s="216" t="e">
        <f t="shared" si="42"/>
        <v>#DIV/0!</v>
      </c>
      <c r="Y108" s="216" t="e">
        <f t="shared" si="42"/>
        <v>#DIV/0!</v>
      </c>
      <c r="Z108" s="216" t="e">
        <f t="shared" si="42"/>
        <v>#DIV/0!</v>
      </c>
      <c r="AA108" s="216" t="e">
        <f t="shared" si="42"/>
        <v>#DIV/0!</v>
      </c>
      <c r="AB108" s="216" t="e">
        <f t="shared" si="42"/>
        <v>#DIV/0!</v>
      </c>
      <c r="AC108" s="216" t="e">
        <f t="shared" si="42"/>
        <v>#DIV/0!</v>
      </c>
      <c r="AD108" s="216" t="e">
        <f t="shared" si="42"/>
        <v>#DIV/0!</v>
      </c>
      <c r="AE108" s="216" t="e">
        <f t="shared" si="42"/>
        <v>#DIV/0!</v>
      </c>
      <c r="AF108" s="216" t="e">
        <f t="shared" si="42"/>
        <v>#DIV/0!</v>
      </c>
      <c r="AG108" s="216" t="e">
        <f t="shared" si="42"/>
        <v>#DIV/0!</v>
      </c>
      <c r="AH108" s="216" t="e">
        <f t="shared" si="42"/>
        <v>#DIV/0!</v>
      </c>
    </row>
    <row r="109" spans="1:34" x14ac:dyDescent="0.25">
      <c r="A109" s="205" t="s">
        <v>115</v>
      </c>
      <c r="B109" s="206" t="s">
        <v>67</v>
      </c>
      <c r="C109" s="216">
        <f>AVERAGE(D108:O108)</f>
        <v>0.85721145332625215</v>
      </c>
      <c r="D109" s="217"/>
      <c r="E109" s="217"/>
      <c r="F109" s="217"/>
      <c r="G109" s="217"/>
      <c r="H109" s="217"/>
      <c r="I109" s="217"/>
      <c r="J109" s="217"/>
      <c r="K109" s="217"/>
      <c r="L109" s="217"/>
      <c r="M109" s="217"/>
      <c r="N109" s="217"/>
      <c r="O109" s="217"/>
      <c r="P109" s="217"/>
      <c r="Q109" s="217"/>
      <c r="R109" s="217"/>
      <c r="S109" s="217"/>
      <c r="T109" s="217"/>
      <c r="U109" s="217"/>
      <c r="V109" s="217"/>
      <c r="W109" s="217"/>
      <c r="X109" s="217"/>
      <c r="Y109" s="217"/>
      <c r="Z109" s="217"/>
      <c r="AA109" s="217"/>
      <c r="AB109" s="217"/>
      <c r="AC109" s="217"/>
      <c r="AD109" s="217"/>
      <c r="AE109" s="217"/>
      <c r="AF109" s="217"/>
      <c r="AG109" s="217"/>
      <c r="AH109" s="217"/>
    </row>
    <row r="110" spans="1:34" x14ac:dyDescent="0.25">
      <c r="A110" s="205" t="s">
        <v>116</v>
      </c>
      <c r="B110" s="206" t="s">
        <v>67</v>
      </c>
      <c r="C110" s="216" t="e">
        <f t="shared" ref="C110:AH110" si="43">(C102+C71*$C15+C70)/(C70+C71*$C15)</f>
        <v>#DIV/0!</v>
      </c>
      <c r="D110" s="216">
        <f t="shared" si="43"/>
        <v>0.42149908130683689</v>
      </c>
      <c r="E110" s="216">
        <f t="shared" si="43"/>
        <v>0.40234003215652597</v>
      </c>
      <c r="F110" s="216">
        <f t="shared" si="43"/>
        <v>0.76912830156256506</v>
      </c>
      <c r="G110" s="216">
        <f t="shared" si="43"/>
        <v>0.83113803701831623</v>
      </c>
      <c r="H110" s="216">
        <f t="shared" si="43"/>
        <v>0.86379352859842029</v>
      </c>
      <c r="I110" s="216">
        <f t="shared" si="43"/>
        <v>0.8878754928242989</v>
      </c>
      <c r="J110" s="216">
        <f t="shared" si="43"/>
        <v>0.93170042144974508</v>
      </c>
      <c r="K110" s="216">
        <f t="shared" si="43"/>
        <v>0.96497543650152173</v>
      </c>
      <c r="L110" s="216">
        <f t="shared" si="43"/>
        <v>1.0003511313098656</v>
      </c>
      <c r="M110" s="216">
        <f t="shared" si="43"/>
        <v>1.0202299314084595</v>
      </c>
      <c r="N110" s="216">
        <f t="shared" si="43"/>
        <v>1.0535589517751927</v>
      </c>
      <c r="O110" s="216">
        <f t="shared" si="43"/>
        <v>1.1399470940032777</v>
      </c>
      <c r="P110" s="216" t="e">
        <f t="shared" si="43"/>
        <v>#DIV/0!</v>
      </c>
      <c r="Q110" s="216" t="e">
        <f t="shared" si="43"/>
        <v>#DIV/0!</v>
      </c>
      <c r="R110" s="216" t="e">
        <f t="shared" si="43"/>
        <v>#DIV/0!</v>
      </c>
      <c r="S110" s="216" t="e">
        <f t="shared" si="43"/>
        <v>#DIV/0!</v>
      </c>
      <c r="T110" s="216" t="e">
        <f t="shared" si="43"/>
        <v>#DIV/0!</v>
      </c>
      <c r="U110" s="216" t="e">
        <f t="shared" si="43"/>
        <v>#DIV/0!</v>
      </c>
      <c r="V110" s="216" t="e">
        <f t="shared" si="43"/>
        <v>#DIV/0!</v>
      </c>
      <c r="W110" s="216" t="e">
        <f t="shared" si="43"/>
        <v>#DIV/0!</v>
      </c>
      <c r="X110" s="216" t="e">
        <f t="shared" si="43"/>
        <v>#DIV/0!</v>
      </c>
      <c r="Y110" s="216" t="e">
        <f t="shared" si="43"/>
        <v>#DIV/0!</v>
      </c>
      <c r="Z110" s="216" t="e">
        <f t="shared" si="43"/>
        <v>#DIV/0!</v>
      </c>
      <c r="AA110" s="216" t="e">
        <f t="shared" si="43"/>
        <v>#DIV/0!</v>
      </c>
      <c r="AB110" s="216" t="e">
        <f t="shared" si="43"/>
        <v>#DIV/0!</v>
      </c>
      <c r="AC110" s="216" t="e">
        <f t="shared" si="43"/>
        <v>#DIV/0!</v>
      </c>
      <c r="AD110" s="216" t="e">
        <f t="shared" si="43"/>
        <v>#DIV/0!</v>
      </c>
      <c r="AE110" s="216" t="e">
        <f t="shared" si="43"/>
        <v>#DIV/0!</v>
      </c>
      <c r="AF110" s="216" t="e">
        <f t="shared" si="43"/>
        <v>#DIV/0!</v>
      </c>
      <c r="AG110" s="216" t="e">
        <f t="shared" si="43"/>
        <v>#DIV/0!</v>
      </c>
      <c r="AH110" s="216" t="e">
        <f t="shared" si="43"/>
        <v>#DIV/0!</v>
      </c>
    </row>
    <row r="111" spans="1:34" x14ac:dyDescent="0.25">
      <c r="A111" s="205" t="s">
        <v>117</v>
      </c>
      <c r="B111" s="206" t="s">
        <v>67</v>
      </c>
      <c r="C111" s="216">
        <f>AVERAGE(D110:O110)</f>
        <v>0.85721145332625215</v>
      </c>
      <c r="D111" s="217"/>
      <c r="E111" s="217"/>
      <c r="F111" s="217"/>
      <c r="G111" s="217"/>
      <c r="H111" s="217"/>
      <c r="I111" s="217"/>
      <c r="J111" s="217"/>
      <c r="K111" s="217"/>
      <c r="L111" s="217"/>
      <c r="M111" s="217"/>
      <c r="N111" s="217"/>
      <c r="O111" s="217"/>
      <c r="P111" s="217"/>
      <c r="Q111" s="217"/>
      <c r="R111" s="217"/>
      <c r="S111" s="217"/>
      <c r="T111" s="217"/>
      <c r="U111" s="217"/>
      <c r="V111" s="217"/>
      <c r="W111" s="217"/>
      <c r="X111" s="217"/>
      <c r="Y111" s="217"/>
      <c r="Z111" s="217"/>
      <c r="AA111" s="217"/>
      <c r="AB111" s="217"/>
      <c r="AC111" s="217"/>
      <c r="AD111" s="217"/>
      <c r="AE111" s="217"/>
      <c r="AF111" s="217"/>
      <c r="AG111" s="217"/>
      <c r="AH111" s="217"/>
    </row>
    <row r="112" spans="1:34" x14ac:dyDescent="0.25">
      <c r="A112" s="205" t="s">
        <v>118</v>
      </c>
      <c r="B112" s="206" t="s">
        <v>67</v>
      </c>
      <c r="C112" s="216" t="e">
        <f t="shared" ref="C112:AH112" si="44">(C102+C71*$C16+C70)/(C70+C71*$C16)</f>
        <v>#DIV/0!</v>
      </c>
      <c r="D112" s="216">
        <f t="shared" si="44"/>
        <v>0.42149908130683689</v>
      </c>
      <c r="E112" s="216">
        <f t="shared" si="44"/>
        <v>0.40234003215652597</v>
      </c>
      <c r="F112" s="216">
        <f t="shared" si="44"/>
        <v>0.76912830156256506</v>
      </c>
      <c r="G112" s="216">
        <f t="shared" si="44"/>
        <v>0.83113803701831623</v>
      </c>
      <c r="H112" s="216">
        <f t="shared" si="44"/>
        <v>0.86379352859842029</v>
      </c>
      <c r="I112" s="216">
        <f t="shared" si="44"/>
        <v>0.8878754928242989</v>
      </c>
      <c r="J112" s="216">
        <f t="shared" si="44"/>
        <v>0.93170042144974508</v>
      </c>
      <c r="K112" s="216">
        <f t="shared" si="44"/>
        <v>0.96497543650152173</v>
      </c>
      <c r="L112" s="216">
        <f t="shared" si="44"/>
        <v>1.0003511313098656</v>
      </c>
      <c r="M112" s="216">
        <f t="shared" si="44"/>
        <v>1.0202299314084595</v>
      </c>
      <c r="N112" s="216">
        <f t="shared" si="44"/>
        <v>1.0535589517751927</v>
      </c>
      <c r="O112" s="216">
        <f t="shared" si="44"/>
        <v>1.1399470940032777</v>
      </c>
      <c r="P112" s="216" t="e">
        <f t="shared" si="44"/>
        <v>#DIV/0!</v>
      </c>
      <c r="Q112" s="216" t="e">
        <f t="shared" si="44"/>
        <v>#DIV/0!</v>
      </c>
      <c r="R112" s="216" t="e">
        <f t="shared" si="44"/>
        <v>#DIV/0!</v>
      </c>
      <c r="S112" s="216" t="e">
        <f t="shared" si="44"/>
        <v>#DIV/0!</v>
      </c>
      <c r="T112" s="216" t="e">
        <f t="shared" si="44"/>
        <v>#DIV/0!</v>
      </c>
      <c r="U112" s="216" t="e">
        <f t="shared" si="44"/>
        <v>#DIV/0!</v>
      </c>
      <c r="V112" s="216" t="e">
        <f t="shared" si="44"/>
        <v>#DIV/0!</v>
      </c>
      <c r="W112" s="216" t="e">
        <f t="shared" si="44"/>
        <v>#DIV/0!</v>
      </c>
      <c r="X112" s="216" t="e">
        <f t="shared" si="44"/>
        <v>#DIV/0!</v>
      </c>
      <c r="Y112" s="216" t="e">
        <f t="shared" si="44"/>
        <v>#DIV/0!</v>
      </c>
      <c r="Z112" s="216" t="e">
        <f t="shared" si="44"/>
        <v>#DIV/0!</v>
      </c>
      <c r="AA112" s="216" t="e">
        <f t="shared" si="44"/>
        <v>#DIV/0!</v>
      </c>
      <c r="AB112" s="216" t="e">
        <f t="shared" si="44"/>
        <v>#DIV/0!</v>
      </c>
      <c r="AC112" s="216" t="e">
        <f t="shared" si="44"/>
        <v>#DIV/0!</v>
      </c>
      <c r="AD112" s="216" t="e">
        <f t="shared" si="44"/>
        <v>#DIV/0!</v>
      </c>
      <c r="AE112" s="216" t="e">
        <f t="shared" si="44"/>
        <v>#DIV/0!</v>
      </c>
      <c r="AF112" s="216" t="e">
        <f t="shared" si="44"/>
        <v>#DIV/0!</v>
      </c>
      <c r="AG112" s="216" t="e">
        <f t="shared" si="44"/>
        <v>#DIV/0!</v>
      </c>
      <c r="AH112" s="216" t="e">
        <f t="shared" si="44"/>
        <v>#DIV/0!</v>
      </c>
    </row>
    <row r="113" spans="1:34" x14ac:dyDescent="0.25">
      <c r="A113" s="205" t="s">
        <v>119</v>
      </c>
      <c r="B113" s="206" t="s">
        <v>67</v>
      </c>
      <c r="C113" s="216">
        <f>AVERAGE(D112:O112)</f>
        <v>0.85721145332625215</v>
      </c>
      <c r="D113" s="217"/>
      <c r="E113" s="217"/>
      <c r="F113" s="217"/>
      <c r="G113" s="217"/>
      <c r="H113" s="217"/>
      <c r="I113" s="217"/>
      <c r="J113" s="217"/>
      <c r="K113" s="217"/>
      <c r="L113" s="217"/>
      <c r="M113" s="217"/>
      <c r="N113" s="217"/>
      <c r="O113" s="217"/>
      <c r="P113" s="217"/>
      <c r="Q113" s="217"/>
      <c r="R113" s="217"/>
      <c r="S113" s="217"/>
      <c r="T113" s="217"/>
      <c r="U113" s="217"/>
      <c r="V113" s="217"/>
      <c r="W113" s="217"/>
      <c r="X113" s="217"/>
      <c r="Y113" s="217"/>
      <c r="Z113" s="217"/>
      <c r="AA113" s="217"/>
      <c r="AB113" s="217"/>
      <c r="AC113" s="217"/>
      <c r="AD113" s="217"/>
      <c r="AE113" s="217"/>
      <c r="AF113" s="217"/>
      <c r="AG113" s="217"/>
      <c r="AH113" s="217"/>
    </row>
    <row r="114" spans="1:34" s="21" customFormat="1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</row>
  </sheetData>
  <mergeCells count="4">
    <mergeCell ref="B20:B21"/>
    <mergeCell ref="D20:I20"/>
    <mergeCell ref="A64:A65"/>
    <mergeCell ref="A66:A67"/>
  </mergeCells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99609-9CFC-4169-BAA3-D7A2ED5892E2}">
  <dimension ref="A1:BV114"/>
  <sheetViews>
    <sheetView topLeftCell="A40" zoomScale="51" zoomScaleNormal="51" workbookViewId="0">
      <selection activeCell="A34" sqref="A34:XFD37"/>
    </sheetView>
  </sheetViews>
  <sheetFormatPr defaultColWidth="9.140625" defaultRowHeight="15" x14ac:dyDescent="0.25"/>
  <cols>
    <col min="1" max="1" width="72.85546875" style="11" customWidth="1"/>
    <col min="2" max="2" width="21.28515625" style="11" customWidth="1"/>
    <col min="3" max="3" width="19.85546875" style="11" customWidth="1"/>
    <col min="4" max="4" width="20.7109375" style="11" customWidth="1"/>
    <col min="5" max="34" width="15.7109375" style="11" customWidth="1"/>
    <col min="35" max="16384" width="9.140625" style="11"/>
  </cols>
  <sheetData>
    <row r="1" spans="1:34" x14ac:dyDescent="0.25">
      <c r="A1" s="46" t="s">
        <v>41</v>
      </c>
      <c r="B1" s="46"/>
      <c r="C1" s="46"/>
      <c r="D1" s="46"/>
      <c r="E1" s="46" t="s">
        <v>2</v>
      </c>
      <c r="F1" s="265" t="s">
        <v>3</v>
      </c>
      <c r="G1" s="265" t="s">
        <v>4</v>
      </c>
      <c r="H1" s="265" t="s">
        <v>5</v>
      </c>
      <c r="I1" s="265" t="s">
        <v>6</v>
      </c>
      <c r="J1" s="48" t="s">
        <v>7</v>
      </c>
      <c r="K1" s="48" t="s">
        <v>16</v>
      </c>
      <c r="L1" s="48" t="s">
        <v>17</v>
      </c>
      <c r="M1" s="48" t="s">
        <v>18</v>
      </c>
      <c r="N1" s="48" t="s">
        <v>19</v>
      </c>
      <c r="O1" s="48" t="s">
        <v>20</v>
      </c>
      <c r="P1" s="48" t="s">
        <v>21</v>
      </c>
      <c r="Q1" s="48" t="s">
        <v>22</v>
      </c>
      <c r="R1" s="48" t="s">
        <v>23</v>
      </c>
      <c r="S1" s="48" t="s">
        <v>24</v>
      </c>
      <c r="T1" s="48" t="s">
        <v>25</v>
      </c>
      <c r="U1" s="48" t="s">
        <v>26</v>
      </c>
      <c r="V1" s="48" t="s">
        <v>27</v>
      </c>
      <c r="W1" s="48" t="s">
        <v>28</v>
      </c>
      <c r="X1" s="48" t="s">
        <v>29</v>
      </c>
      <c r="Y1" s="48" t="s">
        <v>30</v>
      </c>
      <c r="Z1" s="48" t="s">
        <v>31</v>
      </c>
      <c r="AA1" s="48" t="s">
        <v>32</v>
      </c>
      <c r="AB1" s="48" t="s">
        <v>33</v>
      </c>
      <c r="AC1" s="48" t="s">
        <v>34</v>
      </c>
      <c r="AD1" s="48" t="s">
        <v>35</v>
      </c>
      <c r="AE1" s="48" t="s">
        <v>143</v>
      </c>
      <c r="AF1" s="48" t="s">
        <v>144</v>
      </c>
      <c r="AG1" s="48" t="s">
        <v>145</v>
      </c>
      <c r="AH1" s="48" t="s">
        <v>146</v>
      </c>
    </row>
    <row r="2" spans="1:34" ht="49.5" customHeight="1" x14ac:dyDescent="0.25">
      <c r="A2" s="9" t="s">
        <v>38</v>
      </c>
      <c r="C2" s="153" t="s">
        <v>75</v>
      </c>
      <c r="D2" s="14"/>
      <c r="E2" s="4" t="s">
        <v>74</v>
      </c>
    </row>
    <row r="3" spans="1:34" x14ac:dyDescent="0.25">
      <c r="A3" s="11" t="s">
        <v>131</v>
      </c>
      <c r="B3" s="267">
        <v>0.1</v>
      </c>
      <c r="C3" s="268">
        <f>(((49250000/1800)*400))/6</f>
        <v>1824074.0740740739</v>
      </c>
      <c r="D3" s="13"/>
      <c r="E3" s="13">
        <f>C3/(Interventions!E6+Interventions!E7)</f>
        <v>60.606306723042223</v>
      </c>
    </row>
    <row r="5" spans="1:34" x14ac:dyDescent="0.25">
      <c r="A5" s="9" t="s">
        <v>39</v>
      </c>
      <c r="C5" s="55"/>
      <c r="D5" s="55"/>
    </row>
    <row r="6" spans="1:34" x14ac:dyDescent="0.25">
      <c r="A6" s="11" t="s">
        <v>43</v>
      </c>
      <c r="B6" s="219">
        <v>0.04</v>
      </c>
    </row>
    <row r="7" spans="1:34" x14ac:dyDescent="0.25">
      <c r="A7" s="11" t="s">
        <v>40</v>
      </c>
      <c r="B7"/>
      <c r="C7" s="15">
        <v>0</v>
      </c>
      <c r="D7" s="15">
        <v>1</v>
      </c>
      <c r="E7" s="15">
        <v>2</v>
      </c>
      <c r="F7" s="15">
        <v>3</v>
      </c>
      <c r="G7" s="15">
        <v>4</v>
      </c>
      <c r="H7" s="15">
        <v>5</v>
      </c>
      <c r="I7" s="15">
        <v>6</v>
      </c>
      <c r="J7" s="15">
        <v>7</v>
      </c>
      <c r="K7" s="15">
        <v>8</v>
      </c>
      <c r="L7" s="15">
        <v>9</v>
      </c>
      <c r="M7" s="15">
        <v>10</v>
      </c>
      <c r="N7" s="15">
        <v>11</v>
      </c>
      <c r="O7" s="15">
        <v>12</v>
      </c>
      <c r="P7" s="15">
        <v>13</v>
      </c>
      <c r="Q7" s="15">
        <v>14</v>
      </c>
      <c r="R7" s="15">
        <v>15</v>
      </c>
      <c r="S7" s="15">
        <v>16</v>
      </c>
      <c r="T7" s="15">
        <v>17</v>
      </c>
      <c r="U7" s="15">
        <v>18</v>
      </c>
      <c r="V7" s="15">
        <v>19</v>
      </c>
      <c r="W7" s="15">
        <v>20</v>
      </c>
      <c r="X7" s="15">
        <v>21</v>
      </c>
      <c r="Y7" s="15">
        <v>22</v>
      </c>
      <c r="Z7" s="15">
        <v>23</v>
      </c>
      <c r="AA7" s="15">
        <v>24</v>
      </c>
      <c r="AB7" s="15">
        <v>25</v>
      </c>
      <c r="AC7" s="15">
        <v>26</v>
      </c>
      <c r="AD7" s="15">
        <v>27</v>
      </c>
      <c r="AE7" s="15">
        <v>28</v>
      </c>
      <c r="AF7" s="15">
        <v>29</v>
      </c>
      <c r="AG7" s="15">
        <v>30</v>
      </c>
      <c r="AH7" s="15">
        <v>31</v>
      </c>
    </row>
    <row r="8" spans="1:34" x14ac:dyDescent="0.25">
      <c r="A8" s="11" t="s">
        <v>45</v>
      </c>
      <c r="B8"/>
      <c r="C8" s="49">
        <f>1/((1+$B$6)^C7)</f>
        <v>1</v>
      </c>
      <c r="D8" s="49">
        <f>1*((1-$B$6)^D7)</f>
        <v>0.96</v>
      </c>
      <c r="E8" s="49">
        <f t="shared" ref="E8:AH8" si="0">1*((1-$B$6)^E7)</f>
        <v>0.92159999999999997</v>
      </c>
      <c r="F8" s="49">
        <f t="shared" si="0"/>
        <v>0.88473599999999997</v>
      </c>
      <c r="G8" s="49">
        <f t="shared" si="0"/>
        <v>0.84934655999999997</v>
      </c>
      <c r="H8" s="49">
        <f t="shared" si="0"/>
        <v>0.81537269759999997</v>
      </c>
      <c r="I8" s="49">
        <f t="shared" si="0"/>
        <v>0.78275778969599996</v>
      </c>
      <c r="J8" s="49">
        <f t="shared" si="0"/>
        <v>0.75144747810815993</v>
      </c>
      <c r="K8" s="49">
        <f t="shared" si="0"/>
        <v>0.7213895789838336</v>
      </c>
      <c r="L8" s="49">
        <f t="shared" si="0"/>
        <v>0.69253399582448028</v>
      </c>
      <c r="M8" s="49">
        <f t="shared" si="0"/>
        <v>0.664832635991501</v>
      </c>
      <c r="N8" s="49">
        <f t="shared" si="0"/>
        <v>0.63823933055184101</v>
      </c>
      <c r="O8" s="49">
        <f t="shared" si="0"/>
        <v>0.61270975732976729</v>
      </c>
      <c r="P8" s="49">
        <f t="shared" si="0"/>
        <v>0.58820136703657666</v>
      </c>
      <c r="Q8" s="49">
        <f t="shared" si="0"/>
        <v>0.56467331235511353</v>
      </c>
      <c r="R8" s="49">
        <f t="shared" si="0"/>
        <v>0.54208637986090902</v>
      </c>
      <c r="S8" s="49">
        <f t="shared" si="0"/>
        <v>0.52040292466647264</v>
      </c>
      <c r="T8" s="49">
        <f t="shared" si="0"/>
        <v>0.49958680767981373</v>
      </c>
      <c r="U8" s="49">
        <f t="shared" si="0"/>
        <v>0.47960333537262118</v>
      </c>
      <c r="V8" s="49">
        <f t="shared" si="0"/>
        <v>0.46041920195771635</v>
      </c>
      <c r="W8" s="49">
        <f t="shared" si="0"/>
        <v>0.44200243387940769</v>
      </c>
      <c r="X8" s="49">
        <f t="shared" si="0"/>
        <v>0.42432233652423135</v>
      </c>
      <c r="Y8" s="49">
        <f t="shared" si="0"/>
        <v>0.4073494430632621</v>
      </c>
      <c r="Z8" s="49">
        <f t="shared" si="0"/>
        <v>0.3910554653407316</v>
      </c>
      <c r="AA8" s="49">
        <f t="shared" si="0"/>
        <v>0.37541324672710236</v>
      </c>
      <c r="AB8" s="49">
        <f t="shared" si="0"/>
        <v>0.36039671685801827</v>
      </c>
      <c r="AC8" s="49">
        <f t="shared" si="0"/>
        <v>0.34598084818369751</v>
      </c>
      <c r="AD8" s="49">
        <f t="shared" si="0"/>
        <v>0.33214161425634964</v>
      </c>
      <c r="AE8" s="49">
        <f t="shared" si="0"/>
        <v>0.3188559496860956</v>
      </c>
      <c r="AF8" s="49">
        <f t="shared" si="0"/>
        <v>0.30610171169865186</v>
      </c>
      <c r="AG8" s="49">
        <f t="shared" si="0"/>
        <v>0.29385764323070573</v>
      </c>
      <c r="AH8" s="49">
        <f t="shared" si="0"/>
        <v>0.28210333750147754</v>
      </c>
    </row>
    <row r="9" spans="1:34" x14ac:dyDescent="0.25">
      <c r="A9" s="11" t="s">
        <v>44</v>
      </c>
      <c r="B9" s="219">
        <v>0</v>
      </c>
    </row>
    <row r="10" spans="1:34" x14ac:dyDescent="0.25">
      <c r="A10" s="11" t="s">
        <v>46</v>
      </c>
      <c r="C10" s="49">
        <f>1/((1+$B$6)^C9)</f>
        <v>1</v>
      </c>
      <c r="D10" s="49">
        <f>1*((1-$B$9)^D7)</f>
        <v>1</v>
      </c>
      <c r="E10" s="49">
        <f>1*((1-$B$9)^E7)</f>
        <v>1</v>
      </c>
      <c r="F10" s="49">
        <f t="shared" ref="F10:AH10" si="1">1*((1-$B$9)^F7)</f>
        <v>1</v>
      </c>
      <c r="G10" s="49">
        <f t="shared" si="1"/>
        <v>1</v>
      </c>
      <c r="H10" s="49">
        <f t="shared" si="1"/>
        <v>1</v>
      </c>
      <c r="I10" s="49">
        <f t="shared" si="1"/>
        <v>1</v>
      </c>
      <c r="J10" s="49">
        <f t="shared" si="1"/>
        <v>1</v>
      </c>
      <c r="K10" s="49">
        <f t="shared" si="1"/>
        <v>1</v>
      </c>
      <c r="L10" s="49">
        <f t="shared" si="1"/>
        <v>1</v>
      </c>
      <c r="M10" s="49">
        <f t="shared" si="1"/>
        <v>1</v>
      </c>
      <c r="N10" s="49">
        <f t="shared" si="1"/>
        <v>1</v>
      </c>
      <c r="O10" s="49">
        <f t="shared" si="1"/>
        <v>1</v>
      </c>
      <c r="P10" s="49">
        <f t="shared" si="1"/>
        <v>1</v>
      </c>
      <c r="Q10" s="49">
        <f t="shared" si="1"/>
        <v>1</v>
      </c>
      <c r="R10" s="49">
        <f t="shared" si="1"/>
        <v>1</v>
      </c>
      <c r="S10" s="49">
        <f t="shared" si="1"/>
        <v>1</v>
      </c>
      <c r="T10" s="49">
        <f t="shared" si="1"/>
        <v>1</v>
      </c>
      <c r="U10" s="49">
        <f t="shared" si="1"/>
        <v>1</v>
      </c>
      <c r="V10" s="49">
        <f t="shared" si="1"/>
        <v>1</v>
      </c>
      <c r="W10" s="49">
        <f t="shared" si="1"/>
        <v>1</v>
      </c>
      <c r="X10" s="49">
        <f t="shared" si="1"/>
        <v>1</v>
      </c>
      <c r="Y10" s="49">
        <f t="shared" si="1"/>
        <v>1</v>
      </c>
      <c r="Z10" s="49">
        <f t="shared" si="1"/>
        <v>1</v>
      </c>
      <c r="AA10" s="49">
        <f t="shared" si="1"/>
        <v>1</v>
      </c>
      <c r="AB10" s="49">
        <f t="shared" si="1"/>
        <v>1</v>
      </c>
      <c r="AC10" s="49">
        <f t="shared" si="1"/>
        <v>1</v>
      </c>
      <c r="AD10" s="49">
        <f t="shared" si="1"/>
        <v>1</v>
      </c>
      <c r="AE10" s="49">
        <f t="shared" si="1"/>
        <v>1</v>
      </c>
      <c r="AF10" s="49">
        <f t="shared" si="1"/>
        <v>1</v>
      </c>
      <c r="AG10" s="49">
        <f t="shared" si="1"/>
        <v>1</v>
      </c>
      <c r="AH10" s="49">
        <f t="shared" si="1"/>
        <v>1</v>
      </c>
    </row>
    <row r="11" spans="1:34" x14ac:dyDescent="0.25"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</row>
    <row r="12" spans="1:34" x14ac:dyDescent="0.25">
      <c r="A12" s="149" t="s">
        <v>52</v>
      </c>
      <c r="B12" s="148">
        <v>5</v>
      </c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</row>
    <row r="13" spans="1:34" x14ac:dyDescent="0.25">
      <c r="A13" s="149" t="s">
        <v>53</v>
      </c>
      <c r="B13" s="148">
        <v>3</v>
      </c>
      <c r="D13" s="124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</row>
    <row r="14" spans="1:34" x14ac:dyDescent="0.25">
      <c r="A14" s="149" t="s">
        <v>110</v>
      </c>
      <c r="B14" s="218">
        <v>0.04</v>
      </c>
      <c r="D14" s="124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</row>
    <row r="15" spans="1:34" x14ac:dyDescent="0.25">
      <c r="A15" s="149" t="s">
        <v>111</v>
      </c>
      <c r="B15" s="218">
        <v>0.04</v>
      </c>
      <c r="C15" s="215">
        <f>B15/B14</f>
        <v>1</v>
      </c>
      <c r="D15" s="124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</row>
    <row r="16" spans="1:34" x14ac:dyDescent="0.25">
      <c r="A16" s="149" t="s">
        <v>112</v>
      </c>
      <c r="B16" s="218">
        <v>0.04</v>
      </c>
      <c r="C16" s="215">
        <f>B16/B14</f>
        <v>1</v>
      </c>
      <c r="D16" s="124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</row>
    <row r="17" spans="1:34" x14ac:dyDescent="0.25">
      <c r="A17" s="147" t="s">
        <v>106</v>
      </c>
      <c r="B17" s="264">
        <v>0.03</v>
      </c>
      <c r="D17" s="100"/>
      <c r="E17" s="100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</row>
    <row r="18" spans="1:34" x14ac:dyDescent="0.25">
      <c r="D18" s="125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</row>
    <row r="19" spans="1:34" ht="15.75" thickBot="1" x14ac:dyDescent="0.3"/>
    <row r="20" spans="1:34" x14ac:dyDescent="0.25">
      <c r="B20" s="300" t="s">
        <v>13</v>
      </c>
      <c r="C20" s="110"/>
      <c r="D20" s="301" t="s">
        <v>1</v>
      </c>
      <c r="E20" s="302"/>
      <c r="F20" s="302"/>
      <c r="G20" s="302"/>
      <c r="H20" s="302"/>
      <c r="I20" s="303"/>
      <c r="J20" s="50"/>
    </row>
    <row r="21" spans="1:34" x14ac:dyDescent="0.25">
      <c r="B21" s="300"/>
      <c r="C21" s="111"/>
      <c r="D21" s="46">
        <v>1</v>
      </c>
      <c r="E21" s="265">
        <v>2</v>
      </c>
      <c r="F21" s="46">
        <v>3</v>
      </c>
      <c r="G21" s="265">
        <v>4</v>
      </c>
      <c r="H21" s="46">
        <v>5</v>
      </c>
      <c r="I21" s="265">
        <v>6</v>
      </c>
      <c r="J21" s="46">
        <v>7</v>
      </c>
      <c r="K21" s="265">
        <v>8</v>
      </c>
      <c r="L21" s="46">
        <v>9</v>
      </c>
      <c r="M21" s="265">
        <v>10</v>
      </c>
      <c r="N21" s="46">
        <v>11</v>
      </c>
      <c r="O21" s="265">
        <v>12</v>
      </c>
      <c r="P21" s="46">
        <v>13</v>
      </c>
      <c r="Q21" s="265">
        <v>14</v>
      </c>
      <c r="R21" s="46">
        <v>15</v>
      </c>
      <c r="S21" s="265">
        <v>16</v>
      </c>
      <c r="T21" s="46">
        <v>17</v>
      </c>
      <c r="U21" s="265">
        <v>18</v>
      </c>
      <c r="V21" s="46">
        <v>19</v>
      </c>
      <c r="W21" s="265">
        <v>20</v>
      </c>
      <c r="X21" s="46">
        <v>21</v>
      </c>
      <c r="Y21" s="265">
        <v>22</v>
      </c>
      <c r="Z21" s="46">
        <v>23</v>
      </c>
      <c r="AA21" s="265">
        <v>24</v>
      </c>
      <c r="AB21" s="46">
        <v>25</v>
      </c>
      <c r="AC21" s="46">
        <v>26</v>
      </c>
      <c r="AD21" s="46">
        <v>27</v>
      </c>
      <c r="AE21" s="46">
        <v>28</v>
      </c>
      <c r="AF21" s="46">
        <v>29</v>
      </c>
      <c r="AG21" s="46">
        <v>30</v>
      </c>
      <c r="AH21" s="46">
        <v>31</v>
      </c>
    </row>
    <row r="22" spans="1:34" x14ac:dyDescent="0.25">
      <c r="B22" s="150"/>
      <c r="C22" s="99">
        <v>44197</v>
      </c>
      <c r="D22" s="99">
        <v>44562</v>
      </c>
      <c r="E22" s="99">
        <v>44927</v>
      </c>
      <c r="F22" s="99">
        <v>45292</v>
      </c>
      <c r="G22" s="99">
        <v>45658</v>
      </c>
      <c r="H22" s="99">
        <v>46023</v>
      </c>
      <c r="I22" s="99">
        <v>46388</v>
      </c>
      <c r="J22" s="99">
        <v>46753</v>
      </c>
      <c r="K22" s="99">
        <v>47119</v>
      </c>
      <c r="L22" s="99">
        <v>47484</v>
      </c>
      <c r="M22" s="99">
        <v>47849</v>
      </c>
      <c r="N22" s="99">
        <v>48214</v>
      </c>
      <c r="O22" s="99">
        <v>48580</v>
      </c>
      <c r="P22" s="99">
        <v>48945</v>
      </c>
      <c r="Q22" s="99">
        <v>49310</v>
      </c>
      <c r="R22" s="99">
        <v>49675</v>
      </c>
      <c r="S22" s="99">
        <v>50041</v>
      </c>
      <c r="T22" s="99">
        <v>50406</v>
      </c>
      <c r="U22" s="99">
        <v>50771</v>
      </c>
      <c r="V22" s="99">
        <v>51136</v>
      </c>
      <c r="W22" s="99">
        <v>51502</v>
      </c>
      <c r="X22" s="99">
        <v>51867</v>
      </c>
      <c r="Y22" s="99">
        <v>52232</v>
      </c>
      <c r="Z22" s="99">
        <v>52597</v>
      </c>
      <c r="AA22" s="99">
        <v>52963</v>
      </c>
      <c r="AB22" s="99">
        <v>53328</v>
      </c>
      <c r="AC22" s="99">
        <v>53693</v>
      </c>
      <c r="AD22" s="99">
        <v>54058</v>
      </c>
      <c r="AE22" s="99">
        <v>54424</v>
      </c>
      <c r="AF22" s="99">
        <v>54789</v>
      </c>
      <c r="AG22" s="99">
        <v>55154</v>
      </c>
      <c r="AH22" s="99">
        <v>55519</v>
      </c>
    </row>
    <row r="23" spans="1:34" x14ac:dyDescent="0.25">
      <c r="A23" s="140" t="s">
        <v>98</v>
      </c>
      <c r="B23" s="136" t="s">
        <v>12</v>
      </c>
      <c r="C23" s="136">
        <v>1824074.0740740739</v>
      </c>
      <c r="D23" s="136">
        <v>1824074.0740740739</v>
      </c>
      <c r="E23" s="136">
        <v>1824074.0740740739</v>
      </c>
      <c r="F23" s="136">
        <v>1824074.0740740739</v>
      </c>
      <c r="G23" s="136">
        <v>1824074.0740740739</v>
      </c>
      <c r="H23" s="136">
        <v>1824074.0740740739</v>
      </c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</row>
    <row r="24" spans="1:34" x14ac:dyDescent="0.25">
      <c r="A24" s="137" t="s">
        <v>10</v>
      </c>
      <c r="B24" s="138" t="s">
        <v>12</v>
      </c>
      <c r="C24" s="139">
        <f>SUM(C25:C26)</f>
        <v>1824074.0740740739</v>
      </c>
      <c r="D24" s="139">
        <f>SUM(D25:D26)</f>
        <v>1824074.0740740739</v>
      </c>
      <c r="E24" s="139">
        <f t="shared" ref="E24:H24" si="2">SUM(E25:E26)</f>
        <v>1824074.0740740739</v>
      </c>
      <c r="F24" s="139">
        <f t="shared" si="2"/>
        <v>1824074.0740740739</v>
      </c>
      <c r="G24" s="139">
        <f t="shared" si="2"/>
        <v>1824074.0740740742</v>
      </c>
      <c r="H24" s="139">
        <f t="shared" si="2"/>
        <v>1824074.0740740742</v>
      </c>
      <c r="I24" s="139">
        <f>I26</f>
        <v>794431.81277227646</v>
      </c>
      <c r="J24" s="139">
        <f t="shared" ref="J24:AH24" si="3">J26</f>
        <v>794431.81277227646</v>
      </c>
      <c r="K24" s="139">
        <f t="shared" si="3"/>
        <v>794431.81277227646</v>
      </c>
      <c r="L24" s="139">
        <f t="shared" si="3"/>
        <v>794431.81277227646</v>
      </c>
      <c r="M24" s="139">
        <f t="shared" si="3"/>
        <v>794431.81277227646</v>
      </c>
      <c r="N24" s="139">
        <f t="shared" si="3"/>
        <v>794431.81277227646</v>
      </c>
      <c r="O24" s="139">
        <f t="shared" si="3"/>
        <v>794431.81277227646</v>
      </c>
      <c r="P24" s="139">
        <f t="shared" si="3"/>
        <v>794431.81277227646</v>
      </c>
      <c r="Q24" s="139">
        <f t="shared" si="3"/>
        <v>794431.81277227646</v>
      </c>
      <c r="R24" s="139">
        <f t="shared" si="3"/>
        <v>794431.81277227646</v>
      </c>
      <c r="S24" s="139">
        <f t="shared" si="3"/>
        <v>794431.81277227646</v>
      </c>
      <c r="T24" s="139">
        <f t="shared" si="3"/>
        <v>794431.81277227646</v>
      </c>
      <c r="U24" s="139">
        <f t="shared" si="3"/>
        <v>794431.81277227646</v>
      </c>
      <c r="V24" s="139">
        <f t="shared" si="3"/>
        <v>794431.81277227646</v>
      </c>
      <c r="W24" s="139">
        <f t="shared" si="3"/>
        <v>794431.81277227646</v>
      </c>
      <c r="X24" s="139">
        <f t="shared" si="3"/>
        <v>794431.81277227646</v>
      </c>
      <c r="Y24" s="139">
        <f t="shared" si="3"/>
        <v>794431.81277227646</v>
      </c>
      <c r="Z24" s="139">
        <f t="shared" si="3"/>
        <v>794431.81277227646</v>
      </c>
      <c r="AA24" s="139">
        <f t="shared" si="3"/>
        <v>794431.81277227646</v>
      </c>
      <c r="AB24" s="139">
        <f t="shared" si="3"/>
        <v>794431.81277227646</v>
      </c>
      <c r="AC24" s="139">
        <f t="shared" si="3"/>
        <v>794431.81277227646</v>
      </c>
      <c r="AD24" s="139">
        <f t="shared" si="3"/>
        <v>628606.8969473606</v>
      </c>
      <c r="AE24" s="139">
        <f t="shared" si="3"/>
        <v>477856.9734701644</v>
      </c>
      <c r="AF24" s="139">
        <f t="shared" si="3"/>
        <v>340811.58849089511</v>
      </c>
      <c r="AG24" s="139">
        <f t="shared" si="3"/>
        <v>216224.87487337762</v>
      </c>
      <c r="AH24" s="139">
        <f t="shared" si="3"/>
        <v>102964.22613017984</v>
      </c>
    </row>
    <row r="25" spans="1:34" ht="14.45" customHeight="1" x14ac:dyDescent="0.25">
      <c r="A25" s="22" t="s">
        <v>136</v>
      </c>
      <c r="B25" s="23" t="s">
        <v>12</v>
      </c>
      <c r="C25" s="24">
        <f>C23</f>
        <v>1824074.0740740739</v>
      </c>
      <c r="D25" s="24">
        <f>D23-D26</f>
        <v>1658249.1582491582</v>
      </c>
      <c r="E25" s="24">
        <f t="shared" ref="E25:H25" si="4">E23-E26</f>
        <v>1507499.2347719618</v>
      </c>
      <c r="F25" s="24">
        <f t="shared" si="4"/>
        <v>1370453.8497926926</v>
      </c>
      <c r="G25" s="24">
        <f t="shared" si="4"/>
        <v>1245867.1361751752</v>
      </c>
      <c r="H25" s="24">
        <f t="shared" si="4"/>
        <v>1132606.4874319774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4">
        <v>0</v>
      </c>
      <c r="AG25" s="24">
        <v>0</v>
      </c>
      <c r="AH25" s="24">
        <v>0</v>
      </c>
    </row>
    <row r="26" spans="1:34" x14ac:dyDescent="0.25">
      <c r="A26" s="25" t="s">
        <v>15</v>
      </c>
      <c r="B26" s="26" t="s">
        <v>12</v>
      </c>
      <c r="C26" s="112"/>
      <c r="D26" s="27">
        <f>C28*(Interventions!$H$7)</f>
        <v>165824.91582491584</v>
      </c>
      <c r="E26" s="27">
        <f>D28*(Interventions!$H$7)</f>
        <v>316574.83930211206</v>
      </c>
      <c r="F26" s="27">
        <f>E28*(Interventions!$H$7)</f>
        <v>453620.22428138135</v>
      </c>
      <c r="G26" s="27">
        <f>F28*(Interventions!$H$7)</f>
        <v>578206.93789889885</v>
      </c>
      <c r="H26" s="27">
        <f>G28*(Interventions!$H$7)</f>
        <v>691467.58664209663</v>
      </c>
      <c r="I26" s="27">
        <f>H28*(Interventions!$H$7)</f>
        <v>794431.81277227646</v>
      </c>
      <c r="J26" s="27">
        <f>I28*(Interventions!$H$7)</f>
        <v>794431.81277227646</v>
      </c>
      <c r="K26" s="27">
        <f>J28*(Interventions!$H$7)</f>
        <v>794431.81277227646</v>
      </c>
      <c r="L26" s="27">
        <f>K28*(Interventions!$H$7)</f>
        <v>794431.81277227646</v>
      </c>
      <c r="M26" s="27">
        <f>L28*(Interventions!$H$7)</f>
        <v>794431.81277227646</v>
      </c>
      <c r="N26" s="27">
        <f>M28*(Interventions!$H$7)</f>
        <v>794431.81277227646</v>
      </c>
      <c r="O26" s="27">
        <f>N28*(Interventions!$H$7)</f>
        <v>794431.81277227646</v>
      </c>
      <c r="P26" s="27">
        <f>O28*(Interventions!$H$7)</f>
        <v>794431.81277227646</v>
      </c>
      <c r="Q26" s="27">
        <f>P28*(Interventions!$H$7)</f>
        <v>794431.81277227646</v>
      </c>
      <c r="R26" s="27">
        <f>Q28*(Interventions!$H$7)</f>
        <v>794431.81277227646</v>
      </c>
      <c r="S26" s="27">
        <f>R28*(Interventions!$H$7)</f>
        <v>794431.81277227646</v>
      </c>
      <c r="T26" s="27">
        <f>S28*(Interventions!$H$7)</f>
        <v>794431.81277227646</v>
      </c>
      <c r="U26" s="27">
        <f>T28*(Interventions!$H$7)</f>
        <v>794431.81277227646</v>
      </c>
      <c r="V26" s="27">
        <f>U28*(Interventions!$H$7)</f>
        <v>794431.81277227646</v>
      </c>
      <c r="W26" s="27">
        <f>V28*(Interventions!$H$7)</f>
        <v>794431.81277227646</v>
      </c>
      <c r="X26" s="27">
        <f>W28*(Interventions!$H$7)</f>
        <v>794431.81277227646</v>
      </c>
      <c r="Y26" s="27">
        <f>X28*(Interventions!$H$7)</f>
        <v>794431.81277227646</v>
      </c>
      <c r="Z26" s="27">
        <f>Y28*(Interventions!$H$7)</f>
        <v>794431.81277227646</v>
      </c>
      <c r="AA26" s="27">
        <f>Z28*(Interventions!$H$7)</f>
        <v>794431.81277227646</v>
      </c>
      <c r="AB26" s="27">
        <f>AA28*(Interventions!$H$7)</f>
        <v>794431.81277227646</v>
      </c>
      <c r="AC26" s="27">
        <f>AB28*(Interventions!$H$7)</f>
        <v>794431.81277227646</v>
      </c>
      <c r="AD26" s="27">
        <f>AC28*(Interventions!$H$7)</f>
        <v>628606.8969473606</v>
      </c>
      <c r="AE26" s="27">
        <f>AD28*(Interventions!$H$7)</f>
        <v>477856.9734701644</v>
      </c>
      <c r="AF26" s="27">
        <f>AE28*(Interventions!$H$7)</f>
        <v>340811.58849089511</v>
      </c>
      <c r="AG26" s="27">
        <f>AF28*(Interventions!$H$7)</f>
        <v>216224.87487337762</v>
      </c>
      <c r="AH26" s="27">
        <f>AG28*(Interventions!$H$7)</f>
        <v>102964.22613017984</v>
      </c>
    </row>
    <row r="27" spans="1:34" x14ac:dyDescent="0.25">
      <c r="A27" s="41" t="s">
        <v>147</v>
      </c>
      <c r="B27" s="10" t="s">
        <v>135</v>
      </c>
      <c r="C27" s="45">
        <f>E3</f>
        <v>60.606306723042223</v>
      </c>
      <c r="D27" s="45">
        <f>D25/(Interventions!$H$6+Interventions!$H$7)</f>
        <v>55.096642475492928</v>
      </c>
      <c r="E27" s="45">
        <f>E25/(Interventions!$H$6+Interventions!$H$7)</f>
        <v>50.08785679590266</v>
      </c>
      <c r="F27" s="45">
        <f>F25/(Interventions!$H$6+Interventions!$H$7)</f>
        <v>45.534415269002416</v>
      </c>
      <c r="G27" s="45">
        <f>G25/(Interventions!$H$6+Interventions!$H$7)</f>
        <v>41.394922971820385</v>
      </c>
      <c r="H27" s="45">
        <f>H25/(Interventions!$H$6+Interventions!$H$7)</f>
        <v>37.631748156200345</v>
      </c>
      <c r="I27" s="45">
        <f>I25/(Interventions!$H$6+Interventions!$H$7)</f>
        <v>0</v>
      </c>
      <c r="J27" s="45">
        <f>J25/(Interventions!$H$6+Interventions!$H$7)</f>
        <v>0</v>
      </c>
      <c r="K27" s="45">
        <f>K25/(Interventions!$H$6+Interventions!$H$7)</f>
        <v>0</v>
      </c>
      <c r="L27" s="45">
        <f>L25/(Interventions!$H$6+Interventions!$H$7)</f>
        <v>0</v>
      </c>
      <c r="M27" s="45">
        <f>M25/(Interventions!$H$6+Interventions!$H$7)</f>
        <v>0</v>
      </c>
      <c r="N27" s="45">
        <f>N25/(Interventions!$H$6+Interventions!$H$7)</f>
        <v>0</v>
      </c>
      <c r="O27" s="45">
        <f>O25/(Interventions!$H$6+Interventions!$H$7)</f>
        <v>0</v>
      </c>
      <c r="P27" s="45">
        <f>P25/(Interventions!$H$6+Interventions!$H$7)</f>
        <v>0</v>
      </c>
      <c r="Q27" s="45">
        <f>Q25/(Interventions!$H$6+Interventions!$H$7)</f>
        <v>0</v>
      </c>
      <c r="R27" s="45">
        <f>R25/(Interventions!$H$6+Interventions!$H$7)</f>
        <v>0</v>
      </c>
      <c r="S27" s="45">
        <f>S25/(Interventions!$H$6+Interventions!$H$7)</f>
        <v>0</v>
      </c>
      <c r="T27" s="45">
        <f>T25/(Interventions!$H$6+Interventions!$H$7)</f>
        <v>0</v>
      </c>
      <c r="U27" s="45">
        <f>U25/(Interventions!$H$6+Interventions!$H$7)</f>
        <v>0</v>
      </c>
      <c r="V27" s="45">
        <f>V25/(Interventions!$H$6+Interventions!$H$7)</f>
        <v>0</v>
      </c>
      <c r="W27" s="45">
        <f>W25/(Interventions!$H$6+Interventions!$H$7)</f>
        <v>0</v>
      </c>
      <c r="X27" s="45">
        <f>X25/(Interventions!$H$6+Interventions!$H$7)</f>
        <v>0</v>
      </c>
      <c r="Y27" s="45">
        <f>Y25/(Interventions!$H$6+Interventions!$H$7)</f>
        <v>0</v>
      </c>
      <c r="Z27" s="45">
        <f>Z25/(Interventions!$H$6+Interventions!$H$7)</f>
        <v>0</v>
      </c>
      <c r="AA27" s="45">
        <f>AA25/(Interventions!$H$6+Interventions!$H$7)</f>
        <v>0</v>
      </c>
      <c r="AB27" s="45">
        <f>AB25/(Interventions!$H$6+Interventions!$H$7)</f>
        <v>0</v>
      </c>
      <c r="AC27" s="45">
        <f>AC25/(Interventions!$H$6+Interventions!$H$7)</f>
        <v>0</v>
      </c>
      <c r="AD27" s="45">
        <f>AD25/(Interventions!$H$6+Interventions!$H$7)</f>
        <v>0</v>
      </c>
      <c r="AE27" s="45">
        <f>AE25/(Interventions!$H$6+Interventions!$H$7)</f>
        <v>0</v>
      </c>
      <c r="AF27" s="45">
        <f>AF25/(Interventions!$H$6+Interventions!$H$7)</f>
        <v>0</v>
      </c>
      <c r="AG27" s="45">
        <f>AG25/(Interventions!$H$6+Interventions!$H$7)</f>
        <v>0</v>
      </c>
      <c r="AH27" s="45">
        <f>AH25/(Interventions!$H$6+Interventions!$H$7)</f>
        <v>0</v>
      </c>
    </row>
    <row r="28" spans="1:34" x14ac:dyDescent="0.25">
      <c r="A28" s="43" t="s">
        <v>148</v>
      </c>
      <c r="B28" s="10" t="s">
        <v>135</v>
      </c>
      <c r="C28" s="42">
        <f>C27</f>
        <v>60.606306723042223</v>
      </c>
      <c r="D28" s="42">
        <f>C28+D27</f>
        <v>115.70294919853515</v>
      </c>
      <c r="E28" s="42">
        <f t="shared" ref="E28:AB28" si="5">D28+E27</f>
        <v>165.79080599443782</v>
      </c>
      <c r="F28" s="42">
        <f t="shared" si="5"/>
        <v>211.32522126344023</v>
      </c>
      <c r="G28" s="42">
        <f t="shared" si="5"/>
        <v>252.72014423526062</v>
      </c>
      <c r="H28" s="42">
        <f t="shared" si="5"/>
        <v>290.35189239146098</v>
      </c>
      <c r="I28" s="42">
        <f t="shared" si="5"/>
        <v>290.35189239146098</v>
      </c>
      <c r="J28" s="42">
        <f t="shared" si="5"/>
        <v>290.35189239146098</v>
      </c>
      <c r="K28" s="42">
        <f t="shared" si="5"/>
        <v>290.35189239146098</v>
      </c>
      <c r="L28" s="42">
        <f t="shared" si="5"/>
        <v>290.35189239146098</v>
      </c>
      <c r="M28" s="42">
        <f t="shared" si="5"/>
        <v>290.35189239146098</v>
      </c>
      <c r="N28" s="42">
        <f t="shared" si="5"/>
        <v>290.35189239146098</v>
      </c>
      <c r="O28" s="42">
        <f t="shared" si="5"/>
        <v>290.35189239146098</v>
      </c>
      <c r="P28" s="42">
        <f t="shared" si="5"/>
        <v>290.35189239146098</v>
      </c>
      <c r="Q28" s="42">
        <f t="shared" si="5"/>
        <v>290.35189239146098</v>
      </c>
      <c r="R28" s="42">
        <f t="shared" si="5"/>
        <v>290.35189239146098</v>
      </c>
      <c r="S28" s="42">
        <f t="shared" si="5"/>
        <v>290.35189239146098</v>
      </c>
      <c r="T28" s="42">
        <f t="shared" si="5"/>
        <v>290.35189239146098</v>
      </c>
      <c r="U28" s="42">
        <f t="shared" si="5"/>
        <v>290.35189239146098</v>
      </c>
      <c r="V28" s="42">
        <f t="shared" si="5"/>
        <v>290.35189239146098</v>
      </c>
      <c r="W28" s="42">
        <f t="shared" si="5"/>
        <v>290.35189239146098</v>
      </c>
      <c r="X28" s="42">
        <f t="shared" si="5"/>
        <v>290.35189239146098</v>
      </c>
      <c r="Y28" s="42">
        <f t="shared" si="5"/>
        <v>290.35189239146098</v>
      </c>
      <c r="Z28" s="42">
        <f t="shared" si="5"/>
        <v>290.35189239146098</v>
      </c>
      <c r="AA28" s="42">
        <f t="shared" si="5"/>
        <v>290.35189239146098</v>
      </c>
      <c r="AB28" s="42">
        <f t="shared" si="5"/>
        <v>290.35189239146098</v>
      </c>
      <c r="AC28" s="42">
        <f>AB28-C27</f>
        <v>229.74558566841876</v>
      </c>
      <c r="AD28" s="42">
        <f t="shared" ref="AD28:AH28" si="6">AC28-D27</f>
        <v>174.64894319292583</v>
      </c>
      <c r="AE28" s="42">
        <f t="shared" si="6"/>
        <v>124.56108639702316</v>
      </c>
      <c r="AF28" s="42">
        <f t="shared" si="6"/>
        <v>79.026671128020752</v>
      </c>
      <c r="AG28" s="42">
        <f t="shared" si="6"/>
        <v>37.631748156200366</v>
      </c>
      <c r="AH28" s="42">
        <f t="shared" si="6"/>
        <v>0</v>
      </c>
    </row>
    <row r="29" spans="1:34" x14ac:dyDescent="0.25">
      <c r="A29" s="43"/>
      <c r="B29" s="10"/>
      <c r="C29" s="10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31"/>
      <c r="R29" s="31"/>
      <c r="S29" s="31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</row>
    <row r="30" spans="1:34" x14ac:dyDescent="0.25">
      <c r="A30" s="115" t="s">
        <v>152</v>
      </c>
      <c r="B30" s="122" t="s">
        <v>37</v>
      </c>
      <c r="C30" s="116">
        <f>C31+C32</f>
        <v>0</v>
      </c>
      <c r="D30" s="116">
        <f>D31+D32</f>
        <v>231248.84211189536</v>
      </c>
      <c r="E30" s="116">
        <f t="shared" ref="E30:AH30" si="7">E31+E32</f>
        <v>443139.99988387752</v>
      </c>
      <c r="F30" s="116">
        <f t="shared" si="7"/>
        <v>637420.82982528408</v>
      </c>
      <c r="G30" s="116">
        <f t="shared" si="7"/>
        <v>815683.21269414632</v>
      </c>
      <c r="H30" s="116">
        <f t="shared" si="7"/>
        <v>979377.5207320794</v>
      </c>
      <c r="I30" s="116">
        <f t="shared" si="7"/>
        <v>1129825.3281112106</v>
      </c>
      <c r="J30" s="116">
        <f t="shared" si="7"/>
        <v>1134552.4580302825</v>
      </c>
      <c r="K30" s="116">
        <f t="shared" si="7"/>
        <v>1139397.766197331</v>
      </c>
      <c r="L30" s="116">
        <f t="shared" si="7"/>
        <v>1144364.207068556</v>
      </c>
      <c r="M30" s="116">
        <f t="shared" si="7"/>
        <v>1149454.8089615616</v>
      </c>
      <c r="N30" s="116">
        <f t="shared" si="7"/>
        <v>1154672.6759018921</v>
      </c>
      <c r="O30" s="116">
        <f t="shared" si="7"/>
        <v>1160020.9895157311</v>
      </c>
      <c r="P30" s="116">
        <f t="shared" si="7"/>
        <v>1165503.0109699161</v>
      </c>
      <c r="Q30" s="116">
        <f t="shared" si="7"/>
        <v>1171122.0829604557</v>
      </c>
      <c r="R30" s="116">
        <f t="shared" si="7"/>
        <v>1176881.6317507587</v>
      </c>
      <c r="S30" s="116">
        <f t="shared" si="7"/>
        <v>1182785.1692608192</v>
      </c>
      <c r="T30" s="116">
        <f t="shared" si="7"/>
        <v>1188836.2952086315</v>
      </c>
      <c r="U30" s="116">
        <f t="shared" si="7"/>
        <v>1195038.6993051388</v>
      </c>
      <c r="V30" s="116">
        <f t="shared" si="7"/>
        <v>1201396.163504059</v>
      </c>
      <c r="W30" s="116">
        <f t="shared" si="7"/>
        <v>1207912.5643079521</v>
      </c>
      <c r="X30" s="116">
        <f t="shared" si="7"/>
        <v>1214591.8751319426</v>
      </c>
      <c r="Y30" s="116">
        <f t="shared" si="7"/>
        <v>1221438.1687265327</v>
      </c>
      <c r="Z30" s="116">
        <f t="shared" si="7"/>
        <v>1228455.6196609878</v>
      </c>
      <c r="AA30" s="116">
        <f t="shared" si="7"/>
        <v>1235648.5068688041</v>
      </c>
      <c r="AB30" s="116">
        <f t="shared" si="7"/>
        <v>1243021.2162568157</v>
      </c>
      <c r="AC30" s="116">
        <f t="shared" si="7"/>
        <v>940740.13134833355</v>
      </c>
      <c r="AD30" s="116">
        <f t="shared" si="7"/>
        <v>744375.69756567676</v>
      </c>
      <c r="AE30" s="116">
        <f t="shared" si="7"/>
        <v>565862.57594507968</v>
      </c>
      <c r="AF30" s="116">
        <f t="shared" si="7"/>
        <v>403577.91992635507</v>
      </c>
      <c r="AG30" s="116">
        <f t="shared" si="7"/>
        <v>256046.41445478724</v>
      </c>
      <c r="AH30" s="116">
        <f t="shared" si="7"/>
        <v>121926.86402608918</v>
      </c>
    </row>
    <row r="31" spans="1:34" x14ac:dyDescent="0.25">
      <c r="A31" s="41" t="s">
        <v>172</v>
      </c>
      <c r="B31" s="28" t="s">
        <v>37</v>
      </c>
      <c r="C31" s="28"/>
      <c r="D31" s="42">
        <f>C28*'Carbon avoided'!E12</f>
        <v>34884.408329238562</v>
      </c>
      <c r="E31" s="42">
        <f>D28*'Carbon avoided'!F12</f>
        <v>68262.444480623642</v>
      </c>
      <c r="F31" s="42">
        <f>E28*'Carbon avoided'!G12</f>
        <v>100258.61840330556</v>
      </c>
      <c r="G31" s="42">
        <f>F28*'Carbon avoided'!H12</f>
        <v>130989.49580060001</v>
      </c>
      <c r="H31" s="42">
        <f>G28*'Carbon avoided'!I12</f>
        <v>160564.2534098351</v>
      </c>
      <c r="I31" s="42">
        <f>H28*'Carbon avoided'!J12</f>
        <v>189085.19676287696</v>
      </c>
      <c r="J31" s="42">
        <f>I28*'Carbon avoided'!K12</f>
        <v>193812.32668194888</v>
      </c>
      <c r="K31" s="42">
        <f>J28*'Carbon avoided'!L12</f>
        <v>198657.63484899755</v>
      </c>
      <c r="L31" s="42">
        <f>K28*'Carbon avoided'!M12</f>
        <v>203624.07572022249</v>
      </c>
      <c r="M31" s="42">
        <f>L28*'Carbon avoided'!N12</f>
        <v>208714.67761322804</v>
      </c>
      <c r="N31" s="42">
        <f>M28*'Carbon avoided'!O12</f>
        <v>213932.54455355869</v>
      </c>
      <c r="O31" s="42">
        <f>N28*'Carbon avoided'!P12</f>
        <v>219280.85816739764</v>
      </c>
      <c r="P31" s="42">
        <f>O28*'Carbon avoided'!Q12</f>
        <v>224762.87962158254</v>
      </c>
      <c r="Q31" s="42">
        <f>P28*'Carbon avoided'!R12</f>
        <v>230381.95161212209</v>
      </c>
      <c r="R31" s="42">
        <f>Q28*'Carbon avoided'!S12</f>
        <v>236141.50040242512</v>
      </c>
      <c r="S31" s="42">
        <f>R28*'Carbon avoided'!T12</f>
        <v>242045.03791248574</v>
      </c>
      <c r="T31" s="42">
        <f>S28*'Carbon avoided'!U12</f>
        <v>248096.16386029788</v>
      </c>
      <c r="U31" s="42">
        <f>T28*'Carbon avoided'!V12</f>
        <v>254298.56795680529</v>
      </c>
      <c r="V31" s="42">
        <f>U28*'Carbon avoided'!W12</f>
        <v>260656.03215572538</v>
      </c>
      <c r="W31" s="42">
        <f>V28*'Carbon avoided'!X12</f>
        <v>267172.43295961851</v>
      </c>
      <c r="X31" s="42">
        <f>W28*'Carbon avoided'!Y12</f>
        <v>273851.74378360895</v>
      </c>
      <c r="Y31" s="42">
        <f>X28*'Carbon avoided'!Z12</f>
        <v>280698.03737819917</v>
      </c>
      <c r="Z31" s="42">
        <f>Y28*'Carbon avoided'!AA12</f>
        <v>287715.48831265414</v>
      </c>
      <c r="AA31" s="42">
        <f>Z28*'Carbon avoided'!AB12</f>
        <v>294908.37552047049</v>
      </c>
      <c r="AB31" s="42">
        <f>AA28*'Carbon avoided'!AC12</f>
        <v>302281.08490848221</v>
      </c>
      <c r="AC31" s="42">
        <f>AB28*'Carbon avoided'!AD12</f>
        <v>0</v>
      </c>
      <c r="AD31" s="42">
        <f>AC28*'Carbon avoided'!AE12</f>
        <v>0</v>
      </c>
      <c r="AE31" s="42">
        <f>AD28*'Carbon avoided'!AF12</f>
        <v>0</v>
      </c>
      <c r="AF31" s="42">
        <f>AE28*'Carbon avoided'!AG12</f>
        <v>0</v>
      </c>
      <c r="AG31" s="42">
        <f>AF28*'Carbon avoided'!AH12</f>
        <v>0</v>
      </c>
      <c r="AH31" s="42">
        <f>AG28*'Carbon avoided'!AI12</f>
        <v>0</v>
      </c>
    </row>
    <row r="32" spans="1:34" x14ac:dyDescent="0.25">
      <c r="A32" s="41" t="s">
        <v>175</v>
      </c>
      <c r="B32" s="28" t="s">
        <v>37</v>
      </c>
      <c r="C32" s="28"/>
      <c r="D32" s="42">
        <f>C28*Interventions!$H$10</f>
        <v>196364.43378265679</v>
      </c>
      <c r="E32" s="42">
        <f>D28*Interventions!$H$10</f>
        <v>374877.55540325388</v>
      </c>
      <c r="F32" s="42">
        <f>E28*Interventions!$H$10</f>
        <v>537162.21142197854</v>
      </c>
      <c r="G32" s="42">
        <f>F28*Interventions!$H$10</f>
        <v>684693.71689354628</v>
      </c>
      <c r="H32" s="42">
        <f>G28*Interventions!$H$10</f>
        <v>818813.26732224436</v>
      </c>
      <c r="I32" s="42">
        <f>H28*Interventions!$H$10</f>
        <v>940740.13134833355</v>
      </c>
      <c r="J32" s="42">
        <f>I28*Interventions!$H$10</f>
        <v>940740.13134833355</v>
      </c>
      <c r="K32" s="42">
        <f>J28*Interventions!$H$10</f>
        <v>940740.13134833355</v>
      </c>
      <c r="L32" s="42">
        <f>K28*Interventions!$H$10</f>
        <v>940740.13134833355</v>
      </c>
      <c r="M32" s="42">
        <f>L28*Interventions!$H$10</f>
        <v>940740.13134833355</v>
      </c>
      <c r="N32" s="42">
        <f>M28*Interventions!$H$10</f>
        <v>940740.13134833355</v>
      </c>
      <c r="O32" s="42">
        <f>N28*Interventions!$H$10</f>
        <v>940740.13134833355</v>
      </c>
      <c r="P32" s="42">
        <f>O28*Interventions!$H$10</f>
        <v>940740.13134833355</v>
      </c>
      <c r="Q32" s="42">
        <f>P28*Interventions!$H$10</f>
        <v>940740.13134833355</v>
      </c>
      <c r="R32" s="42">
        <f>Q28*Interventions!$H$10</f>
        <v>940740.13134833355</v>
      </c>
      <c r="S32" s="42">
        <f>R28*Interventions!$H$10</f>
        <v>940740.13134833355</v>
      </c>
      <c r="T32" s="42">
        <f>S28*Interventions!$H$10</f>
        <v>940740.13134833355</v>
      </c>
      <c r="U32" s="42">
        <f>T28*Interventions!$H$10</f>
        <v>940740.13134833355</v>
      </c>
      <c r="V32" s="42">
        <f>U28*Interventions!$H$10</f>
        <v>940740.13134833355</v>
      </c>
      <c r="W32" s="42">
        <f>V28*Interventions!$H$10</f>
        <v>940740.13134833355</v>
      </c>
      <c r="X32" s="42">
        <f>W28*Interventions!$H$10</f>
        <v>940740.13134833355</v>
      </c>
      <c r="Y32" s="42">
        <f>X28*Interventions!$H$10</f>
        <v>940740.13134833355</v>
      </c>
      <c r="Z32" s="42">
        <f>Y28*Interventions!$H$10</f>
        <v>940740.13134833355</v>
      </c>
      <c r="AA32" s="42">
        <f>Z28*Interventions!$H$10</f>
        <v>940740.13134833355</v>
      </c>
      <c r="AB32" s="42">
        <f>AA28*Interventions!$H$10</f>
        <v>940740.13134833355</v>
      </c>
      <c r="AC32" s="42">
        <f>AB28*Interventions!$H$10</f>
        <v>940740.13134833355</v>
      </c>
      <c r="AD32" s="42">
        <f>AC28*Interventions!$H$10</f>
        <v>744375.69756567676</v>
      </c>
      <c r="AE32" s="42">
        <f>AD28*Interventions!$H$10</f>
        <v>565862.57594507968</v>
      </c>
      <c r="AF32" s="42">
        <f>AE28*Interventions!$H$10</f>
        <v>403577.91992635507</v>
      </c>
      <c r="AG32" s="42">
        <f>AF28*Interventions!$H$10</f>
        <v>256046.41445478724</v>
      </c>
      <c r="AH32" s="42">
        <f>AG28*Interventions!$H$10</f>
        <v>121926.86402608918</v>
      </c>
    </row>
    <row r="33" spans="1:34" x14ac:dyDescent="0.25">
      <c r="A33" s="44"/>
      <c r="B33" s="10"/>
      <c r="C33" s="10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</row>
    <row r="34" spans="1:34" x14ac:dyDescent="0.25">
      <c r="A34" s="115" t="s">
        <v>150</v>
      </c>
      <c r="B34" s="122" t="s">
        <v>37</v>
      </c>
      <c r="C34" s="116">
        <f t="shared" ref="C34" si="8">SUM(C35:C37)</f>
        <v>0</v>
      </c>
      <c r="D34" s="116">
        <f>SUM(D35:D38)</f>
        <v>196578.7376832295</v>
      </c>
      <c r="E34" s="116">
        <f t="shared" ref="E34:AH34" si="9">SUM(E35:E38)</f>
        <v>375286.6810316199</v>
      </c>
      <c r="F34" s="116">
        <f t="shared" si="9"/>
        <v>537748.44771197485</v>
      </c>
      <c r="G34" s="116">
        <f t="shared" si="9"/>
        <v>685440.96287593385</v>
      </c>
      <c r="H34" s="116">
        <f t="shared" si="9"/>
        <v>819706.88575226034</v>
      </c>
      <c r="I34" s="116">
        <f t="shared" si="9"/>
        <v>941766.81563982985</v>
      </c>
      <c r="J34" s="116">
        <f t="shared" si="9"/>
        <v>941766.81563982985</v>
      </c>
      <c r="K34" s="116">
        <f t="shared" si="9"/>
        <v>941766.81563982985</v>
      </c>
      <c r="L34" s="116">
        <f t="shared" si="9"/>
        <v>941766.81563982985</v>
      </c>
      <c r="M34" s="116">
        <f t="shared" si="9"/>
        <v>941766.81563982985</v>
      </c>
      <c r="N34" s="116">
        <f t="shared" si="9"/>
        <v>941766.81563982985</v>
      </c>
      <c r="O34" s="116">
        <f t="shared" si="9"/>
        <v>941766.81563982985</v>
      </c>
      <c r="P34" s="116">
        <f t="shared" si="9"/>
        <v>941766.81563982985</v>
      </c>
      <c r="Q34" s="116">
        <f t="shared" si="9"/>
        <v>941766.81563982985</v>
      </c>
      <c r="R34" s="116">
        <f t="shared" si="9"/>
        <v>941766.81563982985</v>
      </c>
      <c r="S34" s="116">
        <f t="shared" si="9"/>
        <v>941766.81563982985</v>
      </c>
      <c r="T34" s="116">
        <f t="shared" si="9"/>
        <v>941766.81563982985</v>
      </c>
      <c r="U34" s="116">
        <f t="shared" si="9"/>
        <v>941766.81563982985</v>
      </c>
      <c r="V34" s="116">
        <f t="shared" si="9"/>
        <v>941766.81563982985</v>
      </c>
      <c r="W34" s="116">
        <f t="shared" si="9"/>
        <v>941766.81563982985</v>
      </c>
      <c r="X34" s="116">
        <f t="shared" si="9"/>
        <v>941766.81563982985</v>
      </c>
      <c r="Y34" s="116">
        <f t="shared" si="9"/>
        <v>941766.81563982985</v>
      </c>
      <c r="Z34" s="116">
        <f t="shared" si="9"/>
        <v>941766.81563982985</v>
      </c>
      <c r="AA34" s="116">
        <f t="shared" si="9"/>
        <v>941766.81563982985</v>
      </c>
      <c r="AB34" s="116">
        <f t="shared" si="9"/>
        <v>941766.81563982985</v>
      </c>
      <c r="AC34" s="116">
        <f t="shared" si="9"/>
        <v>941766.81563982985</v>
      </c>
      <c r="AD34" s="116">
        <f t="shared" si="9"/>
        <v>745188.07795660035</v>
      </c>
      <c r="AE34" s="116">
        <f t="shared" si="9"/>
        <v>566480.13460820983</v>
      </c>
      <c r="AF34" s="116">
        <f t="shared" si="9"/>
        <v>404018.36792785494</v>
      </c>
      <c r="AG34" s="116">
        <f t="shared" si="9"/>
        <v>256325.85276389593</v>
      </c>
      <c r="AH34" s="116">
        <f t="shared" si="9"/>
        <v>122059.92988756951</v>
      </c>
    </row>
    <row r="35" spans="1:34" x14ac:dyDescent="0.25">
      <c r="A35" s="41"/>
      <c r="B35" s="28"/>
      <c r="C35" s="28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</row>
    <row r="36" spans="1:34" x14ac:dyDescent="0.25">
      <c r="A36" s="41"/>
      <c r="B36" s="28"/>
      <c r="C36" s="28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</row>
    <row r="37" spans="1:34" x14ac:dyDescent="0.25">
      <c r="A37" s="41"/>
      <c r="B37" s="28"/>
      <c r="C37" s="28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</row>
    <row r="38" spans="1:34" x14ac:dyDescent="0.25">
      <c r="A38" s="241" t="s">
        <v>36</v>
      </c>
      <c r="B38" s="28" t="s">
        <v>37</v>
      </c>
      <c r="C38" s="28"/>
      <c r="D38" s="42">
        <f>C28*Interventions!$H$14</f>
        <v>196578.7376832295</v>
      </c>
      <c r="E38" s="42">
        <f>D28*Interventions!$H$14</f>
        <v>375286.6810316199</v>
      </c>
      <c r="F38" s="42">
        <f>E28*Interventions!$H$14</f>
        <v>537748.44771197485</v>
      </c>
      <c r="G38" s="42">
        <f>F28*Interventions!$H$14</f>
        <v>685440.96287593385</v>
      </c>
      <c r="H38" s="42">
        <f>G28*Interventions!$H$14</f>
        <v>819706.88575226034</v>
      </c>
      <c r="I38" s="42">
        <f>H28*Interventions!$H$14</f>
        <v>941766.81563982985</v>
      </c>
      <c r="J38" s="42">
        <f>I28*Interventions!$H$14</f>
        <v>941766.81563982985</v>
      </c>
      <c r="K38" s="42">
        <f>J28*Interventions!$H$14</f>
        <v>941766.81563982985</v>
      </c>
      <c r="L38" s="42">
        <f>K28*Interventions!$H$14</f>
        <v>941766.81563982985</v>
      </c>
      <c r="M38" s="42">
        <f>L28*Interventions!$H$14</f>
        <v>941766.81563982985</v>
      </c>
      <c r="N38" s="42">
        <f>M28*Interventions!$H$14</f>
        <v>941766.81563982985</v>
      </c>
      <c r="O38" s="42">
        <f>N28*Interventions!$H$14</f>
        <v>941766.81563982985</v>
      </c>
      <c r="P38" s="42">
        <f>O28*Interventions!$H$14</f>
        <v>941766.81563982985</v>
      </c>
      <c r="Q38" s="42">
        <f>P28*Interventions!$H$14</f>
        <v>941766.81563982985</v>
      </c>
      <c r="R38" s="42">
        <f>Q28*Interventions!$H$14</f>
        <v>941766.81563982985</v>
      </c>
      <c r="S38" s="42">
        <f>R28*Interventions!$H$14</f>
        <v>941766.81563982985</v>
      </c>
      <c r="T38" s="42">
        <f>S28*Interventions!$H$14</f>
        <v>941766.81563982985</v>
      </c>
      <c r="U38" s="42">
        <f>T28*Interventions!$H$14</f>
        <v>941766.81563982985</v>
      </c>
      <c r="V38" s="42">
        <f>U28*Interventions!$H$14</f>
        <v>941766.81563982985</v>
      </c>
      <c r="W38" s="42">
        <f>V28*Interventions!$H$14</f>
        <v>941766.81563982985</v>
      </c>
      <c r="X38" s="42">
        <f>W28*Interventions!$H$14</f>
        <v>941766.81563982985</v>
      </c>
      <c r="Y38" s="42">
        <f>X28*Interventions!$H$14</f>
        <v>941766.81563982985</v>
      </c>
      <c r="Z38" s="42">
        <f>Y28*Interventions!$H$14</f>
        <v>941766.81563982985</v>
      </c>
      <c r="AA38" s="42">
        <f>Z28*Interventions!$H$14</f>
        <v>941766.81563982985</v>
      </c>
      <c r="AB38" s="42">
        <f>AA28*Interventions!$H$14</f>
        <v>941766.81563982985</v>
      </c>
      <c r="AC38" s="42">
        <f>AB28*Interventions!$H$14</f>
        <v>941766.81563982985</v>
      </c>
      <c r="AD38" s="42">
        <f>AC28*Interventions!$H$14</f>
        <v>745188.07795660035</v>
      </c>
      <c r="AE38" s="42">
        <f>AD28*Interventions!$H$14</f>
        <v>566480.13460820983</v>
      </c>
      <c r="AF38" s="42">
        <f>AE28*Interventions!$H$14</f>
        <v>404018.36792785494</v>
      </c>
      <c r="AG38" s="42">
        <f>AF28*Interventions!$H$14</f>
        <v>256325.85276389593</v>
      </c>
      <c r="AH38" s="42">
        <f>AG28*Interventions!$H$14</f>
        <v>122059.92988756951</v>
      </c>
    </row>
    <row r="39" spans="1:34" x14ac:dyDescent="0.25">
      <c r="A39" s="117"/>
      <c r="B39" s="28"/>
      <c r="C39" s="28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</row>
    <row r="40" spans="1:34" x14ac:dyDescent="0.25">
      <c r="A40" s="118" t="s">
        <v>154</v>
      </c>
      <c r="B40" s="122" t="s">
        <v>37</v>
      </c>
      <c r="C40" s="116">
        <f t="shared" ref="C40:AH40" si="10">C30+C34</f>
        <v>0</v>
      </c>
      <c r="D40" s="116">
        <f t="shared" si="10"/>
        <v>427827.57979512482</v>
      </c>
      <c r="E40" s="116">
        <f t="shared" si="10"/>
        <v>818426.68091549748</v>
      </c>
      <c r="F40" s="116">
        <f t="shared" si="10"/>
        <v>1175169.2775372588</v>
      </c>
      <c r="G40" s="116">
        <f t="shared" si="10"/>
        <v>1501124.1755700801</v>
      </c>
      <c r="H40" s="116">
        <f t="shared" si="10"/>
        <v>1799084.4064843399</v>
      </c>
      <c r="I40" s="116">
        <f t="shared" si="10"/>
        <v>2071592.1437510406</v>
      </c>
      <c r="J40" s="116">
        <f t="shared" si="10"/>
        <v>2076319.2736701122</v>
      </c>
      <c r="K40" s="116">
        <f t="shared" si="10"/>
        <v>2081164.581837161</v>
      </c>
      <c r="L40" s="116">
        <f t="shared" si="10"/>
        <v>2086131.0227083857</v>
      </c>
      <c r="M40" s="116">
        <f t="shared" si="10"/>
        <v>2091221.6246013916</v>
      </c>
      <c r="N40" s="116">
        <f t="shared" si="10"/>
        <v>2096439.4915417219</v>
      </c>
      <c r="O40" s="116">
        <f t="shared" si="10"/>
        <v>2101787.8051555608</v>
      </c>
      <c r="P40" s="116">
        <f t="shared" si="10"/>
        <v>2107269.8266097461</v>
      </c>
      <c r="Q40" s="116">
        <f t="shared" si="10"/>
        <v>2112888.8986002854</v>
      </c>
      <c r="R40" s="116">
        <f t="shared" si="10"/>
        <v>2118648.4473905885</v>
      </c>
      <c r="S40" s="116">
        <f t="shared" si="10"/>
        <v>2124551.9849006492</v>
      </c>
      <c r="T40" s="116">
        <f t="shared" si="10"/>
        <v>2130603.1108484613</v>
      </c>
      <c r="U40" s="116">
        <f t="shared" si="10"/>
        <v>2136805.5149449687</v>
      </c>
      <c r="V40" s="116">
        <f t="shared" si="10"/>
        <v>2143162.9791438887</v>
      </c>
      <c r="W40" s="116">
        <f t="shared" si="10"/>
        <v>2149679.379947782</v>
      </c>
      <c r="X40" s="116">
        <f t="shared" si="10"/>
        <v>2156358.6907717725</v>
      </c>
      <c r="Y40" s="116">
        <f t="shared" si="10"/>
        <v>2163204.9843663624</v>
      </c>
      <c r="Z40" s="116">
        <f t="shared" si="10"/>
        <v>2170222.4353008177</v>
      </c>
      <c r="AA40" s="116">
        <f t="shared" si="10"/>
        <v>2177415.3225086341</v>
      </c>
      <c r="AB40" s="116">
        <f t="shared" si="10"/>
        <v>2184788.0318966457</v>
      </c>
      <c r="AC40" s="116">
        <f t="shared" si="10"/>
        <v>1882506.9469881635</v>
      </c>
      <c r="AD40" s="116">
        <f t="shared" si="10"/>
        <v>1489563.7755222772</v>
      </c>
      <c r="AE40" s="116">
        <f t="shared" si="10"/>
        <v>1132342.7105532894</v>
      </c>
      <c r="AF40" s="116">
        <f t="shared" si="10"/>
        <v>807596.28785421001</v>
      </c>
      <c r="AG40" s="116">
        <f t="shared" si="10"/>
        <v>512372.26721868315</v>
      </c>
      <c r="AH40" s="116">
        <f t="shared" si="10"/>
        <v>243986.79391365871</v>
      </c>
    </row>
    <row r="41" spans="1:34" s="21" customFormat="1" x14ac:dyDescent="0.25">
      <c r="A41" s="119"/>
      <c r="B41" s="123"/>
      <c r="C41" s="113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</row>
    <row r="42" spans="1:34" x14ac:dyDescent="0.25">
      <c r="A42" s="119" t="s">
        <v>92</v>
      </c>
      <c r="B42" s="28" t="s">
        <v>37</v>
      </c>
      <c r="C42" s="31">
        <f t="shared" ref="C42:AH42" si="11">C40-C24</f>
        <v>-1824074.0740740739</v>
      </c>
      <c r="D42" s="31">
        <f t="shared" si="11"/>
        <v>-1396246.4942789492</v>
      </c>
      <c r="E42" s="31">
        <f t="shared" si="11"/>
        <v>-1005647.3931585765</v>
      </c>
      <c r="F42" s="31">
        <f t="shared" si="11"/>
        <v>-648904.79653681512</v>
      </c>
      <c r="G42" s="31">
        <f t="shared" si="11"/>
        <v>-322949.8985039941</v>
      </c>
      <c r="H42" s="31">
        <f t="shared" si="11"/>
        <v>-24989.667589734308</v>
      </c>
      <c r="I42" s="31">
        <f t="shared" si="11"/>
        <v>1277160.3309787642</v>
      </c>
      <c r="J42" s="31">
        <f t="shared" si="11"/>
        <v>1281887.4608978359</v>
      </c>
      <c r="K42" s="31">
        <f t="shared" si="11"/>
        <v>1286732.7690648846</v>
      </c>
      <c r="L42" s="31">
        <f t="shared" si="11"/>
        <v>1291699.2099361094</v>
      </c>
      <c r="M42" s="31">
        <f t="shared" si="11"/>
        <v>1296789.8118291153</v>
      </c>
      <c r="N42" s="31">
        <f t="shared" si="11"/>
        <v>1302007.6787694455</v>
      </c>
      <c r="O42" s="31">
        <f t="shared" si="11"/>
        <v>1307355.9923832845</v>
      </c>
      <c r="P42" s="31">
        <f t="shared" si="11"/>
        <v>1312838.0138374697</v>
      </c>
      <c r="Q42" s="31">
        <f t="shared" si="11"/>
        <v>1318457.0858280091</v>
      </c>
      <c r="R42" s="31">
        <f t="shared" si="11"/>
        <v>1324216.6346183121</v>
      </c>
      <c r="S42" s="31">
        <f t="shared" si="11"/>
        <v>1330120.1721283728</v>
      </c>
      <c r="T42" s="31">
        <f t="shared" si="11"/>
        <v>1336171.2980761849</v>
      </c>
      <c r="U42" s="31">
        <f t="shared" si="11"/>
        <v>1342373.7021726924</v>
      </c>
      <c r="V42" s="31">
        <f t="shared" si="11"/>
        <v>1348731.1663716123</v>
      </c>
      <c r="W42" s="31">
        <f t="shared" si="11"/>
        <v>1355247.5671755057</v>
      </c>
      <c r="X42" s="31">
        <f t="shared" si="11"/>
        <v>1361926.8779994962</v>
      </c>
      <c r="Y42" s="31">
        <f t="shared" si="11"/>
        <v>1368773.1715940861</v>
      </c>
      <c r="Z42" s="31">
        <f t="shared" si="11"/>
        <v>1375790.6225285414</v>
      </c>
      <c r="AA42" s="31">
        <f t="shared" si="11"/>
        <v>1382983.5097363577</v>
      </c>
      <c r="AB42" s="31">
        <f t="shared" si="11"/>
        <v>1390356.2191243693</v>
      </c>
      <c r="AC42" s="31">
        <f t="shared" si="11"/>
        <v>1088075.1342158872</v>
      </c>
      <c r="AD42" s="31">
        <f t="shared" si="11"/>
        <v>860956.87857491663</v>
      </c>
      <c r="AE42" s="31">
        <f t="shared" si="11"/>
        <v>654485.73708312493</v>
      </c>
      <c r="AF42" s="31">
        <f t="shared" si="11"/>
        <v>466784.6993633149</v>
      </c>
      <c r="AG42" s="31">
        <f t="shared" si="11"/>
        <v>296147.39234530553</v>
      </c>
      <c r="AH42" s="31">
        <f t="shared" si="11"/>
        <v>141022.56778347888</v>
      </c>
    </row>
    <row r="43" spans="1:34" x14ac:dyDescent="0.25">
      <c r="A43" s="119" t="s">
        <v>93</v>
      </c>
      <c r="B43" s="28" t="s">
        <v>37</v>
      </c>
      <c r="C43" s="31">
        <f t="shared" ref="C43:AH43" si="12">C34-C24</f>
        <v>-1824074.0740740739</v>
      </c>
      <c r="D43" s="31">
        <f t="shared" si="12"/>
        <v>-1627495.3363908445</v>
      </c>
      <c r="E43" s="31">
        <f t="shared" si="12"/>
        <v>-1448787.393042454</v>
      </c>
      <c r="F43" s="31">
        <f t="shared" si="12"/>
        <v>-1286325.6263620991</v>
      </c>
      <c r="G43" s="31">
        <f t="shared" si="12"/>
        <v>-1138633.1111981403</v>
      </c>
      <c r="H43" s="31">
        <f t="shared" si="12"/>
        <v>-1004367.1883218138</v>
      </c>
      <c r="I43" s="31">
        <f t="shared" si="12"/>
        <v>147335.00286755338</v>
      </c>
      <c r="J43" s="31">
        <f t="shared" si="12"/>
        <v>147335.00286755338</v>
      </c>
      <c r="K43" s="31">
        <f t="shared" si="12"/>
        <v>147335.00286755338</v>
      </c>
      <c r="L43" s="31">
        <f t="shared" si="12"/>
        <v>147335.00286755338</v>
      </c>
      <c r="M43" s="31">
        <f t="shared" si="12"/>
        <v>147335.00286755338</v>
      </c>
      <c r="N43" s="31">
        <f t="shared" si="12"/>
        <v>147335.00286755338</v>
      </c>
      <c r="O43" s="31">
        <f t="shared" si="12"/>
        <v>147335.00286755338</v>
      </c>
      <c r="P43" s="31">
        <f t="shared" si="12"/>
        <v>147335.00286755338</v>
      </c>
      <c r="Q43" s="31">
        <f t="shared" si="12"/>
        <v>147335.00286755338</v>
      </c>
      <c r="R43" s="31">
        <f t="shared" si="12"/>
        <v>147335.00286755338</v>
      </c>
      <c r="S43" s="31">
        <f t="shared" si="12"/>
        <v>147335.00286755338</v>
      </c>
      <c r="T43" s="31">
        <f t="shared" si="12"/>
        <v>147335.00286755338</v>
      </c>
      <c r="U43" s="31">
        <f t="shared" si="12"/>
        <v>147335.00286755338</v>
      </c>
      <c r="V43" s="31">
        <f t="shared" si="12"/>
        <v>147335.00286755338</v>
      </c>
      <c r="W43" s="31">
        <f t="shared" si="12"/>
        <v>147335.00286755338</v>
      </c>
      <c r="X43" s="31">
        <f t="shared" si="12"/>
        <v>147335.00286755338</v>
      </c>
      <c r="Y43" s="31">
        <f t="shared" si="12"/>
        <v>147335.00286755338</v>
      </c>
      <c r="Z43" s="31">
        <f t="shared" si="12"/>
        <v>147335.00286755338</v>
      </c>
      <c r="AA43" s="31">
        <f t="shared" si="12"/>
        <v>147335.00286755338</v>
      </c>
      <c r="AB43" s="31">
        <f t="shared" si="12"/>
        <v>147335.00286755338</v>
      </c>
      <c r="AC43" s="31">
        <f t="shared" si="12"/>
        <v>147335.00286755338</v>
      </c>
      <c r="AD43" s="31">
        <f t="shared" si="12"/>
        <v>116581.18100923975</v>
      </c>
      <c r="AE43" s="31">
        <f t="shared" si="12"/>
        <v>88623.161138045427</v>
      </c>
      <c r="AF43" s="31">
        <f t="shared" si="12"/>
        <v>63206.779436959827</v>
      </c>
      <c r="AG43" s="31">
        <f t="shared" si="12"/>
        <v>40100.977890518319</v>
      </c>
      <c r="AH43" s="31">
        <f t="shared" si="12"/>
        <v>19095.703757389667</v>
      </c>
    </row>
    <row r="44" spans="1:34" x14ac:dyDescent="0.25">
      <c r="A44" s="127"/>
      <c r="B44" s="127"/>
      <c r="C44" s="127"/>
      <c r="D44" s="127"/>
      <c r="E44" s="127"/>
      <c r="F44" s="127"/>
      <c r="G44" s="127"/>
      <c r="H44" s="127"/>
      <c r="I44" s="127"/>
      <c r="J44" s="127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</row>
    <row r="45" spans="1:34" x14ac:dyDescent="0.25">
      <c r="A45" s="51" t="s">
        <v>47</v>
      </c>
      <c r="B45" s="28" t="s">
        <v>37</v>
      </c>
      <c r="C45" s="31">
        <f t="shared" ref="C45:AH45" si="13">(C25+C26)*C$8</f>
        <v>1824074.0740740739</v>
      </c>
      <c r="D45" s="31">
        <f t="shared" si="13"/>
        <v>1751111.111111111</v>
      </c>
      <c r="E45" s="31">
        <f t="shared" si="13"/>
        <v>1681066.6666666665</v>
      </c>
      <c r="F45" s="31">
        <f t="shared" si="13"/>
        <v>1613823.9999999998</v>
      </c>
      <c r="G45" s="31">
        <f t="shared" si="13"/>
        <v>1549271.04</v>
      </c>
      <c r="H45" s="31">
        <f t="shared" si="13"/>
        <v>1487300.1984000001</v>
      </c>
      <c r="I45" s="31">
        <f t="shared" si="13"/>
        <v>621847.68982981355</v>
      </c>
      <c r="J45" s="31">
        <f t="shared" si="13"/>
        <v>596973.78223662102</v>
      </c>
      <c r="K45" s="31">
        <f t="shared" si="13"/>
        <v>573094.83094715618</v>
      </c>
      <c r="L45" s="31">
        <f t="shared" si="13"/>
        <v>550171.03770927002</v>
      </c>
      <c r="M45" s="31">
        <f t="shared" si="13"/>
        <v>528164.1962008992</v>
      </c>
      <c r="N45" s="31">
        <f t="shared" si="13"/>
        <v>507037.62835286325</v>
      </c>
      <c r="O45" s="31">
        <f t="shared" si="13"/>
        <v>486756.12321874866</v>
      </c>
      <c r="P45" s="31">
        <f t="shared" si="13"/>
        <v>467285.87828999874</v>
      </c>
      <c r="Q45" s="31">
        <f t="shared" si="13"/>
        <v>448594.44315839873</v>
      </c>
      <c r="R45" s="31">
        <f t="shared" si="13"/>
        <v>430650.66543206281</v>
      </c>
      <c r="S45" s="31">
        <f t="shared" si="13"/>
        <v>413424.63881478028</v>
      </c>
      <c r="T45" s="31">
        <f t="shared" si="13"/>
        <v>396887.65326218907</v>
      </c>
      <c r="U45" s="31">
        <f t="shared" si="13"/>
        <v>381012.14713170152</v>
      </c>
      <c r="V45" s="31">
        <f t="shared" si="13"/>
        <v>365771.66124643345</v>
      </c>
      <c r="W45" s="31">
        <f t="shared" si="13"/>
        <v>351140.79479657614</v>
      </c>
      <c r="X45" s="31">
        <f t="shared" si="13"/>
        <v>337095.16300471302</v>
      </c>
      <c r="Y45" s="31">
        <f t="shared" si="13"/>
        <v>323611.3564845245</v>
      </c>
      <c r="Z45" s="31">
        <f t="shared" si="13"/>
        <v>310666.90222514351</v>
      </c>
      <c r="AA45" s="31">
        <f t="shared" si="13"/>
        <v>298240.22613613779</v>
      </c>
      <c r="AB45" s="31">
        <f t="shared" si="13"/>
        <v>286310.61709069228</v>
      </c>
      <c r="AC45" s="31">
        <f t="shared" si="13"/>
        <v>274858.19240706461</v>
      </c>
      <c r="AD45" s="31">
        <f t="shared" si="13"/>
        <v>208786.50948477117</v>
      </c>
      <c r="AE45" s="31">
        <f t="shared" si="13"/>
        <v>152367.53908995265</v>
      </c>
      <c r="AF45" s="31">
        <f t="shared" si="13"/>
        <v>104323.01060379956</v>
      </c>
      <c r="AG45" s="31">
        <f t="shared" si="13"/>
        <v>63539.332138144986</v>
      </c>
      <c r="AH45" s="31">
        <f t="shared" si="13"/>
        <v>29046.551834580576</v>
      </c>
    </row>
    <row r="46" spans="1:34" x14ac:dyDescent="0.25">
      <c r="A46" s="51" t="s">
        <v>70</v>
      </c>
      <c r="B46" s="28" t="s">
        <v>37</v>
      </c>
      <c r="C46" s="31">
        <f t="shared" ref="C46:AH46" si="14">C34*C$8</f>
        <v>0</v>
      </c>
      <c r="D46" s="31">
        <f t="shared" si="14"/>
        <v>188715.58817590031</v>
      </c>
      <c r="E46" s="31">
        <f t="shared" si="14"/>
        <v>345864.20523874089</v>
      </c>
      <c r="F46" s="31">
        <f t="shared" si="14"/>
        <v>475765.41063490178</v>
      </c>
      <c r="G46" s="31">
        <f t="shared" si="14"/>
        <v>582176.92390176211</v>
      </c>
      <c r="H46" s="31">
        <f t="shared" si="14"/>
        <v>668366.61467711546</v>
      </c>
      <c r="I46" s="31">
        <f t="shared" si="14"/>
        <v>737175.31101927347</v>
      </c>
      <c r="J46" s="31">
        <f t="shared" si="14"/>
        <v>707688.29857850249</v>
      </c>
      <c r="K46" s="31">
        <f t="shared" si="14"/>
        <v>679380.76663536252</v>
      </c>
      <c r="L46" s="31">
        <f t="shared" si="14"/>
        <v>652205.53596994805</v>
      </c>
      <c r="M46" s="31">
        <f t="shared" si="14"/>
        <v>626117.31453115004</v>
      </c>
      <c r="N46" s="31">
        <f t="shared" si="14"/>
        <v>601072.62194990402</v>
      </c>
      <c r="O46" s="31">
        <f t="shared" si="14"/>
        <v>577029.71707190783</v>
      </c>
      <c r="P46" s="31">
        <f t="shared" si="14"/>
        <v>553948.52838903153</v>
      </c>
      <c r="Q46" s="31">
        <f t="shared" si="14"/>
        <v>531790.58725347021</v>
      </c>
      <c r="R46" s="31">
        <f t="shared" si="14"/>
        <v>510518.96376333147</v>
      </c>
      <c r="S46" s="31">
        <f t="shared" si="14"/>
        <v>490098.2052127982</v>
      </c>
      <c r="T46" s="31">
        <f t="shared" si="14"/>
        <v>470494.27700428624</v>
      </c>
      <c r="U46" s="31">
        <f t="shared" si="14"/>
        <v>451674.50592411478</v>
      </c>
      <c r="V46" s="31">
        <f t="shared" si="14"/>
        <v>433607.52568715025</v>
      </c>
      <c r="W46" s="31">
        <f t="shared" si="14"/>
        <v>416263.22465966421</v>
      </c>
      <c r="X46" s="31">
        <f t="shared" si="14"/>
        <v>399612.6956732776</v>
      </c>
      <c r="Y46" s="31">
        <f t="shared" si="14"/>
        <v>383628.18784634653</v>
      </c>
      <c r="Z46" s="31">
        <f t="shared" si="14"/>
        <v>368283.06033249263</v>
      </c>
      <c r="AA46" s="31">
        <f t="shared" si="14"/>
        <v>353551.73791919294</v>
      </c>
      <c r="AB46" s="31">
        <f t="shared" si="14"/>
        <v>339409.66840242525</v>
      </c>
      <c r="AC46" s="31">
        <f t="shared" si="14"/>
        <v>325833.2816663282</v>
      </c>
      <c r="AD46" s="31">
        <f t="shared" si="14"/>
        <v>247507.97113709175</v>
      </c>
      <c r="AE46" s="31">
        <f t="shared" si="14"/>
        <v>180625.56129880802</v>
      </c>
      <c r="AF46" s="31">
        <f t="shared" si="14"/>
        <v>123670.71398041211</v>
      </c>
      <c r="AG46" s="31">
        <f t="shared" si="14"/>
        <v>75323.310992299332</v>
      </c>
      <c r="AH46" s="31">
        <f t="shared" si="14"/>
        <v>34433.513596479708</v>
      </c>
    </row>
    <row r="47" spans="1:34" x14ac:dyDescent="0.25">
      <c r="A47" s="51" t="s">
        <v>153</v>
      </c>
      <c r="B47" s="28" t="s">
        <v>37</v>
      </c>
      <c r="C47" s="31">
        <f t="shared" ref="C47:AH47" si="15">C30*C$10</f>
        <v>0</v>
      </c>
      <c r="D47" s="31">
        <f t="shared" si="15"/>
        <v>231248.84211189536</v>
      </c>
      <c r="E47" s="31">
        <f t="shared" si="15"/>
        <v>443139.99988387752</v>
      </c>
      <c r="F47" s="31">
        <f t="shared" si="15"/>
        <v>637420.82982528408</v>
      </c>
      <c r="G47" s="31">
        <f t="shared" si="15"/>
        <v>815683.21269414632</v>
      </c>
      <c r="H47" s="31">
        <f t="shared" si="15"/>
        <v>979377.5207320794</v>
      </c>
      <c r="I47" s="31">
        <f t="shared" si="15"/>
        <v>1129825.3281112106</v>
      </c>
      <c r="J47" s="31">
        <f t="shared" si="15"/>
        <v>1134552.4580302825</v>
      </c>
      <c r="K47" s="31">
        <f t="shared" si="15"/>
        <v>1139397.766197331</v>
      </c>
      <c r="L47" s="31">
        <f t="shared" si="15"/>
        <v>1144364.207068556</v>
      </c>
      <c r="M47" s="31">
        <f t="shared" si="15"/>
        <v>1149454.8089615616</v>
      </c>
      <c r="N47" s="31">
        <f t="shared" si="15"/>
        <v>1154672.6759018921</v>
      </c>
      <c r="O47" s="31">
        <f t="shared" si="15"/>
        <v>1160020.9895157311</v>
      </c>
      <c r="P47" s="31">
        <f t="shared" si="15"/>
        <v>1165503.0109699161</v>
      </c>
      <c r="Q47" s="31">
        <f t="shared" si="15"/>
        <v>1171122.0829604557</v>
      </c>
      <c r="R47" s="31">
        <f t="shared" si="15"/>
        <v>1176881.6317507587</v>
      </c>
      <c r="S47" s="31">
        <f t="shared" si="15"/>
        <v>1182785.1692608192</v>
      </c>
      <c r="T47" s="31">
        <f t="shared" si="15"/>
        <v>1188836.2952086315</v>
      </c>
      <c r="U47" s="31">
        <f t="shared" si="15"/>
        <v>1195038.6993051388</v>
      </c>
      <c r="V47" s="31">
        <f t="shared" si="15"/>
        <v>1201396.163504059</v>
      </c>
      <c r="W47" s="31">
        <f t="shared" si="15"/>
        <v>1207912.5643079521</v>
      </c>
      <c r="X47" s="31">
        <f t="shared" si="15"/>
        <v>1214591.8751319426</v>
      </c>
      <c r="Y47" s="31">
        <f t="shared" si="15"/>
        <v>1221438.1687265327</v>
      </c>
      <c r="Z47" s="31">
        <f t="shared" si="15"/>
        <v>1228455.6196609878</v>
      </c>
      <c r="AA47" s="31">
        <f t="shared" si="15"/>
        <v>1235648.5068688041</v>
      </c>
      <c r="AB47" s="31">
        <f t="shared" si="15"/>
        <v>1243021.2162568157</v>
      </c>
      <c r="AC47" s="31">
        <f t="shared" si="15"/>
        <v>940740.13134833355</v>
      </c>
      <c r="AD47" s="31">
        <f t="shared" si="15"/>
        <v>744375.69756567676</v>
      </c>
      <c r="AE47" s="31">
        <f t="shared" si="15"/>
        <v>565862.57594507968</v>
      </c>
      <c r="AF47" s="31">
        <f t="shared" si="15"/>
        <v>403577.91992635507</v>
      </c>
      <c r="AG47" s="31">
        <f t="shared" si="15"/>
        <v>256046.41445478724</v>
      </c>
      <c r="AH47" s="31">
        <f t="shared" si="15"/>
        <v>121926.86402608918</v>
      </c>
    </row>
    <row r="48" spans="1:34" x14ac:dyDescent="0.25">
      <c r="A48" s="119" t="s">
        <v>42</v>
      </c>
      <c r="B48" s="28" t="s">
        <v>37</v>
      </c>
      <c r="C48" s="31">
        <f>C47+C46-C45</f>
        <v>-1824074.0740740739</v>
      </c>
      <c r="D48" s="31">
        <f>D47+D46-D45</f>
        <v>-1331146.6808233154</v>
      </c>
      <c r="E48" s="31">
        <f>E47+E46-E45</f>
        <v>-892062.46154404804</v>
      </c>
      <c r="F48" s="31">
        <f t="shared" ref="F48:AH48" si="16">F47+F46-F45</f>
        <v>-500637.75953981397</v>
      </c>
      <c r="G48" s="31">
        <f t="shared" si="16"/>
        <v>-151410.90340409148</v>
      </c>
      <c r="H48" s="31">
        <f t="shared" si="16"/>
        <v>160443.93700919487</v>
      </c>
      <c r="I48" s="31">
        <f t="shared" si="16"/>
        <v>1245152.9493006705</v>
      </c>
      <c r="J48" s="31">
        <f t="shared" si="16"/>
        <v>1245266.9743721641</v>
      </c>
      <c r="K48" s="31">
        <f t="shared" si="16"/>
        <v>1245683.7018855372</v>
      </c>
      <c r="L48" s="31">
        <f t="shared" si="16"/>
        <v>1246398.7053292338</v>
      </c>
      <c r="M48" s="31">
        <f t="shared" si="16"/>
        <v>1247407.9272918124</v>
      </c>
      <c r="N48" s="31">
        <f t="shared" si="16"/>
        <v>1248707.669498933</v>
      </c>
      <c r="O48" s="31">
        <f t="shared" si="16"/>
        <v>1250294.5833688902</v>
      </c>
      <c r="P48" s="31">
        <f t="shared" si="16"/>
        <v>1252165.6610689489</v>
      </c>
      <c r="Q48" s="31">
        <f t="shared" si="16"/>
        <v>1254318.2270555273</v>
      </c>
      <c r="R48" s="31">
        <f t="shared" si="16"/>
        <v>1256749.9300820273</v>
      </c>
      <c r="S48" s="31">
        <f t="shared" si="16"/>
        <v>1259458.735658837</v>
      </c>
      <c r="T48" s="31">
        <f t="shared" si="16"/>
        <v>1262442.9189507286</v>
      </c>
      <c r="U48" s="31">
        <f t="shared" si="16"/>
        <v>1265701.058097552</v>
      </c>
      <c r="V48" s="31">
        <f t="shared" si="16"/>
        <v>1269232.0279447758</v>
      </c>
      <c r="W48" s="31">
        <f t="shared" si="16"/>
        <v>1273034.9941710401</v>
      </c>
      <c r="X48" s="31">
        <f t="shared" si="16"/>
        <v>1277109.4078005073</v>
      </c>
      <c r="Y48" s="31">
        <f t="shared" si="16"/>
        <v>1281455.0000883548</v>
      </c>
      <c r="Z48" s="31">
        <f t="shared" si="16"/>
        <v>1286071.7777683369</v>
      </c>
      <c r="AA48" s="31">
        <f t="shared" si="16"/>
        <v>1290960.0186518594</v>
      </c>
      <c r="AB48" s="31">
        <f t="shared" si="16"/>
        <v>1296120.2675685487</v>
      </c>
      <c r="AC48" s="31">
        <f t="shared" si="16"/>
        <v>991715.22060759715</v>
      </c>
      <c r="AD48" s="31">
        <f t="shared" si="16"/>
        <v>783097.15921799734</v>
      </c>
      <c r="AE48" s="31">
        <f t="shared" si="16"/>
        <v>594120.59815393505</v>
      </c>
      <c r="AF48" s="31">
        <f t="shared" si="16"/>
        <v>422925.6233029677</v>
      </c>
      <c r="AG48" s="31">
        <f t="shared" si="16"/>
        <v>267830.39330894157</v>
      </c>
      <c r="AH48" s="31">
        <f t="shared" si="16"/>
        <v>127313.82578798832</v>
      </c>
    </row>
    <row r="49" spans="1:34" x14ac:dyDescent="0.25">
      <c r="A49" s="51"/>
      <c r="B49" s="28"/>
      <c r="C49" s="28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</row>
    <row r="50" spans="1:34" x14ac:dyDescent="0.25">
      <c r="A50" s="141" t="s">
        <v>88</v>
      </c>
      <c r="B50" s="142" t="s">
        <v>37</v>
      </c>
      <c r="C50" s="143">
        <f>XNPV(B$6,C42:AH42,C$22:AH$22)</f>
        <v>10983015.863276418</v>
      </c>
      <c r="D50" s="117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</row>
    <row r="51" spans="1:34" x14ac:dyDescent="0.25">
      <c r="A51" s="141" t="s">
        <v>84</v>
      </c>
      <c r="B51" s="142" t="s">
        <v>37</v>
      </c>
      <c r="C51" s="143">
        <f>XNPV(B$6,C43:AH43,C$22:AH$22)</f>
        <v>-5864110.5639684796</v>
      </c>
      <c r="D51" s="117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</row>
    <row r="52" spans="1:34" s="21" customFormat="1" x14ac:dyDescent="0.25">
      <c r="A52" s="126"/>
      <c r="B52" s="28"/>
      <c r="C52" s="28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</row>
    <row r="53" spans="1:34" x14ac:dyDescent="0.25">
      <c r="A53" s="120" t="s">
        <v>101</v>
      </c>
      <c r="B53" s="28" t="s">
        <v>67</v>
      </c>
      <c r="C53" s="32">
        <f>(XNPV($B$6,C30,C$22)+XNPV($B$6,C34,C$22))/(XNPV($B$6,C24,C$22))</f>
        <v>0</v>
      </c>
      <c r="D53" s="32">
        <f t="shared" ref="D53:AH53" si="17">(XNPV($B$6,D30,D$22)+XNPV($B$6,D34,D$22))/(XNPV($B$6,D24,D$22))</f>
        <v>0.23454506912626136</v>
      </c>
      <c r="E53" s="32">
        <f t="shared" si="17"/>
        <v>0.44868061694859762</v>
      </c>
      <c r="F53" s="32">
        <f t="shared" si="17"/>
        <v>0.64425523844682209</v>
      </c>
      <c r="G53" s="32">
        <f t="shared" si="17"/>
        <v>0.82295132467801335</v>
      </c>
      <c r="H53" s="32">
        <f t="shared" si="17"/>
        <v>0.98630008071222686</v>
      </c>
      <c r="I53" s="32">
        <f t="shared" si="17"/>
        <v>2.6076399641171739</v>
      </c>
      <c r="J53" s="32">
        <f t="shared" si="17"/>
        <v>2.6135902921919976</v>
      </c>
      <c r="K53" s="32">
        <f t="shared" si="17"/>
        <v>2.6196893784686917</v>
      </c>
      <c r="L53" s="32">
        <f t="shared" si="17"/>
        <v>2.6259409419023032</v>
      </c>
      <c r="M53" s="32">
        <f t="shared" si="17"/>
        <v>2.6323487944217554</v>
      </c>
      <c r="N53" s="32">
        <f t="shared" si="17"/>
        <v>2.6389168432541932</v>
      </c>
      <c r="O53" s="32">
        <f t="shared" si="17"/>
        <v>2.6456490933074419</v>
      </c>
      <c r="P53" s="32">
        <f t="shared" si="17"/>
        <v>2.6525496496120229</v>
      </c>
      <c r="Q53" s="32">
        <f t="shared" si="17"/>
        <v>2.6596227198242173</v>
      </c>
      <c r="R53" s="32">
        <f t="shared" si="17"/>
        <v>2.6668726167917174</v>
      </c>
      <c r="S53" s="32">
        <f t="shared" si="17"/>
        <v>2.6743037611834044</v>
      </c>
      <c r="T53" s="32">
        <f t="shared" si="17"/>
        <v>2.6819206841848837</v>
      </c>
      <c r="U53" s="32">
        <f t="shared" si="17"/>
        <v>2.6897280302614002</v>
      </c>
      <c r="V53" s="32">
        <f t="shared" si="17"/>
        <v>2.6977305599898296</v>
      </c>
      <c r="W53" s="32">
        <f t="shared" si="17"/>
        <v>2.7059331529614696</v>
      </c>
      <c r="X53" s="32">
        <f t="shared" si="17"/>
        <v>2.7143408107574007</v>
      </c>
      <c r="Y53" s="32">
        <f t="shared" si="17"/>
        <v>2.7229586599982296</v>
      </c>
      <c r="Z53" s="32">
        <f t="shared" si="17"/>
        <v>2.7317919554700802</v>
      </c>
      <c r="AA53" s="32">
        <f t="shared" si="17"/>
        <v>2.7408460833287265</v>
      </c>
      <c r="AB53" s="32">
        <f t="shared" si="17"/>
        <v>2.7501265643838386</v>
      </c>
      <c r="AC53" s="32">
        <f t="shared" si="17"/>
        <v>2.3696268411242278</v>
      </c>
      <c r="AD53" s="32">
        <f t="shared" si="17"/>
        <v>2.3696268411242278</v>
      </c>
      <c r="AE53" s="32">
        <f t="shared" si="17"/>
        <v>2.3696268411242274</v>
      </c>
      <c r="AF53" s="32">
        <f t="shared" si="17"/>
        <v>2.3696268411242278</v>
      </c>
      <c r="AG53" s="32">
        <f t="shared" si="17"/>
        <v>2.3696268411242274</v>
      </c>
      <c r="AH53" s="32">
        <f t="shared" si="17"/>
        <v>2.3696268411242274</v>
      </c>
    </row>
    <row r="54" spans="1:34" x14ac:dyDescent="0.25">
      <c r="A54" s="120" t="s">
        <v>99</v>
      </c>
      <c r="B54" s="28" t="s">
        <v>67</v>
      </c>
      <c r="C54" s="108">
        <f>(XNPV(B$6,C30:W30,C$22:W$22)+XNPV(B$6,C34:W34,C$22:W$22))/(XNPV(B$6,C24:W24,C$22:W$22))</f>
        <v>1.4068626490127609</v>
      </c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117"/>
      <c r="AD54" s="31"/>
      <c r="AE54" s="117"/>
      <c r="AF54" s="31"/>
      <c r="AG54" s="117"/>
      <c r="AH54" s="31"/>
    </row>
    <row r="55" spans="1:34" x14ac:dyDescent="0.25">
      <c r="A55" s="126" t="s">
        <v>107</v>
      </c>
      <c r="B55" s="28" t="s">
        <v>67</v>
      </c>
      <c r="C55" s="32">
        <f>(XNPV($B$6,C47,C$22)+XNPV($B$6,C46,C$22))/(XNPV($B$6,C45,C$22))</f>
        <v>0</v>
      </c>
      <c r="D55" s="32">
        <f t="shared" ref="D55:AH55" si="18">(XNPV($B$14,D47,D$22)+XNPV($B$14,D46,D$22))/(XNPV($B$14,D45,D$22))</f>
        <v>0.23982740308313205</v>
      </c>
      <c r="E55" s="32">
        <f t="shared" si="18"/>
        <v>0.4693473618670399</v>
      </c>
      <c r="F55" s="32">
        <f t="shared" si="18"/>
        <v>0.68978168651611693</v>
      </c>
      <c r="G55" s="32">
        <f t="shared" si="18"/>
        <v>0.90226958389147227</v>
      </c>
      <c r="H55" s="32">
        <f t="shared" si="18"/>
        <v>1.1078759602007695</v>
      </c>
      <c r="I55" s="32">
        <f>(XNPV($B$14,I47,I$22)+XNPV($B$14,I46,I$22))/(XNPV($B$14,I45,I$22))</f>
        <v>3.0023439335143984</v>
      </c>
      <c r="J55" s="32">
        <f t="shared" si="18"/>
        <v>3.0859659359019904</v>
      </c>
      <c r="K55" s="32">
        <f t="shared" si="18"/>
        <v>3.1736083360354006</v>
      </c>
      <c r="L55" s="32">
        <f t="shared" si="18"/>
        <v>3.2654749521509263</v>
      </c>
      <c r="M55" s="32">
        <f t="shared" si="18"/>
        <v>3.3617805528365134</v>
      </c>
      <c r="N55" s="32">
        <f t="shared" si="18"/>
        <v>3.4627514797184213</v>
      </c>
      <c r="O55" s="32">
        <f t="shared" si="18"/>
        <v>3.5686263073613289</v>
      </c>
      <c r="P55" s="32">
        <f t="shared" si="18"/>
        <v>3.6796565426953731</v>
      </c>
      <c r="Q55" s="32">
        <f t="shared" si="18"/>
        <v>3.7961073664317042</v>
      </c>
      <c r="R55" s="32">
        <f t="shared" si="18"/>
        <v>3.9182584190858187</v>
      </c>
      <c r="S55" s="32">
        <f t="shared" si="18"/>
        <v>4.0464046343959952</v>
      </c>
      <c r="T55" s="32">
        <f t="shared" si="18"/>
        <v>4.1808571231031539</v>
      </c>
      <c r="U55" s="32">
        <f t="shared" si="18"/>
        <v>4.3219441102491851</v>
      </c>
      <c r="V55" s="32">
        <f t="shared" si="18"/>
        <v>4.470011929354059</v>
      </c>
      <c r="W55" s="32">
        <f t="shared" si="18"/>
        <v>4.6254260770484912</v>
      </c>
      <c r="X55" s="32">
        <f t="shared" si="18"/>
        <v>4.7885723319698048</v>
      </c>
      <c r="Y55" s="32">
        <f t="shared" si="18"/>
        <v>4.9598579419744055</v>
      </c>
      <c r="Z55" s="32">
        <f t="shared" si="18"/>
        <v>5.1397128839824315</v>
      </c>
      <c r="AA55" s="32">
        <f t="shared" si="18"/>
        <v>5.3285912010493668</v>
      </c>
      <c r="AB55" s="32">
        <f t="shared" si="18"/>
        <v>5.5269724215570646</v>
      </c>
      <c r="AC55" s="32">
        <f t="shared" si="18"/>
        <v>4.6080977318619203</v>
      </c>
      <c r="AD55" s="32">
        <f t="shared" si="18"/>
        <v>4.7507076541988758</v>
      </c>
      <c r="AE55" s="32">
        <f t="shared" si="18"/>
        <v>4.8992596566332036</v>
      </c>
      <c r="AF55" s="32">
        <f t="shared" si="18"/>
        <v>5.0540013258356282</v>
      </c>
      <c r="AG55" s="32">
        <f t="shared" si="18"/>
        <v>5.2151905645881538</v>
      </c>
      <c r="AH55" s="32">
        <f t="shared" si="18"/>
        <v>5.383096021622034</v>
      </c>
    </row>
    <row r="56" spans="1:34" x14ac:dyDescent="0.25">
      <c r="A56" s="141" t="s">
        <v>108</v>
      </c>
      <c r="B56" s="142" t="s">
        <v>67</v>
      </c>
      <c r="C56" s="144">
        <f>(XNPV(B$6,C47:AH47,C$22:AH$22)+XNPV(B$6,C46:AH46,C$22:AH$22))/(XNPV(B$6,C45:AH45,C$22:AH$22))</f>
        <v>1.7468053551692371</v>
      </c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117"/>
      <c r="AD56" s="32"/>
      <c r="AE56" s="117"/>
      <c r="AF56" s="32"/>
      <c r="AG56" s="117"/>
      <c r="AH56" s="32"/>
    </row>
    <row r="57" spans="1:34" x14ac:dyDescent="0.25">
      <c r="A57" s="126" t="s">
        <v>100</v>
      </c>
      <c r="B57" s="28" t="s">
        <v>67</v>
      </c>
      <c r="C57" s="32">
        <f>(XNPV($B$6,C46,C$22))/(XNPV($B$6,C45,C$22))</f>
        <v>0</v>
      </c>
      <c r="D57" s="32">
        <f t="shared" ref="D57:AH57" si="19">(XNPV($B$6,D46,D$22))/(XNPV($B$6,D45,D$22))</f>
        <v>0.1077690541613644</v>
      </c>
      <c r="E57" s="32">
        <f t="shared" si="19"/>
        <v>0.20574092158078655</v>
      </c>
      <c r="F57" s="32">
        <f t="shared" si="19"/>
        <v>0.29480625559844309</v>
      </c>
      <c r="G57" s="32">
        <f t="shared" si="19"/>
        <v>0.37577474106903985</v>
      </c>
      <c r="H57" s="32">
        <f t="shared" si="19"/>
        <v>0.44938245513321878</v>
      </c>
      <c r="I57" s="32">
        <f t="shared" si="19"/>
        <v>1.1854595957750083</v>
      </c>
      <c r="J57" s="32">
        <f t="shared" si="19"/>
        <v>1.1854595957750083</v>
      </c>
      <c r="K57" s="32">
        <f t="shared" si="19"/>
        <v>1.1854595957750085</v>
      </c>
      <c r="L57" s="32">
        <f t="shared" si="19"/>
        <v>1.1854595957750083</v>
      </c>
      <c r="M57" s="32">
        <f t="shared" si="19"/>
        <v>1.185459595775008</v>
      </c>
      <c r="N57" s="32">
        <f t="shared" si="19"/>
        <v>1.185459595775008</v>
      </c>
      <c r="O57" s="32">
        <f t="shared" si="19"/>
        <v>1.185459595775008</v>
      </c>
      <c r="P57" s="32">
        <f t="shared" si="19"/>
        <v>1.185459595775008</v>
      </c>
      <c r="Q57" s="32">
        <f t="shared" si="19"/>
        <v>1.185459595775008</v>
      </c>
      <c r="R57" s="32">
        <f t="shared" si="19"/>
        <v>1.1854595957750083</v>
      </c>
      <c r="S57" s="32">
        <f t="shared" si="19"/>
        <v>1.1854595957750083</v>
      </c>
      <c r="T57" s="32">
        <f t="shared" si="19"/>
        <v>1.185459595775008</v>
      </c>
      <c r="U57" s="32">
        <f t="shared" si="19"/>
        <v>1.185459595775008</v>
      </c>
      <c r="V57" s="32">
        <f t="shared" si="19"/>
        <v>1.1854595957750083</v>
      </c>
      <c r="W57" s="32">
        <f t="shared" si="19"/>
        <v>1.185459595775008</v>
      </c>
      <c r="X57" s="32">
        <f t="shared" si="19"/>
        <v>1.1854595957750083</v>
      </c>
      <c r="Y57" s="32">
        <f t="shared" si="19"/>
        <v>1.1854595957750083</v>
      </c>
      <c r="Z57" s="32">
        <f t="shared" si="19"/>
        <v>1.1854595957750083</v>
      </c>
      <c r="AA57" s="32">
        <f t="shared" si="19"/>
        <v>1.1854595957750083</v>
      </c>
      <c r="AB57" s="32">
        <f t="shared" si="19"/>
        <v>1.1854595957750083</v>
      </c>
      <c r="AC57" s="32">
        <f t="shared" si="19"/>
        <v>1.185459595775008</v>
      </c>
      <c r="AD57" s="32">
        <f t="shared" si="19"/>
        <v>1.1854595957750083</v>
      </c>
      <c r="AE57" s="32">
        <f t="shared" si="19"/>
        <v>1.185459595775008</v>
      </c>
      <c r="AF57" s="32">
        <f t="shared" si="19"/>
        <v>1.185459595775008</v>
      </c>
      <c r="AG57" s="32">
        <f t="shared" si="19"/>
        <v>1.185459595775008</v>
      </c>
      <c r="AH57" s="32">
        <f t="shared" si="19"/>
        <v>1.185459595775008</v>
      </c>
    </row>
    <row r="58" spans="1:34" x14ac:dyDescent="0.25">
      <c r="A58" s="141" t="s">
        <v>102</v>
      </c>
      <c r="B58" s="142" t="s">
        <v>67</v>
      </c>
      <c r="C58" s="144">
        <f>(XNPV(B$6,C46:AH46,C$22:AH$22))/(XNPV(B$6,C45:AH45,C$22:AH$22))</f>
        <v>0.57894534868173197</v>
      </c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117"/>
      <c r="AD58" s="32"/>
      <c r="AE58" s="117"/>
      <c r="AF58" s="32"/>
      <c r="AG58" s="117"/>
      <c r="AH58" s="32"/>
    </row>
    <row r="59" spans="1:34" s="21" customFormat="1" x14ac:dyDescent="0.25">
      <c r="A59" s="120"/>
      <c r="B59" s="127"/>
      <c r="C59" s="128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127"/>
      <c r="AD59" s="32"/>
      <c r="AE59" s="127"/>
      <c r="AF59" s="32"/>
      <c r="AG59" s="127"/>
      <c r="AH59" s="32"/>
    </row>
    <row r="60" spans="1:34" x14ac:dyDescent="0.25">
      <c r="A60" s="141" t="s">
        <v>95</v>
      </c>
      <c r="B60" s="145" t="s">
        <v>68</v>
      </c>
      <c r="C60" s="146">
        <f>XIRR(C42:AH42, C$22:AH$22, 0.01)</f>
        <v>0.14283774852752684</v>
      </c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117"/>
      <c r="AD60" s="32"/>
      <c r="AE60" s="117"/>
      <c r="AF60" s="32"/>
      <c r="AG60" s="117"/>
      <c r="AH60" s="32"/>
    </row>
    <row r="61" spans="1:34" x14ac:dyDescent="0.25">
      <c r="A61" s="220" t="s">
        <v>103</v>
      </c>
      <c r="B61" s="221" t="s">
        <v>68</v>
      </c>
      <c r="C61" s="222" t="e">
        <f>XIRR(C42:H42, C$22:H$22, 0.01)</f>
        <v>#NUM!</v>
      </c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117"/>
      <c r="AD61" s="32"/>
      <c r="AE61" s="117"/>
      <c r="AF61" s="32"/>
      <c r="AG61" s="117"/>
      <c r="AH61" s="32"/>
    </row>
    <row r="62" spans="1:34" x14ac:dyDescent="0.25">
      <c r="A62" s="141" t="s">
        <v>96</v>
      </c>
      <c r="B62" s="145" t="s">
        <v>68</v>
      </c>
      <c r="C62" s="269">
        <f>XIRR(C43:AH43, C$22:AH$22, 0.01)</f>
        <v>4.7683715820312501E-9</v>
      </c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117"/>
      <c r="AD62" s="32"/>
      <c r="AE62" s="117"/>
      <c r="AF62" s="32"/>
      <c r="AG62" s="117"/>
      <c r="AH62" s="32"/>
    </row>
    <row r="63" spans="1:34" x14ac:dyDescent="0.25">
      <c r="A63" s="220" t="s">
        <v>104</v>
      </c>
      <c r="B63" s="221" t="s">
        <v>68</v>
      </c>
      <c r="C63" s="223" t="e">
        <f>XIRR(C43:H43, C$22:H$22, 0.01)</f>
        <v>#NUM!</v>
      </c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117"/>
      <c r="AD63" s="32"/>
      <c r="AE63" s="117"/>
      <c r="AF63" s="32"/>
      <c r="AG63" s="117"/>
      <c r="AH63" s="32"/>
    </row>
    <row r="64" spans="1:34" x14ac:dyDescent="0.25">
      <c r="A64" s="304" t="s">
        <v>89</v>
      </c>
      <c r="B64" s="145" t="s">
        <v>69</v>
      </c>
      <c r="C64" s="151">
        <f>IF(I65,$J$21-$D$21)+1</f>
        <v>7</v>
      </c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117"/>
      <c r="AD64" s="32"/>
      <c r="AE64" s="117"/>
      <c r="AF64" s="32"/>
      <c r="AG64" s="117"/>
      <c r="AH64" s="32"/>
    </row>
    <row r="65" spans="1:74" x14ac:dyDescent="0.25">
      <c r="A65" s="305"/>
      <c r="B65" s="129" t="s">
        <v>69</v>
      </c>
      <c r="C65" s="130">
        <f>(D34+D30)/C25</f>
        <v>0.23454506912626136</v>
      </c>
      <c r="D65" s="121">
        <f>(SUM($D$34:E34)+SUM($D$30:E30))/SUM($C$25:D25)</f>
        <v>0.35788012127730706</v>
      </c>
      <c r="E65" s="121">
        <f>(SUM($D$34:F34)+SUM($D$30:F30))/SUM($C$25:E25)</f>
        <v>0.4852724829822459</v>
      </c>
      <c r="F65" s="121">
        <f>(SUM($D$34:G34)+SUM($D$30:G30))/SUM($C$25:F25)</f>
        <v>0.61672599088230839</v>
      </c>
      <c r="G65" s="121">
        <f>(SUM($D$34:H34)+SUM($D$30:H30))/SUM($C$25:G25)</f>
        <v>0.75223826050745179</v>
      </c>
      <c r="H65" s="121">
        <f>(SUM($D$34:I34)+SUM($D$30:I30))/SUM($C$25:H25)</f>
        <v>0.89180080871061795</v>
      </c>
      <c r="I65" s="121">
        <f>(SUM($D$34:J34)+SUM($D$30:J30))/SUM($C$25:I25)</f>
        <v>1.1293999261826178</v>
      </c>
      <c r="J65" s="121"/>
      <c r="K65" s="121"/>
      <c r="L65" s="121"/>
      <c r="M65" s="121"/>
      <c r="N65" s="121"/>
      <c r="O65" s="121"/>
      <c r="P65" s="121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17"/>
      <c r="AD65" s="121"/>
      <c r="AE65" s="117"/>
      <c r="AF65" s="121"/>
      <c r="AG65" s="117"/>
      <c r="AH65" s="121"/>
    </row>
    <row r="66" spans="1:74" x14ac:dyDescent="0.25">
      <c r="A66" s="306" t="s">
        <v>105</v>
      </c>
      <c r="B66" s="145" t="s">
        <v>69</v>
      </c>
      <c r="C66" s="152">
        <f>IF(N67,$O$21-$D$21)+1</f>
        <v>12</v>
      </c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117"/>
      <c r="AD66" s="32"/>
      <c r="AE66" s="117"/>
      <c r="AF66" s="32"/>
      <c r="AG66" s="117"/>
      <c r="AH66" s="32"/>
    </row>
    <row r="67" spans="1:74" x14ac:dyDescent="0.25">
      <c r="A67" s="305"/>
      <c r="B67" s="28" t="s">
        <v>69</v>
      </c>
      <c r="C67" s="131">
        <f>D34/C25</f>
        <v>0.1077690541613644</v>
      </c>
      <c r="D67" s="32">
        <f>SUM($D$34:E34)/SUM($C$25:D25)</f>
        <v>0.16421951110303146</v>
      </c>
      <c r="E67" s="32">
        <f>SUM($D$34:F34)/SUM($C$25:E25)</f>
        <v>0.22237541991604792</v>
      </c>
      <c r="F67" s="32">
        <f>SUM($D$34:G34)/SUM($C$25:F25)</f>
        <v>0.28222906362362049</v>
      </c>
      <c r="G67" s="32">
        <f>SUM($D$34:H34)/SUM($C$25:G25)</f>
        <v>0.34376970815637592</v>
      </c>
      <c r="H67" s="32">
        <f>SUM($D$34:I34)/SUM($C$25:H25)</f>
        <v>0.40698367099555371</v>
      </c>
      <c r="I67" s="32">
        <f>SUM($D$34:J34)/SUM($C$25:I25)</f>
        <v>0.51475272515691817</v>
      </c>
      <c r="J67" s="32">
        <f>SUM($D$34:K34)/SUM($C$25:J25)</f>
        <v>0.62252177931828256</v>
      </c>
      <c r="K67" s="32">
        <f>SUM($D$34:L34)/SUM($C$25:K25)</f>
        <v>0.73029083347964696</v>
      </c>
      <c r="L67" s="32">
        <f>SUM($D$34:M34)/SUM($C$25:L25)</f>
        <v>0.83805988764101147</v>
      </c>
      <c r="M67" s="32">
        <f>SUM($D$34:N34)/SUM($C$25:M25)</f>
        <v>0.94582894180237587</v>
      </c>
      <c r="N67" s="32">
        <f>SUM($D$34:O34)/SUM($C$25:N25)</f>
        <v>1.0535979959637403</v>
      </c>
      <c r="O67" s="32"/>
      <c r="P67" s="32"/>
      <c r="Q67" s="32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117"/>
      <c r="AD67" s="31"/>
      <c r="AE67" s="117"/>
      <c r="AF67" s="31"/>
      <c r="AG67" s="117"/>
      <c r="AH67" s="31"/>
    </row>
    <row r="68" spans="1:74" ht="3" customHeight="1" x14ac:dyDescent="0.25">
      <c r="A68" s="33"/>
      <c r="B68" s="162"/>
      <c r="C68" s="162"/>
      <c r="D68" s="163"/>
      <c r="E68" s="164"/>
      <c r="F68" s="164"/>
      <c r="G68" s="164"/>
      <c r="H68" s="164"/>
      <c r="I68" s="164"/>
      <c r="J68" s="164"/>
      <c r="K68" s="164"/>
      <c r="L68" s="164"/>
      <c r="M68" s="164"/>
      <c r="N68" s="164"/>
      <c r="O68" s="164"/>
      <c r="P68" s="164"/>
      <c r="Q68" s="164"/>
      <c r="R68" s="164"/>
      <c r="S68" s="164"/>
      <c r="T68" s="164"/>
      <c r="U68" s="164"/>
      <c r="V68" s="164"/>
      <c r="W68" s="164"/>
      <c r="X68" s="164"/>
      <c r="Y68" s="164"/>
      <c r="Z68" s="164"/>
      <c r="AA68" s="164"/>
      <c r="AB68" s="164"/>
      <c r="AC68" s="164"/>
      <c r="AD68" s="164"/>
      <c r="AE68" s="164"/>
      <c r="AF68" s="164"/>
      <c r="AG68" s="164"/>
      <c r="AH68" s="164"/>
    </row>
    <row r="69" spans="1:74" ht="23.45" customHeight="1" x14ac:dyDescent="0.25">
      <c r="A69" s="210" t="s">
        <v>54</v>
      </c>
      <c r="B69" s="211"/>
      <c r="C69" s="211"/>
      <c r="D69" s="212"/>
      <c r="E69" s="213"/>
      <c r="F69" s="213"/>
      <c r="G69" s="213"/>
      <c r="H69" s="213"/>
      <c r="I69" s="213"/>
      <c r="J69" s="213"/>
      <c r="K69" s="213"/>
      <c r="L69" s="213"/>
      <c r="M69" s="213"/>
      <c r="N69" s="213"/>
      <c r="O69" s="213"/>
      <c r="P69" s="213"/>
      <c r="Q69" s="213"/>
      <c r="R69" s="213"/>
      <c r="S69" s="213"/>
      <c r="T69" s="213"/>
      <c r="U69" s="213"/>
      <c r="V69" s="213"/>
      <c r="W69" s="213"/>
      <c r="X69" s="213"/>
      <c r="Y69" s="213"/>
      <c r="Z69" s="213"/>
      <c r="AA69" s="213"/>
      <c r="AB69" s="213"/>
      <c r="AC69" s="214"/>
      <c r="AD69" s="213"/>
      <c r="AE69" s="214"/>
      <c r="AF69" s="213"/>
      <c r="AG69" s="214"/>
      <c r="AH69" s="213"/>
    </row>
    <row r="70" spans="1:74" x14ac:dyDescent="0.25">
      <c r="A70" s="154" t="s">
        <v>48</v>
      </c>
      <c r="B70" s="155" t="s">
        <v>49</v>
      </c>
      <c r="C70" s="156">
        <f>C76+C79+C82+C85+C88+C91</f>
        <v>0</v>
      </c>
      <c r="D70" s="156">
        <f>D76+D79+D82+D85+D88+D91</f>
        <v>0</v>
      </c>
      <c r="E70" s="156">
        <f t="shared" ref="E70:AH71" si="20">E76+E79+E82+E85+E88+E91</f>
        <v>0</v>
      </c>
      <c r="F70" s="156">
        <f t="shared" si="20"/>
        <v>364814.81481481477</v>
      </c>
      <c r="G70" s="156">
        <f>G76+G79+G82+G85+G88+G91</f>
        <v>729629.62962962955</v>
      </c>
      <c r="H70" s="156">
        <f t="shared" si="20"/>
        <v>1094444.4444444443</v>
      </c>
      <c r="I70" s="156">
        <f t="shared" si="20"/>
        <v>1459259.2592592591</v>
      </c>
      <c r="J70" s="156">
        <f t="shared" si="20"/>
        <v>1824074.0740740739</v>
      </c>
      <c r="K70" s="156">
        <f t="shared" si="20"/>
        <v>1824074.0740740739</v>
      </c>
      <c r="L70" s="156">
        <f t="shared" si="20"/>
        <v>1459259.2592592593</v>
      </c>
      <c r="M70" s="156">
        <f t="shared" si="20"/>
        <v>1094444.4444444445</v>
      </c>
      <c r="N70" s="156">
        <f t="shared" si="20"/>
        <v>729629.62962962966</v>
      </c>
      <c r="O70" s="156">
        <f t="shared" si="20"/>
        <v>364814.81481481483</v>
      </c>
      <c r="P70" s="156">
        <f t="shared" si="20"/>
        <v>0</v>
      </c>
      <c r="Q70" s="156">
        <f t="shared" si="20"/>
        <v>0</v>
      </c>
      <c r="R70" s="156">
        <f t="shared" si="20"/>
        <v>0</v>
      </c>
      <c r="S70" s="156">
        <f t="shared" si="20"/>
        <v>0</v>
      </c>
      <c r="T70" s="156">
        <f t="shared" si="20"/>
        <v>0</v>
      </c>
      <c r="U70" s="156">
        <f t="shared" si="20"/>
        <v>0</v>
      </c>
      <c r="V70" s="156">
        <f t="shared" si="20"/>
        <v>0</v>
      </c>
      <c r="W70" s="156">
        <f t="shared" si="20"/>
        <v>0</v>
      </c>
      <c r="X70" s="156">
        <f t="shared" si="20"/>
        <v>0</v>
      </c>
      <c r="Y70" s="156">
        <f t="shared" si="20"/>
        <v>0</v>
      </c>
      <c r="Z70" s="156">
        <f t="shared" si="20"/>
        <v>0</v>
      </c>
      <c r="AA70" s="156">
        <f t="shared" si="20"/>
        <v>0</v>
      </c>
      <c r="AB70" s="157">
        <f t="shared" si="20"/>
        <v>0</v>
      </c>
      <c r="AC70" s="157">
        <f t="shared" si="20"/>
        <v>0</v>
      </c>
      <c r="AD70" s="157">
        <f t="shared" si="20"/>
        <v>0</v>
      </c>
      <c r="AE70" s="157">
        <f t="shared" si="20"/>
        <v>0</v>
      </c>
      <c r="AF70" s="157">
        <f t="shared" si="20"/>
        <v>0</v>
      </c>
      <c r="AG70" s="157">
        <f t="shared" si="20"/>
        <v>0</v>
      </c>
      <c r="AH70" s="157">
        <f t="shared" si="20"/>
        <v>0</v>
      </c>
    </row>
    <row r="71" spans="1:74" x14ac:dyDescent="0.25">
      <c r="A71" s="158"/>
      <c r="B71" s="159" t="s">
        <v>50</v>
      </c>
      <c r="C71" s="160">
        <f>C77+C80+C83+C86+C89+C92</f>
        <v>0</v>
      </c>
      <c r="D71" s="160">
        <f>D77+D80+D83+D86+D89+D92</f>
        <v>72962.962962962964</v>
      </c>
      <c r="E71" s="160">
        <f t="shared" si="20"/>
        <v>145925.92592592593</v>
      </c>
      <c r="F71" s="160">
        <f t="shared" si="20"/>
        <v>218888.88888888888</v>
      </c>
      <c r="G71" s="160">
        <f t="shared" si="20"/>
        <v>277259.25925925927</v>
      </c>
      <c r="H71" s="160">
        <f t="shared" si="20"/>
        <v>321037.03703703708</v>
      </c>
      <c r="I71" s="160">
        <f t="shared" si="20"/>
        <v>350222.22222222225</v>
      </c>
      <c r="J71" s="160">
        <f t="shared" si="20"/>
        <v>291851.85185185185</v>
      </c>
      <c r="K71" s="160">
        <f t="shared" si="20"/>
        <v>218888.88888888888</v>
      </c>
      <c r="L71" s="160">
        <f t="shared" si="20"/>
        <v>145925.92592592593</v>
      </c>
      <c r="M71" s="160">
        <f t="shared" si="20"/>
        <v>87555.555555555562</v>
      </c>
      <c r="N71" s="160">
        <f t="shared" si="20"/>
        <v>43777.777777777781</v>
      </c>
      <c r="O71" s="160">
        <f t="shared" si="20"/>
        <v>14592.592592592593</v>
      </c>
      <c r="P71" s="160">
        <f t="shared" si="20"/>
        <v>0</v>
      </c>
      <c r="Q71" s="160">
        <f t="shared" si="20"/>
        <v>0</v>
      </c>
      <c r="R71" s="160">
        <f t="shared" si="20"/>
        <v>0</v>
      </c>
      <c r="S71" s="160">
        <f t="shared" si="20"/>
        <v>0</v>
      </c>
      <c r="T71" s="160">
        <f t="shared" si="20"/>
        <v>0</v>
      </c>
      <c r="U71" s="160">
        <f t="shared" si="20"/>
        <v>0</v>
      </c>
      <c r="V71" s="160">
        <f t="shared" si="20"/>
        <v>0</v>
      </c>
      <c r="W71" s="160">
        <f t="shared" si="20"/>
        <v>0</v>
      </c>
      <c r="X71" s="160">
        <f t="shared" si="20"/>
        <v>0</v>
      </c>
      <c r="Y71" s="160">
        <f t="shared" si="20"/>
        <v>0</v>
      </c>
      <c r="Z71" s="160">
        <f t="shared" si="20"/>
        <v>0</v>
      </c>
      <c r="AA71" s="160">
        <f t="shared" si="20"/>
        <v>0</v>
      </c>
      <c r="AB71" s="161">
        <f t="shared" si="20"/>
        <v>0</v>
      </c>
      <c r="AC71" s="161">
        <f t="shared" si="20"/>
        <v>0</v>
      </c>
      <c r="AD71" s="161">
        <f t="shared" si="20"/>
        <v>0</v>
      </c>
      <c r="AE71" s="161">
        <f t="shared" si="20"/>
        <v>0</v>
      </c>
      <c r="AF71" s="161">
        <f t="shared" si="20"/>
        <v>0</v>
      </c>
      <c r="AG71" s="161">
        <f t="shared" si="20"/>
        <v>0</v>
      </c>
      <c r="AH71" s="161">
        <f t="shared" si="20"/>
        <v>0</v>
      </c>
    </row>
    <row r="72" spans="1:74" x14ac:dyDescent="0.25">
      <c r="A72" s="197" t="s">
        <v>109</v>
      </c>
      <c r="B72" s="36" t="s">
        <v>51</v>
      </c>
      <c r="C72" s="37">
        <f t="shared" ref="C72:H72" si="21">C24</f>
        <v>1824074.0740740739</v>
      </c>
      <c r="D72" s="37">
        <f t="shared" si="21"/>
        <v>1824074.0740740739</v>
      </c>
      <c r="E72" s="37">
        <f t="shared" si="21"/>
        <v>1824074.0740740739</v>
      </c>
      <c r="F72" s="37">
        <f t="shared" si="21"/>
        <v>1824074.0740740739</v>
      </c>
      <c r="G72" s="37">
        <f t="shared" si="21"/>
        <v>1824074.0740740742</v>
      </c>
      <c r="H72" s="37">
        <f t="shared" si="21"/>
        <v>1824074.0740740742</v>
      </c>
      <c r="I72" s="37">
        <f t="shared" ref="I72:AH72" si="22">I25</f>
        <v>0</v>
      </c>
      <c r="J72" s="37">
        <f t="shared" si="22"/>
        <v>0</v>
      </c>
      <c r="K72" s="37">
        <f t="shared" si="22"/>
        <v>0</v>
      </c>
      <c r="L72" s="37">
        <f t="shared" si="22"/>
        <v>0</v>
      </c>
      <c r="M72" s="37">
        <f t="shared" si="22"/>
        <v>0</v>
      </c>
      <c r="N72" s="37">
        <f t="shared" si="22"/>
        <v>0</v>
      </c>
      <c r="O72" s="37">
        <f t="shared" si="22"/>
        <v>0</v>
      </c>
      <c r="P72" s="37">
        <f t="shared" si="22"/>
        <v>0</v>
      </c>
      <c r="Q72" s="37">
        <f t="shared" si="22"/>
        <v>0</v>
      </c>
      <c r="R72" s="37">
        <f t="shared" si="22"/>
        <v>0</v>
      </c>
      <c r="S72" s="37">
        <f t="shared" si="22"/>
        <v>0</v>
      </c>
      <c r="T72" s="37">
        <f t="shared" si="22"/>
        <v>0</v>
      </c>
      <c r="U72" s="37">
        <f t="shared" si="22"/>
        <v>0</v>
      </c>
      <c r="V72" s="37">
        <f t="shared" si="22"/>
        <v>0</v>
      </c>
      <c r="W72" s="37">
        <f t="shared" si="22"/>
        <v>0</v>
      </c>
      <c r="X72" s="37">
        <f t="shared" si="22"/>
        <v>0</v>
      </c>
      <c r="Y72" s="37">
        <f t="shared" si="22"/>
        <v>0</v>
      </c>
      <c r="Z72" s="37">
        <f t="shared" si="22"/>
        <v>0</v>
      </c>
      <c r="AA72" s="37">
        <f t="shared" si="22"/>
        <v>0</v>
      </c>
      <c r="AB72" s="38">
        <f t="shared" si="22"/>
        <v>0</v>
      </c>
      <c r="AC72" s="38">
        <f t="shared" si="22"/>
        <v>0</v>
      </c>
      <c r="AD72" s="38">
        <f t="shared" si="22"/>
        <v>0</v>
      </c>
      <c r="AE72" s="38">
        <f t="shared" si="22"/>
        <v>0</v>
      </c>
      <c r="AF72" s="38">
        <f t="shared" si="22"/>
        <v>0</v>
      </c>
      <c r="AG72" s="38">
        <f t="shared" si="22"/>
        <v>0</v>
      </c>
      <c r="AH72" s="38">
        <f t="shared" si="22"/>
        <v>0</v>
      </c>
    </row>
    <row r="73" spans="1:74" x14ac:dyDescent="0.25">
      <c r="C73" s="39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8"/>
      <c r="AC73" s="18"/>
      <c r="AD73" s="18"/>
      <c r="AE73" s="18"/>
      <c r="AF73" s="18"/>
      <c r="AG73" s="18"/>
      <c r="AH73" s="18"/>
    </row>
    <row r="74" spans="1:74" x14ac:dyDescent="0.25">
      <c r="A74" s="21"/>
      <c r="B74" s="21"/>
      <c r="C74" s="165">
        <v>1</v>
      </c>
      <c r="D74" s="166">
        <v>2</v>
      </c>
      <c r="E74" s="166">
        <v>3</v>
      </c>
      <c r="F74" s="166">
        <v>4</v>
      </c>
      <c r="G74" s="166">
        <v>5</v>
      </c>
      <c r="H74" s="166">
        <v>6</v>
      </c>
      <c r="I74" s="166">
        <v>7</v>
      </c>
      <c r="J74" s="165">
        <v>8</v>
      </c>
      <c r="K74" s="166">
        <v>9</v>
      </c>
      <c r="L74" s="166">
        <v>10</v>
      </c>
      <c r="M74" s="166">
        <v>11</v>
      </c>
      <c r="N74" s="166">
        <v>12</v>
      </c>
      <c r="O74" s="166">
        <v>13</v>
      </c>
      <c r="P74" s="166">
        <v>14</v>
      </c>
      <c r="Q74" s="165">
        <v>15</v>
      </c>
      <c r="R74" s="166">
        <v>16</v>
      </c>
      <c r="S74" s="166">
        <v>17</v>
      </c>
      <c r="T74" s="166">
        <v>18</v>
      </c>
      <c r="U74" s="166">
        <v>19</v>
      </c>
      <c r="V74" s="166">
        <v>20</v>
      </c>
      <c r="W74" s="166">
        <v>21</v>
      </c>
      <c r="X74" s="165">
        <v>22</v>
      </c>
      <c r="Y74" s="166">
        <v>23</v>
      </c>
      <c r="Z74" s="166">
        <v>24</v>
      </c>
      <c r="AA74" s="166">
        <v>25</v>
      </c>
      <c r="AB74" s="167">
        <v>26</v>
      </c>
      <c r="AC74" s="167">
        <v>27</v>
      </c>
      <c r="AD74" s="167">
        <v>28</v>
      </c>
      <c r="AE74" s="167">
        <v>29</v>
      </c>
      <c r="AF74" s="167">
        <v>30</v>
      </c>
      <c r="AG74" s="167">
        <v>31</v>
      </c>
      <c r="AH74" s="167">
        <v>32</v>
      </c>
    </row>
    <row r="75" spans="1:74" ht="9" customHeight="1" x14ac:dyDescent="0.25">
      <c r="A75" s="168"/>
      <c r="B75" s="169"/>
      <c r="C75" s="170"/>
      <c r="D75" s="171">
        <v>1</v>
      </c>
      <c r="E75" s="172">
        <f>D75+1</f>
        <v>2</v>
      </c>
      <c r="F75" s="172">
        <f t="shared" ref="F75:AH75" si="23">E75+1</f>
        <v>3</v>
      </c>
      <c r="G75" s="172">
        <f t="shared" si="23"/>
        <v>4</v>
      </c>
      <c r="H75" s="172">
        <f t="shared" si="23"/>
        <v>5</v>
      </c>
      <c r="I75" s="172">
        <f t="shared" si="23"/>
        <v>6</v>
      </c>
      <c r="J75" s="172">
        <f t="shared" si="23"/>
        <v>7</v>
      </c>
      <c r="K75" s="172">
        <f t="shared" si="23"/>
        <v>8</v>
      </c>
      <c r="L75" s="172">
        <f t="shared" si="23"/>
        <v>9</v>
      </c>
      <c r="M75" s="172">
        <f t="shared" si="23"/>
        <v>10</v>
      </c>
      <c r="N75" s="172">
        <f t="shared" si="23"/>
        <v>11</v>
      </c>
      <c r="O75" s="172">
        <f t="shared" si="23"/>
        <v>12</v>
      </c>
      <c r="P75" s="172">
        <f t="shared" si="23"/>
        <v>13</v>
      </c>
      <c r="Q75" s="172">
        <f t="shared" si="23"/>
        <v>14</v>
      </c>
      <c r="R75" s="172">
        <f t="shared" si="23"/>
        <v>15</v>
      </c>
      <c r="S75" s="172">
        <f t="shared" si="23"/>
        <v>16</v>
      </c>
      <c r="T75" s="172">
        <f t="shared" si="23"/>
        <v>17</v>
      </c>
      <c r="U75" s="172">
        <f t="shared" si="23"/>
        <v>18</v>
      </c>
      <c r="V75" s="172">
        <f t="shared" si="23"/>
        <v>19</v>
      </c>
      <c r="W75" s="172">
        <f t="shared" si="23"/>
        <v>20</v>
      </c>
      <c r="X75" s="172">
        <f t="shared" si="23"/>
        <v>21</v>
      </c>
      <c r="Y75" s="172">
        <f t="shared" si="23"/>
        <v>22</v>
      </c>
      <c r="Z75" s="172">
        <f t="shared" si="23"/>
        <v>23</v>
      </c>
      <c r="AA75" s="172">
        <f t="shared" si="23"/>
        <v>24</v>
      </c>
      <c r="AB75" s="173">
        <f t="shared" si="23"/>
        <v>25</v>
      </c>
      <c r="AC75" s="173">
        <f t="shared" si="23"/>
        <v>26</v>
      </c>
      <c r="AD75" s="173">
        <f t="shared" si="23"/>
        <v>27</v>
      </c>
      <c r="AE75" s="173">
        <f t="shared" si="23"/>
        <v>28</v>
      </c>
      <c r="AF75" s="173">
        <f t="shared" si="23"/>
        <v>29</v>
      </c>
      <c r="AG75" s="173">
        <f t="shared" si="23"/>
        <v>30</v>
      </c>
      <c r="AH75" s="173">
        <f t="shared" si="23"/>
        <v>31</v>
      </c>
    </row>
    <row r="76" spans="1:74" s="16" customFormat="1" x14ac:dyDescent="0.25">
      <c r="A76" s="174">
        <v>1</v>
      </c>
      <c r="B76" s="175" t="s">
        <v>49</v>
      </c>
      <c r="C76" s="176"/>
      <c r="D76" s="177">
        <f>IF($B$13&gt;D75,0,IF($C$72-(SUM($C$76:C76)+1)&gt;0,IF($B$12&gt;0,$C$72/$B$12,0),0))</f>
        <v>0</v>
      </c>
      <c r="E76" s="177">
        <f>IF($B$13&gt;E75,0,IF($C$72-(SUM($C$76:D76)+1)&gt;0,IF($B$12&gt;0,$C$72/$B$12,0),0))</f>
        <v>0</v>
      </c>
      <c r="F76" s="177">
        <f>IF($B$13&gt;F75,0,IF($C$72-(SUM($C$76:E76)+1)&gt;0,IF($B$12&gt;0,$C$72/$B$12,0),0))</f>
        <v>364814.81481481477</v>
      </c>
      <c r="G76" s="177">
        <f>IF($B$13&gt;G75,0,IF($C$72-(SUM($C$76:F76)+1)&gt;0,IF($B$12&gt;0,$C$72/$B$12,0),0))</f>
        <v>364814.81481481477</v>
      </c>
      <c r="H76" s="177">
        <f>IF($B$13&gt;H75,0,IF($C$72-(SUM($C$76:G76)+1)&gt;0,IF($B$12&gt;0,$C$72/$B$12,0),0))</f>
        <v>364814.81481481477</v>
      </c>
      <c r="I76" s="177">
        <f>IF($B$13&gt;I75,0,IF($C$72-(SUM($C$76:H76)+1)&gt;0,IF($B$12&gt;0,$C$72/$B$12,0),0))</f>
        <v>364814.81481481477</v>
      </c>
      <c r="J76" s="177">
        <f>IF($B$13&gt;J75,0,IF($C$72-(SUM($C$76:I76)+1)&gt;0,IF($B$12&gt;0,$C$72/$B$12,0),0))</f>
        <v>364814.81481481477</v>
      </c>
      <c r="K76" s="177">
        <f>IF($B$13&gt;K75,0,IF($C$72-(SUM($C$76:J76)+1)&gt;0,IF($B$12&gt;0,$C$72/$B$12,0),0))</f>
        <v>0</v>
      </c>
      <c r="L76" s="177">
        <f>IF($B$13&gt;L75,0,IF($C$72-(SUM($C$76:K76)+1)&gt;0,IF($B$12&gt;0,$C$72/$B$12,0),0))</f>
        <v>0</v>
      </c>
      <c r="M76" s="177">
        <f>IF($B$13&gt;M75,0,IF($C$72-(SUM($C$76:L76)+1)&gt;0,IF($B$12&gt;0,$C$72/$B$12,0),0))</f>
        <v>0</v>
      </c>
      <c r="N76" s="177">
        <f>IF($B$13&gt;N75,0,IF($C$72-(SUM($C$76:M76)+1)&gt;0,IF($B$12&gt;0,$C$72/$B$12,0),0))</f>
        <v>0</v>
      </c>
      <c r="O76" s="177">
        <f>IF($B$13&gt;O75,0,IF($C$72-(SUM($C$76:N76)+1)&gt;0,IF($B$12&gt;0,$C$72/$B$12,0),0))</f>
        <v>0</v>
      </c>
      <c r="P76" s="177">
        <f>IF($B$13&gt;P75,0,IF($C$72-(SUM($C$76:O76)+1)&gt;0,IF($B$12&gt;0,$C$72/$B$12,0),0))</f>
        <v>0</v>
      </c>
      <c r="Q76" s="177">
        <f>IF($B$13&gt;Q75,0,IF($C$72-(SUM($C$76:P76)+1)&gt;0,IF($B$12&gt;0,$C$72/$B$12,0),0))</f>
        <v>0</v>
      </c>
      <c r="R76" s="177">
        <f>IF($B$13&gt;R75,0,IF($C$72-(SUM($C$76:Q76)+1)&gt;0,IF($B$12&gt;0,$C$72/$B$12,0),0))</f>
        <v>0</v>
      </c>
      <c r="S76" s="177">
        <f>IF($B$13&gt;S75,0,IF($C$72-(SUM($C$76:R76)+1)&gt;0,IF($B$12&gt;0,$C$72/$B$12,0),0))</f>
        <v>0</v>
      </c>
      <c r="T76" s="177">
        <f>IF($B$13&gt;T75,0,IF($C$72-(SUM($C$76:S76)+1)&gt;0,IF($B$12&gt;0,$C$72/$B$12,0),0))</f>
        <v>0</v>
      </c>
      <c r="U76" s="177">
        <f>IF($B$13&gt;U75,0,IF($C$72-(SUM($C$76:T76)+1)&gt;0,IF($B$12&gt;0,$C$72/$B$12,0),0))</f>
        <v>0</v>
      </c>
      <c r="V76" s="177">
        <f>IF($B$13&gt;V75,0,IF($C$72-(SUM($C$76:U76)+1)&gt;0,IF($B$12&gt;0,$C$72/$B$12,0),0))</f>
        <v>0</v>
      </c>
      <c r="W76" s="177">
        <f>IF($B$13&gt;W75,0,IF($C$72-(SUM($C$76:V76)+1)&gt;0,IF($B$12&gt;0,$C$72/$B$12,0),0))</f>
        <v>0</v>
      </c>
      <c r="X76" s="177">
        <f>IF($B$13&gt;X75,0,IF($C$72-(SUM($C$76:W76)+1)&gt;0,IF($B$12&gt;0,$C$72/$B$12,0),0))</f>
        <v>0</v>
      </c>
      <c r="Y76" s="177">
        <f>IF($B$13&gt;Y75,0,IF($C$72-(SUM($C$76:X76)+1)&gt;0,IF($B$12&gt;0,$C$72/$B$12,0),0))</f>
        <v>0</v>
      </c>
      <c r="Z76" s="177">
        <f>IF($B$13&gt;Z75,0,IF($C$72-(SUM($C$76:Y76)+1)&gt;0,IF($B$12&gt;0,$C$72/$B$12,0),0))</f>
        <v>0</v>
      </c>
      <c r="AA76" s="177">
        <f>IF($B$13&gt;AA75,0,IF($C$72-(SUM($C$76:Z76)+1)&gt;0,IF($B$12&gt;0,$C$72/$B$12,0),0))</f>
        <v>0</v>
      </c>
      <c r="AB76" s="178">
        <f>IF($B$13&gt;AB75,0,IF($C$72-(SUM($C$76:AA76)+1)&gt;0,IF($B$12&gt;0,$C$72/$B$12,0),0))</f>
        <v>0</v>
      </c>
      <c r="AC76" s="178">
        <f>IF($B$13&gt;AC75,0,IF($C$72-(SUM($C$76:AB76)+1)&gt;0,IF($B$12&gt;0,$C$72/$B$12,0),0))</f>
        <v>0</v>
      </c>
      <c r="AD76" s="178">
        <f>IF($B$13&gt;AD75,0,IF($C$72-(SUM($C$76:AC76)+1)&gt;0,IF($B$12&gt;0,$C$72/$B$12,0),0))</f>
        <v>0</v>
      </c>
      <c r="AE76" s="178">
        <f>IF($B$13&gt;AE75,0,IF($C$72-(SUM($C$76:AD76)+1)&gt;0,IF($B$12&gt;0,$C$72/$B$12,0),0))</f>
        <v>0</v>
      </c>
      <c r="AF76" s="178">
        <f>IF($B$13&gt;AF75,0,IF($C$72-(SUM($C$76:AE76)+1)&gt;0,IF($B$12&gt;0,$C$72/$B$12,0),0))</f>
        <v>0</v>
      </c>
      <c r="AG76" s="178">
        <f>IF($B$13&gt;AG75,0,IF($C$72-(SUM($C$76:AF76)+1)&gt;0,IF($B$12&gt;0,$C$72/$B$12,0),0))</f>
        <v>0</v>
      </c>
      <c r="AH76" s="178">
        <f>IF($B$13&gt;AH75,0,IF($C$72-(SUM($C$76:AG76)+1)&gt;0,IF($B$12&gt;0,$C$72/$B$12,0),0))</f>
        <v>0</v>
      </c>
    </row>
    <row r="77" spans="1:74" s="16" customFormat="1" ht="11.25" customHeight="1" x14ac:dyDescent="0.25">
      <c r="A77" s="179"/>
      <c r="B77" s="180" t="s">
        <v>50</v>
      </c>
      <c r="C77" s="181"/>
      <c r="D77" s="182">
        <f>($C$72-SUM($C$76:C76))*$B$14</f>
        <v>72962.962962962964</v>
      </c>
      <c r="E77" s="182">
        <f>($C$72-SUM($C$76:D76))*$B$14</f>
        <v>72962.962962962964</v>
      </c>
      <c r="F77" s="182">
        <f>($C$72-SUM($C$76:E76))*$B$14</f>
        <v>72962.962962962964</v>
      </c>
      <c r="G77" s="182">
        <f>($C$72-SUM($C$76:F76))*$B$14</f>
        <v>58370.370370370365</v>
      </c>
      <c r="H77" s="182">
        <f>($C$72-SUM($C$76:G76))*$B$14</f>
        <v>43777.777777777781</v>
      </c>
      <c r="I77" s="182">
        <f>($C$72-SUM($C$76:H76))*$B$14</f>
        <v>29185.185185185186</v>
      </c>
      <c r="J77" s="182">
        <f>($C$72-SUM($C$76:I76))*$B$14</f>
        <v>14592.592592592593</v>
      </c>
      <c r="K77" s="182">
        <f>($C$72-SUM($C$76:J76))*$B$14</f>
        <v>0</v>
      </c>
      <c r="L77" s="182">
        <f>($C$72-SUM($C$76:K76))*$B$14</f>
        <v>0</v>
      </c>
      <c r="M77" s="182">
        <f>($C$72-SUM($C$76:L76))*$B$14</f>
        <v>0</v>
      </c>
      <c r="N77" s="182">
        <f>($C$72-SUM($C$76:M76))*$B$14</f>
        <v>0</v>
      </c>
      <c r="O77" s="182">
        <f>($C$72-SUM($C$76:N76))*$B$14</f>
        <v>0</v>
      </c>
      <c r="P77" s="182">
        <f>($C$72-SUM($C$76:O76))*$B$14</f>
        <v>0</v>
      </c>
      <c r="Q77" s="182">
        <f>($C$72-SUM($C$76:P76))*$B$14</f>
        <v>0</v>
      </c>
      <c r="R77" s="182">
        <f>($C$72-SUM($C$76:Q76))*$B$14</f>
        <v>0</v>
      </c>
      <c r="S77" s="182">
        <f>($C$72-SUM($C$76:R76))*$B$14</f>
        <v>0</v>
      </c>
      <c r="T77" s="182">
        <f>($C$72-SUM($C$76:S76))*$B$14</f>
        <v>0</v>
      </c>
      <c r="U77" s="182">
        <f>($C$72-SUM($C$76:T76))*$B$14</f>
        <v>0</v>
      </c>
      <c r="V77" s="182">
        <f>($C$72-SUM($C$76:U76))*$B$14</f>
        <v>0</v>
      </c>
      <c r="W77" s="182">
        <f>($C$72-SUM($C$76:V76))*$B$14</f>
        <v>0</v>
      </c>
      <c r="X77" s="182">
        <f>($C$72-SUM($C$76:W76))*$B$14</f>
        <v>0</v>
      </c>
      <c r="Y77" s="182">
        <f>($C$72-SUM($C$76:X76))*$B$14</f>
        <v>0</v>
      </c>
      <c r="Z77" s="182">
        <f>($C$72-SUM($C$76:Y76))*$B$14</f>
        <v>0</v>
      </c>
      <c r="AA77" s="182">
        <f>($C$72-SUM($C$76:Z76))*$B$14</f>
        <v>0</v>
      </c>
      <c r="AB77" s="183">
        <f>($C$72-SUM($C$76:AA76))*$B$14</f>
        <v>0</v>
      </c>
      <c r="AC77" s="183">
        <f>($C$72-SUM($C$76:AB76))*$B$14</f>
        <v>0</v>
      </c>
      <c r="AD77" s="183">
        <f>($C$72-SUM($C$76:AC76))*$B$14</f>
        <v>0</v>
      </c>
      <c r="AE77" s="183">
        <f>($C$72-SUM($C$76:AD76))*$B$14</f>
        <v>0</v>
      </c>
      <c r="AF77" s="183">
        <f>($C$72-SUM($C$76:AE76))*$B$14</f>
        <v>0</v>
      </c>
      <c r="AG77" s="183">
        <f>($C$72-SUM($C$76:AF76))*$B$14</f>
        <v>0</v>
      </c>
      <c r="AH77" s="183">
        <f>($C$72-SUM($C$76:AG76))*$B$14</f>
        <v>0</v>
      </c>
    </row>
    <row r="78" spans="1:74" ht="13.5" customHeight="1" x14ac:dyDescent="0.25">
      <c r="A78" s="184"/>
      <c r="B78" s="185"/>
      <c r="C78" s="186"/>
      <c r="D78" s="187"/>
      <c r="E78" s="172">
        <v>1</v>
      </c>
      <c r="F78" s="172">
        <f>E78+1</f>
        <v>2</v>
      </c>
      <c r="G78" s="172">
        <f t="shared" ref="G78:AH78" si="24">F78+1</f>
        <v>3</v>
      </c>
      <c r="H78" s="172">
        <f t="shared" si="24"/>
        <v>4</v>
      </c>
      <c r="I78" s="172">
        <f t="shared" si="24"/>
        <v>5</v>
      </c>
      <c r="J78" s="172">
        <f t="shared" si="24"/>
        <v>6</v>
      </c>
      <c r="K78" s="172">
        <f t="shared" si="24"/>
        <v>7</v>
      </c>
      <c r="L78" s="172">
        <f t="shared" si="24"/>
        <v>8</v>
      </c>
      <c r="M78" s="172">
        <f t="shared" si="24"/>
        <v>9</v>
      </c>
      <c r="N78" s="172">
        <f t="shared" si="24"/>
        <v>10</v>
      </c>
      <c r="O78" s="172">
        <f t="shared" si="24"/>
        <v>11</v>
      </c>
      <c r="P78" s="172">
        <f t="shared" si="24"/>
        <v>12</v>
      </c>
      <c r="Q78" s="172">
        <f t="shared" si="24"/>
        <v>13</v>
      </c>
      <c r="R78" s="172">
        <f t="shared" si="24"/>
        <v>14</v>
      </c>
      <c r="S78" s="172">
        <f t="shared" si="24"/>
        <v>15</v>
      </c>
      <c r="T78" s="172">
        <f t="shared" si="24"/>
        <v>16</v>
      </c>
      <c r="U78" s="172">
        <f t="shared" si="24"/>
        <v>17</v>
      </c>
      <c r="V78" s="172">
        <f t="shared" si="24"/>
        <v>18</v>
      </c>
      <c r="W78" s="172">
        <f t="shared" si="24"/>
        <v>19</v>
      </c>
      <c r="X78" s="172">
        <f t="shared" si="24"/>
        <v>20</v>
      </c>
      <c r="Y78" s="172">
        <f t="shared" si="24"/>
        <v>21</v>
      </c>
      <c r="Z78" s="172">
        <f t="shared" si="24"/>
        <v>22</v>
      </c>
      <c r="AA78" s="172">
        <f t="shared" si="24"/>
        <v>23</v>
      </c>
      <c r="AB78" s="173">
        <f t="shared" si="24"/>
        <v>24</v>
      </c>
      <c r="AC78" s="173">
        <f t="shared" si="24"/>
        <v>25</v>
      </c>
      <c r="AD78" s="173">
        <f t="shared" si="24"/>
        <v>26</v>
      </c>
      <c r="AE78" s="173">
        <f t="shared" si="24"/>
        <v>27</v>
      </c>
      <c r="AF78" s="173">
        <f t="shared" si="24"/>
        <v>28</v>
      </c>
      <c r="AG78" s="173">
        <f t="shared" si="24"/>
        <v>29</v>
      </c>
      <c r="AH78" s="173">
        <f t="shared" si="24"/>
        <v>30</v>
      </c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</row>
    <row r="79" spans="1:74" s="16" customFormat="1" x14ac:dyDescent="0.25">
      <c r="A79" s="184">
        <f>A76+1</f>
        <v>2</v>
      </c>
      <c r="B79" s="188" t="s">
        <v>49</v>
      </c>
      <c r="C79" s="189"/>
      <c r="D79" s="190"/>
      <c r="E79" s="177">
        <f>IF($B$13&gt;E78,0,IF($D$72-(SUM($C$79:D79)+1)&gt;0,IF($B$12&gt;0,$D$72/$B$12,0),0))</f>
        <v>0</v>
      </c>
      <c r="F79" s="177">
        <f>IF($B$13&gt;F78,0,IF($D$72-(SUM($C$79:E79)+1)&gt;0,IF($B$12&gt;0,$D$72/$B$12,0),0))</f>
        <v>0</v>
      </c>
      <c r="G79" s="177">
        <f>IF($B$13&gt;G78,0,IF($D$72-(SUM($C$79:F79)+1)&gt;0,IF($B$12&gt;0,$D$72/$B$12,0),0))</f>
        <v>364814.81481481477</v>
      </c>
      <c r="H79" s="177">
        <f>IF($B$13&gt;H78,0,IF($D$72-(SUM($C$79:G79)+1)&gt;0,IF($B$12&gt;0,$D$72/$B$12,0),0))</f>
        <v>364814.81481481477</v>
      </c>
      <c r="I79" s="177">
        <f>IF($B$13&gt;I78,0,IF($D$72-(SUM($C$79:H79)+1)&gt;0,IF($B$12&gt;0,$D$72/$B$12,0),0))</f>
        <v>364814.81481481477</v>
      </c>
      <c r="J79" s="177">
        <f>IF($B$13&gt;J78,0,IF($D$72-(SUM($C$79:I79)+1)&gt;0,IF($B$12&gt;0,$D$72/$B$12,0),0))</f>
        <v>364814.81481481477</v>
      </c>
      <c r="K79" s="177">
        <f>IF($B$13&gt;K78,0,IF($D$72-(SUM($C$79:J79)+1)&gt;0,IF($B$12&gt;0,$D$72/$B$12,0),0))</f>
        <v>364814.81481481477</v>
      </c>
      <c r="L79" s="177">
        <f>IF($B$13&gt;L78,0,IF($D$72-(SUM($C$79:K79)+1)&gt;0,IF($B$12&gt;0,$D$72/$B$12,0),0))</f>
        <v>0</v>
      </c>
      <c r="M79" s="177">
        <f>IF($B$13&gt;M78,0,IF($D$72-(SUM($C$79:L79)+1)&gt;0,IF($B$12&gt;0,$D$72/$B$12,0),0))</f>
        <v>0</v>
      </c>
      <c r="N79" s="177">
        <f>IF($B$13&gt;N78,0,IF($D$72-(SUM($C$79:M79)+1)&gt;0,IF($B$12&gt;0,$D$72/$B$12,0),0))</f>
        <v>0</v>
      </c>
      <c r="O79" s="177">
        <f>IF($B$13&gt;O78,0,IF($D$72-(SUM($C$79:N79)+1)&gt;0,IF($B$12&gt;0,$D$72/$B$12,0),0))</f>
        <v>0</v>
      </c>
      <c r="P79" s="177">
        <f>IF($B$13&gt;P78,0,IF($D$72-(SUM($C$79:O79)+1)&gt;0,IF($B$12&gt;0,$D$72/$B$12,0),0))</f>
        <v>0</v>
      </c>
      <c r="Q79" s="177">
        <f>IF($B$13&gt;Q78,0,IF($D$72-(SUM($C$79:P79)+1)&gt;0,IF($B$12&gt;0,$D$72/$B$12,0),0))</f>
        <v>0</v>
      </c>
      <c r="R79" s="177">
        <f>IF($B$13&gt;R78,0,IF($D$72-(SUM($C$79:Q79)+1)&gt;0,IF($B$12&gt;0,$D$72/$B$12,0),0))</f>
        <v>0</v>
      </c>
      <c r="S79" s="177">
        <f>IF($B$13&gt;S78,0,IF($D$72-(SUM($C$79:R79)+1)&gt;0,IF($B$12&gt;0,$D$72/$B$12,0),0))</f>
        <v>0</v>
      </c>
      <c r="T79" s="177">
        <f>IF($B$13&gt;T78,0,IF($D$72-(SUM($C$79:S79)+1)&gt;0,IF($B$12&gt;0,$D$72/$B$12,0),0))</f>
        <v>0</v>
      </c>
      <c r="U79" s="177">
        <f>IF($B$13&gt;U78,0,IF($D$72-(SUM($C$79:T79)+1)&gt;0,IF($B$12&gt;0,$D$72/$B$12,0),0))</f>
        <v>0</v>
      </c>
      <c r="V79" s="177">
        <f>IF($B$13&gt;V78,0,IF($D$72-(SUM($C$79:U79)+1)&gt;0,IF($B$12&gt;0,$D$72/$B$12,0),0))</f>
        <v>0</v>
      </c>
      <c r="W79" s="177">
        <f>IF($B$13&gt;W78,0,IF($D$72-(SUM($C$79:V79)+1)&gt;0,IF($B$12&gt;0,$D$72/$B$12,0),0))</f>
        <v>0</v>
      </c>
      <c r="X79" s="177">
        <f>IF($B$13&gt;X78,0,IF($D$72-(SUM($C$79:W79)+1)&gt;0,IF($B$12&gt;0,$D$72/$B$12,0),0))</f>
        <v>0</v>
      </c>
      <c r="Y79" s="177">
        <f>IF($B$13&gt;Y78,0,IF($D$72-(SUM($C$79:X79)+1)&gt;0,IF($B$12&gt;0,$D$72/$B$12,0),0))</f>
        <v>0</v>
      </c>
      <c r="Z79" s="177">
        <f>IF($B$13&gt;Z78,0,IF($D$72-(SUM($C$79:Y79)+1)&gt;0,IF($B$12&gt;0,$D$72/$B$12,0),0))</f>
        <v>0</v>
      </c>
      <c r="AA79" s="177">
        <f>IF($B$13&gt;AA78,0,IF($D$72-(SUM($C$79:Z79)+1)&gt;0,IF($B$12&gt;0,$D$72/$B$12,0),0))</f>
        <v>0</v>
      </c>
      <c r="AB79" s="178">
        <f>IF($B$13&gt;AB78,0,IF($D$72-(SUM($C$79:AA79)+1)&gt;0,IF($B$12&gt;0,$D$72/$B$12,0),0))</f>
        <v>0</v>
      </c>
      <c r="AC79" s="178">
        <f>IF($B$13&gt;AC78,0,IF($D$72-(SUM($C$79:AB79)+1)&gt;0,IF($B$12&gt;0,$D$72/$B$12,0),0))</f>
        <v>0</v>
      </c>
      <c r="AD79" s="178">
        <f>IF($B$13&gt;AD78,0,IF($D$72-(SUM($C$79:AC79)+1)&gt;0,IF($B$12&gt;0,$D$72/$B$12,0),0))</f>
        <v>0</v>
      </c>
      <c r="AE79" s="178">
        <f>IF($B$13&gt;AE78,0,IF($D$72-(SUM($C$79:AD79)+1)&gt;0,IF($B$12&gt;0,$D$72/$B$12,0),0))</f>
        <v>0</v>
      </c>
      <c r="AF79" s="178">
        <f>IF($B$13&gt;AF78,0,IF($D$72-(SUM($C$79:AE79)+1)&gt;0,IF($B$12&gt;0,$D$72/$B$12,0),0))</f>
        <v>0</v>
      </c>
      <c r="AG79" s="178">
        <f>IF($B$13&gt;AG78,0,IF($D$72-(SUM($C$79:AF79)+1)&gt;0,IF($B$12&gt;0,$D$72/$B$12,0),0))</f>
        <v>0</v>
      </c>
      <c r="AH79" s="178">
        <f>IF($B$13&gt;AH78,0,IF($D$72-(SUM($C$79:AG79)+1)&gt;0,IF($B$12&gt;0,$D$72/$B$12,0),0))</f>
        <v>0</v>
      </c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  <c r="BI79" s="17"/>
      <c r="BJ79" s="17"/>
      <c r="BK79" s="17"/>
      <c r="BL79" s="17"/>
      <c r="BM79" s="17"/>
      <c r="BN79" s="17"/>
      <c r="BO79" s="17"/>
      <c r="BP79" s="17"/>
      <c r="BQ79" s="17"/>
      <c r="BR79" s="17"/>
      <c r="BS79" s="17"/>
      <c r="BT79" s="17"/>
      <c r="BU79" s="17"/>
      <c r="BV79" s="17"/>
    </row>
    <row r="80" spans="1:74" s="16" customFormat="1" x14ac:dyDescent="0.25">
      <c r="A80" s="191"/>
      <c r="B80" s="180" t="s">
        <v>50</v>
      </c>
      <c r="C80" s="192"/>
      <c r="D80" s="193"/>
      <c r="E80" s="182">
        <f>($D$72-SUM($C$79:D79))*$B$14</f>
        <v>72962.962962962964</v>
      </c>
      <c r="F80" s="182">
        <f>($D$72-SUM($C$79:E79))*$B$14</f>
        <v>72962.962962962964</v>
      </c>
      <c r="G80" s="182">
        <f>($D$72-SUM($C$79:F79))*$B$14</f>
        <v>72962.962962962964</v>
      </c>
      <c r="H80" s="182">
        <f>($D$72-SUM($C$79:G79))*$B$14</f>
        <v>58370.370370370365</v>
      </c>
      <c r="I80" s="182">
        <f>($D$72-SUM($C$79:H79))*$B$14</f>
        <v>43777.777777777781</v>
      </c>
      <c r="J80" s="182">
        <f>($D$72-SUM($C$79:I79))*$B$14</f>
        <v>29185.185185185186</v>
      </c>
      <c r="K80" s="182">
        <f>($D$72-SUM($C$79:J79))*$B$14</f>
        <v>14592.592592592593</v>
      </c>
      <c r="L80" s="182">
        <f>($D$72-SUM($C$79:K79))*$B$14</f>
        <v>0</v>
      </c>
      <c r="M80" s="182">
        <f>($D$72-SUM($C$79:L79))*$B$14</f>
        <v>0</v>
      </c>
      <c r="N80" s="182">
        <f>($D$72-SUM($C$79:M79))*$B$14</f>
        <v>0</v>
      </c>
      <c r="O80" s="182">
        <f>($D$72-SUM($C$79:N79))*$B$14</f>
        <v>0</v>
      </c>
      <c r="P80" s="182">
        <f>($D$72-SUM($C$79:O79))*$B$14</f>
        <v>0</v>
      </c>
      <c r="Q80" s="182">
        <f>($D$72-SUM($C$79:P79))*$B$14</f>
        <v>0</v>
      </c>
      <c r="R80" s="182">
        <f>($D$72-SUM($C$79:Q79))*$B$14</f>
        <v>0</v>
      </c>
      <c r="S80" s="182">
        <f>($D$72-SUM($C$79:R79))*$B$14</f>
        <v>0</v>
      </c>
      <c r="T80" s="182">
        <f>($D$72-SUM($C$79:S79))*$B$14</f>
        <v>0</v>
      </c>
      <c r="U80" s="182">
        <f>($D$72-SUM($C$79:T79))*$B$14</f>
        <v>0</v>
      </c>
      <c r="V80" s="182">
        <f>($D$72-SUM($C$79:U79))*$B$14</f>
        <v>0</v>
      </c>
      <c r="W80" s="182">
        <f>($D$72-SUM($C$79:V79))*$B$14</f>
        <v>0</v>
      </c>
      <c r="X80" s="182">
        <f>($D$72-SUM($C$79:W79))*$B$14</f>
        <v>0</v>
      </c>
      <c r="Y80" s="182">
        <f>($D$72-SUM($C$79:X79))*$B$14</f>
        <v>0</v>
      </c>
      <c r="Z80" s="182">
        <f>($D$72-SUM($C$79:Y79))*$B$14</f>
        <v>0</v>
      </c>
      <c r="AA80" s="182">
        <f>($D$72-SUM($C$79:Z79))*$B$14</f>
        <v>0</v>
      </c>
      <c r="AB80" s="183">
        <f>($D$72-SUM($C$79:AA79))*$B$14</f>
        <v>0</v>
      </c>
      <c r="AC80" s="183">
        <f>($D$72-SUM($C$79:AB79))*$B$14</f>
        <v>0</v>
      </c>
      <c r="AD80" s="183">
        <f>($D$72-SUM($C$79:AC79))*$B$14</f>
        <v>0</v>
      </c>
      <c r="AE80" s="183">
        <f>($D$72-SUM($C$79:AD79))*$B$14</f>
        <v>0</v>
      </c>
      <c r="AF80" s="183">
        <f>($D$72-SUM($C$79:AE79))*$B$14</f>
        <v>0</v>
      </c>
      <c r="AG80" s="183">
        <f>($D$72-SUM($C$79:AF79))*$B$14</f>
        <v>0</v>
      </c>
      <c r="AH80" s="183">
        <f>($D$72-SUM($C$79:AG79))*$B$14</f>
        <v>0</v>
      </c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  <c r="BI80" s="17"/>
      <c r="BJ80" s="17"/>
      <c r="BK80" s="17"/>
      <c r="BL80" s="17"/>
      <c r="BM80" s="17"/>
      <c r="BN80" s="17"/>
      <c r="BO80" s="17"/>
      <c r="BP80" s="17"/>
      <c r="BQ80" s="17"/>
      <c r="BR80" s="17"/>
      <c r="BS80" s="17"/>
      <c r="BT80" s="17"/>
      <c r="BU80" s="17"/>
      <c r="BV80" s="17"/>
    </row>
    <row r="81" spans="1:74" ht="12" customHeight="1" x14ac:dyDescent="0.25">
      <c r="A81" s="184"/>
      <c r="B81" s="185"/>
      <c r="C81" s="186"/>
      <c r="D81" s="187"/>
      <c r="E81" s="194"/>
      <c r="F81" s="172">
        <v>1</v>
      </c>
      <c r="G81" s="172">
        <f>F81+1</f>
        <v>2</v>
      </c>
      <c r="H81" s="172">
        <f t="shared" ref="H81:AH81" si="25">G81+1</f>
        <v>3</v>
      </c>
      <c r="I81" s="172">
        <f t="shared" si="25"/>
        <v>4</v>
      </c>
      <c r="J81" s="172">
        <f t="shared" si="25"/>
        <v>5</v>
      </c>
      <c r="K81" s="172">
        <f t="shared" si="25"/>
        <v>6</v>
      </c>
      <c r="L81" s="172">
        <f t="shared" si="25"/>
        <v>7</v>
      </c>
      <c r="M81" s="172">
        <f t="shared" si="25"/>
        <v>8</v>
      </c>
      <c r="N81" s="172">
        <f t="shared" si="25"/>
        <v>9</v>
      </c>
      <c r="O81" s="172">
        <f t="shared" si="25"/>
        <v>10</v>
      </c>
      <c r="P81" s="172">
        <f t="shared" si="25"/>
        <v>11</v>
      </c>
      <c r="Q81" s="172">
        <f t="shared" si="25"/>
        <v>12</v>
      </c>
      <c r="R81" s="172">
        <f t="shared" si="25"/>
        <v>13</v>
      </c>
      <c r="S81" s="172">
        <f t="shared" si="25"/>
        <v>14</v>
      </c>
      <c r="T81" s="172">
        <f t="shared" si="25"/>
        <v>15</v>
      </c>
      <c r="U81" s="172">
        <f t="shared" si="25"/>
        <v>16</v>
      </c>
      <c r="V81" s="172">
        <f t="shared" si="25"/>
        <v>17</v>
      </c>
      <c r="W81" s="172">
        <f t="shared" si="25"/>
        <v>18</v>
      </c>
      <c r="X81" s="172">
        <f t="shared" si="25"/>
        <v>19</v>
      </c>
      <c r="Y81" s="172">
        <f t="shared" si="25"/>
        <v>20</v>
      </c>
      <c r="Z81" s="172">
        <f t="shared" si="25"/>
        <v>21</v>
      </c>
      <c r="AA81" s="172">
        <f t="shared" si="25"/>
        <v>22</v>
      </c>
      <c r="AB81" s="173">
        <f t="shared" si="25"/>
        <v>23</v>
      </c>
      <c r="AC81" s="173">
        <f t="shared" si="25"/>
        <v>24</v>
      </c>
      <c r="AD81" s="173">
        <f t="shared" si="25"/>
        <v>25</v>
      </c>
      <c r="AE81" s="173">
        <f t="shared" si="25"/>
        <v>26</v>
      </c>
      <c r="AF81" s="173">
        <f t="shared" si="25"/>
        <v>27</v>
      </c>
      <c r="AG81" s="173">
        <f t="shared" si="25"/>
        <v>28</v>
      </c>
      <c r="AH81" s="173">
        <f t="shared" si="25"/>
        <v>29</v>
      </c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</row>
    <row r="82" spans="1:74" s="16" customFormat="1" x14ac:dyDescent="0.25">
      <c r="A82" s="184">
        <f>A79+1</f>
        <v>3</v>
      </c>
      <c r="B82" s="188" t="s">
        <v>49</v>
      </c>
      <c r="C82" s="189"/>
      <c r="D82" s="190"/>
      <c r="E82" s="190"/>
      <c r="F82" s="177">
        <f>IF($B$13&gt;F81,0,IF($E$72-(SUM($C$82:E82)+1)&gt;0,IF($B$12&gt;0,$E$72/$B$12,0),0))</f>
        <v>0</v>
      </c>
      <c r="G82" s="177">
        <f>IF($B$13&gt;G81,0,IF($E$72-(SUM($C$82:F82)+1)&gt;0,IF($B$12&gt;0,$E$72/$B$12,0),0))</f>
        <v>0</v>
      </c>
      <c r="H82" s="177">
        <f>IF($B$13&gt;H81,0,IF($E$72-(SUM($C$82:G82)+1)&gt;0,IF($B$12&gt;0,$E$72/$B$12,0),0))</f>
        <v>364814.81481481477</v>
      </c>
      <c r="I82" s="177">
        <f>IF($B$13&gt;I81,0,IF($E$72-(SUM($C$82:H82)+1)&gt;0,IF($B$12&gt;0,$E$72/$B$12,0),0))</f>
        <v>364814.81481481477</v>
      </c>
      <c r="J82" s="177">
        <f>IF($B$13&gt;J81,0,IF($E$72-(SUM($C$82:I82)+1)&gt;0,IF($B$12&gt;0,$E$72/$B$12,0),0))</f>
        <v>364814.81481481477</v>
      </c>
      <c r="K82" s="177">
        <f>IF($B$13&gt;K81,0,IF($E$72-(SUM($C$82:J82)+1)&gt;0,IF($B$12&gt;0,$E$72/$B$12,0),0))</f>
        <v>364814.81481481477</v>
      </c>
      <c r="L82" s="177">
        <f>IF($B$13&gt;L81,0,IF($E$72-(SUM($C$82:K82)+1)&gt;0,IF($B$12&gt;0,$E$72/$B$12,0),0))</f>
        <v>364814.81481481477</v>
      </c>
      <c r="M82" s="177">
        <f>IF($B$13&gt;M81,0,IF($E$72-(SUM($C$82:L82)+1)&gt;0,IF($B$12&gt;0,$E$72/$B$12,0),0))</f>
        <v>0</v>
      </c>
      <c r="N82" s="177">
        <f>IF($B$13&gt;N81,0,IF($E$72-(SUM($C$82:M82)+1)&gt;0,IF($B$12&gt;0,$E$72/$B$12,0),0))</f>
        <v>0</v>
      </c>
      <c r="O82" s="177">
        <f>IF($B$13&gt;O81,0,IF($E$72-(SUM($C$82:N82)+1)&gt;0,IF($B$12&gt;0,$E$72/$B$12,0),0))</f>
        <v>0</v>
      </c>
      <c r="P82" s="177">
        <f>IF($B$13&gt;P81,0,IF($E$72-(SUM($C$82:O82)+1)&gt;0,IF($B$12&gt;0,$E$72/$B$12,0),0))</f>
        <v>0</v>
      </c>
      <c r="Q82" s="177">
        <f>IF($B$13&gt;Q81,0,IF($E$72-(SUM($C$82:P82)+1)&gt;0,IF($B$12&gt;0,$E$72/$B$12,0),0))</f>
        <v>0</v>
      </c>
      <c r="R82" s="177">
        <f>IF($B$13&gt;R81,0,IF($E$72-(SUM($C$82:Q82)+1)&gt;0,IF($B$12&gt;0,$E$72/$B$12,0),0))</f>
        <v>0</v>
      </c>
      <c r="S82" s="177">
        <f>IF($B$13&gt;S81,0,IF($E$72-(SUM($C$82:R82)+1)&gt;0,IF($B$12&gt;0,$E$72/$B$12,0),0))</f>
        <v>0</v>
      </c>
      <c r="T82" s="177">
        <f>IF($B$13&gt;T81,0,IF($E$72-(SUM($C$82:S82)+1)&gt;0,IF($B$12&gt;0,$E$72/$B$12,0),0))</f>
        <v>0</v>
      </c>
      <c r="U82" s="177">
        <f>IF($B$13&gt;U81,0,IF($E$72-(SUM($C$82:T82)+1)&gt;0,IF($B$12&gt;0,$E$72/$B$12,0),0))</f>
        <v>0</v>
      </c>
      <c r="V82" s="177">
        <f>IF($B$13&gt;V81,0,IF($E$72-(SUM($C$82:U82)+1)&gt;0,IF($B$12&gt;0,$E$72/$B$12,0),0))</f>
        <v>0</v>
      </c>
      <c r="W82" s="177">
        <f>IF($B$13&gt;W81,0,IF($E$72-(SUM($C$82:V82)+1)&gt;0,IF($B$12&gt;0,$E$72/$B$12,0),0))</f>
        <v>0</v>
      </c>
      <c r="X82" s="177">
        <f>IF($B$13&gt;X81,0,IF($E$72-(SUM($C$82:W82)+1)&gt;0,IF($B$12&gt;0,$E$72/$B$12,0),0))</f>
        <v>0</v>
      </c>
      <c r="Y82" s="177">
        <f>IF($B$13&gt;Y81,0,IF($E$72-(SUM($C$82:X82)+1)&gt;0,IF($B$12&gt;0,$E$72/$B$12,0),0))</f>
        <v>0</v>
      </c>
      <c r="Z82" s="177">
        <f>IF($B$13&gt;Z81,0,IF($E$72-(SUM($C$82:Y82)+1)&gt;0,IF($B$12&gt;0,$E$72/$B$12,0),0))</f>
        <v>0</v>
      </c>
      <c r="AA82" s="177">
        <f>IF($B$13&gt;AA81,0,IF($E$72-(SUM($C$82:Z82)+1)&gt;0,IF($B$12&gt;0,$E$72/$B$12,0),0))</f>
        <v>0</v>
      </c>
      <c r="AB82" s="178">
        <f>IF($B$13&gt;AB81,0,IF($E$72-(SUM($C$82:AA82)+1)&gt;0,IF($B$12&gt;0,$E$72/$B$12,0),0))</f>
        <v>0</v>
      </c>
      <c r="AC82" s="178">
        <f>IF($B$13&gt;AC81,0,IF($E$72-(SUM($C$82:AB82)+1)&gt;0,IF($B$12&gt;0,$E$72/$B$12,0),0))</f>
        <v>0</v>
      </c>
      <c r="AD82" s="178">
        <f>IF($B$13&gt;AD81,0,IF($E$72-(SUM($C$82:AC82)+1)&gt;0,IF($B$12&gt;0,$E$72/$B$12,0),0))</f>
        <v>0</v>
      </c>
      <c r="AE82" s="178">
        <f>IF($B$13&gt;AE81,0,IF($E$72-(SUM($C$82:AD82)+1)&gt;0,IF($B$12&gt;0,$E$72/$B$12,0),0))</f>
        <v>0</v>
      </c>
      <c r="AF82" s="178">
        <f>IF($B$13&gt;AF81,0,IF($E$72-(SUM($C$82:AE82)+1)&gt;0,IF($B$12&gt;0,$E$72/$B$12,0),0))</f>
        <v>0</v>
      </c>
      <c r="AG82" s="178">
        <f>IF($B$13&gt;AG81,0,IF($E$72-(SUM($C$82:AF82)+1)&gt;0,IF($B$12&gt;0,$E$72/$B$12,0),0))</f>
        <v>0</v>
      </c>
      <c r="AH82" s="178">
        <f>IF($B$13&gt;AH81,0,IF($E$72-(SUM($C$82:AG82)+1)&gt;0,IF($B$12&gt;0,$E$72/$B$12,0),0))</f>
        <v>0</v>
      </c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  <c r="BD82" s="17"/>
      <c r="BE82" s="17"/>
      <c r="BF82" s="17"/>
      <c r="BG82" s="17"/>
      <c r="BH82" s="17"/>
      <c r="BI82" s="17"/>
      <c r="BJ82" s="17"/>
      <c r="BK82" s="17"/>
      <c r="BL82" s="17"/>
      <c r="BM82" s="17"/>
      <c r="BN82" s="17"/>
      <c r="BO82" s="17"/>
      <c r="BP82" s="17"/>
      <c r="BQ82" s="17"/>
      <c r="BR82" s="17"/>
      <c r="BS82" s="17"/>
      <c r="BT82" s="17"/>
      <c r="BU82" s="17"/>
      <c r="BV82" s="17"/>
    </row>
    <row r="83" spans="1:74" s="16" customFormat="1" x14ac:dyDescent="0.25">
      <c r="A83" s="191"/>
      <c r="B83" s="180" t="s">
        <v>50</v>
      </c>
      <c r="C83" s="192"/>
      <c r="D83" s="193"/>
      <c r="E83" s="193"/>
      <c r="F83" s="182">
        <f>($E$72-SUM($C$82:E82))*$B$14</f>
        <v>72962.962962962964</v>
      </c>
      <c r="G83" s="182">
        <f>($E$72-SUM($C$82:F82))*$B$14</f>
        <v>72962.962962962964</v>
      </c>
      <c r="H83" s="182">
        <f>($E$72-SUM($C$82:G82))*$B$14</f>
        <v>72962.962962962964</v>
      </c>
      <c r="I83" s="182">
        <f>($E$72-SUM($C$82:H82))*$B$14</f>
        <v>58370.370370370365</v>
      </c>
      <c r="J83" s="182">
        <f>($E$72-SUM($C$82:I82))*$B$14</f>
        <v>43777.777777777781</v>
      </c>
      <c r="K83" s="182">
        <f>($E$72-SUM($C$82:J82))*$B$14</f>
        <v>29185.185185185186</v>
      </c>
      <c r="L83" s="182">
        <f>($E$72-SUM($C$82:K82))*$B$14</f>
        <v>14592.592592592593</v>
      </c>
      <c r="M83" s="182">
        <f>($E$72-SUM($C$82:L82))*$B$14</f>
        <v>0</v>
      </c>
      <c r="N83" s="182">
        <f>($E$72-SUM($C$82:M82))*$B$14</f>
        <v>0</v>
      </c>
      <c r="O83" s="182">
        <f>($E$72-SUM($C$82:N82))*$B$14</f>
        <v>0</v>
      </c>
      <c r="P83" s="182">
        <f>($E$72-SUM($C$82:O82))*$B$14</f>
        <v>0</v>
      </c>
      <c r="Q83" s="182">
        <f>($E$72-SUM($C$82:P82))*$B$14</f>
        <v>0</v>
      </c>
      <c r="R83" s="182">
        <f>($E$72-SUM($C$82:Q82))*$B$14</f>
        <v>0</v>
      </c>
      <c r="S83" s="182">
        <f>($E$72-SUM($C$82:R82))*$B$14</f>
        <v>0</v>
      </c>
      <c r="T83" s="182">
        <f>($E$72-SUM($C$82:S82))*$B$14</f>
        <v>0</v>
      </c>
      <c r="U83" s="182">
        <f>($E$72-SUM($C$82:T82))*$B$14</f>
        <v>0</v>
      </c>
      <c r="V83" s="182">
        <f>($E$72-SUM($C$82:U82))*$B$14</f>
        <v>0</v>
      </c>
      <c r="W83" s="182">
        <f>($E$72-SUM($C$82:V82))*$B$14</f>
        <v>0</v>
      </c>
      <c r="X83" s="182">
        <f>($E$72-SUM($C$82:W82))*$B$14</f>
        <v>0</v>
      </c>
      <c r="Y83" s="182">
        <f>($E$72-SUM($C$82:X82))*$B$14</f>
        <v>0</v>
      </c>
      <c r="Z83" s="182">
        <f>($E$72-SUM($C$82:Y82))*$B$14</f>
        <v>0</v>
      </c>
      <c r="AA83" s="182">
        <f>($E$72-SUM($C$82:Z82))*$B$14</f>
        <v>0</v>
      </c>
      <c r="AB83" s="183">
        <f>($E$72-SUM($C$82:AA82))*$B$14</f>
        <v>0</v>
      </c>
      <c r="AC83" s="183">
        <f>($E$72-SUM($C$82:AB82))*$B$14</f>
        <v>0</v>
      </c>
      <c r="AD83" s="183">
        <f>($E$72-SUM($C$82:AC82))*$B$14</f>
        <v>0</v>
      </c>
      <c r="AE83" s="183">
        <f>($E$72-SUM($C$82:AD82))*$B$14</f>
        <v>0</v>
      </c>
      <c r="AF83" s="183">
        <f>($E$72-SUM($C$82:AE82))*$B$14</f>
        <v>0</v>
      </c>
      <c r="AG83" s="183">
        <f>($E$72-SUM($C$82:AF82))*$B$14</f>
        <v>0</v>
      </c>
      <c r="AH83" s="183">
        <f>($E$72-SUM($C$82:AG82))*$B$14</f>
        <v>0</v>
      </c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  <c r="BH83" s="17"/>
      <c r="BI83" s="17"/>
      <c r="BJ83" s="17"/>
      <c r="BK83" s="17"/>
      <c r="BL83" s="17"/>
      <c r="BM83" s="17"/>
      <c r="BN83" s="17"/>
      <c r="BO83" s="17"/>
      <c r="BP83" s="17"/>
      <c r="BQ83" s="17"/>
      <c r="BR83" s="17"/>
      <c r="BS83" s="17"/>
      <c r="BT83" s="17"/>
      <c r="BU83" s="17"/>
      <c r="BV83" s="17"/>
    </row>
    <row r="84" spans="1:74" ht="15" customHeight="1" x14ac:dyDescent="0.25">
      <c r="A84" s="184"/>
      <c r="B84" s="185"/>
      <c r="C84" s="186"/>
      <c r="D84" s="187"/>
      <c r="E84" s="194"/>
      <c r="F84" s="194"/>
      <c r="G84" s="172">
        <v>1</v>
      </c>
      <c r="H84" s="172">
        <f>G84+1</f>
        <v>2</v>
      </c>
      <c r="I84" s="172">
        <f t="shared" ref="I84:AH84" si="26">H84+1</f>
        <v>3</v>
      </c>
      <c r="J84" s="172">
        <f t="shared" si="26"/>
        <v>4</v>
      </c>
      <c r="K84" s="172">
        <f t="shared" si="26"/>
        <v>5</v>
      </c>
      <c r="L84" s="172">
        <f t="shared" si="26"/>
        <v>6</v>
      </c>
      <c r="M84" s="172">
        <f t="shared" si="26"/>
        <v>7</v>
      </c>
      <c r="N84" s="172">
        <f t="shared" si="26"/>
        <v>8</v>
      </c>
      <c r="O84" s="172">
        <f t="shared" si="26"/>
        <v>9</v>
      </c>
      <c r="P84" s="172">
        <f t="shared" si="26"/>
        <v>10</v>
      </c>
      <c r="Q84" s="172">
        <f t="shared" si="26"/>
        <v>11</v>
      </c>
      <c r="R84" s="172">
        <f t="shared" si="26"/>
        <v>12</v>
      </c>
      <c r="S84" s="172">
        <f t="shared" si="26"/>
        <v>13</v>
      </c>
      <c r="T84" s="172">
        <f t="shared" si="26"/>
        <v>14</v>
      </c>
      <c r="U84" s="172">
        <f t="shared" si="26"/>
        <v>15</v>
      </c>
      <c r="V84" s="172">
        <f t="shared" si="26"/>
        <v>16</v>
      </c>
      <c r="W84" s="172">
        <f t="shared" si="26"/>
        <v>17</v>
      </c>
      <c r="X84" s="172">
        <f t="shared" si="26"/>
        <v>18</v>
      </c>
      <c r="Y84" s="172">
        <f t="shared" si="26"/>
        <v>19</v>
      </c>
      <c r="Z84" s="172">
        <f t="shared" si="26"/>
        <v>20</v>
      </c>
      <c r="AA84" s="172">
        <f t="shared" si="26"/>
        <v>21</v>
      </c>
      <c r="AB84" s="173">
        <f t="shared" si="26"/>
        <v>22</v>
      </c>
      <c r="AC84" s="173">
        <f t="shared" si="26"/>
        <v>23</v>
      </c>
      <c r="AD84" s="173">
        <f t="shared" si="26"/>
        <v>24</v>
      </c>
      <c r="AE84" s="173">
        <f t="shared" si="26"/>
        <v>25</v>
      </c>
      <c r="AF84" s="173">
        <f t="shared" si="26"/>
        <v>26</v>
      </c>
      <c r="AG84" s="173">
        <f t="shared" si="26"/>
        <v>27</v>
      </c>
      <c r="AH84" s="173">
        <f t="shared" si="26"/>
        <v>28</v>
      </c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</row>
    <row r="85" spans="1:74" s="16" customFormat="1" x14ac:dyDescent="0.25">
      <c r="A85" s="184">
        <f>A82+1</f>
        <v>4</v>
      </c>
      <c r="B85" s="188" t="s">
        <v>49</v>
      </c>
      <c r="C85" s="189"/>
      <c r="D85" s="190"/>
      <c r="E85" s="190"/>
      <c r="F85" s="190"/>
      <c r="G85" s="177">
        <f>IF($B$13&gt;G84,0,IF($F$72-(SUM($C$85:F85)+1)&gt;0,IF($B$12&gt;0,$F$72/$B$12,0),0))</f>
        <v>0</v>
      </c>
      <c r="H85" s="177">
        <f>IF($B$13&gt;H84,0,IF($F$72-(SUM($C$85:G85)+1)&gt;0,IF($B$12&gt;0,$F$72/$B$12,0),0))</f>
        <v>0</v>
      </c>
      <c r="I85" s="177">
        <f>IF($B$13&gt;I84,0,IF($F$72-(SUM($C$85:H85)+1)&gt;0,IF($B$12&gt;0,$F$72/$B$12,0),0))</f>
        <v>364814.81481481477</v>
      </c>
      <c r="J85" s="177">
        <f>IF($B$13&gt;J84,0,IF($F$72-(SUM($C$85:I85)+1)&gt;0,IF($B$12&gt;0,$F$72/$B$12,0),0))</f>
        <v>364814.81481481477</v>
      </c>
      <c r="K85" s="177">
        <f>IF($B$13&gt;K84,0,IF($F$72-(SUM($C$85:J85)+1)&gt;0,IF($B$12&gt;0,$F$72/$B$12,0),0))</f>
        <v>364814.81481481477</v>
      </c>
      <c r="L85" s="177">
        <f>IF($B$13&gt;L84,0,IF($F$72-(SUM($C$85:K85)+1)&gt;0,IF($B$12&gt;0,$F$72/$B$12,0),0))</f>
        <v>364814.81481481477</v>
      </c>
      <c r="M85" s="177">
        <f>IF($B$13&gt;M84,0,IF($F$72-(SUM($C$85:L85)+1)&gt;0,IF($B$12&gt;0,$F$72/$B$12,0),0))</f>
        <v>364814.81481481477</v>
      </c>
      <c r="N85" s="177">
        <f>IF($B$13&gt;N84,0,IF($F$72-(SUM($C$85:M85)+1)&gt;0,IF($B$12&gt;0,$F$72/$B$12,0),0))</f>
        <v>0</v>
      </c>
      <c r="O85" s="177">
        <f>IF($B$13&gt;O84,0,IF($F$72-(SUM($C$85:N85)+1)&gt;0,IF($B$12&gt;0,$F$72/$B$12,0),0))</f>
        <v>0</v>
      </c>
      <c r="P85" s="177">
        <f>IF($B$13&gt;P84,0,IF($F$72-(SUM($C$85:O85)+1)&gt;0,IF($B$12&gt;0,$F$72/$B$12,0),0))</f>
        <v>0</v>
      </c>
      <c r="Q85" s="177">
        <f>IF($B$13&gt;Q84,0,IF($F$72-(SUM($C$85:P85)+1)&gt;0,IF($B$12&gt;0,$F$72/$B$12,0),0))</f>
        <v>0</v>
      </c>
      <c r="R85" s="177">
        <f>IF($B$13&gt;R84,0,IF($F$72-(SUM($C$85:Q85)+1)&gt;0,IF($B$12&gt;0,$F$72/$B$12,0),0))</f>
        <v>0</v>
      </c>
      <c r="S85" s="177">
        <f>IF($B$13&gt;S84,0,IF($F$72-(SUM($C$85:R85)+1)&gt;0,IF($B$12&gt;0,$F$72/$B$12,0),0))</f>
        <v>0</v>
      </c>
      <c r="T85" s="177">
        <f>IF($B$13&gt;T84,0,IF($F$72-(SUM($C$85:S85)+1)&gt;0,IF($B$12&gt;0,$F$72/$B$12,0),0))</f>
        <v>0</v>
      </c>
      <c r="U85" s="177">
        <f>IF($B$13&gt;U84,0,IF($F$72-(SUM($C$85:T85)+1)&gt;0,IF($B$12&gt;0,$F$72/$B$12,0),0))</f>
        <v>0</v>
      </c>
      <c r="V85" s="177">
        <f>IF($B$13&gt;V84,0,IF($F$72-(SUM($C$85:U85)+1)&gt;0,IF($B$12&gt;0,$F$72/$B$12,0),0))</f>
        <v>0</v>
      </c>
      <c r="W85" s="177">
        <f>IF($B$13&gt;W84,0,IF($F$72-(SUM($C$85:V85)+1)&gt;0,IF($B$12&gt;0,$F$72/$B$12,0),0))</f>
        <v>0</v>
      </c>
      <c r="X85" s="177">
        <f>IF($B$13&gt;X84,0,IF($F$72-(SUM($C$85:W85)+1)&gt;0,IF($B$12&gt;0,$F$72/$B$12,0),0))</f>
        <v>0</v>
      </c>
      <c r="Y85" s="177">
        <f>IF($B$13&gt;Y84,0,IF($F$72-(SUM($C$85:X85)+1)&gt;0,IF($B$12&gt;0,$F$72/$B$12,0),0))</f>
        <v>0</v>
      </c>
      <c r="Z85" s="177">
        <f>IF($B$13&gt;Z84,0,IF($F$72-(SUM($C$85:Y85)+1)&gt;0,IF($B$12&gt;0,$F$72/$B$12,0),0))</f>
        <v>0</v>
      </c>
      <c r="AA85" s="177">
        <f>IF($B$13&gt;AA84,0,IF($F$72-(SUM($C$85:Z85)+1)&gt;0,IF($B$12&gt;0,$F$72/$B$12,0),0))</f>
        <v>0</v>
      </c>
      <c r="AB85" s="178">
        <f>IF($B$13&gt;AB84,0,IF($F$72-(SUM($C$85:AA85)+1)&gt;0,IF($B$12&gt;0,$F$72/$B$12,0),0))</f>
        <v>0</v>
      </c>
      <c r="AC85" s="178">
        <f>IF($B$13&gt;AC84,0,IF($F$72-(SUM($C$85:AB85)+1)&gt;0,IF($B$12&gt;0,$F$72/$B$12,0),0))</f>
        <v>0</v>
      </c>
      <c r="AD85" s="178">
        <f>IF($B$13&gt;AD84,0,IF($F$72-(SUM($C$85:AC85)+1)&gt;0,IF($B$12&gt;0,$F$72/$B$12,0),0))</f>
        <v>0</v>
      </c>
      <c r="AE85" s="178">
        <f>IF($B$13&gt;AE84,0,IF($F$72-(SUM($C$85:AD85)+1)&gt;0,IF($B$12&gt;0,$F$72/$B$12,0),0))</f>
        <v>0</v>
      </c>
      <c r="AF85" s="178">
        <f>IF($B$13&gt;AF84,0,IF($F$72-(SUM($C$85:AE85)+1)&gt;0,IF($B$12&gt;0,$F$72/$B$12,0),0))</f>
        <v>0</v>
      </c>
      <c r="AG85" s="178">
        <f>IF($B$13&gt;AG84,0,IF($F$72-(SUM($C$85:AF85)+1)&gt;0,IF($B$12&gt;0,$F$72/$B$12,0),0))</f>
        <v>0</v>
      </c>
      <c r="AH85" s="178">
        <f>IF($B$13&gt;AH84,0,IF($F$72-(SUM($C$85:AG85)+1)&gt;0,IF($B$12&gt;0,$F$72/$B$12,0),0))</f>
        <v>0</v>
      </c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  <c r="BI85" s="17"/>
      <c r="BJ85" s="17"/>
      <c r="BK85" s="17"/>
      <c r="BL85" s="17"/>
      <c r="BM85" s="17"/>
      <c r="BN85" s="17"/>
      <c r="BO85" s="17"/>
      <c r="BP85" s="17"/>
      <c r="BQ85" s="17"/>
      <c r="BR85" s="17"/>
      <c r="BS85" s="17"/>
      <c r="BT85" s="17"/>
      <c r="BU85" s="17"/>
      <c r="BV85" s="17"/>
    </row>
    <row r="86" spans="1:74" s="16" customFormat="1" x14ac:dyDescent="0.25">
      <c r="A86" s="191"/>
      <c r="B86" s="180" t="s">
        <v>50</v>
      </c>
      <c r="C86" s="192"/>
      <c r="D86" s="193"/>
      <c r="E86" s="193"/>
      <c r="F86" s="193"/>
      <c r="G86" s="182">
        <f>($F$72-SUM($C$85:F85))*$B$14</f>
        <v>72962.962962962964</v>
      </c>
      <c r="H86" s="182">
        <f>($F$72-SUM($C$85:G85))*$B$14</f>
        <v>72962.962962962964</v>
      </c>
      <c r="I86" s="182">
        <f>($F$72-SUM($C$85:H85))*$B$14</f>
        <v>72962.962962962964</v>
      </c>
      <c r="J86" s="182">
        <f>($F$72-SUM($C$85:I85))*$B$14</f>
        <v>58370.370370370365</v>
      </c>
      <c r="K86" s="182">
        <f>($F$72-SUM($C$85:J85))*$B$14</f>
        <v>43777.777777777781</v>
      </c>
      <c r="L86" s="182">
        <f>($F$72-SUM($C$85:K85))*$B$14</f>
        <v>29185.185185185186</v>
      </c>
      <c r="M86" s="182">
        <f>($F$72-SUM($C$85:L85))*$B$14</f>
        <v>14592.592592592593</v>
      </c>
      <c r="N86" s="182">
        <f>($F$72-SUM($C$85:M85))*$B$14</f>
        <v>0</v>
      </c>
      <c r="O86" s="182">
        <f>($F$72-SUM($C$85:N85))*$B$14</f>
        <v>0</v>
      </c>
      <c r="P86" s="182">
        <f>($F$72-SUM($C$85:O85))*$B$14</f>
        <v>0</v>
      </c>
      <c r="Q86" s="182">
        <f>($F$72-SUM($C$85:P85))*$B$14</f>
        <v>0</v>
      </c>
      <c r="R86" s="182">
        <f>($F$72-SUM($C$85:Q85))*$B$14</f>
        <v>0</v>
      </c>
      <c r="S86" s="182">
        <f>($F$72-SUM($C$85:R85))*$B$14</f>
        <v>0</v>
      </c>
      <c r="T86" s="182">
        <f>($F$72-SUM($C$85:S85))*$B$14</f>
        <v>0</v>
      </c>
      <c r="U86" s="182">
        <f>($F$72-SUM($C$85:T85))*$B$14</f>
        <v>0</v>
      </c>
      <c r="V86" s="182">
        <f>($F$72-SUM($C$85:U85))*$B$14</f>
        <v>0</v>
      </c>
      <c r="W86" s="182">
        <f>($F$72-SUM($C$85:V85))*$B$14</f>
        <v>0</v>
      </c>
      <c r="X86" s="182">
        <f>($F$72-SUM($C$85:W85))*$B$14</f>
        <v>0</v>
      </c>
      <c r="Y86" s="182">
        <f>($F$72-SUM($C$85:X85))*$B$14</f>
        <v>0</v>
      </c>
      <c r="Z86" s="182">
        <f>($F$72-SUM($C$85:Y85))*$B$14</f>
        <v>0</v>
      </c>
      <c r="AA86" s="182">
        <f>($F$72-SUM($C$85:Z85))*$B$14</f>
        <v>0</v>
      </c>
      <c r="AB86" s="183">
        <f>($F$72-SUM($C$85:AA85))*$B$14</f>
        <v>0</v>
      </c>
      <c r="AC86" s="183">
        <f>($F$72-SUM($C$85:AB85))*$B$14</f>
        <v>0</v>
      </c>
      <c r="AD86" s="183">
        <f>($F$72-SUM($C$85:AC85))*$B$14</f>
        <v>0</v>
      </c>
      <c r="AE86" s="183">
        <f>($F$72-SUM($C$85:AD85))*$B$14</f>
        <v>0</v>
      </c>
      <c r="AF86" s="183">
        <f>($F$72-SUM($C$85:AE85))*$B$14</f>
        <v>0</v>
      </c>
      <c r="AG86" s="183">
        <f>($F$72-SUM($C$85:AF85))*$B$14</f>
        <v>0</v>
      </c>
      <c r="AH86" s="183">
        <f>($F$72-SUM($C$85:AG85))*$B$14</f>
        <v>0</v>
      </c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  <c r="BD86" s="17"/>
      <c r="BE86" s="17"/>
      <c r="BF86" s="17"/>
      <c r="BG86" s="17"/>
      <c r="BH86" s="17"/>
      <c r="BI86" s="17"/>
      <c r="BJ86" s="17"/>
      <c r="BK86" s="17"/>
      <c r="BL86" s="17"/>
      <c r="BM86" s="17"/>
      <c r="BN86" s="17"/>
      <c r="BO86" s="17"/>
      <c r="BP86" s="17"/>
      <c r="BQ86" s="17"/>
      <c r="BR86" s="17"/>
      <c r="BS86" s="17"/>
      <c r="BT86" s="17"/>
      <c r="BU86" s="17"/>
      <c r="BV86" s="17"/>
    </row>
    <row r="87" spans="1:74" ht="9" customHeight="1" x14ac:dyDescent="0.25">
      <c r="A87" s="184"/>
      <c r="B87" s="185"/>
      <c r="C87" s="186"/>
      <c r="D87" s="187"/>
      <c r="E87" s="194"/>
      <c r="F87" s="194"/>
      <c r="G87" s="194"/>
      <c r="H87" s="172">
        <v>1</v>
      </c>
      <c r="I87" s="172">
        <f>H87+1</f>
        <v>2</v>
      </c>
      <c r="J87" s="172">
        <f t="shared" ref="J87:AH87" si="27">I87+1</f>
        <v>3</v>
      </c>
      <c r="K87" s="172">
        <f t="shared" si="27"/>
        <v>4</v>
      </c>
      <c r="L87" s="172">
        <f t="shared" si="27"/>
        <v>5</v>
      </c>
      <c r="M87" s="172">
        <f t="shared" si="27"/>
        <v>6</v>
      </c>
      <c r="N87" s="172">
        <f t="shared" si="27"/>
        <v>7</v>
      </c>
      <c r="O87" s="172">
        <f t="shared" si="27"/>
        <v>8</v>
      </c>
      <c r="P87" s="172">
        <f t="shared" si="27"/>
        <v>9</v>
      </c>
      <c r="Q87" s="172">
        <f t="shared" si="27"/>
        <v>10</v>
      </c>
      <c r="R87" s="172">
        <f t="shared" si="27"/>
        <v>11</v>
      </c>
      <c r="S87" s="172">
        <f t="shared" si="27"/>
        <v>12</v>
      </c>
      <c r="T87" s="172">
        <f t="shared" si="27"/>
        <v>13</v>
      </c>
      <c r="U87" s="172">
        <f t="shared" si="27"/>
        <v>14</v>
      </c>
      <c r="V87" s="172">
        <f t="shared" si="27"/>
        <v>15</v>
      </c>
      <c r="W87" s="172">
        <f t="shared" si="27"/>
        <v>16</v>
      </c>
      <c r="X87" s="172">
        <f t="shared" si="27"/>
        <v>17</v>
      </c>
      <c r="Y87" s="172">
        <f t="shared" si="27"/>
        <v>18</v>
      </c>
      <c r="Z87" s="172">
        <f t="shared" si="27"/>
        <v>19</v>
      </c>
      <c r="AA87" s="172">
        <f t="shared" si="27"/>
        <v>20</v>
      </c>
      <c r="AB87" s="173">
        <f t="shared" si="27"/>
        <v>21</v>
      </c>
      <c r="AC87" s="173">
        <f t="shared" si="27"/>
        <v>22</v>
      </c>
      <c r="AD87" s="173">
        <f t="shared" si="27"/>
        <v>23</v>
      </c>
      <c r="AE87" s="173">
        <f t="shared" si="27"/>
        <v>24</v>
      </c>
      <c r="AF87" s="173">
        <f t="shared" si="27"/>
        <v>25</v>
      </c>
      <c r="AG87" s="173">
        <f t="shared" si="27"/>
        <v>26</v>
      </c>
      <c r="AH87" s="173">
        <f t="shared" si="27"/>
        <v>27</v>
      </c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</row>
    <row r="88" spans="1:74" s="16" customFormat="1" x14ac:dyDescent="0.25">
      <c r="A88" s="184">
        <f>A85+1</f>
        <v>5</v>
      </c>
      <c r="B88" s="188" t="s">
        <v>49</v>
      </c>
      <c r="C88" s="189"/>
      <c r="D88" s="190"/>
      <c r="E88" s="190"/>
      <c r="F88" s="190"/>
      <c r="G88" s="190"/>
      <c r="H88" s="177">
        <f>IF($B$13&gt;H87,0,IF($G$72-(SUM($C$88:G88)+1)&gt;0,IF($B$12&gt;0,$G$72/$B$12,0),0))</f>
        <v>0</v>
      </c>
      <c r="I88" s="177">
        <f>IF($B$13&gt;I87,0,IF($G$72-(SUM($C$88:H88)+1)&gt;0,IF($B$12&gt;0,$G$72/$B$12,0),0))</f>
        <v>0</v>
      </c>
      <c r="J88" s="177">
        <f>IF($B$13&gt;J87,0,IF($G$72-(SUM($C$88:I88)+1)&gt;0,IF($B$12&gt;0,$G$72/$B$12,0),0))</f>
        <v>364814.81481481483</v>
      </c>
      <c r="K88" s="177">
        <f>IF($B$13&gt;K87,0,IF($G$72-(SUM($C$88:J88)+1)&gt;0,IF($B$12&gt;0,$G$72/$B$12,0),0))</f>
        <v>364814.81481481483</v>
      </c>
      <c r="L88" s="177">
        <f>IF($B$13&gt;L87,0,IF($G$72-(SUM($C$88:K88)+1)&gt;0,IF($B$12&gt;0,$G$72/$B$12,0),0))</f>
        <v>364814.81481481483</v>
      </c>
      <c r="M88" s="177">
        <f>IF($B$13&gt;M87,0,IF($G$72-(SUM($C$88:L88)+1)&gt;0,IF($B$12&gt;0,$G$72/$B$12,0),0))</f>
        <v>364814.81481481483</v>
      </c>
      <c r="N88" s="177">
        <f>IF($B$13&gt;N87,0,IF($G$72-(SUM($C$88:M88)+1)&gt;0,IF($B$12&gt;0,$G$72/$B$12,0),0))</f>
        <v>364814.81481481483</v>
      </c>
      <c r="O88" s="177">
        <f>IF($B$13&gt;O87,0,IF($G$72-(SUM($C$88:N88)+1)&gt;0,IF($B$12&gt;0,$G$72/$B$12,0),0))</f>
        <v>0</v>
      </c>
      <c r="P88" s="177">
        <f>IF($B$13&gt;P87,0,IF($G$72-(SUM($C$88:O88)+1)&gt;0,IF($B$12&gt;0,$G$72/$B$12,0),0))</f>
        <v>0</v>
      </c>
      <c r="Q88" s="177">
        <f>IF($B$13&gt;Q87,0,IF($G$72-(SUM($C$88:P88)+1)&gt;0,IF($B$12&gt;0,$G$72/$B$12,0),0))</f>
        <v>0</v>
      </c>
      <c r="R88" s="177">
        <f>IF($B$13&gt;R87,0,IF($G$72-(SUM($C$88:Q88)+1)&gt;0,IF($B$12&gt;0,$G$72/$B$12,0),0))</f>
        <v>0</v>
      </c>
      <c r="S88" s="177">
        <f>IF($B$13&gt;S87,0,IF($G$72-(SUM($C$88:R88)+1)&gt;0,IF($B$12&gt;0,$G$72/$B$12,0),0))</f>
        <v>0</v>
      </c>
      <c r="T88" s="177">
        <f>IF($B$13&gt;T87,0,IF($G$72-(SUM($C$88:S88)+1)&gt;0,IF($B$12&gt;0,$G$72/$B$12,0),0))</f>
        <v>0</v>
      </c>
      <c r="U88" s="177">
        <f>IF($B$13&gt;U87,0,IF($G$72-(SUM($C$88:T88)+1)&gt;0,IF($B$12&gt;0,$G$72/$B$12,0),0))</f>
        <v>0</v>
      </c>
      <c r="V88" s="177">
        <f>IF($B$13&gt;V87,0,IF($G$72-(SUM($C$88:U88)+1)&gt;0,IF($B$12&gt;0,$G$72/$B$12,0),0))</f>
        <v>0</v>
      </c>
      <c r="W88" s="177">
        <f>IF($B$13&gt;W87,0,IF($G$72-(SUM($C$88:V88)+1)&gt;0,IF($B$12&gt;0,$G$72/$B$12,0),0))</f>
        <v>0</v>
      </c>
      <c r="X88" s="177">
        <f>IF($B$13&gt;X87,0,IF($G$72-(SUM($C$88:W88)+1)&gt;0,IF($B$12&gt;0,$G$72/$B$12,0),0))</f>
        <v>0</v>
      </c>
      <c r="Y88" s="177">
        <f>IF($B$13&gt;Y87,0,IF($G$72-(SUM($C$88:X88)+1)&gt;0,IF($B$12&gt;0,$G$72/$B$12,0),0))</f>
        <v>0</v>
      </c>
      <c r="Z88" s="177">
        <f>IF($B$13&gt;Z87,0,IF($G$72-(SUM($C$88:Y88)+1)&gt;0,IF($B$12&gt;0,$G$72/$B$12,0),0))</f>
        <v>0</v>
      </c>
      <c r="AA88" s="177">
        <f>IF($B$13&gt;AA87,0,IF($G$72-(SUM($C$88:Z88)+1)&gt;0,IF($B$12&gt;0,$G$72/$B$12,0),0))</f>
        <v>0</v>
      </c>
      <c r="AB88" s="178">
        <f>IF($B$13&gt;AB87,0,IF($G$72-(SUM($C$88:AA88)+1)&gt;0,IF($B$12&gt;0,$G$72/$B$12,0),0))</f>
        <v>0</v>
      </c>
      <c r="AC88" s="178">
        <f>IF($B$13&gt;AC87,0,IF($G$72-(SUM($C$88:AB88)+1)&gt;0,IF($B$12&gt;0,$G$72/$B$12,0),0))</f>
        <v>0</v>
      </c>
      <c r="AD88" s="178">
        <f>IF($B$13&gt;AD87,0,IF($G$72-(SUM($C$88:AC88)+1)&gt;0,IF($B$12&gt;0,$G$72/$B$12,0),0))</f>
        <v>0</v>
      </c>
      <c r="AE88" s="178">
        <f>IF($B$13&gt;AE87,0,IF($G$72-(SUM($C$88:AD88)+1)&gt;0,IF($B$12&gt;0,$G$72/$B$12,0),0))</f>
        <v>0</v>
      </c>
      <c r="AF88" s="178">
        <f>IF($B$13&gt;AF87,0,IF($G$72-(SUM($C$88:AE88)+1)&gt;0,IF($B$12&gt;0,$G$72/$B$12,0),0))</f>
        <v>0</v>
      </c>
      <c r="AG88" s="178">
        <f>IF($B$13&gt;AG87,0,IF($G$72-(SUM($C$88:AF88)+1)&gt;0,IF($B$12&gt;0,$G$72/$B$12,0),0))</f>
        <v>0</v>
      </c>
      <c r="AH88" s="178">
        <f>IF($B$13&gt;AH87,0,IF($G$72-(SUM($C$88:AG88)+1)&gt;0,IF($B$12&gt;0,$G$72/$B$12,0),0))</f>
        <v>0</v>
      </c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  <c r="BC88" s="17"/>
      <c r="BD88" s="17"/>
      <c r="BE88" s="17"/>
      <c r="BF88" s="17"/>
      <c r="BG88" s="17"/>
      <c r="BH88" s="17"/>
      <c r="BI88" s="17"/>
      <c r="BJ88" s="17"/>
      <c r="BK88" s="17"/>
      <c r="BL88" s="17"/>
      <c r="BM88" s="17"/>
      <c r="BN88" s="17"/>
      <c r="BO88" s="17"/>
      <c r="BP88" s="17"/>
      <c r="BQ88" s="17"/>
      <c r="BR88" s="17"/>
      <c r="BS88" s="17"/>
      <c r="BT88" s="17"/>
      <c r="BU88" s="17"/>
      <c r="BV88" s="17"/>
    </row>
    <row r="89" spans="1:74" s="16" customFormat="1" x14ac:dyDescent="0.25">
      <c r="A89" s="195"/>
      <c r="B89" s="180" t="s">
        <v>50</v>
      </c>
      <c r="C89" s="192"/>
      <c r="D89" s="193"/>
      <c r="E89" s="193"/>
      <c r="F89" s="193"/>
      <c r="G89" s="193"/>
      <c r="H89" s="182">
        <f>($G$72-SUM($C$88:G88))*$B$14</f>
        <v>72962.962962962964</v>
      </c>
      <c r="I89" s="182">
        <f>($G$72-SUM($C$88:H88))*$B$14</f>
        <v>72962.962962962964</v>
      </c>
      <c r="J89" s="182">
        <f>($G$72-SUM($C$88:I88))*$B$14</f>
        <v>72962.962962962964</v>
      </c>
      <c r="K89" s="182">
        <f>($G$72-SUM($C$88:J88))*$B$14</f>
        <v>58370.370370370372</v>
      </c>
      <c r="L89" s="182">
        <f>($G$72-SUM($C$88:K88))*$B$14</f>
        <v>43777.777777777781</v>
      </c>
      <c r="M89" s="182">
        <f>($G$72-SUM($C$88:L88))*$B$14</f>
        <v>29185.185185185186</v>
      </c>
      <c r="N89" s="182">
        <f>($G$72-SUM($C$88:M88))*$B$14</f>
        <v>14592.592592592593</v>
      </c>
      <c r="O89" s="182">
        <f>($G$72-SUM($C$88:N88))*$B$14</f>
        <v>0</v>
      </c>
      <c r="P89" s="182">
        <f>($G$72-SUM($C$88:O88))*$B$14</f>
        <v>0</v>
      </c>
      <c r="Q89" s="182">
        <f>($G$72-SUM($C$88:P88))*$B$14</f>
        <v>0</v>
      </c>
      <c r="R89" s="182">
        <f>($G$72-SUM($C$88:Q88))*$B$14</f>
        <v>0</v>
      </c>
      <c r="S89" s="182">
        <f>($G$72-SUM($C$88:R88))*$B$14</f>
        <v>0</v>
      </c>
      <c r="T89" s="182">
        <f>($G$72-SUM($C$88:S88))*$B$14</f>
        <v>0</v>
      </c>
      <c r="U89" s="182">
        <f>($G$72-SUM($C$88:T88))*$B$14</f>
        <v>0</v>
      </c>
      <c r="V89" s="182">
        <f>($G$72-SUM($C$88:U88))*$B$14</f>
        <v>0</v>
      </c>
      <c r="W89" s="182">
        <f>($G$72-SUM($C$88:V88))*$B$14</f>
        <v>0</v>
      </c>
      <c r="X89" s="182">
        <f>($G$72-SUM($C$88:W88))*$B$14</f>
        <v>0</v>
      </c>
      <c r="Y89" s="182">
        <f>($G$72-SUM($C$88:X88))*$B$14</f>
        <v>0</v>
      </c>
      <c r="Z89" s="182">
        <f>($G$72-SUM($C$88:Y88))*$B$14</f>
        <v>0</v>
      </c>
      <c r="AA89" s="182">
        <f>($G$72-SUM($C$88:Z88))*$B$14</f>
        <v>0</v>
      </c>
      <c r="AB89" s="183">
        <f>($G$72-SUM($C$88:AA88))*$B$14</f>
        <v>0</v>
      </c>
      <c r="AC89" s="183">
        <f>($G$72-SUM($C$88:AB88))*$B$14</f>
        <v>0</v>
      </c>
      <c r="AD89" s="183">
        <f>($G$72-SUM($C$88:AC88))*$B$14</f>
        <v>0</v>
      </c>
      <c r="AE89" s="183">
        <f>($G$72-SUM($C$88:AD88))*$B$14</f>
        <v>0</v>
      </c>
      <c r="AF89" s="183">
        <f>($G$72-SUM($C$88:AE88))*$B$14</f>
        <v>0</v>
      </c>
      <c r="AG89" s="183">
        <f>($G$72-SUM($C$88:AF88))*$B$14</f>
        <v>0</v>
      </c>
      <c r="AH89" s="183">
        <f>($G$72-SUM($C$88:AG88))*$B$14</f>
        <v>0</v>
      </c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  <c r="BA89" s="17"/>
      <c r="BB89" s="17"/>
      <c r="BC89" s="17"/>
      <c r="BD89" s="17"/>
      <c r="BE89" s="17"/>
      <c r="BF89" s="17"/>
      <c r="BG89" s="17"/>
      <c r="BH89" s="17"/>
      <c r="BI89" s="17"/>
      <c r="BJ89" s="17"/>
      <c r="BK89" s="17"/>
      <c r="BL89" s="17"/>
      <c r="BM89" s="17"/>
      <c r="BN89" s="17"/>
      <c r="BO89" s="17"/>
      <c r="BP89" s="17"/>
      <c r="BQ89" s="17"/>
      <c r="BR89" s="17"/>
      <c r="BS89" s="17"/>
      <c r="BT89" s="17"/>
      <c r="BU89" s="17"/>
      <c r="BV89" s="17"/>
    </row>
    <row r="90" spans="1:74" ht="9" customHeight="1" x14ac:dyDescent="0.25">
      <c r="A90" s="184"/>
      <c r="B90" s="185"/>
      <c r="C90" s="186"/>
      <c r="D90" s="187"/>
      <c r="E90" s="194"/>
      <c r="F90" s="194"/>
      <c r="G90" s="194"/>
      <c r="H90" s="194"/>
      <c r="I90" s="172">
        <v>1</v>
      </c>
      <c r="J90" s="172">
        <f>I90+1</f>
        <v>2</v>
      </c>
      <c r="K90" s="172">
        <f t="shared" ref="K90:AH90" si="28">J90+1</f>
        <v>3</v>
      </c>
      <c r="L90" s="172">
        <f t="shared" si="28"/>
        <v>4</v>
      </c>
      <c r="M90" s="172">
        <f t="shared" si="28"/>
        <v>5</v>
      </c>
      <c r="N90" s="172">
        <f t="shared" si="28"/>
        <v>6</v>
      </c>
      <c r="O90" s="172">
        <f t="shared" si="28"/>
        <v>7</v>
      </c>
      <c r="P90" s="172">
        <f t="shared" si="28"/>
        <v>8</v>
      </c>
      <c r="Q90" s="172">
        <f t="shared" si="28"/>
        <v>9</v>
      </c>
      <c r="R90" s="172">
        <f t="shared" si="28"/>
        <v>10</v>
      </c>
      <c r="S90" s="172">
        <f t="shared" si="28"/>
        <v>11</v>
      </c>
      <c r="T90" s="172">
        <f t="shared" si="28"/>
        <v>12</v>
      </c>
      <c r="U90" s="172">
        <f t="shared" si="28"/>
        <v>13</v>
      </c>
      <c r="V90" s="172">
        <f t="shared" si="28"/>
        <v>14</v>
      </c>
      <c r="W90" s="172">
        <f t="shared" si="28"/>
        <v>15</v>
      </c>
      <c r="X90" s="172">
        <f t="shared" si="28"/>
        <v>16</v>
      </c>
      <c r="Y90" s="172">
        <f t="shared" si="28"/>
        <v>17</v>
      </c>
      <c r="Z90" s="172">
        <f t="shared" si="28"/>
        <v>18</v>
      </c>
      <c r="AA90" s="172">
        <f t="shared" si="28"/>
        <v>19</v>
      </c>
      <c r="AB90" s="173">
        <f t="shared" si="28"/>
        <v>20</v>
      </c>
      <c r="AC90" s="173">
        <f t="shared" si="28"/>
        <v>21</v>
      </c>
      <c r="AD90" s="173">
        <f t="shared" si="28"/>
        <v>22</v>
      </c>
      <c r="AE90" s="173">
        <f t="shared" si="28"/>
        <v>23</v>
      </c>
      <c r="AF90" s="173">
        <f t="shared" si="28"/>
        <v>24</v>
      </c>
      <c r="AG90" s="173">
        <f t="shared" si="28"/>
        <v>25</v>
      </c>
      <c r="AH90" s="173">
        <f t="shared" si="28"/>
        <v>26</v>
      </c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19"/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</row>
    <row r="91" spans="1:74" s="16" customFormat="1" x14ac:dyDescent="0.25">
      <c r="A91" s="184">
        <f>A88+1</f>
        <v>6</v>
      </c>
      <c r="B91" s="188" t="s">
        <v>49</v>
      </c>
      <c r="C91" s="189"/>
      <c r="D91" s="190"/>
      <c r="E91" s="190"/>
      <c r="F91" s="190"/>
      <c r="G91" s="190"/>
      <c r="H91" s="190"/>
      <c r="I91" s="177">
        <f>IF($B$13&gt;I90,0,IF($H$72-(SUM($C$91:H91)+1)&gt;0,IF($B$12&gt;0,$H$72/$B$12,0),0))</f>
        <v>0</v>
      </c>
      <c r="J91" s="177">
        <f>IF($B$13&gt;J90,0,IF($H$72-(SUM($C$91:I91)+1)&gt;0,IF($B$12&gt;0,$H$72/$B$12,0),0))</f>
        <v>0</v>
      </c>
      <c r="K91" s="177">
        <f>IF($B$13&gt;K90,0,IF($H$72-(SUM($C$91:J91)+1)&gt;0,IF($B$12&gt;0,$H$72/$B$12,0),0))</f>
        <v>364814.81481481483</v>
      </c>
      <c r="L91" s="177">
        <f>IF($B$13&gt;L90,0,IF($H$72-(SUM($C$91:K91)+1)&gt;0,IF($B$12&gt;0,$H$72/$B$12,0),0))</f>
        <v>364814.81481481483</v>
      </c>
      <c r="M91" s="177">
        <f>IF($B$13&gt;M90,0,IF($H$72-(SUM($C$91:L91)+1)&gt;0,IF($B$12&gt;0,$H$72/$B$12,0),0))</f>
        <v>364814.81481481483</v>
      </c>
      <c r="N91" s="177">
        <f>IF($B$13&gt;N90,0,IF($H$72-(SUM($C$91:M91)+1)&gt;0,IF($B$12&gt;0,$H$72/$B$12,0),0))</f>
        <v>364814.81481481483</v>
      </c>
      <c r="O91" s="177">
        <f>IF($B$13&gt;O90,0,IF($H$72-(SUM($C$91:N91)+1)&gt;0,IF($B$12&gt;0,$H$72/$B$12,0),0))</f>
        <v>364814.81481481483</v>
      </c>
      <c r="P91" s="177">
        <f>IF($B$13&gt;P90,0,IF($H$72-(SUM($C$91:O91)+1)&gt;0,IF($B$12&gt;0,$H$72/$B$12,0),0))</f>
        <v>0</v>
      </c>
      <c r="Q91" s="177">
        <f>IF($B$13&gt;Q90,0,IF($H$72-(SUM($C$91:P91)+1)&gt;0,IF($B$12&gt;0,$H$72/$B$12,0),0))</f>
        <v>0</v>
      </c>
      <c r="R91" s="177">
        <f>IF($B$13&gt;R90,0,IF($H$72-(SUM($C$91:Q91)+1)&gt;0,IF($B$12&gt;0,$H$72/$B$12,0),0))</f>
        <v>0</v>
      </c>
      <c r="S91" s="177">
        <f>IF($B$13&gt;S90,0,IF($H$72-(SUM($C$91:R91)+1)&gt;0,IF($B$12&gt;0,$H$72/$B$12,0),0))</f>
        <v>0</v>
      </c>
      <c r="T91" s="177">
        <f>IF($B$13&gt;T90,0,IF($H$72-(SUM($C$91:S91)+1)&gt;0,IF($B$12&gt;0,$H$72/$B$12,0),0))</f>
        <v>0</v>
      </c>
      <c r="U91" s="177">
        <f>IF($B$13&gt;U90,0,IF($H$72-(SUM($C$91:T91)+1)&gt;0,IF($B$12&gt;0,$H$72/$B$12,0),0))</f>
        <v>0</v>
      </c>
      <c r="V91" s="177">
        <f>IF($B$13&gt;V90,0,IF($H$72-(SUM($C$91:U91)+1)&gt;0,IF($B$12&gt;0,$H$72/$B$12,0),0))</f>
        <v>0</v>
      </c>
      <c r="W91" s="177">
        <f>IF($B$13&gt;W90,0,IF($H$72-(SUM($C$91:V91)+1)&gt;0,IF($B$12&gt;0,$H$72/$B$12,0),0))</f>
        <v>0</v>
      </c>
      <c r="X91" s="177">
        <f>IF($B$13&gt;X90,0,IF($H$72-(SUM($C$91:W91)+1)&gt;0,IF($B$12&gt;0,$H$72/$B$12,0),0))</f>
        <v>0</v>
      </c>
      <c r="Y91" s="177">
        <f>IF($B$13&gt;Y90,0,IF($H$72-(SUM($C$91:X91)+1)&gt;0,IF($B$12&gt;0,$H$72/$B$12,0),0))</f>
        <v>0</v>
      </c>
      <c r="Z91" s="177">
        <f>IF($B$13&gt;Z90,0,IF($H$72-(SUM($C$91:Y91)+1)&gt;0,IF($B$12&gt;0,$H$72/$B$12,0),0))</f>
        <v>0</v>
      </c>
      <c r="AA91" s="177">
        <f>IF($B$13&gt;AA90,0,IF($H$72-(SUM($C$91:Z91)+1)&gt;0,IF($B$12&gt;0,$H$72/$B$12,0),0))</f>
        <v>0</v>
      </c>
      <c r="AB91" s="178">
        <f>IF($B$13&gt;AB90,0,IF($H$72-(SUM($C$91:AA91)+1)&gt;0,IF($B$12&gt;0,$H$72/$B$12,0),0))</f>
        <v>0</v>
      </c>
      <c r="AC91" s="178">
        <f>IF($B$13&gt;AC90,0,IF($H$72-(SUM($C$91:AB91)+1)&gt;0,IF($B$12&gt;0,$H$72/$B$12,0),0))</f>
        <v>0</v>
      </c>
      <c r="AD91" s="178">
        <f>IF($B$13&gt;AD90,0,IF($H$72-(SUM($C$91:AC91)+1)&gt;0,IF($B$12&gt;0,$H$72/$B$12,0),0))</f>
        <v>0</v>
      </c>
      <c r="AE91" s="178">
        <f>IF($B$13&gt;AE90,0,IF($H$72-(SUM($C$91:AD91)+1)&gt;0,IF($B$12&gt;0,$H$72/$B$12,0),0))</f>
        <v>0</v>
      </c>
      <c r="AF91" s="178">
        <f>IF($B$13&gt;AF90,0,IF($H$72-(SUM($C$91:AE91)+1)&gt;0,IF($B$12&gt;0,$H$72/$B$12,0),0))</f>
        <v>0</v>
      </c>
      <c r="AG91" s="178">
        <f>IF($B$13&gt;AG90,0,IF($H$72-(SUM($C$91:AF91)+1)&gt;0,IF($B$12&gt;0,$H$72/$B$12,0),0))</f>
        <v>0</v>
      </c>
      <c r="AH91" s="178">
        <f>IF($B$13&gt;AH90,0,IF($H$72-(SUM($C$91:AG91)+1)&gt;0,IF($B$12&gt;0,$H$72/$B$12,0),0))</f>
        <v>0</v>
      </c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  <c r="BC91" s="17"/>
      <c r="BD91" s="17"/>
      <c r="BE91" s="17"/>
      <c r="BF91" s="17"/>
      <c r="BG91" s="17"/>
      <c r="BH91" s="17"/>
      <c r="BI91" s="17"/>
      <c r="BJ91" s="17"/>
      <c r="BK91" s="17"/>
      <c r="BL91" s="17"/>
      <c r="BM91" s="17"/>
      <c r="BN91" s="17"/>
      <c r="BO91" s="17"/>
      <c r="BP91" s="17"/>
      <c r="BQ91" s="17"/>
      <c r="BR91" s="17"/>
      <c r="BS91" s="17"/>
      <c r="BT91" s="17"/>
      <c r="BU91" s="17"/>
      <c r="BV91" s="17"/>
    </row>
    <row r="92" spans="1:74" s="16" customFormat="1" x14ac:dyDescent="0.25">
      <c r="A92" s="196"/>
      <c r="B92" s="180" t="s">
        <v>50</v>
      </c>
      <c r="C92" s="192"/>
      <c r="D92" s="193"/>
      <c r="E92" s="193"/>
      <c r="F92" s="193"/>
      <c r="G92" s="193"/>
      <c r="H92" s="193"/>
      <c r="I92" s="182">
        <f>($H$72-SUM($C$91:H91))*$B$14</f>
        <v>72962.962962962964</v>
      </c>
      <c r="J92" s="182">
        <f>($H$72-SUM($C$91:I91))*$B$14</f>
        <v>72962.962962962964</v>
      </c>
      <c r="K92" s="182">
        <f>($H$72-SUM($C$91:J91))*$B$14</f>
        <v>72962.962962962964</v>
      </c>
      <c r="L92" s="182">
        <f>($H$72-SUM($C$91:K91))*$B$14</f>
        <v>58370.370370370372</v>
      </c>
      <c r="M92" s="182">
        <f>($H$72-SUM($C$91:L91))*$B$14</f>
        <v>43777.777777777781</v>
      </c>
      <c r="N92" s="182">
        <f>($H$72-SUM($C$91:M91))*$B$14</f>
        <v>29185.185185185186</v>
      </c>
      <c r="O92" s="182">
        <f>($H$72-SUM($C$91:N91))*$B$14</f>
        <v>14592.592592592593</v>
      </c>
      <c r="P92" s="182">
        <f>($H$72-SUM($C$91:O91))*$B$14</f>
        <v>0</v>
      </c>
      <c r="Q92" s="182">
        <f>($H$72-SUM($C$91:P91))*$B$14</f>
        <v>0</v>
      </c>
      <c r="R92" s="182">
        <f>($H$72-SUM($C$91:Q91))*$B$14</f>
        <v>0</v>
      </c>
      <c r="S92" s="182">
        <f>($H$72-SUM($C$91:R91))*$B$14</f>
        <v>0</v>
      </c>
      <c r="T92" s="182">
        <f>($H$72-SUM($C$91:S91))*$B$14</f>
        <v>0</v>
      </c>
      <c r="U92" s="182">
        <f>($H$72-SUM($C$91:T91))*$B$14</f>
        <v>0</v>
      </c>
      <c r="V92" s="182">
        <f>($H$72-SUM($C$91:U91))*$B$14</f>
        <v>0</v>
      </c>
      <c r="W92" s="182">
        <f>($H$72-SUM($C$91:V91))*$B$14</f>
        <v>0</v>
      </c>
      <c r="X92" s="182">
        <f>($H$72-SUM($C$91:W91))*$B$14</f>
        <v>0</v>
      </c>
      <c r="Y92" s="182">
        <f>($H$72-SUM($C$91:X91))*$B$14</f>
        <v>0</v>
      </c>
      <c r="Z92" s="182">
        <f>($H$72-SUM($C$91:Y91))*$B$14</f>
        <v>0</v>
      </c>
      <c r="AA92" s="182">
        <f>($H$72-SUM($C$91:Z91))*$B$14</f>
        <v>0</v>
      </c>
      <c r="AB92" s="183">
        <f>($H$72-SUM($C$91:AA91))*$B$14</f>
        <v>0</v>
      </c>
      <c r="AC92" s="183">
        <f>($H$72-SUM($C$91:AB91))*$B$14</f>
        <v>0</v>
      </c>
      <c r="AD92" s="183">
        <f>($H$72-SUM($C$91:AC91))*$B$14</f>
        <v>0</v>
      </c>
      <c r="AE92" s="183">
        <f>($H$72-SUM($C$91:AD91))*$B$14</f>
        <v>0</v>
      </c>
      <c r="AF92" s="183">
        <f>($H$72-SUM($C$91:AE91))*$B$14</f>
        <v>0</v>
      </c>
      <c r="AG92" s="183">
        <f>($H$72-SUM($C$91:AF91))*$B$14</f>
        <v>0</v>
      </c>
      <c r="AH92" s="183">
        <f>($H$72-SUM($C$91:AG91))*$B$14</f>
        <v>0</v>
      </c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  <c r="BD92" s="17"/>
      <c r="BE92" s="17"/>
      <c r="BF92" s="17"/>
      <c r="BG92" s="17"/>
      <c r="BH92" s="17"/>
      <c r="BI92" s="17"/>
      <c r="BJ92" s="17"/>
      <c r="BK92" s="17"/>
      <c r="BL92" s="17"/>
      <c r="BM92" s="17"/>
      <c r="BN92" s="17"/>
      <c r="BO92" s="17"/>
      <c r="BP92" s="17"/>
      <c r="BQ92" s="17"/>
      <c r="BR92" s="17"/>
      <c r="BS92" s="17"/>
      <c r="BT92" s="17"/>
      <c r="BU92" s="17"/>
      <c r="BV92" s="17"/>
    </row>
    <row r="93" spans="1:74" x14ac:dyDescent="0.25">
      <c r="A93" s="40"/>
      <c r="B93" s="20"/>
      <c r="C93" s="34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29"/>
      <c r="AC93" s="29"/>
      <c r="AD93" s="29"/>
      <c r="AE93" s="29"/>
      <c r="AF93" s="29"/>
      <c r="AG93" s="29"/>
      <c r="AH93" s="29"/>
    </row>
    <row r="94" spans="1:74" s="21" customFormat="1" x14ac:dyDescent="0.25">
      <c r="A94" s="203" t="s">
        <v>60</v>
      </c>
      <c r="B94" s="199" t="s">
        <v>37</v>
      </c>
      <c r="C94" s="204">
        <f t="shared" ref="C94:AH94" si="29">C34</f>
        <v>0</v>
      </c>
      <c r="D94" s="204">
        <f t="shared" si="29"/>
        <v>196578.7376832295</v>
      </c>
      <c r="E94" s="204">
        <f t="shared" si="29"/>
        <v>375286.6810316199</v>
      </c>
      <c r="F94" s="204">
        <f t="shared" si="29"/>
        <v>537748.44771197485</v>
      </c>
      <c r="G94" s="204">
        <f t="shared" si="29"/>
        <v>685440.96287593385</v>
      </c>
      <c r="H94" s="204">
        <f t="shared" si="29"/>
        <v>819706.88575226034</v>
      </c>
      <c r="I94" s="204">
        <f t="shared" si="29"/>
        <v>941766.81563982985</v>
      </c>
      <c r="J94" s="204">
        <f t="shared" si="29"/>
        <v>941766.81563982985</v>
      </c>
      <c r="K94" s="204">
        <f t="shared" si="29"/>
        <v>941766.81563982985</v>
      </c>
      <c r="L94" s="204">
        <f t="shared" si="29"/>
        <v>941766.81563982985</v>
      </c>
      <c r="M94" s="204">
        <f t="shared" si="29"/>
        <v>941766.81563982985</v>
      </c>
      <c r="N94" s="204">
        <f t="shared" si="29"/>
        <v>941766.81563982985</v>
      </c>
      <c r="O94" s="204">
        <f t="shared" si="29"/>
        <v>941766.81563982985</v>
      </c>
      <c r="P94" s="204">
        <f t="shared" si="29"/>
        <v>941766.81563982985</v>
      </c>
      <c r="Q94" s="204">
        <f t="shared" si="29"/>
        <v>941766.81563982985</v>
      </c>
      <c r="R94" s="204">
        <f t="shared" si="29"/>
        <v>941766.81563982985</v>
      </c>
      <c r="S94" s="204">
        <f t="shared" si="29"/>
        <v>941766.81563982985</v>
      </c>
      <c r="T94" s="204">
        <f t="shared" si="29"/>
        <v>941766.81563982985</v>
      </c>
      <c r="U94" s="204">
        <f t="shared" si="29"/>
        <v>941766.81563982985</v>
      </c>
      <c r="V94" s="204">
        <f t="shared" si="29"/>
        <v>941766.81563982985</v>
      </c>
      <c r="W94" s="204">
        <f t="shared" si="29"/>
        <v>941766.81563982985</v>
      </c>
      <c r="X94" s="204">
        <f t="shared" si="29"/>
        <v>941766.81563982985</v>
      </c>
      <c r="Y94" s="204">
        <f t="shared" si="29"/>
        <v>941766.81563982985</v>
      </c>
      <c r="Z94" s="204">
        <f t="shared" si="29"/>
        <v>941766.81563982985</v>
      </c>
      <c r="AA94" s="204">
        <f t="shared" si="29"/>
        <v>941766.81563982985</v>
      </c>
      <c r="AB94" s="204">
        <f t="shared" si="29"/>
        <v>941766.81563982985</v>
      </c>
      <c r="AC94" s="204">
        <f t="shared" si="29"/>
        <v>941766.81563982985</v>
      </c>
      <c r="AD94" s="204">
        <f t="shared" si="29"/>
        <v>745188.07795660035</v>
      </c>
      <c r="AE94" s="204">
        <f t="shared" si="29"/>
        <v>566480.13460820983</v>
      </c>
      <c r="AF94" s="204">
        <f t="shared" si="29"/>
        <v>404018.36792785494</v>
      </c>
      <c r="AG94" s="204">
        <f t="shared" si="29"/>
        <v>256325.85276389593</v>
      </c>
      <c r="AH94" s="204">
        <f t="shared" si="29"/>
        <v>122059.92988756951</v>
      </c>
    </row>
    <row r="95" spans="1:74" s="21" customFormat="1" x14ac:dyDescent="0.25">
      <c r="A95" s="203" t="s">
        <v>55</v>
      </c>
      <c r="B95" s="199" t="s">
        <v>37</v>
      </c>
      <c r="C95" s="204">
        <f t="shared" ref="C95:AH95" si="30">C26</f>
        <v>0</v>
      </c>
      <c r="D95" s="204">
        <f t="shared" si="30"/>
        <v>165824.91582491584</v>
      </c>
      <c r="E95" s="204">
        <f t="shared" si="30"/>
        <v>316574.83930211206</v>
      </c>
      <c r="F95" s="204">
        <f t="shared" si="30"/>
        <v>453620.22428138135</v>
      </c>
      <c r="G95" s="204">
        <f t="shared" si="30"/>
        <v>578206.93789889885</v>
      </c>
      <c r="H95" s="204">
        <f t="shared" si="30"/>
        <v>691467.58664209663</v>
      </c>
      <c r="I95" s="204">
        <f t="shared" si="30"/>
        <v>794431.81277227646</v>
      </c>
      <c r="J95" s="204">
        <f t="shared" si="30"/>
        <v>794431.81277227646</v>
      </c>
      <c r="K95" s="204">
        <f t="shared" si="30"/>
        <v>794431.81277227646</v>
      </c>
      <c r="L95" s="204">
        <f t="shared" si="30"/>
        <v>794431.81277227646</v>
      </c>
      <c r="M95" s="204">
        <f t="shared" si="30"/>
        <v>794431.81277227646</v>
      </c>
      <c r="N95" s="204">
        <f t="shared" si="30"/>
        <v>794431.81277227646</v>
      </c>
      <c r="O95" s="204">
        <f t="shared" si="30"/>
        <v>794431.81277227646</v>
      </c>
      <c r="P95" s="204">
        <f t="shared" si="30"/>
        <v>794431.81277227646</v>
      </c>
      <c r="Q95" s="204">
        <f t="shared" si="30"/>
        <v>794431.81277227646</v>
      </c>
      <c r="R95" s="204">
        <f t="shared" si="30"/>
        <v>794431.81277227646</v>
      </c>
      <c r="S95" s="204">
        <f t="shared" si="30"/>
        <v>794431.81277227646</v>
      </c>
      <c r="T95" s="204">
        <f t="shared" si="30"/>
        <v>794431.81277227646</v>
      </c>
      <c r="U95" s="204">
        <f t="shared" si="30"/>
        <v>794431.81277227646</v>
      </c>
      <c r="V95" s="204">
        <f t="shared" si="30"/>
        <v>794431.81277227646</v>
      </c>
      <c r="W95" s="204">
        <f t="shared" si="30"/>
        <v>794431.81277227646</v>
      </c>
      <c r="X95" s="204">
        <f t="shared" si="30"/>
        <v>794431.81277227646</v>
      </c>
      <c r="Y95" s="204">
        <f t="shared" si="30"/>
        <v>794431.81277227646</v>
      </c>
      <c r="Z95" s="204">
        <f t="shared" si="30"/>
        <v>794431.81277227646</v>
      </c>
      <c r="AA95" s="204">
        <f t="shared" si="30"/>
        <v>794431.81277227646</v>
      </c>
      <c r="AB95" s="204">
        <f t="shared" si="30"/>
        <v>794431.81277227646</v>
      </c>
      <c r="AC95" s="204">
        <f t="shared" si="30"/>
        <v>794431.81277227646</v>
      </c>
      <c r="AD95" s="204">
        <f t="shared" si="30"/>
        <v>628606.8969473606</v>
      </c>
      <c r="AE95" s="204">
        <f t="shared" si="30"/>
        <v>477856.9734701644</v>
      </c>
      <c r="AF95" s="204">
        <f t="shared" si="30"/>
        <v>340811.58849089511</v>
      </c>
      <c r="AG95" s="204">
        <f t="shared" si="30"/>
        <v>216224.87487337762</v>
      </c>
      <c r="AH95" s="204">
        <f t="shared" si="30"/>
        <v>102964.22613017984</v>
      </c>
    </row>
    <row r="96" spans="1:74" s="21" customFormat="1" x14ac:dyDescent="0.25">
      <c r="A96" s="203" t="s">
        <v>56</v>
      </c>
      <c r="B96" s="199" t="s">
        <v>37</v>
      </c>
      <c r="C96" s="204">
        <f t="shared" ref="C96" si="31">C94-C95</f>
        <v>0</v>
      </c>
      <c r="D96" s="204">
        <f>D94-D95</f>
        <v>30753.821858313662</v>
      </c>
      <c r="E96" s="204">
        <f t="shared" ref="E96:AH96" si="32">E94-E95</f>
        <v>58711.84172950784</v>
      </c>
      <c r="F96" s="204">
        <f t="shared" si="32"/>
        <v>84128.223430593498</v>
      </c>
      <c r="G96" s="204">
        <f t="shared" si="32"/>
        <v>107234.02497703501</v>
      </c>
      <c r="H96" s="204">
        <f t="shared" si="32"/>
        <v>128239.2991101637</v>
      </c>
      <c r="I96" s="204">
        <f t="shared" si="32"/>
        <v>147335.00286755338</v>
      </c>
      <c r="J96" s="204">
        <f t="shared" si="32"/>
        <v>147335.00286755338</v>
      </c>
      <c r="K96" s="204">
        <f t="shared" si="32"/>
        <v>147335.00286755338</v>
      </c>
      <c r="L96" s="204">
        <f t="shared" si="32"/>
        <v>147335.00286755338</v>
      </c>
      <c r="M96" s="204">
        <f t="shared" si="32"/>
        <v>147335.00286755338</v>
      </c>
      <c r="N96" s="204">
        <f t="shared" si="32"/>
        <v>147335.00286755338</v>
      </c>
      <c r="O96" s="204">
        <f t="shared" si="32"/>
        <v>147335.00286755338</v>
      </c>
      <c r="P96" s="204">
        <f t="shared" si="32"/>
        <v>147335.00286755338</v>
      </c>
      <c r="Q96" s="204">
        <f t="shared" si="32"/>
        <v>147335.00286755338</v>
      </c>
      <c r="R96" s="204">
        <f t="shared" si="32"/>
        <v>147335.00286755338</v>
      </c>
      <c r="S96" s="204">
        <f t="shared" si="32"/>
        <v>147335.00286755338</v>
      </c>
      <c r="T96" s="204">
        <f t="shared" si="32"/>
        <v>147335.00286755338</v>
      </c>
      <c r="U96" s="204">
        <f t="shared" si="32"/>
        <v>147335.00286755338</v>
      </c>
      <c r="V96" s="204">
        <f t="shared" si="32"/>
        <v>147335.00286755338</v>
      </c>
      <c r="W96" s="204">
        <f t="shared" si="32"/>
        <v>147335.00286755338</v>
      </c>
      <c r="X96" s="204">
        <f t="shared" si="32"/>
        <v>147335.00286755338</v>
      </c>
      <c r="Y96" s="204">
        <f t="shared" si="32"/>
        <v>147335.00286755338</v>
      </c>
      <c r="Z96" s="204">
        <f t="shared" si="32"/>
        <v>147335.00286755338</v>
      </c>
      <c r="AA96" s="204">
        <f t="shared" si="32"/>
        <v>147335.00286755338</v>
      </c>
      <c r="AB96" s="204">
        <f t="shared" si="32"/>
        <v>147335.00286755338</v>
      </c>
      <c r="AC96" s="204">
        <f t="shared" si="32"/>
        <v>147335.00286755338</v>
      </c>
      <c r="AD96" s="204">
        <f t="shared" si="32"/>
        <v>116581.18100923975</v>
      </c>
      <c r="AE96" s="204">
        <f t="shared" si="32"/>
        <v>88623.161138045427</v>
      </c>
      <c r="AF96" s="204">
        <f t="shared" si="32"/>
        <v>63206.779436959827</v>
      </c>
      <c r="AG96" s="204">
        <f t="shared" si="32"/>
        <v>40100.977890518319</v>
      </c>
      <c r="AH96" s="204">
        <f t="shared" si="32"/>
        <v>19095.703757389667</v>
      </c>
    </row>
    <row r="97" spans="1:34" s="21" customFormat="1" x14ac:dyDescent="0.25">
      <c r="A97" s="203" t="s">
        <v>57</v>
      </c>
      <c r="B97" s="199" t="s">
        <v>37</v>
      </c>
      <c r="C97" s="204">
        <f>C71</f>
        <v>0</v>
      </c>
      <c r="D97" s="204">
        <f t="shared" ref="D97:AH97" si="33">D71</f>
        <v>72962.962962962964</v>
      </c>
      <c r="E97" s="204">
        <f t="shared" si="33"/>
        <v>145925.92592592593</v>
      </c>
      <c r="F97" s="204">
        <f t="shared" si="33"/>
        <v>218888.88888888888</v>
      </c>
      <c r="G97" s="204">
        <f t="shared" si="33"/>
        <v>277259.25925925927</v>
      </c>
      <c r="H97" s="204">
        <f t="shared" si="33"/>
        <v>321037.03703703708</v>
      </c>
      <c r="I97" s="204">
        <f t="shared" si="33"/>
        <v>350222.22222222225</v>
      </c>
      <c r="J97" s="204">
        <f t="shared" si="33"/>
        <v>291851.85185185185</v>
      </c>
      <c r="K97" s="204">
        <f t="shared" si="33"/>
        <v>218888.88888888888</v>
      </c>
      <c r="L97" s="204">
        <f t="shared" si="33"/>
        <v>145925.92592592593</v>
      </c>
      <c r="M97" s="204">
        <f t="shared" si="33"/>
        <v>87555.555555555562</v>
      </c>
      <c r="N97" s="204">
        <f t="shared" si="33"/>
        <v>43777.777777777781</v>
      </c>
      <c r="O97" s="204">
        <f t="shared" si="33"/>
        <v>14592.592592592593</v>
      </c>
      <c r="P97" s="204">
        <f t="shared" si="33"/>
        <v>0</v>
      </c>
      <c r="Q97" s="204">
        <f t="shared" si="33"/>
        <v>0</v>
      </c>
      <c r="R97" s="204">
        <f t="shared" si="33"/>
        <v>0</v>
      </c>
      <c r="S97" s="204">
        <f t="shared" si="33"/>
        <v>0</v>
      </c>
      <c r="T97" s="204">
        <f t="shared" si="33"/>
        <v>0</v>
      </c>
      <c r="U97" s="204">
        <f t="shared" si="33"/>
        <v>0</v>
      </c>
      <c r="V97" s="204">
        <f t="shared" si="33"/>
        <v>0</v>
      </c>
      <c r="W97" s="204">
        <f t="shared" si="33"/>
        <v>0</v>
      </c>
      <c r="X97" s="204">
        <f t="shared" si="33"/>
        <v>0</v>
      </c>
      <c r="Y97" s="204">
        <f t="shared" si="33"/>
        <v>0</v>
      </c>
      <c r="Z97" s="204">
        <f t="shared" si="33"/>
        <v>0</v>
      </c>
      <c r="AA97" s="204">
        <f t="shared" si="33"/>
        <v>0</v>
      </c>
      <c r="AB97" s="204">
        <f t="shared" si="33"/>
        <v>0</v>
      </c>
      <c r="AC97" s="204">
        <f t="shared" si="33"/>
        <v>0</v>
      </c>
      <c r="AD97" s="204">
        <f t="shared" si="33"/>
        <v>0</v>
      </c>
      <c r="AE97" s="204">
        <f t="shared" si="33"/>
        <v>0</v>
      </c>
      <c r="AF97" s="204">
        <f t="shared" si="33"/>
        <v>0</v>
      </c>
      <c r="AG97" s="204">
        <f t="shared" si="33"/>
        <v>0</v>
      </c>
      <c r="AH97" s="204">
        <f t="shared" si="33"/>
        <v>0</v>
      </c>
    </row>
    <row r="98" spans="1:34" s="21" customFormat="1" x14ac:dyDescent="0.25">
      <c r="A98" s="203" t="s">
        <v>58</v>
      </c>
      <c r="B98" s="199" t="s">
        <v>37</v>
      </c>
      <c r="C98" s="204">
        <f>C96-C97</f>
        <v>0</v>
      </c>
      <c r="D98" s="204">
        <f>D96-D97</f>
        <v>-42209.141104649301</v>
      </c>
      <c r="E98" s="204">
        <f t="shared" ref="E98:AH98" si="34">E96-E97</f>
        <v>-87214.084196418087</v>
      </c>
      <c r="F98" s="204">
        <f t="shared" si="34"/>
        <v>-134760.66545829538</v>
      </c>
      <c r="G98" s="204">
        <f t="shared" si="34"/>
        <v>-170025.23428222426</v>
      </c>
      <c r="H98" s="204">
        <f t="shared" si="34"/>
        <v>-192797.73792687338</v>
      </c>
      <c r="I98" s="204">
        <f t="shared" si="34"/>
        <v>-202887.21935466886</v>
      </c>
      <c r="J98" s="204">
        <f t="shared" si="34"/>
        <v>-144516.84898429847</v>
      </c>
      <c r="K98" s="204">
        <f t="shared" si="34"/>
        <v>-71553.886021335493</v>
      </c>
      <c r="L98" s="204">
        <f t="shared" si="34"/>
        <v>1409.0769416274561</v>
      </c>
      <c r="M98" s="204">
        <f t="shared" si="34"/>
        <v>59779.447311997821</v>
      </c>
      <c r="N98" s="204">
        <f t="shared" si="34"/>
        <v>103557.2250897756</v>
      </c>
      <c r="O98" s="204">
        <f t="shared" si="34"/>
        <v>132742.4102749608</v>
      </c>
      <c r="P98" s="204">
        <f t="shared" si="34"/>
        <v>147335.00286755338</v>
      </c>
      <c r="Q98" s="204">
        <f t="shared" si="34"/>
        <v>147335.00286755338</v>
      </c>
      <c r="R98" s="204">
        <f t="shared" si="34"/>
        <v>147335.00286755338</v>
      </c>
      <c r="S98" s="204">
        <f t="shared" si="34"/>
        <v>147335.00286755338</v>
      </c>
      <c r="T98" s="204">
        <f t="shared" si="34"/>
        <v>147335.00286755338</v>
      </c>
      <c r="U98" s="204">
        <f t="shared" si="34"/>
        <v>147335.00286755338</v>
      </c>
      <c r="V98" s="204">
        <f t="shared" si="34"/>
        <v>147335.00286755338</v>
      </c>
      <c r="W98" s="204">
        <f t="shared" si="34"/>
        <v>147335.00286755338</v>
      </c>
      <c r="X98" s="204">
        <f t="shared" si="34"/>
        <v>147335.00286755338</v>
      </c>
      <c r="Y98" s="204">
        <f t="shared" si="34"/>
        <v>147335.00286755338</v>
      </c>
      <c r="Z98" s="204">
        <f t="shared" si="34"/>
        <v>147335.00286755338</v>
      </c>
      <c r="AA98" s="204">
        <f t="shared" si="34"/>
        <v>147335.00286755338</v>
      </c>
      <c r="AB98" s="204">
        <f t="shared" si="34"/>
        <v>147335.00286755338</v>
      </c>
      <c r="AC98" s="204">
        <f t="shared" si="34"/>
        <v>147335.00286755338</v>
      </c>
      <c r="AD98" s="204">
        <f t="shared" si="34"/>
        <v>116581.18100923975</v>
      </c>
      <c r="AE98" s="204">
        <f t="shared" si="34"/>
        <v>88623.161138045427</v>
      </c>
      <c r="AF98" s="204">
        <f t="shared" si="34"/>
        <v>63206.779436959827</v>
      </c>
      <c r="AG98" s="204">
        <f t="shared" si="34"/>
        <v>40100.977890518319</v>
      </c>
      <c r="AH98" s="204">
        <f t="shared" si="34"/>
        <v>19095.703757389667</v>
      </c>
    </row>
    <row r="99" spans="1:34" s="21" customFormat="1" x14ac:dyDescent="0.25">
      <c r="A99" s="200" t="s">
        <v>61</v>
      </c>
      <c r="B99" s="199" t="s">
        <v>37</v>
      </c>
      <c r="C99" s="204">
        <v>0</v>
      </c>
      <c r="D99" s="204">
        <v>0</v>
      </c>
      <c r="E99" s="204">
        <v>0</v>
      </c>
      <c r="F99" s="204">
        <v>0</v>
      </c>
      <c r="G99" s="204">
        <v>0</v>
      </c>
      <c r="H99" s="204">
        <v>0</v>
      </c>
      <c r="I99" s="204">
        <v>0</v>
      </c>
      <c r="J99" s="204">
        <v>0</v>
      </c>
      <c r="K99" s="204">
        <v>0</v>
      </c>
      <c r="L99" s="204">
        <v>0</v>
      </c>
      <c r="M99" s="204">
        <v>0</v>
      </c>
      <c r="N99" s="204">
        <v>0</v>
      </c>
      <c r="O99" s="204">
        <v>0</v>
      </c>
      <c r="P99" s="204">
        <v>0</v>
      </c>
      <c r="Q99" s="204">
        <v>0</v>
      </c>
      <c r="R99" s="204">
        <v>0</v>
      </c>
      <c r="S99" s="204">
        <v>0</v>
      </c>
      <c r="T99" s="204">
        <v>0</v>
      </c>
      <c r="U99" s="204">
        <v>0</v>
      </c>
      <c r="V99" s="204">
        <v>0</v>
      </c>
      <c r="W99" s="204">
        <v>0</v>
      </c>
      <c r="X99" s="204">
        <v>0</v>
      </c>
      <c r="Y99" s="204">
        <v>0</v>
      </c>
      <c r="Z99" s="204">
        <v>0</v>
      </c>
      <c r="AA99" s="204">
        <v>0</v>
      </c>
      <c r="AB99" s="204">
        <v>0</v>
      </c>
      <c r="AC99" s="204">
        <v>0</v>
      </c>
      <c r="AD99" s="204">
        <v>0</v>
      </c>
      <c r="AE99" s="204">
        <v>0</v>
      </c>
      <c r="AF99" s="204">
        <v>0</v>
      </c>
      <c r="AG99" s="204">
        <v>0</v>
      </c>
      <c r="AH99" s="204">
        <v>0</v>
      </c>
    </row>
    <row r="100" spans="1:34" s="21" customFormat="1" x14ac:dyDescent="0.25">
      <c r="A100" s="203" t="s">
        <v>59</v>
      </c>
      <c r="B100" s="199" t="s">
        <v>37</v>
      </c>
      <c r="C100" s="204">
        <f>C98+C99</f>
        <v>0</v>
      </c>
      <c r="D100" s="204">
        <f>D98+D99</f>
        <v>-42209.141104649301</v>
      </c>
      <c r="E100" s="204">
        <f t="shared" ref="E100:AH100" si="35">E98+E99</f>
        <v>-87214.084196418087</v>
      </c>
      <c r="F100" s="204">
        <f t="shared" si="35"/>
        <v>-134760.66545829538</v>
      </c>
      <c r="G100" s="204">
        <f t="shared" si="35"/>
        <v>-170025.23428222426</v>
      </c>
      <c r="H100" s="204">
        <f t="shared" si="35"/>
        <v>-192797.73792687338</v>
      </c>
      <c r="I100" s="204">
        <f t="shared" si="35"/>
        <v>-202887.21935466886</v>
      </c>
      <c r="J100" s="204">
        <f t="shared" si="35"/>
        <v>-144516.84898429847</v>
      </c>
      <c r="K100" s="204">
        <f t="shared" si="35"/>
        <v>-71553.886021335493</v>
      </c>
      <c r="L100" s="204">
        <f t="shared" si="35"/>
        <v>1409.0769416274561</v>
      </c>
      <c r="M100" s="204">
        <f t="shared" si="35"/>
        <v>59779.447311997821</v>
      </c>
      <c r="N100" s="204">
        <f t="shared" si="35"/>
        <v>103557.2250897756</v>
      </c>
      <c r="O100" s="204">
        <f t="shared" si="35"/>
        <v>132742.4102749608</v>
      </c>
      <c r="P100" s="204">
        <f t="shared" si="35"/>
        <v>147335.00286755338</v>
      </c>
      <c r="Q100" s="204">
        <f t="shared" si="35"/>
        <v>147335.00286755338</v>
      </c>
      <c r="R100" s="204">
        <f t="shared" si="35"/>
        <v>147335.00286755338</v>
      </c>
      <c r="S100" s="204">
        <f t="shared" si="35"/>
        <v>147335.00286755338</v>
      </c>
      <c r="T100" s="204">
        <f t="shared" si="35"/>
        <v>147335.00286755338</v>
      </c>
      <c r="U100" s="204">
        <f t="shared" si="35"/>
        <v>147335.00286755338</v>
      </c>
      <c r="V100" s="204">
        <f t="shared" si="35"/>
        <v>147335.00286755338</v>
      </c>
      <c r="W100" s="204">
        <f t="shared" si="35"/>
        <v>147335.00286755338</v>
      </c>
      <c r="X100" s="204">
        <f t="shared" si="35"/>
        <v>147335.00286755338</v>
      </c>
      <c r="Y100" s="204">
        <f t="shared" si="35"/>
        <v>147335.00286755338</v>
      </c>
      <c r="Z100" s="204">
        <f t="shared" si="35"/>
        <v>147335.00286755338</v>
      </c>
      <c r="AA100" s="204">
        <f t="shared" si="35"/>
        <v>147335.00286755338</v>
      </c>
      <c r="AB100" s="204">
        <f t="shared" si="35"/>
        <v>147335.00286755338</v>
      </c>
      <c r="AC100" s="204">
        <f t="shared" si="35"/>
        <v>147335.00286755338</v>
      </c>
      <c r="AD100" s="204">
        <f t="shared" si="35"/>
        <v>116581.18100923975</v>
      </c>
      <c r="AE100" s="204">
        <f t="shared" si="35"/>
        <v>88623.161138045427</v>
      </c>
      <c r="AF100" s="204">
        <f t="shared" si="35"/>
        <v>63206.779436959827</v>
      </c>
      <c r="AG100" s="204">
        <f t="shared" si="35"/>
        <v>40100.977890518319</v>
      </c>
      <c r="AH100" s="204">
        <f t="shared" si="35"/>
        <v>19095.703757389667</v>
      </c>
    </row>
    <row r="101" spans="1:34" s="21" customFormat="1" x14ac:dyDescent="0.25">
      <c r="A101" s="200" t="s">
        <v>62</v>
      </c>
      <c r="B101" s="199" t="s">
        <v>37</v>
      </c>
      <c r="C101" s="204">
        <f>IF(C100*$B$17&gt;0,C100*$B$17,0)</f>
        <v>0</v>
      </c>
      <c r="D101" s="204">
        <f>IF(D100*$B$17&gt;0,D100*$B$17,0)</f>
        <v>0</v>
      </c>
      <c r="E101" s="204">
        <f t="shared" ref="E101:AH101" si="36">IF(E100*$B$17&gt;0,E100*$B$17,0)</f>
        <v>0</v>
      </c>
      <c r="F101" s="204">
        <f t="shared" si="36"/>
        <v>0</v>
      </c>
      <c r="G101" s="204">
        <f t="shared" si="36"/>
        <v>0</v>
      </c>
      <c r="H101" s="204">
        <f t="shared" si="36"/>
        <v>0</v>
      </c>
      <c r="I101" s="204">
        <f t="shared" si="36"/>
        <v>0</v>
      </c>
      <c r="J101" s="204">
        <f t="shared" si="36"/>
        <v>0</v>
      </c>
      <c r="K101" s="204">
        <f t="shared" si="36"/>
        <v>0</v>
      </c>
      <c r="L101" s="204">
        <f t="shared" si="36"/>
        <v>42.272308248823684</v>
      </c>
      <c r="M101" s="204">
        <f t="shared" si="36"/>
        <v>1793.3834193599346</v>
      </c>
      <c r="N101" s="204">
        <f t="shared" si="36"/>
        <v>3106.7167526932681</v>
      </c>
      <c r="O101" s="204">
        <f t="shared" si="36"/>
        <v>3982.2723082488237</v>
      </c>
      <c r="P101" s="204">
        <f t="shared" si="36"/>
        <v>4420.0500860266011</v>
      </c>
      <c r="Q101" s="204">
        <f t="shared" si="36"/>
        <v>4420.0500860266011</v>
      </c>
      <c r="R101" s="204">
        <f t="shared" si="36"/>
        <v>4420.0500860266011</v>
      </c>
      <c r="S101" s="204">
        <f t="shared" si="36"/>
        <v>4420.0500860266011</v>
      </c>
      <c r="T101" s="204">
        <f t="shared" si="36"/>
        <v>4420.0500860266011</v>
      </c>
      <c r="U101" s="204">
        <f t="shared" si="36"/>
        <v>4420.0500860266011</v>
      </c>
      <c r="V101" s="204">
        <f t="shared" si="36"/>
        <v>4420.0500860266011</v>
      </c>
      <c r="W101" s="204">
        <f t="shared" si="36"/>
        <v>4420.0500860266011</v>
      </c>
      <c r="X101" s="204">
        <f t="shared" si="36"/>
        <v>4420.0500860266011</v>
      </c>
      <c r="Y101" s="204">
        <f t="shared" si="36"/>
        <v>4420.0500860266011</v>
      </c>
      <c r="Z101" s="204">
        <f t="shared" si="36"/>
        <v>4420.0500860266011</v>
      </c>
      <c r="AA101" s="204">
        <f t="shared" si="36"/>
        <v>4420.0500860266011</v>
      </c>
      <c r="AB101" s="204">
        <f t="shared" si="36"/>
        <v>4420.0500860266011</v>
      </c>
      <c r="AC101" s="204">
        <f t="shared" si="36"/>
        <v>4420.0500860266011</v>
      </c>
      <c r="AD101" s="204">
        <f t="shared" si="36"/>
        <v>3497.4354302771922</v>
      </c>
      <c r="AE101" s="204">
        <f t="shared" si="36"/>
        <v>2658.6948341413627</v>
      </c>
      <c r="AF101" s="204">
        <f t="shared" si="36"/>
        <v>1896.2033831087947</v>
      </c>
      <c r="AG101" s="204">
        <f t="shared" si="36"/>
        <v>1203.0293367155496</v>
      </c>
      <c r="AH101" s="204">
        <f t="shared" si="36"/>
        <v>572.87111272169</v>
      </c>
    </row>
    <row r="102" spans="1:34" s="21" customFormat="1" x14ac:dyDescent="0.25">
      <c r="A102" s="203" t="s">
        <v>63</v>
      </c>
      <c r="B102" s="199" t="s">
        <v>37</v>
      </c>
      <c r="C102" s="204">
        <f>C100-C101</f>
        <v>0</v>
      </c>
      <c r="D102" s="204">
        <f>D100-D101</f>
        <v>-42209.141104649301</v>
      </c>
      <c r="E102" s="204">
        <f t="shared" ref="E102:AH102" si="37">E100-E101</f>
        <v>-87214.084196418087</v>
      </c>
      <c r="F102" s="204">
        <f t="shared" si="37"/>
        <v>-134760.66545829538</v>
      </c>
      <c r="G102" s="204">
        <f t="shared" si="37"/>
        <v>-170025.23428222426</v>
      </c>
      <c r="H102" s="204">
        <f t="shared" si="37"/>
        <v>-192797.73792687338</v>
      </c>
      <c r="I102" s="204">
        <f t="shared" si="37"/>
        <v>-202887.21935466886</v>
      </c>
      <c r="J102" s="204">
        <f t="shared" si="37"/>
        <v>-144516.84898429847</v>
      </c>
      <c r="K102" s="204">
        <f t="shared" si="37"/>
        <v>-71553.886021335493</v>
      </c>
      <c r="L102" s="204">
        <f t="shared" si="37"/>
        <v>1366.8046333786324</v>
      </c>
      <c r="M102" s="204">
        <f t="shared" si="37"/>
        <v>57986.063892637889</v>
      </c>
      <c r="N102" s="204">
        <f t="shared" si="37"/>
        <v>100450.50833708234</v>
      </c>
      <c r="O102" s="204">
        <f t="shared" si="37"/>
        <v>128760.13796671198</v>
      </c>
      <c r="P102" s="204">
        <f t="shared" si="37"/>
        <v>142914.95278152678</v>
      </c>
      <c r="Q102" s="204">
        <f t="shared" si="37"/>
        <v>142914.95278152678</v>
      </c>
      <c r="R102" s="204">
        <f t="shared" si="37"/>
        <v>142914.95278152678</v>
      </c>
      <c r="S102" s="204">
        <f t="shared" si="37"/>
        <v>142914.95278152678</v>
      </c>
      <c r="T102" s="204">
        <f t="shared" si="37"/>
        <v>142914.95278152678</v>
      </c>
      <c r="U102" s="204">
        <f t="shared" si="37"/>
        <v>142914.95278152678</v>
      </c>
      <c r="V102" s="204">
        <f t="shared" si="37"/>
        <v>142914.95278152678</v>
      </c>
      <c r="W102" s="204">
        <f t="shared" si="37"/>
        <v>142914.95278152678</v>
      </c>
      <c r="X102" s="204">
        <f t="shared" si="37"/>
        <v>142914.95278152678</v>
      </c>
      <c r="Y102" s="204">
        <f t="shared" si="37"/>
        <v>142914.95278152678</v>
      </c>
      <c r="Z102" s="204">
        <f t="shared" si="37"/>
        <v>142914.95278152678</v>
      </c>
      <c r="AA102" s="204">
        <f t="shared" si="37"/>
        <v>142914.95278152678</v>
      </c>
      <c r="AB102" s="204">
        <f t="shared" si="37"/>
        <v>142914.95278152678</v>
      </c>
      <c r="AC102" s="204">
        <f t="shared" si="37"/>
        <v>142914.95278152678</v>
      </c>
      <c r="AD102" s="204">
        <f t="shared" si="37"/>
        <v>113083.74557896255</v>
      </c>
      <c r="AE102" s="204">
        <f t="shared" si="37"/>
        <v>85964.466303904061</v>
      </c>
      <c r="AF102" s="204">
        <f t="shared" si="37"/>
        <v>61310.576053851029</v>
      </c>
      <c r="AG102" s="204">
        <f t="shared" si="37"/>
        <v>38897.948553802773</v>
      </c>
      <c r="AH102" s="204">
        <f t="shared" si="37"/>
        <v>18522.832644667978</v>
      </c>
    </row>
    <row r="103" spans="1:34" s="21" customFormat="1" x14ac:dyDescent="0.25">
      <c r="A103" s="198" t="s">
        <v>64</v>
      </c>
      <c r="B103" s="199" t="s">
        <v>37</v>
      </c>
      <c r="C103" s="204">
        <f>C102-C72</f>
        <v>-1824074.0740740739</v>
      </c>
      <c r="D103" s="204">
        <f t="shared" ref="D103:AH103" si="38">D102-D72</f>
        <v>-1866283.2151787232</v>
      </c>
      <c r="E103" s="204">
        <f t="shared" si="38"/>
        <v>-1911288.158270492</v>
      </c>
      <c r="F103" s="204">
        <f t="shared" si="38"/>
        <v>-1958834.7395323692</v>
      </c>
      <c r="G103" s="204">
        <f t="shared" si="38"/>
        <v>-1994099.3083562984</v>
      </c>
      <c r="H103" s="204">
        <f t="shared" si="38"/>
        <v>-2016871.8120009475</v>
      </c>
      <c r="I103" s="204">
        <f t="shared" si="38"/>
        <v>-202887.21935466886</v>
      </c>
      <c r="J103" s="204">
        <f t="shared" si="38"/>
        <v>-144516.84898429847</v>
      </c>
      <c r="K103" s="204">
        <f t="shared" si="38"/>
        <v>-71553.886021335493</v>
      </c>
      <c r="L103" s="204">
        <f t="shared" si="38"/>
        <v>1366.8046333786324</v>
      </c>
      <c r="M103" s="204">
        <f t="shared" si="38"/>
        <v>57986.063892637889</v>
      </c>
      <c r="N103" s="204">
        <f t="shared" si="38"/>
        <v>100450.50833708234</v>
      </c>
      <c r="O103" s="204">
        <f t="shared" si="38"/>
        <v>128760.13796671198</v>
      </c>
      <c r="P103" s="204">
        <f t="shared" si="38"/>
        <v>142914.95278152678</v>
      </c>
      <c r="Q103" s="204">
        <f t="shared" si="38"/>
        <v>142914.95278152678</v>
      </c>
      <c r="R103" s="204">
        <f t="shared" si="38"/>
        <v>142914.95278152678</v>
      </c>
      <c r="S103" s="204">
        <f t="shared" si="38"/>
        <v>142914.95278152678</v>
      </c>
      <c r="T103" s="204">
        <f t="shared" si="38"/>
        <v>142914.95278152678</v>
      </c>
      <c r="U103" s="204">
        <f t="shared" si="38"/>
        <v>142914.95278152678</v>
      </c>
      <c r="V103" s="204">
        <f t="shared" si="38"/>
        <v>142914.95278152678</v>
      </c>
      <c r="W103" s="204">
        <f t="shared" si="38"/>
        <v>142914.95278152678</v>
      </c>
      <c r="X103" s="204">
        <f t="shared" si="38"/>
        <v>142914.95278152678</v>
      </c>
      <c r="Y103" s="204">
        <f t="shared" si="38"/>
        <v>142914.95278152678</v>
      </c>
      <c r="Z103" s="204">
        <f t="shared" si="38"/>
        <v>142914.95278152678</v>
      </c>
      <c r="AA103" s="204">
        <f t="shared" si="38"/>
        <v>142914.95278152678</v>
      </c>
      <c r="AB103" s="204">
        <f t="shared" si="38"/>
        <v>142914.95278152678</v>
      </c>
      <c r="AC103" s="204">
        <f t="shared" si="38"/>
        <v>142914.95278152678</v>
      </c>
      <c r="AD103" s="204">
        <f t="shared" si="38"/>
        <v>113083.74557896255</v>
      </c>
      <c r="AE103" s="204">
        <f t="shared" si="38"/>
        <v>85964.466303904061</v>
      </c>
      <c r="AF103" s="204">
        <f t="shared" si="38"/>
        <v>61310.576053851029</v>
      </c>
      <c r="AG103" s="204">
        <f t="shared" si="38"/>
        <v>38897.948553802773</v>
      </c>
      <c r="AH103" s="204">
        <f t="shared" si="38"/>
        <v>18522.832644667978</v>
      </c>
    </row>
    <row r="104" spans="1:34" s="21" customFormat="1" x14ac:dyDescent="0.25">
      <c r="A104" s="202" t="s">
        <v>65</v>
      </c>
      <c r="B104" s="201" t="s">
        <v>37</v>
      </c>
      <c r="C104" s="204">
        <f t="shared" ref="C104:AH104" si="39">C103+C31+C32</f>
        <v>-1824074.0740740739</v>
      </c>
      <c r="D104" s="204">
        <f t="shared" si="39"/>
        <v>-1635034.3730668277</v>
      </c>
      <c r="E104" s="204">
        <f t="shared" si="39"/>
        <v>-1468148.1583866146</v>
      </c>
      <c r="F104" s="204">
        <f t="shared" si="39"/>
        <v>-1321413.9097070852</v>
      </c>
      <c r="G104" s="204">
        <f t="shared" si="39"/>
        <v>-1178416.0956621522</v>
      </c>
      <c r="H104" s="204">
        <f t="shared" si="39"/>
        <v>-1037494.2912688681</v>
      </c>
      <c r="I104" s="204">
        <f t="shared" si="39"/>
        <v>926938.10875654162</v>
      </c>
      <c r="J104" s="204">
        <f t="shared" si="39"/>
        <v>990035.60904598399</v>
      </c>
      <c r="K104" s="204">
        <f t="shared" si="39"/>
        <v>1067843.8801759956</v>
      </c>
      <c r="L104" s="204">
        <f t="shared" si="39"/>
        <v>1145731.0117019347</v>
      </c>
      <c r="M104" s="204">
        <f t="shared" si="39"/>
        <v>1207440.8728541995</v>
      </c>
      <c r="N104" s="204">
        <f t="shared" si="39"/>
        <v>1255123.1842389745</v>
      </c>
      <c r="O104" s="204">
        <f t="shared" si="39"/>
        <v>1288781.1274824431</v>
      </c>
      <c r="P104" s="204">
        <f t="shared" si="39"/>
        <v>1308417.9637514427</v>
      </c>
      <c r="Q104" s="204">
        <f t="shared" si="39"/>
        <v>1314037.0357419825</v>
      </c>
      <c r="R104" s="204">
        <f t="shared" si="39"/>
        <v>1319796.5845322856</v>
      </c>
      <c r="S104" s="204">
        <f t="shared" si="39"/>
        <v>1325700.122042346</v>
      </c>
      <c r="T104" s="204">
        <f t="shared" si="39"/>
        <v>1331751.2479901582</v>
      </c>
      <c r="U104" s="204">
        <f t="shared" si="39"/>
        <v>1337953.6520866656</v>
      </c>
      <c r="V104" s="204">
        <f t="shared" si="39"/>
        <v>1344311.1162855858</v>
      </c>
      <c r="W104" s="204">
        <f t="shared" si="39"/>
        <v>1350827.5170894789</v>
      </c>
      <c r="X104" s="204">
        <f t="shared" si="39"/>
        <v>1357506.8279134692</v>
      </c>
      <c r="Y104" s="204">
        <f t="shared" si="39"/>
        <v>1364353.1215080596</v>
      </c>
      <c r="Z104" s="204">
        <f t="shared" si="39"/>
        <v>1371370.5724425144</v>
      </c>
      <c r="AA104" s="204">
        <f t="shared" si="39"/>
        <v>1378563.4596503307</v>
      </c>
      <c r="AB104" s="204">
        <f t="shared" si="39"/>
        <v>1385936.1690383425</v>
      </c>
      <c r="AC104" s="204">
        <f t="shared" si="39"/>
        <v>1083655.0841298604</v>
      </c>
      <c r="AD104" s="204">
        <f t="shared" si="39"/>
        <v>857459.44314463926</v>
      </c>
      <c r="AE104" s="204">
        <f t="shared" si="39"/>
        <v>651827.04224898375</v>
      </c>
      <c r="AF104" s="204">
        <f t="shared" si="39"/>
        <v>464888.49598020612</v>
      </c>
      <c r="AG104" s="204">
        <f t="shared" si="39"/>
        <v>294944.36300859001</v>
      </c>
      <c r="AH104" s="204">
        <f t="shared" si="39"/>
        <v>140449.69667075717</v>
      </c>
    </row>
    <row r="105" spans="1:34" customFormat="1" x14ac:dyDescent="0.25">
      <c r="A105" s="58"/>
      <c r="B105" s="20"/>
      <c r="C105" s="11"/>
    </row>
    <row r="106" spans="1:34" customFormat="1" ht="13.5" customHeight="1" x14ac:dyDescent="0.25">
      <c r="A106" s="207" t="s">
        <v>66</v>
      </c>
      <c r="B106" s="208" t="s">
        <v>12</v>
      </c>
      <c r="C106" s="209">
        <f>SUM(C72:AB72)</f>
        <v>10944444.444444444</v>
      </c>
    </row>
    <row r="107" spans="1:34" x14ac:dyDescent="0.25">
      <c r="A107" s="34"/>
      <c r="B107" s="20"/>
    </row>
    <row r="108" spans="1:34" x14ac:dyDescent="0.25">
      <c r="A108" s="205" t="s">
        <v>114</v>
      </c>
      <c r="B108" s="206" t="s">
        <v>67</v>
      </c>
      <c r="C108" s="216" t="e">
        <f>(C102+C71+C70)/(C70+C71)</f>
        <v>#DIV/0!</v>
      </c>
      <c r="D108" s="216">
        <f>(D102+D71+D70)/(D70+D71)</f>
        <v>0.421499081306837</v>
      </c>
      <c r="E108" s="216">
        <f t="shared" ref="E108:G108" si="40">(E102+E71+E70)/(E70+E71)</f>
        <v>0.40234003215652581</v>
      </c>
      <c r="F108" s="216">
        <f t="shared" si="40"/>
        <v>0.76912830156256506</v>
      </c>
      <c r="G108" s="216">
        <f t="shared" si="40"/>
        <v>0.83113803701831623</v>
      </c>
      <c r="H108" s="216">
        <f>(H102+H71+H70)/(H70+H71)</f>
        <v>0.86379352859842007</v>
      </c>
      <c r="I108" s="216">
        <f>(I102+I71+I70)/(I70+I71)</f>
        <v>0.88787549282429878</v>
      </c>
      <c r="J108" s="216">
        <f t="shared" ref="J108:N108" si="41">(J102+J71+J70)/(J70+J71)</f>
        <v>0.93170042144974519</v>
      </c>
      <c r="K108" s="216">
        <f t="shared" si="41"/>
        <v>0.96497543650152184</v>
      </c>
      <c r="L108" s="216">
        <f t="shared" si="41"/>
        <v>1.0008514934264243</v>
      </c>
      <c r="M108" s="216">
        <f t="shared" si="41"/>
        <v>1.0490575836655143</v>
      </c>
      <c r="N108" s="216">
        <f t="shared" si="41"/>
        <v>1.1298804580548425</v>
      </c>
      <c r="O108" s="216">
        <f>(O102+O71+O70)/(O70+O71)</f>
        <v>1.3393717029579484</v>
      </c>
      <c r="P108" s="216" t="e">
        <f t="shared" ref="P108:AH108" si="42">(P102+P71+P70)/(P70+P71)</f>
        <v>#DIV/0!</v>
      </c>
      <c r="Q108" s="216" t="e">
        <f t="shared" si="42"/>
        <v>#DIV/0!</v>
      </c>
      <c r="R108" s="216" t="e">
        <f t="shared" si="42"/>
        <v>#DIV/0!</v>
      </c>
      <c r="S108" s="216" t="e">
        <f t="shared" si="42"/>
        <v>#DIV/0!</v>
      </c>
      <c r="T108" s="216" t="e">
        <f t="shared" si="42"/>
        <v>#DIV/0!</v>
      </c>
      <c r="U108" s="216" t="e">
        <f t="shared" si="42"/>
        <v>#DIV/0!</v>
      </c>
      <c r="V108" s="216" t="e">
        <f t="shared" si="42"/>
        <v>#DIV/0!</v>
      </c>
      <c r="W108" s="216" t="e">
        <f t="shared" si="42"/>
        <v>#DIV/0!</v>
      </c>
      <c r="X108" s="216" t="e">
        <f t="shared" si="42"/>
        <v>#DIV/0!</v>
      </c>
      <c r="Y108" s="216" t="e">
        <f t="shared" si="42"/>
        <v>#DIV/0!</v>
      </c>
      <c r="Z108" s="216" t="e">
        <f t="shared" si="42"/>
        <v>#DIV/0!</v>
      </c>
      <c r="AA108" s="216" t="e">
        <f t="shared" si="42"/>
        <v>#DIV/0!</v>
      </c>
      <c r="AB108" s="216" t="e">
        <f t="shared" si="42"/>
        <v>#DIV/0!</v>
      </c>
      <c r="AC108" s="216" t="e">
        <f t="shared" si="42"/>
        <v>#DIV/0!</v>
      </c>
      <c r="AD108" s="216" t="e">
        <f t="shared" si="42"/>
        <v>#DIV/0!</v>
      </c>
      <c r="AE108" s="216" t="e">
        <f t="shared" si="42"/>
        <v>#DIV/0!</v>
      </c>
      <c r="AF108" s="216" t="e">
        <f t="shared" si="42"/>
        <v>#DIV/0!</v>
      </c>
      <c r="AG108" s="216" t="e">
        <f t="shared" si="42"/>
        <v>#DIV/0!</v>
      </c>
      <c r="AH108" s="216" t="e">
        <f t="shared" si="42"/>
        <v>#DIV/0!</v>
      </c>
    </row>
    <row r="109" spans="1:34" x14ac:dyDescent="0.25">
      <c r="A109" s="205" t="s">
        <v>115</v>
      </c>
      <c r="B109" s="206" t="s">
        <v>67</v>
      </c>
      <c r="C109" s="216">
        <f>AVERAGE(D108:O108)</f>
        <v>0.88263429746024658</v>
      </c>
      <c r="D109" s="217"/>
      <c r="E109" s="217"/>
      <c r="F109" s="217"/>
      <c r="G109" s="217"/>
      <c r="H109" s="217"/>
      <c r="I109" s="217"/>
      <c r="J109" s="217"/>
      <c r="K109" s="217"/>
      <c r="L109" s="217"/>
      <c r="M109" s="217"/>
      <c r="N109" s="217"/>
      <c r="O109" s="217"/>
      <c r="P109" s="217"/>
      <c r="Q109" s="217"/>
      <c r="R109" s="217"/>
      <c r="S109" s="217"/>
      <c r="T109" s="217"/>
      <c r="U109" s="217"/>
      <c r="V109" s="217"/>
      <c r="W109" s="217"/>
      <c r="X109" s="217"/>
      <c r="Y109" s="217"/>
      <c r="Z109" s="217"/>
      <c r="AA109" s="217"/>
      <c r="AB109" s="217"/>
      <c r="AC109" s="217"/>
      <c r="AD109" s="217"/>
      <c r="AE109" s="217"/>
      <c r="AF109" s="217"/>
      <c r="AG109" s="217"/>
      <c r="AH109" s="217"/>
    </row>
    <row r="110" spans="1:34" x14ac:dyDescent="0.25">
      <c r="A110" s="205" t="s">
        <v>116</v>
      </c>
      <c r="B110" s="206" t="s">
        <v>67</v>
      </c>
      <c r="C110" s="216" t="e">
        <f t="shared" ref="C110:AH110" si="43">(C102+C71*$C15+C70)/(C70+C71*$C15)</f>
        <v>#DIV/0!</v>
      </c>
      <c r="D110" s="216">
        <f t="shared" si="43"/>
        <v>0.421499081306837</v>
      </c>
      <c r="E110" s="216">
        <f t="shared" si="43"/>
        <v>0.40234003215652581</v>
      </c>
      <c r="F110" s="216">
        <f t="shared" si="43"/>
        <v>0.76912830156256506</v>
      </c>
      <c r="G110" s="216">
        <f t="shared" si="43"/>
        <v>0.83113803701831623</v>
      </c>
      <c r="H110" s="216">
        <f t="shared" si="43"/>
        <v>0.86379352859842007</v>
      </c>
      <c r="I110" s="216">
        <f t="shared" si="43"/>
        <v>0.88787549282429878</v>
      </c>
      <c r="J110" s="216">
        <f t="shared" si="43"/>
        <v>0.93170042144974519</v>
      </c>
      <c r="K110" s="216">
        <f t="shared" si="43"/>
        <v>0.96497543650152184</v>
      </c>
      <c r="L110" s="216">
        <f t="shared" si="43"/>
        <v>1.0008514934264243</v>
      </c>
      <c r="M110" s="216">
        <f t="shared" si="43"/>
        <v>1.0490575836655143</v>
      </c>
      <c r="N110" s="216">
        <f t="shared" si="43"/>
        <v>1.1298804580548425</v>
      </c>
      <c r="O110" s="216">
        <f t="shared" si="43"/>
        <v>1.3393717029579484</v>
      </c>
      <c r="P110" s="216" t="e">
        <f t="shared" si="43"/>
        <v>#DIV/0!</v>
      </c>
      <c r="Q110" s="216" t="e">
        <f t="shared" si="43"/>
        <v>#DIV/0!</v>
      </c>
      <c r="R110" s="216" t="e">
        <f t="shared" si="43"/>
        <v>#DIV/0!</v>
      </c>
      <c r="S110" s="216" t="e">
        <f t="shared" si="43"/>
        <v>#DIV/0!</v>
      </c>
      <c r="T110" s="216" t="e">
        <f t="shared" si="43"/>
        <v>#DIV/0!</v>
      </c>
      <c r="U110" s="216" t="e">
        <f t="shared" si="43"/>
        <v>#DIV/0!</v>
      </c>
      <c r="V110" s="216" t="e">
        <f t="shared" si="43"/>
        <v>#DIV/0!</v>
      </c>
      <c r="W110" s="216" t="e">
        <f t="shared" si="43"/>
        <v>#DIV/0!</v>
      </c>
      <c r="X110" s="216" t="e">
        <f t="shared" si="43"/>
        <v>#DIV/0!</v>
      </c>
      <c r="Y110" s="216" t="e">
        <f t="shared" si="43"/>
        <v>#DIV/0!</v>
      </c>
      <c r="Z110" s="216" t="e">
        <f t="shared" si="43"/>
        <v>#DIV/0!</v>
      </c>
      <c r="AA110" s="216" t="e">
        <f t="shared" si="43"/>
        <v>#DIV/0!</v>
      </c>
      <c r="AB110" s="216" t="e">
        <f t="shared" si="43"/>
        <v>#DIV/0!</v>
      </c>
      <c r="AC110" s="216" t="e">
        <f t="shared" si="43"/>
        <v>#DIV/0!</v>
      </c>
      <c r="AD110" s="216" t="e">
        <f t="shared" si="43"/>
        <v>#DIV/0!</v>
      </c>
      <c r="AE110" s="216" t="e">
        <f t="shared" si="43"/>
        <v>#DIV/0!</v>
      </c>
      <c r="AF110" s="216" t="e">
        <f t="shared" si="43"/>
        <v>#DIV/0!</v>
      </c>
      <c r="AG110" s="216" t="e">
        <f t="shared" si="43"/>
        <v>#DIV/0!</v>
      </c>
      <c r="AH110" s="216" t="e">
        <f t="shared" si="43"/>
        <v>#DIV/0!</v>
      </c>
    </row>
    <row r="111" spans="1:34" x14ac:dyDescent="0.25">
      <c r="A111" s="205" t="s">
        <v>117</v>
      </c>
      <c r="B111" s="206" t="s">
        <v>67</v>
      </c>
      <c r="C111" s="216">
        <f>AVERAGE(D110:O110)</f>
        <v>0.88263429746024658</v>
      </c>
      <c r="D111" s="217"/>
      <c r="E111" s="217"/>
      <c r="F111" s="217"/>
      <c r="G111" s="217"/>
      <c r="H111" s="217"/>
      <c r="I111" s="217"/>
      <c r="J111" s="217"/>
      <c r="K111" s="217"/>
      <c r="L111" s="217"/>
      <c r="M111" s="217"/>
      <c r="N111" s="217"/>
      <c r="O111" s="217"/>
      <c r="P111" s="217"/>
      <c r="Q111" s="217"/>
      <c r="R111" s="217"/>
      <c r="S111" s="217"/>
      <c r="T111" s="217"/>
      <c r="U111" s="217"/>
      <c r="V111" s="217"/>
      <c r="W111" s="217"/>
      <c r="X111" s="217"/>
      <c r="Y111" s="217"/>
      <c r="Z111" s="217"/>
      <c r="AA111" s="217"/>
      <c r="AB111" s="217"/>
      <c r="AC111" s="217"/>
      <c r="AD111" s="217"/>
      <c r="AE111" s="217"/>
      <c r="AF111" s="217"/>
      <c r="AG111" s="217"/>
      <c r="AH111" s="217"/>
    </row>
    <row r="112" spans="1:34" x14ac:dyDescent="0.25">
      <c r="A112" s="205" t="s">
        <v>118</v>
      </c>
      <c r="B112" s="206" t="s">
        <v>67</v>
      </c>
      <c r="C112" s="216" t="e">
        <f t="shared" ref="C112:AH112" si="44">(C102+C71*$C16+C70)/(C70+C71*$C16)</f>
        <v>#DIV/0!</v>
      </c>
      <c r="D112" s="216">
        <f t="shared" si="44"/>
        <v>0.421499081306837</v>
      </c>
      <c r="E112" s="216">
        <f t="shared" si="44"/>
        <v>0.40234003215652581</v>
      </c>
      <c r="F112" s="216">
        <f t="shared" si="44"/>
        <v>0.76912830156256506</v>
      </c>
      <c r="G112" s="216">
        <f t="shared" si="44"/>
        <v>0.83113803701831623</v>
      </c>
      <c r="H112" s="216">
        <f t="shared" si="44"/>
        <v>0.86379352859842007</v>
      </c>
      <c r="I112" s="216">
        <f t="shared" si="44"/>
        <v>0.88787549282429878</v>
      </c>
      <c r="J112" s="216">
        <f t="shared" si="44"/>
        <v>0.93170042144974519</v>
      </c>
      <c r="K112" s="216">
        <f t="shared" si="44"/>
        <v>0.96497543650152184</v>
      </c>
      <c r="L112" s="216">
        <f t="shared" si="44"/>
        <v>1.0008514934264243</v>
      </c>
      <c r="M112" s="216">
        <f t="shared" si="44"/>
        <v>1.0490575836655143</v>
      </c>
      <c r="N112" s="216">
        <f t="shared" si="44"/>
        <v>1.1298804580548425</v>
      </c>
      <c r="O112" s="216">
        <f t="shared" si="44"/>
        <v>1.3393717029579484</v>
      </c>
      <c r="P112" s="216" t="e">
        <f t="shared" si="44"/>
        <v>#DIV/0!</v>
      </c>
      <c r="Q112" s="216" t="e">
        <f t="shared" si="44"/>
        <v>#DIV/0!</v>
      </c>
      <c r="R112" s="216" t="e">
        <f t="shared" si="44"/>
        <v>#DIV/0!</v>
      </c>
      <c r="S112" s="216" t="e">
        <f t="shared" si="44"/>
        <v>#DIV/0!</v>
      </c>
      <c r="T112" s="216" t="e">
        <f t="shared" si="44"/>
        <v>#DIV/0!</v>
      </c>
      <c r="U112" s="216" t="e">
        <f t="shared" si="44"/>
        <v>#DIV/0!</v>
      </c>
      <c r="V112" s="216" t="e">
        <f t="shared" si="44"/>
        <v>#DIV/0!</v>
      </c>
      <c r="W112" s="216" t="e">
        <f t="shared" si="44"/>
        <v>#DIV/0!</v>
      </c>
      <c r="X112" s="216" t="e">
        <f t="shared" si="44"/>
        <v>#DIV/0!</v>
      </c>
      <c r="Y112" s="216" t="e">
        <f t="shared" si="44"/>
        <v>#DIV/0!</v>
      </c>
      <c r="Z112" s="216" t="e">
        <f t="shared" si="44"/>
        <v>#DIV/0!</v>
      </c>
      <c r="AA112" s="216" t="e">
        <f t="shared" si="44"/>
        <v>#DIV/0!</v>
      </c>
      <c r="AB112" s="216" t="e">
        <f t="shared" si="44"/>
        <v>#DIV/0!</v>
      </c>
      <c r="AC112" s="216" t="e">
        <f t="shared" si="44"/>
        <v>#DIV/0!</v>
      </c>
      <c r="AD112" s="216" t="e">
        <f t="shared" si="44"/>
        <v>#DIV/0!</v>
      </c>
      <c r="AE112" s="216" t="e">
        <f t="shared" si="44"/>
        <v>#DIV/0!</v>
      </c>
      <c r="AF112" s="216" t="e">
        <f t="shared" si="44"/>
        <v>#DIV/0!</v>
      </c>
      <c r="AG112" s="216" t="e">
        <f t="shared" si="44"/>
        <v>#DIV/0!</v>
      </c>
      <c r="AH112" s="216" t="e">
        <f t="shared" si="44"/>
        <v>#DIV/0!</v>
      </c>
    </row>
    <row r="113" spans="1:34" x14ac:dyDescent="0.25">
      <c r="A113" s="205" t="s">
        <v>119</v>
      </c>
      <c r="B113" s="206" t="s">
        <v>67</v>
      </c>
      <c r="C113" s="216">
        <f>AVERAGE(D112:O112)</f>
        <v>0.88263429746024658</v>
      </c>
      <c r="D113" s="217"/>
      <c r="E113" s="217"/>
      <c r="F113" s="217"/>
      <c r="G113" s="217"/>
      <c r="H113" s="217"/>
      <c r="I113" s="217"/>
      <c r="J113" s="217"/>
      <c r="K113" s="217"/>
      <c r="L113" s="217"/>
      <c r="M113" s="217"/>
      <c r="N113" s="217"/>
      <c r="O113" s="217"/>
      <c r="P113" s="217"/>
      <c r="Q113" s="217"/>
      <c r="R113" s="217"/>
      <c r="S113" s="217"/>
      <c r="T113" s="217"/>
      <c r="U113" s="217"/>
      <c r="V113" s="217"/>
      <c r="W113" s="217"/>
      <c r="X113" s="217"/>
      <c r="Y113" s="217"/>
      <c r="Z113" s="217"/>
      <c r="AA113" s="217"/>
      <c r="AB113" s="217"/>
      <c r="AC113" s="217"/>
      <c r="AD113" s="217"/>
      <c r="AE113" s="217"/>
      <c r="AF113" s="217"/>
      <c r="AG113" s="217"/>
      <c r="AH113" s="217"/>
    </row>
    <row r="114" spans="1:34" s="21" customFormat="1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</row>
  </sheetData>
  <mergeCells count="4">
    <mergeCell ref="B20:B21"/>
    <mergeCell ref="D20:I20"/>
    <mergeCell ref="A64:A65"/>
    <mergeCell ref="A66:A67"/>
  </mergeCells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A1134-E1AE-4218-BBEB-459B517E6DC6}">
  <dimension ref="A1:BV114"/>
  <sheetViews>
    <sheetView topLeftCell="A40" zoomScale="53" zoomScaleNormal="53" workbookViewId="0">
      <selection activeCell="C67" sqref="C67:N67"/>
    </sheetView>
  </sheetViews>
  <sheetFormatPr defaultColWidth="9.140625" defaultRowHeight="15" x14ac:dyDescent="0.25"/>
  <cols>
    <col min="1" max="1" width="72.85546875" style="11" customWidth="1"/>
    <col min="2" max="2" width="21.28515625" style="11" customWidth="1"/>
    <col min="3" max="3" width="19.85546875" style="11" customWidth="1"/>
    <col min="4" max="4" width="20.7109375" style="11" customWidth="1"/>
    <col min="5" max="34" width="15.7109375" style="11" customWidth="1"/>
    <col min="35" max="16384" width="9.140625" style="11"/>
  </cols>
  <sheetData>
    <row r="1" spans="1:34" x14ac:dyDescent="0.25">
      <c r="A1" s="46" t="s">
        <v>41</v>
      </c>
      <c r="B1" s="46"/>
      <c r="C1" s="46"/>
      <c r="D1" s="46"/>
      <c r="E1" s="46" t="s">
        <v>2</v>
      </c>
      <c r="F1" s="265" t="s">
        <v>3</v>
      </c>
      <c r="G1" s="265" t="s">
        <v>4</v>
      </c>
      <c r="H1" s="265" t="s">
        <v>5</v>
      </c>
      <c r="I1" s="265" t="s">
        <v>6</v>
      </c>
      <c r="J1" s="48" t="s">
        <v>7</v>
      </c>
      <c r="K1" s="48" t="s">
        <v>16</v>
      </c>
      <c r="L1" s="48" t="s">
        <v>17</v>
      </c>
      <c r="M1" s="48" t="s">
        <v>18</v>
      </c>
      <c r="N1" s="48" t="s">
        <v>19</v>
      </c>
      <c r="O1" s="48" t="s">
        <v>20</v>
      </c>
      <c r="P1" s="48" t="s">
        <v>21</v>
      </c>
      <c r="Q1" s="48" t="s">
        <v>22</v>
      </c>
      <c r="R1" s="48" t="s">
        <v>23</v>
      </c>
      <c r="S1" s="48" t="s">
        <v>24</v>
      </c>
      <c r="T1" s="48" t="s">
        <v>25</v>
      </c>
      <c r="U1" s="48" t="s">
        <v>26</v>
      </c>
      <c r="V1" s="48" t="s">
        <v>27</v>
      </c>
      <c r="W1" s="48" t="s">
        <v>28</v>
      </c>
      <c r="X1" s="48" t="s">
        <v>29</v>
      </c>
      <c r="Y1" s="48" t="s">
        <v>30</v>
      </c>
      <c r="Z1" s="48" t="s">
        <v>31</v>
      </c>
      <c r="AA1" s="48" t="s">
        <v>32</v>
      </c>
      <c r="AB1" s="48" t="s">
        <v>33</v>
      </c>
      <c r="AC1" s="48" t="s">
        <v>34</v>
      </c>
      <c r="AD1" s="48" t="s">
        <v>35</v>
      </c>
      <c r="AE1" s="48" t="s">
        <v>143</v>
      </c>
      <c r="AF1" s="48" t="s">
        <v>144</v>
      </c>
      <c r="AG1" s="48" t="s">
        <v>145</v>
      </c>
      <c r="AH1" s="48" t="s">
        <v>146</v>
      </c>
    </row>
    <row r="2" spans="1:34" ht="49.5" customHeight="1" x14ac:dyDescent="0.25">
      <c r="A2" s="9" t="s">
        <v>38</v>
      </c>
      <c r="C2" s="153" t="s">
        <v>75</v>
      </c>
      <c r="D2" s="14"/>
      <c r="E2" s="4" t="s">
        <v>74</v>
      </c>
    </row>
    <row r="3" spans="1:34" x14ac:dyDescent="0.25">
      <c r="A3" s="11" t="s">
        <v>131</v>
      </c>
      <c r="B3" s="267">
        <v>0.1</v>
      </c>
      <c r="C3" s="268">
        <f>(((49250000/1800)*400))/6</f>
        <v>1824074.0740740739</v>
      </c>
      <c r="D3" s="13"/>
      <c r="E3" s="13">
        <f>C3/(Interventions!E6+Interventions!E7)</f>
        <v>60.606306723042223</v>
      </c>
    </row>
    <row r="5" spans="1:34" x14ac:dyDescent="0.25">
      <c r="A5" s="9" t="s">
        <v>39</v>
      </c>
      <c r="C5" s="55"/>
      <c r="D5" s="55"/>
    </row>
    <row r="6" spans="1:34" x14ac:dyDescent="0.25">
      <c r="A6" s="11" t="s">
        <v>43</v>
      </c>
      <c r="B6" s="219">
        <v>0.04</v>
      </c>
    </row>
    <row r="7" spans="1:34" x14ac:dyDescent="0.25">
      <c r="A7" s="11" t="s">
        <v>40</v>
      </c>
      <c r="B7"/>
      <c r="C7" s="15">
        <v>0</v>
      </c>
      <c r="D7" s="15">
        <v>1</v>
      </c>
      <c r="E7" s="15">
        <v>2</v>
      </c>
      <c r="F7" s="15">
        <v>3</v>
      </c>
      <c r="G7" s="15">
        <v>4</v>
      </c>
      <c r="H7" s="15">
        <v>5</v>
      </c>
      <c r="I7" s="15">
        <v>6</v>
      </c>
      <c r="J7" s="15">
        <v>7</v>
      </c>
      <c r="K7" s="15">
        <v>8</v>
      </c>
      <c r="L7" s="15">
        <v>9</v>
      </c>
      <c r="M7" s="15">
        <v>10</v>
      </c>
      <c r="N7" s="15">
        <v>11</v>
      </c>
      <c r="O7" s="15">
        <v>12</v>
      </c>
      <c r="P7" s="15">
        <v>13</v>
      </c>
      <c r="Q7" s="15">
        <v>14</v>
      </c>
      <c r="R7" s="15">
        <v>15</v>
      </c>
      <c r="S7" s="15">
        <v>16</v>
      </c>
      <c r="T7" s="15">
        <v>17</v>
      </c>
      <c r="U7" s="15">
        <v>18</v>
      </c>
      <c r="V7" s="15">
        <v>19</v>
      </c>
      <c r="W7" s="15">
        <v>20</v>
      </c>
      <c r="X7" s="15">
        <v>21</v>
      </c>
      <c r="Y7" s="15">
        <v>22</v>
      </c>
      <c r="Z7" s="15">
        <v>23</v>
      </c>
      <c r="AA7" s="15">
        <v>24</v>
      </c>
      <c r="AB7" s="15">
        <v>25</v>
      </c>
      <c r="AC7" s="15">
        <v>26</v>
      </c>
      <c r="AD7" s="15">
        <v>27</v>
      </c>
      <c r="AE7" s="15">
        <v>28</v>
      </c>
      <c r="AF7" s="15">
        <v>29</v>
      </c>
      <c r="AG7" s="15">
        <v>30</v>
      </c>
      <c r="AH7" s="15">
        <v>31</v>
      </c>
    </row>
    <row r="8" spans="1:34" x14ac:dyDescent="0.25">
      <c r="A8" s="11" t="s">
        <v>45</v>
      </c>
      <c r="B8"/>
      <c r="C8" s="49">
        <f>1/((1+$B$6)^C7)</f>
        <v>1</v>
      </c>
      <c r="D8" s="49">
        <f>1*((1-$B$6)^D7)</f>
        <v>0.96</v>
      </c>
      <c r="E8" s="49">
        <f t="shared" ref="E8:AH8" si="0">1*((1-$B$6)^E7)</f>
        <v>0.92159999999999997</v>
      </c>
      <c r="F8" s="49">
        <f t="shared" si="0"/>
        <v>0.88473599999999997</v>
      </c>
      <c r="G8" s="49">
        <f t="shared" si="0"/>
        <v>0.84934655999999997</v>
      </c>
      <c r="H8" s="49">
        <f t="shared" si="0"/>
        <v>0.81537269759999997</v>
      </c>
      <c r="I8" s="49">
        <f t="shared" si="0"/>
        <v>0.78275778969599996</v>
      </c>
      <c r="J8" s="49">
        <f t="shared" si="0"/>
        <v>0.75144747810815993</v>
      </c>
      <c r="K8" s="49">
        <f t="shared" si="0"/>
        <v>0.7213895789838336</v>
      </c>
      <c r="L8" s="49">
        <f t="shared" si="0"/>
        <v>0.69253399582448028</v>
      </c>
      <c r="M8" s="49">
        <f t="shared" si="0"/>
        <v>0.664832635991501</v>
      </c>
      <c r="N8" s="49">
        <f t="shared" si="0"/>
        <v>0.63823933055184101</v>
      </c>
      <c r="O8" s="49">
        <f t="shared" si="0"/>
        <v>0.61270975732976729</v>
      </c>
      <c r="P8" s="49">
        <f t="shared" si="0"/>
        <v>0.58820136703657666</v>
      </c>
      <c r="Q8" s="49">
        <f t="shared" si="0"/>
        <v>0.56467331235511353</v>
      </c>
      <c r="R8" s="49">
        <f t="shared" si="0"/>
        <v>0.54208637986090902</v>
      </c>
      <c r="S8" s="49">
        <f t="shared" si="0"/>
        <v>0.52040292466647264</v>
      </c>
      <c r="T8" s="49">
        <f t="shared" si="0"/>
        <v>0.49958680767981373</v>
      </c>
      <c r="U8" s="49">
        <f t="shared" si="0"/>
        <v>0.47960333537262118</v>
      </c>
      <c r="V8" s="49">
        <f t="shared" si="0"/>
        <v>0.46041920195771635</v>
      </c>
      <c r="W8" s="49">
        <f t="shared" si="0"/>
        <v>0.44200243387940769</v>
      </c>
      <c r="X8" s="49">
        <f t="shared" si="0"/>
        <v>0.42432233652423135</v>
      </c>
      <c r="Y8" s="49">
        <f t="shared" si="0"/>
        <v>0.4073494430632621</v>
      </c>
      <c r="Z8" s="49">
        <f t="shared" si="0"/>
        <v>0.3910554653407316</v>
      </c>
      <c r="AA8" s="49">
        <f t="shared" si="0"/>
        <v>0.37541324672710236</v>
      </c>
      <c r="AB8" s="49">
        <f t="shared" si="0"/>
        <v>0.36039671685801827</v>
      </c>
      <c r="AC8" s="49">
        <f t="shared" si="0"/>
        <v>0.34598084818369751</v>
      </c>
      <c r="AD8" s="49">
        <f t="shared" si="0"/>
        <v>0.33214161425634964</v>
      </c>
      <c r="AE8" s="49">
        <f t="shared" si="0"/>
        <v>0.3188559496860956</v>
      </c>
      <c r="AF8" s="49">
        <f t="shared" si="0"/>
        <v>0.30610171169865186</v>
      </c>
      <c r="AG8" s="49">
        <f t="shared" si="0"/>
        <v>0.29385764323070573</v>
      </c>
      <c r="AH8" s="49">
        <f t="shared" si="0"/>
        <v>0.28210333750147754</v>
      </c>
    </row>
    <row r="9" spans="1:34" x14ac:dyDescent="0.25">
      <c r="A9" s="11" t="s">
        <v>44</v>
      </c>
      <c r="B9" s="219">
        <v>0</v>
      </c>
    </row>
    <row r="10" spans="1:34" x14ac:dyDescent="0.25">
      <c r="A10" s="11" t="s">
        <v>46</v>
      </c>
      <c r="C10" s="49">
        <f>1/((1+$B$6)^C9)</f>
        <v>1</v>
      </c>
      <c r="D10" s="49">
        <f>1*((1-$B$9)^D7)</f>
        <v>1</v>
      </c>
      <c r="E10" s="49">
        <f>1*((1-$B$9)^E7)</f>
        <v>1</v>
      </c>
      <c r="F10" s="49">
        <f t="shared" ref="F10:AH10" si="1">1*((1-$B$9)^F7)</f>
        <v>1</v>
      </c>
      <c r="G10" s="49">
        <f t="shared" si="1"/>
        <v>1</v>
      </c>
      <c r="H10" s="49">
        <f t="shared" si="1"/>
        <v>1</v>
      </c>
      <c r="I10" s="49">
        <f t="shared" si="1"/>
        <v>1</v>
      </c>
      <c r="J10" s="49">
        <f t="shared" si="1"/>
        <v>1</v>
      </c>
      <c r="K10" s="49">
        <f t="shared" si="1"/>
        <v>1</v>
      </c>
      <c r="L10" s="49">
        <f t="shared" si="1"/>
        <v>1</v>
      </c>
      <c r="M10" s="49">
        <f t="shared" si="1"/>
        <v>1</v>
      </c>
      <c r="N10" s="49">
        <f t="shared" si="1"/>
        <v>1</v>
      </c>
      <c r="O10" s="49">
        <f t="shared" si="1"/>
        <v>1</v>
      </c>
      <c r="P10" s="49">
        <f t="shared" si="1"/>
        <v>1</v>
      </c>
      <c r="Q10" s="49">
        <f t="shared" si="1"/>
        <v>1</v>
      </c>
      <c r="R10" s="49">
        <f t="shared" si="1"/>
        <v>1</v>
      </c>
      <c r="S10" s="49">
        <f t="shared" si="1"/>
        <v>1</v>
      </c>
      <c r="T10" s="49">
        <f t="shared" si="1"/>
        <v>1</v>
      </c>
      <c r="U10" s="49">
        <f t="shared" si="1"/>
        <v>1</v>
      </c>
      <c r="V10" s="49">
        <f t="shared" si="1"/>
        <v>1</v>
      </c>
      <c r="W10" s="49">
        <f t="shared" si="1"/>
        <v>1</v>
      </c>
      <c r="X10" s="49">
        <f t="shared" si="1"/>
        <v>1</v>
      </c>
      <c r="Y10" s="49">
        <f t="shared" si="1"/>
        <v>1</v>
      </c>
      <c r="Z10" s="49">
        <f t="shared" si="1"/>
        <v>1</v>
      </c>
      <c r="AA10" s="49">
        <f t="shared" si="1"/>
        <v>1</v>
      </c>
      <c r="AB10" s="49">
        <f t="shared" si="1"/>
        <v>1</v>
      </c>
      <c r="AC10" s="49">
        <f t="shared" si="1"/>
        <v>1</v>
      </c>
      <c r="AD10" s="49">
        <f t="shared" si="1"/>
        <v>1</v>
      </c>
      <c r="AE10" s="49">
        <f t="shared" si="1"/>
        <v>1</v>
      </c>
      <c r="AF10" s="49">
        <f t="shared" si="1"/>
        <v>1</v>
      </c>
      <c r="AG10" s="49">
        <f t="shared" si="1"/>
        <v>1</v>
      </c>
      <c r="AH10" s="49">
        <f t="shared" si="1"/>
        <v>1</v>
      </c>
    </row>
    <row r="11" spans="1:34" x14ac:dyDescent="0.25"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</row>
    <row r="12" spans="1:34" x14ac:dyDescent="0.25">
      <c r="A12" s="149" t="s">
        <v>52</v>
      </c>
      <c r="B12" s="148">
        <v>5</v>
      </c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</row>
    <row r="13" spans="1:34" x14ac:dyDescent="0.25">
      <c r="A13" s="149" t="s">
        <v>53</v>
      </c>
      <c r="B13" s="148">
        <v>3</v>
      </c>
      <c r="D13" s="124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</row>
    <row r="14" spans="1:34" x14ac:dyDescent="0.25">
      <c r="A14" s="149" t="s">
        <v>110</v>
      </c>
      <c r="B14" s="218">
        <v>0.04</v>
      </c>
      <c r="D14" s="124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</row>
    <row r="15" spans="1:34" x14ac:dyDescent="0.25">
      <c r="A15" s="149" t="s">
        <v>111</v>
      </c>
      <c r="B15" s="218">
        <v>0.04</v>
      </c>
      <c r="C15" s="215">
        <f>B15/B14</f>
        <v>1</v>
      </c>
      <c r="D15" s="124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</row>
    <row r="16" spans="1:34" x14ac:dyDescent="0.25">
      <c r="A16" s="149" t="s">
        <v>112</v>
      </c>
      <c r="B16" s="218">
        <v>0.04</v>
      </c>
      <c r="C16" s="215">
        <f>B16/B14</f>
        <v>1</v>
      </c>
      <c r="D16" s="124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</row>
    <row r="17" spans="1:34" x14ac:dyDescent="0.25">
      <c r="A17" s="147" t="s">
        <v>106</v>
      </c>
      <c r="B17" s="264">
        <v>0.25</v>
      </c>
      <c r="D17" s="100"/>
      <c r="E17" s="100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</row>
    <row r="18" spans="1:34" x14ac:dyDescent="0.25">
      <c r="D18" s="125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</row>
    <row r="19" spans="1:34" ht="15.75" thickBot="1" x14ac:dyDescent="0.3"/>
    <row r="20" spans="1:34" x14ac:dyDescent="0.25">
      <c r="B20" s="300" t="s">
        <v>13</v>
      </c>
      <c r="C20" s="110"/>
      <c r="D20" s="301" t="s">
        <v>1</v>
      </c>
      <c r="E20" s="302"/>
      <c r="F20" s="302"/>
      <c r="G20" s="302"/>
      <c r="H20" s="302"/>
      <c r="I20" s="303"/>
      <c r="J20" s="50"/>
    </row>
    <row r="21" spans="1:34" x14ac:dyDescent="0.25">
      <c r="B21" s="300"/>
      <c r="C21" s="111"/>
      <c r="D21" s="46">
        <v>1</v>
      </c>
      <c r="E21" s="265">
        <v>2</v>
      </c>
      <c r="F21" s="46">
        <v>3</v>
      </c>
      <c r="G21" s="265">
        <v>4</v>
      </c>
      <c r="H21" s="46">
        <v>5</v>
      </c>
      <c r="I21" s="265">
        <v>6</v>
      </c>
      <c r="J21" s="46">
        <v>7</v>
      </c>
      <c r="K21" s="265">
        <v>8</v>
      </c>
      <c r="L21" s="46">
        <v>9</v>
      </c>
      <c r="M21" s="265">
        <v>10</v>
      </c>
      <c r="N21" s="46">
        <v>11</v>
      </c>
      <c r="O21" s="265">
        <v>12</v>
      </c>
      <c r="P21" s="46">
        <v>13</v>
      </c>
      <c r="Q21" s="265">
        <v>14</v>
      </c>
      <c r="R21" s="46">
        <v>15</v>
      </c>
      <c r="S21" s="265">
        <v>16</v>
      </c>
      <c r="T21" s="46">
        <v>17</v>
      </c>
      <c r="U21" s="265">
        <v>18</v>
      </c>
      <c r="V21" s="46">
        <v>19</v>
      </c>
      <c r="W21" s="265">
        <v>20</v>
      </c>
      <c r="X21" s="46">
        <v>21</v>
      </c>
      <c r="Y21" s="265">
        <v>22</v>
      </c>
      <c r="Z21" s="46">
        <v>23</v>
      </c>
      <c r="AA21" s="265">
        <v>24</v>
      </c>
      <c r="AB21" s="46">
        <v>25</v>
      </c>
      <c r="AC21" s="46">
        <v>26</v>
      </c>
      <c r="AD21" s="46">
        <v>27</v>
      </c>
      <c r="AE21" s="46">
        <v>28</v>
      </c>
      <c r="AF21" s="46">
        <v>29</v>
      </c>
      <c r="AG21" s="46">
        <v>30</v>
      </c>
      <c r="AH21" s="46">
        <v>31</v>
      </c>
    </row>
    <row r="22" spans="1:34" x14ac:dyDescent="0.25">
      <c r="B22" s="150"/>
      <c r="C22" s="99">
        <v>44197</v>
      </c>
      <c r="D22" s="99">
        <v>44562</v>
      </c>
      <c r="E22" s="99">
        <v>44927</v>
      </c>
      <c r="F22" s="99">
        <v>45292</v>
      </c>
      <c r="G22" s="99">
        <v>45658</v>
      </c>
      <c r="H22" s="99">
        <v>46023</v>
      </c>
      <c r="I22" s="99">
        <v>46388</v>
      </c>
      <c r="J22" s="99">
        <v>46753</v>
      </c>
      <c r="K22" s="99">
        <v>47119</v>
      </c>
      <c r="L22" s="99">
        <v>47484</v>
      </c>
      <c r="M22" s="99">
        <v>47849</v>
      </c>
      <c r="N22" s="99">
        <v>48214</v>
      </c>
      <c r="O22" s="99">
        <v>48580</v>
      </c>
      <c r="P22" s="99">
        <v>48945</v>
      </c>
      <c r="Q22" s="99">
        <v>49310</v>
      </c>
      <c r="R22" s="99">
        <v>49675</v>
      </c>
      <c r="S22" s="99">
        <v>50041</v>
      </c>
      <c r="T22" s="99">
        <v>50406</v>
      </c>
      <c r="U22" s="99">
        <v>50771</v>
      </c>
      <c r="V22" s="99">
        <v>51136</v>
      </c>
      <c r="W22" s="99">
        <v>51502</v>
      </c>
      <c r="X22" s="99">
        <v>51867</v>
      </c>
      <c r="Y22" s="99">
        <v>52232</v>
      </c>
      <c r="Z22" s="99">
        <v>52597</v>
      </c>
      <c r="AA22" s="99">
        <v>52963</v>
      </c>
      <c r="AB22" s="99">
        <v>53328</v>
      </c>
      <c r="AC22" s="99">
        <v>53693</v>
      </c>
      <c r="AD22" s="99">
        <v>54058</v>
      </c>
      <c r="AE22" s="99">
        <v>54424</v>
      </c>
      <c r="AF22" s="99">
        <v>54789</v>
      </c>
      <c r="AG22" s="99">
        <v>55154</v>
      </c>
      <c r="AH22" s="99">
        <v>55519</v>
      </c>
    </row>
    <row r="23" spans="1:34" x14ac:dyDescent="0.25">
      <c r="A23" s="140" t="s">
        <v>98</v>
      </c>
      <c r="B23" s="136" t="s">
        <v>12</v>
      </c>
      <c r="C23" s="136">
        <v>1824074.0740740739</v>
      </c>
      <c r="D23" s="136">
        <v>1824074.0740740739</v>
      </c>
      <c r="E23" s="136">
        <v>1824074.0740740739</v>
      </c>
      <c r="F23" s="136">
        <v>1824074.0740740739</v>
      </c>
      <c r="G23" s="136">
        <v>1824074.0740740739</v>
      </c>
      <c r="H23" s="136">
        <v>1824074.0740740739</v>
      </c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</row>
    <row r="24" spans="1:34" x14ac:dyDescent="0.25">
      <c r="A24" s="137" t="s">
        <v>10</v>
      </c>
      <c r="B24" s="138" t="s">
        <v>12</v>
      </c>
      <c r="C24" s="139">
        <f>SUM(C25:C26)</f>
        <v>1824074.0740740739</v>
      </c>
      <c r="D24" s="139">
        <f>SUM(D25:D26)</f>
        <v>1824074.0740740739</v>
      </c>
      <c r="E24" s="139">
        <f t="shared" ref="E24:H24" si="2">SUM(E25:E26)</f>
        <v>1824074.0740740739</v>
      </c>
      <c r="F24" s="139">
        <f t="shared" si="2"/>
        <v>1824074.0740740739</v>
      </c>
      <c r="G24" s="139">
        <f t="shared" si="2"/>
        <v>1824074.0740740742</v>
      </c>
      <c r="H24" s="139">
        <f t="shared" si="2"/>
        <v>1824074.0740740742</v>
      </c>
      <c r="I24" s="139">
        <f>I26</f>
        <v>794431.81277227646</v>
      </c>
      <c r="J24" s="139">
        <f t="shared" ref="J24:AH24" si="3">J26</f>
        <v>794431.81277227646</v>
      </c>
      <c r="K24" s="139">
        <f t="shared" si="3"/>
        <v>794431.81277227646</v>
      </c>
      <c r="L24" s="139">
        <f t="shared" si="3"/>
        <v>794431.81277227646</v>
      </c>
      <c r="M24" s="139">
        <f t="shared" si="3"/>
        <v>794431.81277227646</v>
      </c>
      <c r="N24" s="139">
        <f t="shared" si="3"/>
        <v>794431.81277227646</v>
      </c>
      <c r="O24" s="139">
        <f t="shared" si="3"/>
        <v>794431.81277227646</v>
      </c>
      <c r="P24" s="139">
        <f t="shared" si="3"/>
        <v>794431.81277227646</v>
      </c>
      <c r="Q24" s="139">
        <f t="shared" si="3"/>
        <v>794431.81277227646</v>
      </c>
      <c r="R24" s="139">
        <f t="shared" si="3"/>
        <v>794431.81277227646</v>
      </c>
      <c r="S24" s="139">
        <f t="shared" si="3"/>
        <v>794431.81277227646</v>
      </c>
      <c r="T24" s="139">
        <f t="shared" si="3"/>
        <v>794431.81277227646</v>
      </c>
      <c r="U24" s="139">
        <f t="shared" si="3"/>
        <v>794431.81277227646</v>
      </c>
      <c r="V24" s="139">
        <f t="shared" si="3"/>
        <v>794431.81277227646</v>
      </c>
      <c r="W24" s="139">
        <f t="shared" si="3"/>
        <v>794431.81277227646</v>
      </c>
      <c r="X24" s="139">
        <f t="shared" si="3"/>
        <v>794431.81277227646</v>
      </c>
      <c r="Y24" s="139">
        <f t="shared" si="3"/>
        <v>794431.81277227646</v>
      </c>
      <c r="Z24" s="139">
        <f t="shared" si="3"/>
        <v>794431.81277227646</v>
      </c>
      <c r="AA24" s="139">
        <f t="shared" si="3"/>
        <v>794431.81277227646</v>
      </c>
      <c r="AB24" s="139">
        <f t="shared" si="3"/>
        <v>794431.81277227646</v>
      </c>
      <c r="AC24" s="139">
        <f t="shared" si="3"/>
        <v>794431.81277227646</v>
      </c>
      <c r="AD24" s="139">
        <f t="shared" si="3"/>
        <v>628606.8969473606</v>
      </c>
      <c r="AE24" s="139">
        <f t="shared" si="3"/>
        <v>477856.9734701644</v>
      </c>
      <c r="AF24" s="139">
        <f t="shared" si="3"/>
        <v>340811.58849089511</v>
      </c>
      <c r="AG24" s="139">
        <f t="shared" si="3"/>
        <v>216224.87487337762</v>
      </c>
      <c r="AH24" s="139">
        <f t="shared" si="3"/>
        <v>102964.22613017984</v>
      </c>
    </row>
    <row r="25" spans="1:34" ht="14.45" customHeight="1" x14ac:dyDescent="0.25">
      <c r="A25" s="22" t="s">
        <v>136</v>
      </c>
      <c r="B25" s="23" t="s">
        <v>12</v>
      </c>
      <c r="C25" s="24">
        <f>C23</f>
        <v>1824074.0740740739</v>
      </c>
      <c r="D25" s="24">
        <f>D23-D26</f>
        <v>1658249.1582491582</v>
      </c>
      <c r="E25" s="24">
        <f t="shared" ref="E25:H25" si="4">E23-E26</f>
        <v>1507499.2347719618</v>
      </c>
      <c r="F25" s="24">
        <f t="shared" si="4"/>
        <v>1370453.8497926926</v>
      </c>
      <c r="G25" s="24">
        <f t="shared" si="4"/>
        <v>1245867.1361751752</v>
      </c>
      <c r="H25" s="24">
        <f t="shared" si="4"/>
        <v>1132606.4874319774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4">
        <v>0</v>
      </c>
      <c r="AG25" s="24">
        <v>0</v>
      </c>
      <c r="AH25" s="24">
        <v>0</v>
      </c>
    </row>
    <row r="26" spans="1:34" x14ac:dyDescent="0.25">
      <c r="A26" s="25" t="s">
        <v>15</v>
      </c>
      <c r="B26" s="26" t="s">
        <v>12</v>
      </c>
      <c r="C26" s="112"/>
      <c r="D26" s="27">
        <f>C28*(Interventions!$I$7)</f>
        <v>165824.91582491584</v>
      </c>
      <c r="E26" s="27">
        <f>D28*(Interventions!$I$7)</f>
        <v>316574.83930211206</v>
      </c>
      <c r="F26" s="27">
        <f>E28*(Interventions!$I$7)</f>
        <v>453620.22428138135</v>
      </c>
      <c r="G26" s="27">
        <f>F28*(Interventions!$I$7)</f>
        <v>578206.93789889885</v>
      </c>
      <c r="H26" s="27">
        <f>G28*(Interventions!$I$7)</f>
        <v>691467.58664209663</v>
      </c>
      <c r="I26" s="27">
        <f>H28*(Interventions!$I$7)</f>
        <v>794431.81277227646</v>
      </c>
      <c r="J26" s="27">
        <f>I28*(Interventions!$I$7)</f>
        <v>794431.81277227646</v>
      </c>
      <c r="K26" s="27">
        <f>J28*(Interventions!$I$7)</f>
        <v>794431.81277227646</v>
      </c>
      <c r="L26" s="27">
        <f>K28*(Interventions!$I$7)</f>
        <v>794431.81277227646</v>
      </c>
      <c r="M26" s="27">
        <f>L28*(Interventions!$I$7)</f>
        <v>794431.81277227646</v>
      </c>
      <c r="N26" s="27">
        <f>M28*(Interventions!$I$7)</f>
        <v>794431.81277227646</v>
      </c>
      <c r="O26" s="27">
        <f>N28*(Interventions!$I$7)</f>
        <v>794431.81277227646</v>
      </c>
      <c r="P26" s="27">
        <f>O28*(Interventions!$I$7)</f>
        <v>794431.81277227646</v>
      </c>
      <c r="Q26" s="27">
        <f>P28*(Interventions!$I$7)</f>
        <v>794431.81277227646</v>
      </c>
      <c r="R26" s="27">
        <f>Q28*(Interventions!$I$7)</f>
        <v>794431.81277227646</v>
      </c>
      <c r="S26" s="27">
        <f>R28*(Interventions!$I$7)</f>
        <v>794431.81277227646</v>
      </c>
      <c r="T26" s="27">
        <f>S28*(Interventions!$I$7)</f>
        <v>794431.81277227646</v>
      </c>
      <c r="U26" s="27">
        <f>T28*(Interventions!$I$7)</f>
        <v>794431.81277227646</v>
      </c>
      <c r="V26" s="27">
        <f>U28*(Interventions!$I$7)</f>
        <v>794431.81277227646</v>
      </c>
      <c r="W26" s="27">
        <f>V28*(Interventions!$I$7)</f>
        <v>794431.81277227646</v>
      </c>
      <c r="X26" s="27">
        <f>W28*(Interventions!$I$7)</f>
        <v>794431.81277227646</v>
      </c>
      <c r="Y26" s="27">
        <f>X28*(Interventions!$I$7)</f>
        <v>794431.81277227646</v>
      </c>
      <c r="Z26" s="27">
        <f>Y28*(Interventions!$I$7)</f>
        <v>794431.81277227646</v>
      </c>
      <c r="AA26" s="27">
        <f>Z28*(Interventions!$I$7)</f>
        <v>794431.81277227646</v>
      </c>
      <c r="AB26" s="27">
        <f>AA28*(Interventions!$I$7)</f>
        <v>794431.81277227646</v>
      </c>
      <c r="AC26" s="27">
        <f>AB28*(Interventions!$I$7)</f>
        <v>794431.81277227646</v>
      </c>
      <c r="AD26" s="27">
        <f>AC28*(Interventions!$I$7)</f>
        <v>628606.8969473606</v>
      </c>
      <c r="AE26" s="27">
        <f>AD28*(Interventions!$I$7)</f>
        <v>477856.9734701644</v>
      </c>
      <c r="AF26" s="27">
        <f>AE28*(Interventions!$I$7)</f>
        <v>340811.58849089511</v>
      </c>
      <c r="AG26" s="27">
        <f>AF28*(Interventions!$I$7)</f>
        <v>216224.87487337762</v>
      </c>
      <c r="AH26" s="27">
        <f>AG28*(Interventions!$I$7)</f>
        <v>102964.22613017984</v>
      </c>
    </row>
    <row r="27" spans="1:34" x14ac:dyDescent="0.25">
      <c r="A27" s="41" t="s">
        <v>147</v>
      </c>
      <c r="B27" s="10" t="s">
        <v>135</v>
      </c>
      <c r="C27" s="45">
        <f>E3</f>
        <v>60.606306723042223</v>
      </c>
      <c r="D27" s="45">
        <f>D25/(Interventions!$I$6+Interventions!$I$7)</f>
        <v>55.096642475492928</v>
      </c>
      <c r="E27" s="45">
        <f>E25/(Interventions!$I$6+Interventions!$I$7)</f>
        <v>50.08785679590266</v>
      </c>
      <c r="F27" s="45">
        <f>F25/(Interventions!$I$6+Interventions!$I$7)</f>
        <v>45.534415269002416</v>
      </c>
      <c r="G27" s="45">
        <f>G25/(Interventions!$I$6+Interventions!$I$7)</f>
        <v>41.394922971820385</v>
      </c>
      <c r="H27" s="45">
        <f>H25/(Interventions!$I$6+Interventions!$I$7)</f>
        <v>37.631748156200345</v>
      </c>
      <c r="I27" s="45">
        <f>I25/(Interventions!$I$6+Interventions!$I$7)</f>
        <v>0</v>
      </c>
      <c r="J27" s="45">
        <f>J25/(Interventions!$I$6+Interventions!$I$7)</f>
        <v>0</v>
      </c>
      <c r="K27" s="45">
        <f>K25/(Interventions!$I$6+Interventions!$I$7)</f>
        <v>0</v>
      </c>
      <c r="L27" s="45">
        <f>L25/(Interventions!$I$6+Interventions!$I$7)</f>
        <v>0</v>
      </c>
      <c r="M27" s="45">
        <f>M25/(Interventions!$I$6+Interventions!$I$7)</f>
        <v>0</v>
      </c>
      <c r="N27" s="45">
        <f>N25/(Interventions!$I$6+Interventions!$I$7)</f>
        <v>0</v>
      </c>
      <c r="O27" s="45">
        <f>O25/(Interventions!$I$6+Interventions!$I$7)</f>
        <v>0</v>
      </c>
      <c r="P27" s="45">
        <f>P25/(Interventions!$I$6+Interventions!$I$7)</f>
        <v>0</v>
      </c>
      <c r="Q27" s="45">
        <f>Q25/(Interventions!$I$6+Interventions!$I$7)</f>
        <v>0</v>
      </c>
      <c r="R27" s="45">
        <f>R25/(Interventions!$I$6+Interventions!$I$7)</f>
        <v>0</v>
      </c>
      <c r="S27" s="45">
        <f>S25/(Interventions!$I$6+Interventions!$I$7)</f>
        <v>0</v>
      </c>
      <c r="T27" s="45">
        <f>T25/(Interventions!$I$6+Interventions!$I$7)</f>
        <v>0</v>
      </c>
      <c r="U27" s="45">
        <f>U25/(Interventions!$I$6+Interventions!$I$7)</f>
        <v>0</v>
      </c>
      <c r="V27" s="45">
        <f>V25/(Interventions!$I$6+Interventions!$I$7)</f>
        <v>0</v>
      </c>
      <c r="W27" s="45">
        <f>W25/(Interventions!$I$6+Interventions!$I$7)</f>
        <v>0</v>
      </c>
      <c r="X27" s="45">
        <f>X25/(Interventions!$I$6+Interventions!$I$7)</f>
        <v>0</v>
      </c>
      <c r="Y27" s="45">
        <f>Y25/(Interventions!$I$6+Interventions!$I$7)</f>
        <v>0</v>
      </c>
      <c r="Z27" s="45">
        <f>Z25/(Interventions!$I$6+Interventions!$I$7)</f>
        <v>0</v>
      </c>
      <c r="AA27" s="45">
        <f>AA25/(Interventions!$I$6+Interventions!$I$7)</f>
        <v>0</v>
      </c>
      <c r="AB27" s="45">
        <f>AB25/(Interventions!$I$6+Interventions!$I$7)</f>
        <v>0</v>
      </c>
      <c r="AC27" s="45">
        <f>AC25/(Interventions!$I$6+Interventions!$I$7)</f>
        <v>0</v>
      </c>
      <c r="AD27" s="45">
        <f>AD25/(Interventions!$I$6+Interventions!$I$7)</f>
        <v>0</v>
      </c>
      <c r="AE27" s="45">
        <f>AE25/(Interventions!$I$6+Interventions!$I$7)</f>
        <v>0</v>
      </c>
      <c r="AF27" s="45">
        <f>AF25/(Interventions!$I$6+Interventions!$I$7)</f>
        <v>0</v>
      </c>
      <c r="AG27" s="45">
        <f>AG25/(Interventions!$I$6+Interventions!$I$7)</f>
        <v>0</v>
      </c>
      <c r="AH27" s="45">
        <f>AH25/(Interventions!$I$6+Interventions!$I$7)</f>
        <v>0</v>
      </c>
    </row>
    <row r="28" spans="1:34" x14ac:dyDescent="0.25">
      <c r="A28" s="43" t="s">
        <v>148</v>
      </c>
      <c r="B28" s="10" t="s">
        <v>135</v>
      </c>
      <c r="C28" s="42">
        <f>C27</f>
        <v>60.606306723042223</v>
      </c>
      <c r="D28" s="42">
        <f>C28+D27</f>
        <v>115.70294919853515</v>
      </c>
      <c r="E28" s="42">
        <f t="shared" ref="E28:AB28" si="5">D28+E27</f>
        <v>165.79080599443782</v>
      </c>
      <c r="F28" s="42">
        <f t="shared" si="5"/>
        <v>211.32522126344023</v>
      </c>
      <c r="G28" s="42">
        <f t="shared" si="5"/>
        <v>252.72014423526062</v>
      </c>
      <c r="H28" s="42">
        <f t="shared" si="5"/>
        <v>290.35189239146098</v>
      </c>
      <c r="I28" s="42">
        <f t="shared" si="5"/>
        <v>290.35189239146098</v>
      </c>
      <c r="J28" s="42">
        <f t="shared" si="5"/>
        <v>290.35189239146098</v>
      </c>
      <c r="K28" s="42">
        <f t="shared" si="5"/>
        <v>290.35189239146098</v>
      </c>
      <c r="L28" s="42">
        <f t="shared" si="5"/>
        <v>290.35189239146098</v>
      </c>
      <c r="M28" s="42">
        <f t="shared" si="5"/>
        <v>290.35189239146098</v>
      </c>
      <c r="N28" s="42">
        <f t="shared" si="5"/>
        <v>290.35189239146098</v>
      </c>
      <c r="O28" s="42">
        <f t="shared" si="5"/>
        <v>290.35189239146098</v>
      </c>
      <c r="P28" s="42">
        <f t="shared" si="5"/>
        <v>290.35189239146098</v>
      </c>
      <c r="Q28" s="42">
        <f t="shared" si="5"/>
        <v>290.35189239146098</v>
      </c>
      <c r="R28" s="42">
        <f t="shared" si="5"/>
        <v>290.35189239146098</v>
      </c>
      <c r="S28" s="42">
        <f t="shared" si="5"/>
        <v>290.35189239146098</v>
      </c>
      <c r="T28" s="42">
        <f t="shared" si="5"/>
        <v>290.35189239146098</v>
      </c>
      <c r="U28" s="42">
        <f t="shared" si="5"/>
        <v>290.35189239146098</v>
      </c>
      <c r="V28" s="42">
        <f t="shared" si="5"/>
        <v>290.35189239146098</v>
      </c>
      <c r="W28" s="42">
        <f t="shared" si="5"/>
        <v>290.35189239146098</v>
      </c>
      <c r="X28" s="42">
        <f t="shared" si="5"/>
        <v>290.35189239146098</v>
      </c>
      <c r="Y28" s="42">
        <f t="shared" si="5"/>
        <v>290.35189239146098</v>
      </c>
      <c r="Z28" s="42">
        <f t="shared" si="5"/>
        <v>290.35189239146098</v>
      </c>
      <c r="AA28" s="42">
        <f t="shared" si="5"/>
        <v>290.35189239146098</v>
      </c>
      <c r="AB28" s="42">
        <f t="shared" si="5"/>
        <v>290.35189239146098</v>
      </c>
      <c r="AC28" s="42">
        <f>AB28-C27</f>
        <v>229.74558566841876</v>
      </c>
      <c r="AD28" s="42">
        <f t="shared" ref="AD28:AH28" si="6">AC28-D27</f>
        <v>174.64894319292583</v>
      </c>
      <c r="AE28" s="42">
        <f t="shared" si="6"/>
        <v>124.56108639702316</v>
      </c>
      <c r="AF28" s="42">
        <f t="shared" si="6"/>
        <v>79.026671128020752</v>
      </c>
      <c r="AG28" s="42">
        <f t="shared" si="6"/>
        <v>37.631748156200366</v>
      </c>
      <c r="AH28" s="42">
        <f t="shared" si="6"/>
        <v>0</v>
      </c>
    </row>
    <row r="29" spans="1:34" x14ac:dyDescent="0.25">
      <c r="A29" s="43"/>
      <c r="B29" s="10"/>
      <c r="C29" s="10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31"/>
      <c r="R29" s="31"/>
      <c r="S29" s="31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</row>
    <row r="30" spans="1:34" x14ac:dyDescent="0.25">
      <c r="A30" s="115" t="s">
        <v>152</v>
      </c>
      <c r="B30" s="122" t="s">
        <v>37</v>
      </c>
      <c r="C30" s="116">
        <f>C31+C32</f>
        <v>0</v>
      </c>
      <c r="D30" s="116">
        <f>D31+D32</f>
        <v>231248.84211189536</v>
      </c>
      <c r="E30" s="116">
        <f t="shared" ref="E30:AH30" si="7">E31+E32</f>
        <v>443139.99988387752</v>
      </c>
      <c r="F30" s="116">
        <f t="shared" si="7"/>
        <v>637420.82982528408</v>
      </c>
      <c r="G30" s="116">
        <f t="shared" si="7"/>
        <v>815683.21269414632</v>
      </c>
      <c r="H30" s="116">
        <f t="shared" si="7"/>
        <v>979377.5207320794</v>
      </c>
      <c r="I30" s="116">
        <f t="shared" si="7"/>
        <v>1129825.3281112106</v>
      </c>
      <c r="J30" s="116">
        <f t="shared" si="7"/>
        <v>1134552.4580302825</v>
      </c>
      <c r="K30" s="116">
        <f t="shared" si="7"/>
        <v>1139397.766197331</v>
      </c>
      <c r="L30" s="116">
        <f t="shared" si="7"/>
        <v>1144364.207068556</v>
      </c>
      <c r="M30" s="116">
        <f t="shared" si="7"/>
        <v>1149454.8089615616</v>
      </c>
      <c r="N30" s="116">
        <f t="shared" si="7"/>
        <v>1154672.6759018921</v>
      </c>
      <c r="O30" s="116">
        <f t="shared" si="7"/>
        <v>1160020.9895157311</v>
      </c>
      <c r="P30" s="116">
        <f t="shared" si="7"/>
        <v>1165503.0109699161</v>
      </c>
      <c r="Q30" s="116">
        <f t="shared" si="7"/>
        <v>1171122.0829604557</v>
      </c>
      <c r="R30" s="116">
        <f t="shared" si="7"/>
        <v>1176881.6317507587</v>
      </c>
      <c r="S30" s="116">
        <f t="shared" si="7"/>
        <v>1182785.1692608192</v>
      </c>
      <c r="T30" s="116">
        <f t="shared" si="7"/>
        <v>1188836.2952086315</v>
      </c>
      <c r="U30" s="116">
        <f t="shared" si="7"/>
        <v>1195038.6993051388</v>
      </c>
      <c r="V30" s="116">
        <f t="shared" si="7"/>
        <v>1201396.163504059</v>
      </c>
      <c r="W30" s="116">
        <f t="shared" si="7"/>
        <v>1207912.5643079521</v>
      </c>
      <c r="X30" s="116">
        <f t="shared" si="7"/>
        <v>1214591.8751319426</v>
      </c>
      <c r="Y30" s="116">
        <f t="shared" si="7"/>
        <v>1221438.1687265327</v>
      </c>
      <c r="Z30" s="116">
        <f t="shared" si="7"/>
        <v>1228455.6196609878</v>
      </c>
      <c r="AA30" s="116">
        <f t="shared" si="7"/>
        <v>1235648.5068688041</v>
      </c>
      <c r="AB30" s="116">
        <f t="shared" si="7"/>
        <v>1243021.2162568157</v>
      </c>
      <c r="AC30" s="116">
        <f t="shared" si="7"/>
        <v>940740.13134833355</v>
      </c>
      <c r="AD30" s="116">
        <f t="shared" si="7"/>
        <v>744375.69756567676</v>
      </c>
      <c r="AE30" s="116">
        <f t="shared" si="7"/>
        <v>565862.57594507968</v>
      </c>
      <c r="AF30" s="116">
        <f t="shared" si="7"/>
        <v>403577.91992635507</v>
      </c>
      <c r="AG30" s="116">
        <f t="shared" si="7"/>
        <v>256046.41445478724</v>
      </c>
      <c r="AH30" s="116">
        <f t="shared" si="7"/>
        <v>121926.86402608918</v>
      </c>
    </row>
    <row r="31" spans="1:34" x14ac:dyDescent="0.25">
      <c r="A31" s="41" t="s">
        <v>172</v>
      </c>
      <c r="B31" s="28" t="s">
        <v>37</v>
      </c>
      <c r="C31" s="28"/>
      <c r="D31" s="42">
        <f>C28*'Carbon avoided'!E12</f>
        <v>34884.408329238562</v>
      </c>
      <c r="E31" s="42">
        <f>D28*'Carbon avoided'!F12</f>
        <v>68262.444480623642</v>
      </c>
      <c r="F31" s="42">
        <f>E28*'Carbon avoided'!G12</f>
        <v>100258.61840330556</v>
      </c>
      <c r="G31" s="42">
        <f>F28*'Carbon avoided'!H12</f>
        <v>130989.49580060001</v>
      </c>
      <c r="H31" s="42">
        <f>G28*'Carbon avoided'!I12</f>
        <v>160564.2534098351</v>
      </c>
      <c r="I31" s="42">
        <f>H28*'Carbon avoided'!J12</f>
        <v>189085.19676287696</v>
      </c>
      <c r="J31" s="42">
        <f>I28*'Carbon avoided'!K12</f>
        <v>193812.32668194888</v>
      </c>
      <c r="K31" s="42">
        <f>J28*'Carbon avoided'!L12</f>
        <v>198657.63484899755</v>
      </c>
      <c r="L31" s="42">
        <f>K28*'Carbon avoided'!M12</f>
        <v>203624.07572022249</v>
      </c>
      <c r="M31" s="42">
        <f>L28*'Carbon avoided'!N12</f>
        <v>208714.67761322804</v>
      </c>
      <c r="N31" s="42">
        <f>M28*'Carbon avoided'!O12</f>
        <v>213932.54455355869</v>
      </c>
      <c r="O31" s="42">
        <f>N28*'Carbon avoided'!P12</f>
        <v>219280.85816739764</v>
      </c>
      <c r="P31" s="42">
        <f>O28*'Carbon avoided'!Q12</f>
        <v>224762.87962158254</v>
      </c>
      <c r="Q31" s="42">
        <f>P28*'Carbon avoided'!R12</f>
        <v>230381.95161212209</v>
      </c>
      <c r="R31" s="42">
        <f>Q28*'Carbon avoided'!S12</f>
        <v>236141.50040242512</v>
      </c>
      <c r="S31" s="42">
        <f>R28*'Carbon avoided'!T12</f>
        <v>242045.03791248574</v>
      </c>
      <c r="T31" s="42">
        <f>S28*'Carbon avoided'!U12</f>
        <v>248096.16386029788</v>
      </c>
      <c r="U31" s="42">
        <f>T28*'Carbon avoided'!V12</f>
        <v>254298.56795680529</v>
      </c>
      <c r="V31" s="42">
        <f>U28*'Carbon avoided'!W12</f>
        <v>260656.03215572538</v>
      </c>
      <c r="W31" s="42">
        <f>V28*'Carbon avoided'!X12</f>
        <v>267172.43295961851</v>
      </c>
      <c r="X31" s="42">
        <f>W28*'Carbon avoided'!Y12</f>
        <v>273851.74378360895</v>
      </c>
      <c r="Y31" s="42">
        <f>X28*'Carbon avoided'!Z12</f>
        <v>280698.03737819917</v>
      </c>
      <c r="Z31" s="42">
        <f>Y28*'Carbon avoided'!AA12</f>
        <v>287715.48831265414</v>
      </c>
      <c r="AA31" s="42">
        <f>Z28*'Carbon avoided'!AB12</f>
        <v>294908.37552047049</v>
      </c>
      <c r="AB31" s="42">
        <f>AA28*'Carbon avoided'!AC12</f>
        <v>302281.08490848221</v>
      </c>
      <c r="AC31" s="42">
        <f>AB28*'Carbon avoided'!AD12</f>
        <v>0</v>
      </c>
      <c r="AD31" s="42">
        <f>AC28*'Carbon avoided'!AE12</f>
        <v>0</v>
      </c>
      <c r="AE31" s="42">
        <f>AD28*'Carbon avoided'!AF12</f>
        <v>0</v>
      </c>
      <c r="AF31" s="42">
        <f>AE28*'Carbon avoided'!AG12</f>
        <v>0</v>
      </c>
      <c r="AG31" s="42">
        <f>AF28*'Carbon avoided'!AH12</f>
        <v>0</v>
      </c>
      <c r="AH31" s="42">
        <f>AG28*'Carbon avoided'!AI12</f>
        <v>0</v>
      </c>
    </row>
    <row r="32" spans="1:34" x14ac:dyDescent="0.25">
      <c r="A32" s="41" t="s">
        <v>175</v>
      </c>
      <c r="B32" s="28" t="s">
        <v>37</v>
      </c>
      <c r="C32" s="28"/>
      <c r="D32" s="42">
        <f>C28*Interventions!$I$10</f>
        <v>196364.43378265679</v>
      </c>
      <c r="E32" s="42">
        <f>D28*Interventions!$I$10</f>
        <v>374877.55540325388</v>
      </c>
      <c r="F32" s="42">
        <f>E28*Interventions!$I$10</f>
        <v>537162.21142197854</v>
      </c>
      <c r="G32" s="42">
        <f>F28*Interventions!$I$10</f>
        <v>684693.71689354628</v>
      </c>
      <c r="H32" s="42">
        <f>G28*Interventions!$I$10</f>
        <v>818813.26732224436</v>
      </c>
      <c r="I32" s="42">
        <f>H28*Interventions!$I$10</f>
        <v>940740.13134833355</v>
      </c>
      <c r="J32" s="42">
        <f>I28*Interventions!$I$10</f>
        <v>940740.13134833355</v>
      </c>
      <c r="K32" s="42">
        <f>J28*Interventions!$I$10</f>
        <v>940740.13134833355</v>
      </c>
      <c r="L32" s="42">
        <f>K28*Interventions!$I$10</f>
        <v>940740.13134833355</v>
      </c>
      <c r="M32" s="42">
        <f>L28*Interventions!$I$10</f>
        <v>940740.13134833355</v>
      </c>
      <c r="N32" s="42">
        <f>M28*Interventions!$I$10</f>
        <v>940740.13134833355</v>
      </c>
      <c r="O32" s="42">
        <f>N28*Interventions!$I$10</f>
        <v>940740.13134833355</v>
      </c>
      <c r="P32" s="42">
        <f>O28*Interventions!$I$10</f>
        <v>940740.13134833355</v>
      </c>
      <c r="Q32" s="42">
        <f>P28*Interventions!$I$10</f>
        <v>940740.13134833355</v>
      </c>
      <c r="R32" s="42">
        <f>Q28*Interventions!$I$10</f>
        <v>940740.13134833355</v>
      </c>
      <c r="S32" s="42">
        <f>R28*Interventions!$I$10</f>
        <v>940740.13134833355</v>
      </c>
      <c r="T32" s="42">
        <f>S28*Interventions!$I$10</f>
        <v>940740.13134833355</v>
      </c>
      <c r="U32" s="42">
        <f>T28*Interventions!$I$10</f>
        <v>940740.13134833355</v>
      </c>
      <c r="V32" s="42">
        <f>U28*Interventions!$I$10</f>
        <v>940740.13134833355</v>
      </c>
      <c r="W32" s="42">
        <f>V28*Interventions!$I$10</f>
        <v>940740.13134833355</v>
      </c>
      <c r="X32" s="42">
        <f>W28*Interventions!$I$10</f>
        <v>940740.13134833355</v>
      </c>
      <c r="Y32" s="42">
        <f>X28*Interventions!$I$10</f>
        <v>940740.13134833355</v>
      </c>
      <c r="Z32" s="42">
        <f>Y28*Interventions!$I$10</f>
        <v>940740.13134833355</v>
      </c>
      <c r="AA32" s="42">
        <f>Z28*Interventions!$I$10</f>
        <v>940740.13134833355</v>
      </c>
      <c r="AB32" s="42">
        <f>AA28*Interventions!$I$10</f>
        <v>940740.13134833355</v>
      </c>
      <c r="AC32" s="42">
        <f>AB28*Interventions!$I$10</f>
        <v>940740.13134833355</v>
      </c>
      <c r="AD32" s="42">
        <f>AC28*Interventions!$I$10</f>
        <v>744375.69756567676</v>
      </c>
      <c r="AE32" s="42">
        <f>AD28*Interventions!$I$10</f>
        <v>565862.57594507968</v>
      </c>
      <c r="AF32" s="42">
        <f>AE28*Interventions!$I$10</f>
        <v>403577.91992635507</v>
      </c>
      <c r="AG32" s="42">
        <f>AF28*Interventions!$I$10</f>
        <v>256046.41445478724</v>
      </c>
      <c r="AH32" s="42">
        <f>AG28*Interventions!$I$10</f>
        <v>121926.86402608918</v>
      </c>
    </row>
    <row r="33" spans="1:34" x14ac:dyDescent="0.25">
      <c r="A33" s="44"/>
      <c r="B33" s="10"/>
      <c r="C33" s="10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</row>
    <row r="34" spans="1:34" x14ac:dyDescent="0.25">
      <c r="A34" s="115" t="s">
        <v>150</v>
      </c>
      <c r="B34" s="122" t="s">
        <v>37</v>
      </c>
      <c r="C34" s="116">
        <f t="shared" ref="C34" si="8">SUM(C35:C37)</f>
        <v>0</v>
      </c>
      <c r="D34" s="116">
        <f>SUM(D35:D38)</f>
        <v>196578.7376832295</v>
      </c>
      <c r="E34" s="116">
        <f t="shared" ref="E34:AH34" si="9">SUM(E35:E38)</f>
        <v>375286.6810316199</v>
      </c>
      <c r="F34" s="116">
        <f t="shared" si="9"/>
        <v>537748.44771197485</v>
      </c>
      <c r="G34" s="116">
        <f t="shared" si="9"/>
        <v>685440.96287593385</v>
      </c>
      <c r="H34" s="116">
        <f t="shared" si="9"/>
        <v>819706.88575226034</v>
      </c>
      <c r="I34" s="116">
        <f t="shared" si="9"/>
        <v>941766.81563982985</v>
      </c>
      <c r="J34" s="116">
        <f t="shared" si="9"/>
        <v>941766.81563982985</v>
      </c>
      <c r="K34" s="116">
        <f t="shared" si="9"/>
        <v>941766.81563982985</v>
      </c>
      <c r="L34" s="116">
        <f t="shared" si="9"/>
        <v>941766.81563982985</v>
      </c>
      <c r="M34" s="116">
        <f t="shared" si="9"/>
        <v>941766.81563982985</v>
      </c>
      <c r="N34" s="116">
        <f t="shared" si="9"/>
        <v>941766.81563982985</v>
      </c>
      <c r="O34" s="116">
        <f t="shared" si="9"/>
        <v>941766.81563982985</v>
      </c>
      <c r="P34" s="116">
        <f t="shared" si="9"/>
        <v>941766.81563982985</v>
      </c>
      <c r="Q34" s="116">
        <f t="shared" si="9"/>
        <v>941766.81563982985</v>
      </c>
      <c r="R34" s="116">
        <f t="shared" si="9"/>
        <v>941766.81563982985</v>
      </c>
      <c r="S34" s="116">
        <f t="shared" si="9"/>
        <v>941766.81563982985</v>
      </c>
      <c r="T34" s="116">
        <f t="shared" si="9"/>
        <v>941766.81563982985</v>
      </c>
      <c r="U34" s="116">
        <f t="shared" si="9"/>
        <v>941766.81563982985</v>
      </c>
      <c r="V34" s="116">
        <f t="shared" si="9"/>
        <v>941766.81563982985</v>
      </c>
      <c r="W34" s="116">
        <f t="shared" si="9"/>
        <v>941766.81563982985</v>
      </c>
      <c r="X34" s="116">
        <f t="shared" si="9"/>
        <v>941766.81563982985</v>
      </c>
      <c r="Y34" s="116">
        <f t="shared" si="9"/>
        <v>941766.81563982985</v>
      </c>
      <c r="Z34" s="116">
        <f t="shared" si="9"/>
        <v>941766.81563982985</v>
      </c>
      <c r="AA34" s="116">
        <f t="shared" si="9"/>
        <v>941766.81563982985</v>
      </c>
      <c r="AB34" s="116">
        <f t="shared" si="9"/>
        <v>941766.81563982985</v>
      </c>
      <c r="AC34" s="116">
        <f t="shared" si="9"/>
        <v>941766.81563982985</v>
      </c>
      <c r="AD34" s="116">
        <f t="shared" si="9"/>
        <v>745188.07795660035</v>
      </c>
      <c r="AE34" s="116">
        <f t="shared" si="9"/>
        <v>566480.13460820983</v>
      </c>
      <c r="AF34" s="116">
        <f t="shared" si="9"/>
        <v>404018.36792785494</v>
      </c>
      <c r="AG34" s="116">
        <f t="shared" si="9"/>
        <v>256325.85276389593</v>
      </c>
      <c r="AH34" s="116">
        <f t="shared" si="9"/>
        <v>122059.92988756951</v>
      </c>
    </row>
    <row r="35" spans="1:34" x14ac:dyDescent="0.25">
      <c r="A35" s="41"/>
      <c r="B35" s="28"/>
      <c r="C35" s="28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</row>
    <row r="36" spans="1:34" x14ac:dyDescent="0.25">
      <c r="A36" s="41"/>
      <c r="B36" s="28"/>
      <c r="C36" s="28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</row>
    <row r="37" spans="1:34" x14ac:dyDescent="0.25">
      <c r="A37" s="41"/>
      <c r="B37" s="28"/>
      <c r="C37" s="28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</row>
    <row r="38" spans="1:34" x14ac:dyDescent="0.25">
      <c r="A38" s="241" t="s">
        <v>36</v>
      </c>
      <c r="B38" s="28" t="s">
        <v>37</v>
      </c>
      <c r="C38" s="28"/>
      <c r="D38" s="42">
        <f>C28*Interventions!$I$14</f>
        <v>196578.7376832295</v>
      </c>
      <c r="E38" s="42">
        <f>D28*Interventions!$I$14</f>
        <v>375286.6810316199</v>
      </c>
      <c r="F38" s="42">
        <f>E28*Interventions!$I$14</f>
        <v>537748.44771197485</v>
      </c>
      <c r="G38" s="42">
        <f>F28*Interventions!$I$14</f>
        <v>685440.96287593385</v>
      </c>
      <c r="H38" s="42">
        <f>G28*Interventions!$I$14</f>
        <v>819706.88575226034</v>
      </c>
      <c r="I38" s="42">
        <f>H28*Interventions!$I$14</f>
        <v>941766.81563982985</v>
      </c>
      <c r="J38" s="42">
        <f>I28*Interventions!$I$14</f>
        <v>941766.81563982985</v>
      </c>
      <c r="K38" s="42">
        <f>J28*Interventions!$I$14</f>
        <v>941766.81563982985</v>
      </c>
      <c r="L38" s="42">
        <f>K28*Interventions!$I$14</f>
        <v>941766.81563982985</v>
      </c>
      <c r="M38" s="42">
        <f>L28*Interventions!$I$14</f>
        <v>941766.81563982985</v>
      </c>
      <c r="N38" s="42">
        <f>M28*Interventions!$I$14</f>
        <v>941766.81563982985</v>
      </c>
      <c r="O38" s="42">
        <f>N28*Interventions!$I$14</f>
        <v>941766.81563982985</v>
      </c>
      <c r="P38" s="42">
        <f>O28*Interventions!$I$14</f>
        <v>941766.81563982985</v>
      </c>
      <c r="Q38" s="42">
        <f>P28*Interventions!$I$14</f>
        <v>941766.81563982985</v>
      </c>
      <c r="R38" s="42">
        <f>Q28*Interventions!$I$14</f>
        <v>941766.81563982985</v>
      </c>
      <c r="S38" s="42">
        <f>R28*Interventions!$I$14</f>
        <v>941766.81563982985</v>
      </c>
      <c r="T38" s="42">
        <f>S28*Interventions!$I$14</f>
        <v>941766.81563982985</v>
      </c>
      <c r="U38" s="42">
        <f>T28*Interventions!$I$14</f>
        <v>941766.81563982985</v>
      </c>
      <c r="V38" s="42">
        <f>U28*Interventions!$I$14</f>
        <v>941766.81563982985</v>
      </c>
      <c r="W38" s="42">
        <f>V28*Interventions!$I$14</f>
        <v>941766.81563982985</v>
      </c>
      <c r="X38" s="42">
        <f>W28*Interventions!$I$14</f>
        <v>941766.81563982985</v>
      </c>
      <c r="Y38" s="42">
        <f>X28*Interventions!$I$14</f>
        <v>941766.81563982985</v>
      </c>
      <c r="Z38" s="42">
        <f>Y28*Interventions!$I$14</f>
        <v>941766.81563982985</v>
      </c>
      <c r="AA38" s="42">
        <f>Z28*Interventions!$I$14</f>
        <v>941766.81563982985</v>
      </c>
      <c r="AB38" s="42">
        <f>AA28*Interventions!$I$14</f>
        <v>941766.81563982985</v>
      </c>
      <c r="AC38" s="42">
        <f>AB28*Interventions!$I$14</f>
        <v>941766.81563982985</v>
      </c>
      <c r="AD38" s="42">
        <f>AC28*Interventions!$I$14</f>
        <v>745188.07795660035</v>
      </c>
      <c r="AE38" s="42">
        <f>AD28*Interventions!$I$14</f>
        <v>566480.13460820983</v>
      </c>
      <c r="AF38" s="42">
        <f>AE28*Interventions!$I$14</f>
        <v>404018.36792785494</v>
      </c>
      <c r="AG38" s="42">
        <f>AF28*Interventions!$I$14</f>
        <v>256325.85276389593</v>
      </c>
      <c r="AH38" s="42">
        <f>AG28*Interventions!$I$14</f>
        <v>122059.92988756951</v>
      </c>
    </row>
    <row r="39" spans="1:34" x14ac:dyDescent="0.25">
      <c r="A39" s="117"/>
      <c r="B39" s="28"/>
      <c r="C39" s="28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</row>
    <row r="40" spans="1:34" x14ac:dyDescent="0.25">
      <c r="A40" s="118" t="s">
        <v>154</v>
      </c>
      <c r="B40" s="122" t="s">
        <v>37</v>
      </c>
      <c r="C40" s="116">
        <f t="shared" ref="C40:AH40" si="10">C30+C34</f>
        <v>0</v>
      </c>
      <c r="D40" s="116">
        <f t="shared" si="10"/>
        <v>427827.57979512482</v>
      </c>
      <c r="E40" s="116">
        <f t="shared" si="10"/>
        <v>818426.68091549748</v>
      </c>
      <c r="F40" s="116">
        <f t="shared" si="10"/>
        <v>1175169.2775372588</v>
      </c>
      <c r="G40" s="116">
        <f t="shared" si="10"/>
        <v>1501124.1755700801</v>
      </c>
      <c r="H40" s="116">
        <f t="shared" si="10"/>
        <v>1799084.4064843399</v>
      </c>
      <c r="I40" s="116">
        <f t="shared" si="10"/>
        <v>2071592.1437510406</v>
      </c>
      <c r="J40" s="116">
        <f t="shared" si="10"/>
        <v>2076319.2736701122</v>
      </c>
      <c r="K40" s="116">
        <f t="shared" si="10"/>
        <v>2081164.581837161</v>
      </c>
      <c r="L40" s="116">
        <f t="shared" si="10"/>
        <v>2086131.0227083857</v>
      </c>
      <c r="M40" s="116">
        <f t="shared" si="10"/>
        <v>2091221.6246013916</v>
      </c>
      <c r="N40" s="116">
        <f t="shared" si="10"/>
        <v>2096439.4915417219</v>
      </c>
      <c r="O40" s="116">
        <f t="shared" si="10"/>
        <v>2101787.8051555608</v>
      </c>
      <c r="P40" s="116">
        <f t="shared" si="10"/>
        <v>2107269.8266097461</v>
      </c>
      <c r="Q40" s="116">
        <f t="shared" si="10"/>
        <v>2112888.8986002854</v>
      </c>
      <c r="R40" s="116">
        <f t="shared" si="10"/>
        <v>2118648.4473905885</v>
      </c>
      <c r="S40" s="116">
        <f t="shared" si="10"/>
        <v>2124551.9849006492</v>
      </c>
      <c r="T40" s="116">
        <f t="shared" si="10"/>
        <v>2130603.1108484613</v>
      </c>
      <c r="U40" s="116">
        <f t="shared" si="10"/>
        <v>2136805.5149449687</v>
      </c>
      <c r="V40" s="116">
        <f t="shared" si="10"/>
        <v>2143162.9791438887</v>
      </c>
      <c r="W40" s="116">
        <f t="shared" si="10"/>
        <v>2149679.379947782</v>
      </c>
      <c r="X40" s="116">
        <f t="shared" si="10"/>
        <v>2156358.6907717725</v>
      </c>
      <c r="Y40" s="116">
        <f t="shared" si="10"/>
        <v>2163204.9843663624</v>
      </c>
      <c r="Z40" s="116">
        <f t="shared" si="10"/>
        <v>2170222.4353008177</v>
      </c>
      <c r="AA40" s="116">
        <f t="shared" si="10"/>
        <v>2177415.3225086341</v>
      </c>
      <c r="AB40" s="116">
        <f t="shared" si="10"/>
        <v>2184788.0318966457</v>
      </c>
      <c r="AC40" s="116">
        <f t="shared" si="10"/>
        <v>1882506.9469881635</v>
      </c>
      <c r="AD40" s="116">
        <f t="shared" si="10"/>
        <v>1489563.7755222772</v>
      </c>
      <c r="AE40" s="116">
        <f t="shared" si="10"/>
        <v>1132342.7105532894</v>
      </c>
      <c r="AF40" s="116">
        <f t="shared" si="10"/>
        <v>807596.28785421001</v>
      </c>
      <c r="AG40" s="116">
        <f t="shared" si="10"/>
        <v>512372.26721868315</v>
      </c>
      <c r="AH40" s="116">
        <f t="shared" si="10"/>
        <v>243986.79391365871</v>
      </c>
    </row>
    <row r="41" spans="1:34" s="21" customFormat="1" x14ac:dyDescent="0.25">
      <c r="A41" s="119"/>
      <c r="B41" s="123"/>
      <c r="C41" s="113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</row>
    <row r="42" spans="1:34" x14ac:dyDescent="0.25">
      <c r="A42" s="119" t="s">
        <v>92</v>
      </c>
      <c r="B42" s="28" t="s">
        <v>37</v>
      </c>
      <c r="C42" s="31">
        <f t="shared" ref="C42:AH42" si="11">C40-C24</f>
        <v>-1824074.0740740739</v>
      </c>
      <c r="D42" s="31">
        <f t="shared" si="11"/>
        <v>-1396246.4942789492</v>
      </c>
      <c r="E42" s="31">
        <f t="shared" si="11"/>
        <v>-1005647.3931585765</v>
      </c>
      <c r="F42" s="31">
        <f t="shared" si="11"/>
        <v>-648904.79653681512</v>
      </c>
      <c r="G42" s="31">
        <f t="shared" si="11"/>
        <v>-322949.8985039941</v>
      </c>
      <c r="H42" s="31">
        <f t="shared" si="11"/>
        <v>-24989.667589734308</v>
      </c>
      <c r="I42" s="31">
        <f t="shared" si="11"/>
        <v>1277160.3309787642</v>
      </c>
      <c r="J42" s="31">
        <f t="shared" si="11"/>
        <v>1281887.4608978359</v>
      </c>
      <c r="K42" s="31">
        <f t="shared" si="11"/>
        <v>1286732.7690648846</v>
      </c>
      <c r="L42" s="31">
        <f t="shared" si="11"/>
        <v>1291699.2099361094</v>
      </c>
      <c r="M42" s="31">
        <f t="shared" si="11"/>
        <v>1296789.8118291153</v>
      </c>
      <c r="N42" s="31">
        <f t="shared" si="11"/>
        <v>1302007.6787694455</v>
      </c>
      <c r="O42" s="31">
        <f t="shared" si="11"/>
        <v>1307355.9923832845</v>
      </c>
      <c r="P42" s="31">
        <f t="shared" si="11"/>
        <v>1312838.0138374697</v>
      </c>
      <c r="Q42" s="31">
        <f t="shared" si="11"/>
        <v>1318457.0858280091</v>
      </c>
      <c r="R42" s="31">
        <f t="shared" si="11"/>
        <v>1324216.6346183121</v>
      </c>
      <c r="S42" s="31">
        <f t="shared" si="11"/>
        <v>1330120.1721283728</v>
      </c>
      <c r="T42" s="31">
        <f t="shared" si="11"/>
        <v>1336171.2980761849</v>
      </c>
      <c r="U42" s="31">
        <f t="shared" si="11"/>
        <v>1342373.7021726924</v>
      </c>
      <c r="V42" s="31">
        <f t="shared" si="11"/>
        <v>1348731.1663716123</v>
      </c>
      <c r="W42" s="31">
        <f t="shared" si="11"/>
        <v>1355247.5671755057</v>
      </c>
      <c r="X42" s="31">
        <f t="shared" si="11"/>
        <v>1361926.8779994962</v>
      </c>
      <c r="Y42" s="31">
        <f t="shared" si="11"/>
        <v>1368773.1715940861</v>
      </c>
      <c r="Z42" s="31">
        <f t="shared" si="11"/>
        <v>1375790.6225285414</v>
      </c>
      <c r="AA42" s="31">
        <f t="shared" si="11"/>
        <v>1382983.5097363577</v>
      </c>
      <c r="AB42" s="31">
        <f t="shared" si="11"/>
        <v>1390356.2191243693</v>
      </c>
      <c r="AC42" s="31">
        <f t="shared" si="11"/>
        <v>1088075.1342158872</v>
      </c>
      <c r="AD42" s="31">
        <f t="shared" si="11"/>
        <v>860956.87857491663</v>
      </c>
      <c r="AE42" s="31">
        <f t="shared" si="11"/>
        <v>654485.73708312493</v>
      </c>
      <c r="AF42" s="31">
        <f t="shared" si="11"/>
        <v>466784.6993633149</v>
      </c>
      <c r="AG42" s="31">
        <f t="shared" si="11"/>
        <v>296147.39234530553</v>
      </c>
      <c r="AH42" s="31">
        <f t="shared" si="11"/>
        <v>141022.56778347888</v>
      </c>
    </row>
    <row r="43" spans="1:34" x14ac:dyDescent="0.25">
      <c r="A43" s="119" t="s">
        <v>93</v>
      </c>
      <c r="B43" s="28" t="s">
        <v>37</v>
      </c>
      <c r="C43" s="31">
        <f t="shared" ref="C43:AH43" si="12">C34-C24</f>
        <v>-1824074.0740740739</v>
      </c>
      <c r="D43" s="31">
        <f t="shared" si="12"/>
        <v>-1627495.3363908445</v>
      </c>
      <c r="E43" s="31">
        <f t="shared" si="12"/>
        <v>-1448787.393042454</v>
      </c>
      <c r="F43" s="31">
        <f t="shared" si="12"/>
        <v>-1286325.6263620991</v>
      </c>
      <c r="G43" s="31">
        <f t="shared" si="12"/>
        <v>-1138633.1111981403</v>
      </c>
      <c r="H43" s="31">
        <f t="shared" si="12"/>
        <v>-1004367.1883218138</v>
      </c>
      <c r="I43" s="31">
        <f t="shared" si="12"/>
        <v>147335.00286755338</v>
      </c>
      <c r="J43" s="31">
        <f t="shared" si="12"/>
        <v>147335.00286755338</v>
      </c>
      <c r="K43" s="31">
        <f t="shared" si="12"/>
        <v>147335.00286755338</v>
      </c>
      <c r="L43" s="31">
        <f t="shared" si="12"/>
        <v>147335.00286755338</v>
      </c>
      <c r="M43" s="31">
        <f t="shared" si="12"/>
        <v>147335.00286755338</v>
      </c>
      <c r="N43" s="31">
        <f t="shared" si="12"/>
        <v>147335.00286755338</v>
      </c>
      <c r="O43" s="31">
        <f t="shared" si="12"/>
        <v>147335.00286755338</v>
      </c>
      <c r="P43" s="31">
        <f t="shared" si="12"/>
        <v>147335.00286755338</v>
      </c>
      <c r="Q43" s="31">
        <f t="shared" si="12"/>
        <v>147335.00286755338</v>
      </c>
      <c r="R43" s="31">
        <f t="shared" si="12"/>
        <v>147335.00286755338</v>
      </c>
      <c r="S43" s="31">
        <f t="shared" si="12"/>
        <v>147335.00286755338</v>
      </c>
      <c r="T43" s="31">
        <f t="shared" si="12"/>
        <v>147335.00286755338</v>
      </c>
      <c r="U43" s="31">
        <f t="shared" si="12"/>
        <v>147335.00286755338</v>
      </c>
      <c r="V43" s="31">
        <f t="shared" si="12"/>
        <v>147335.00286755338</v>
      </c>
      <c r="W43" s="31">
        <f t="shared" si="12"/>
        <v>147335.00286755338</v>
      </c>
      <c r="X43" s="31">
        <f t="shared" si="12"/>
        <v>147335.00286755338</v>
      </c>
      <c r="Y43" s="31">
        <f t="shared" si="12"/>
        <v>147335.00286755338</v>
      </c>
      <c r="Z43" s="31">
        <f t="shared" si="12"/>
        <v>147335.00286755338</v>
      </c>
      <c r="AA43" s="31">
        <f t="shared" si="12"/>
        <v>147335.00286755338</v>
      </c>
      <c r="AB43" s="31">
        <f t="shared" si="12"/>
        <v>147335.00286755338</v>
      </c>
      <c r="AC43" s="31">
        <f t="shared" si="12"/>
        <v>147335.00286755338</v>
      </c>
      <c r="AD43" s="31">
        <f t="shared" si="12"/>
        <v>116581.18100923975</v>
      </c>
      <c r="AE43" s="31">
        <f t="shared" si="12"/>
        <v>88623.161138045427</v>
      </c>
      <c r="AF43" s="31">
        <f t="shared" si="12"/>
        <v>63206.779436959827</v>
      </c>
      <c r="AG43" s="31">
        <f t="shared" si="12"/>
        <v>40100.977890518319</v>
      </c>
      <c r="AH43" s="31">
        <f t="shared" si="12"/>
        <v>19095.703757389667</v>
      </c>
    </row>
    <row r="44" spans="1:34" x14ac:dyDescent="0.25">
      <c r="A44" s="127"/>
      <c r="B44" s="127"/>
      <c r="C44" s="127"/>
      <c r="D44" s="127"/>
      <c r="E44" s="127"/>
      <c r="F44" s="127"/>
      <c r="G44" s="127"/>
      <c r="H44" s="127"/>
      <c r="I44" s="127"/>
      <c r="J44" s="127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</row>
    <row r="45" spans="1:34" x14ac:dyDescent="0.25">
      <c r="A45" s="51" t="s">
        <v>47</v>
      </c>
      <c r="B45" s="28" t="s">
        <v>37</v>
      </c>
      <c r="C45" s="31">
        <f t="shared" ref="C45:AH45" si="13">(C25+C26)*C$8</f>
        <v>1824074.0740740739</v>
      </c>
      <c r="D45" s="31">
        <f t="shared" si="13"/>
        <v>1751111.111111111</v>
      </c>
      <c r="E45" s="31">
        <f t="shared" si="13"/>
        <v>1681066.6666666665</v>
      </c>
      <c r="F45" s="31">
        <f t="shared" si="13"/>
        <v>1613823.9999999998</v>
      </c>
      <c r="G45" s="31">
        <f t="shared" si="13"/>
        <v>1549271.04</v>
      </c>
      <c r="H45" s="31">
        <f t="shared" si="13"/>
        <v>1487300.1984000001</v>
      </c>
      <c r="I45" s="31">
        <f t="shared" si="13"/>
        <v>621847.68982981355</v>
      </c>
      <c r="J45" s="31">
        <f t="shared" si="13"/>
        <v>596973.78223662102</v>
      </c>
      <c r="K45" s="31">
        <f t="shared" si="13"/>
        <v>573094.83094715618</v>
      </c>
      <c r="L45" s="31">
        <f t="shared" si="13"/>
        <v>550171.03770927002</v>
      </c>
      <c r="M45" s="31">
        <f t="shared" si="13"/>
        <v>528164.1962008992</v>
      </c>
      <c r="N45" s="31">
        <f t="shared" si="13"/>
        <v>507037.62835286325</v>
      </c>
      <c r="O45" s="31">
        <f t="shared" si="13"/>
        <v>486756.12321874866</v>
      </c>
      <c r="P45" s="31">
        <f t="shared" si="13"/>
        <v>467285.87828999874</v>
      </c>
      <c r="Q45" s="31">
        <f t="shared" si="13"/>
        <v>448594.44315839873</v>
      </c>
      <c r="R45" s="31">
        <f t="shared" si="13"/>
        <v>430650.66543206281</v>
      </c>
      <c r="S45" s="31">
        <f t="shared" si="13"/>
        <v>413424.63881478028</v>
      </c>
      <c r="T45" s="31">
        <f t="shared" si="13"/>
        <v>396887.65326218907</v>
      </c>
      <c r="U45" s="31">
        <f t="shared" si="13"/>
        <v>381012.14713170152</v>
      </c>
      <c r="V45" s="31">
        <f t="shared" si="13"/>
        <v>365771.66124643345</v>
      </c>
      <c r="W45" s="31">
        <f t="shared" si="13"/>
        <v>351140.79479657614</v>
      </c>
      <c r="X45" s="31">
        <f t="shared" si="13"/>
        <v>337095.16300471302</v>
      </c>
      <c r="Y45" s="31">
        <f t="shared" si="13"/>
        <v>323611.3564845245</v>
      </c>
      <c r="Z45" s="31">
        <f t="shared" si="13"/>
        <v>310666.90222514351</v>
      </c>
      <c r="AA45" s="31">
        <f t="shared" si="13"/>
        <v>298240.22613613779</v>
      </c>
      <c r="AB45" s="31">
        <f t="shared" si="13"/>
        <v>286310.61709069228</v>
      </c>
      <c r="AC45" s="31">
        <f t="shared" si="13"/>
        <v>274858.19240706461</v>
      </c>
      <c r="AD45" s="31">
        <f t="shared" si="13"/>
        <v>208786.50948477117</v>
      </c>
      <c r="AE45" s="31">
        <f t="shared" si="13"/>
        <v>152367.53908995265</v>
      </c>
      <c r="AF45" s="31">
        <f t="shared" si="13"/>
        <v>104323.01060379956</v>
      </c>
      <c r="AG45" s="31">
        <f t="shared" si="13"/>
        <v>63539.332138144986</v>
      </c>
      <c r="AH45" s="31">
        <f t="shared" si="13"/>
        <v>29046.551834580576</v>
      </c>
    </row>
    <row r="46" spans="1:34" x14ac:dyDescent="0.25">
      <c r="A46" s="51" t="s">
        <v>70</v>
      </c>
      <c r="B46" s="28" t="s">
        <v>37</v>
      </c>
      <c r="C46" s="31">
        <f t="shared" ref="C46:AH46" si="14">C34*C$8</f>
        <v>0</v>
      </c>
      <c r="D46" s="31">
        <f t="shared" si="14"/>
        <v>188715.58817590031</v>
      </c>
      <c r="E46" s="31">
        <f t="shared" si="14"/>
        <v>345864.20523874089</v>
      </c>
      <c r="F46" s="31">
        <f t="shared" si="14"/>
        <v>475765.41063490178</v>
      </c>
      <c r="G46" s="31">
        <f t="shared" si="14"/>
        <v>582176.92390176211</v>
      </c>
      <c r="H46" s="31">
        <f t="shared" si="14"/>
        <v>668366.61467711546</v>
      </c>
      <c r="I46" s="31">
        <f t="shared" si="14"/>
        <v>737175.31101927347</v>
      </c>
      <c r="J46" s="31">
        <f t="shared" si="14"/>
        <v>707688.29857850249</v>
      </c>
      <c r="K46" s="31">
        <f t="shared" si="14"/>
        <v>679380.76663536252</v>
      </c>
      <c r="L46" s="31">
        <f t="shared" si="14"/>
        <v>652205.53596994805</v>
      </c>
      <c r="M46" s="31">
        <f t="shared" si="14"/>
        <v>626117.31453115004</v>
      </c>
      <c r="N46" s="31">
        <f t="shared" si="14"/>
        <v>601072.62194990402</v>
      </c>
      <c r="O46" s="31">
        <f t="shared" si="14"/>
        <v>577029.71707190783</v>
      </c>
      <c r="P46" s="31">
        <f t="shared" si="14"/>
        <v>553948.52838903153</v>
      </c>
      <c r="Q46" s="31">
        <f t="shared" si="14"/>
        <v>531790.58725347021</v>
      </c>
      <c r="R46" s="31">
        <f t="shared" si="14"/>
        <v>510518.96376333147</v>
      </c>
      <c r="S46" s="31">
        <f t="shared" si="14"/>
        <v>490098.2052127982</v>
      </c>
      <c r="T46" s="31">
        <f t="shared" si="14"/>
        <v>470494.27700428624</v>
      </c>
      <c r="U46" s="31">
        <f t="shared" si="14"/>
        <v>451674.50592411478</v>
      </c>
      <c r="V46" s="31">
        <f t="shared" si="14"/>
        <v>433607.52568715025</v>
      </c>
      <c r="W46" s="31">
        <f t="shared" si="14"/>
        <v>416263.22465966421</v>
      </c>
      <c r="X46" s="31">
        <f t="shared" si="14"/>
        <v>399612.6956732776</v>
      </c>
      <c r="Y46" s="31">
        <f t="shared" si="14"/>
        <v>383628.18784634653</v>
      </c>
      <c r="Z46" s="31">
        <f t="shared" si="14"/>
        <v>368283.06033249263</v>
      </c>
      <c r="AA46" s="31">
        <f t="shared" si="14"/>
        <v>353551.73791919294</v>
      </c>
      <c r="AB46" s="31">
        <f t="shared" si="14"/>
        <v>339409.66840242525</v>
      </c>
      <c r="AC46" s="31">
        <f t="shared" si="14"/>
        <v>325833.2816663282</v>
      </c>
      <c r="AD46" s="31">
        <f t="shared" si="14"/>
        <v>247507.97113709175</v>
      </c>
      <c r="AE46" s="31">
        <f t="shared" si="14"/>
        <v>180625.56129880802</v>
      </c>
      <c r="AF46" s="31">
        <f t="shared" si="14"/>
        <v>123670.71398041211</v>
      </c>
      <c r="AG46" s="31">
        <f t="shared" si="14"/>
        <v>75323.310992299332</v>
      </c>
      <c r="AH46" s="31">
        <f t="shared" si="14"/>
        <v>34433.513596479708</v>
      </c>
    </row>
    <row r="47" spans="1:34" x14ac:dyDescent="0.25">
      <c r="A47" s="51" t="s">
        <v>153</v>
      </c>
      <c r="B47" s="28" t="s">
        <v>37</v>
      </c>
      <c r="C47" s="31">
        <f t="shared" ref="C47:AH47" si="15">C30*C$10</f>
        <v>0</v>
      </c>
      <c r="D47" s="31">
        <f t="shared" si="15"/>
        <v>231248.84211189536</v>
      </c>
      <c r="E47" s="31">
        <f t="shared" si="15"/>
        <v>443139.99988387752</v>
      </c>
      <c r="F47" s="31">
        <f t="shared" si="15"/>
        <v>637420.82982528408</v>
      </c>
      <c r="G47" s="31">
        <f t="shared" si="15"/>
        <v>815683.21269414632</v>
      </c>
      <c r="H47" s="31">
        <f t="shared" si="15"/>
        <v>979377.5207320794</v>
      </c>
      <c r="I47" s="31">
        <f t="shared" si="15"/>
        <v>1129825.3281112106</v>
      </c>
      <c r="J47" s="31">
        <f t="shared" si="15"/>
        <v>1134552.4580302825</v>
      </c>
      <c r="K47" s="31">
        <f t="shared" si="15"/>
        <v>1139397.766197331</v>
      </c>
      <c r="L47" s="31">
        <f t="shared" si="15"/>
        <v>1144364.207068556</v>
      </c>
      <c r="M47" s="31">
        <f t="shared" si="15"/>
        <v>1149454.8089615616</v>
      </c>
      <c r="N47" s="31">
        <f t="shared" si="15"/>
        <v>1154672.6759018921</v>
      </c>
      <c r="O47" s="31">
        <f t="shared" si="15"/>
        <v>1160020.9895157311</v>
      </c>
      <c r="P47" s="31">
        <f t="shared" si="15"/>
        <v>1165503.0109699161</v>
      </c>
      <c r="Q47" s="31">
        <f t="shared" si="15"/>
        <v>1171122.0829604557</v>
      </c>
      <c r="R47" s="31">
        <f t="shared" si="15"/>
        <v>1176881.6317507587</v>
      </c>
      <c r="S47" s="31">
        <f t="shared" si="15"/>
        <v>1182785.1692608192</v>
      </c>
      <c r="T47" s="31">
        <f t="shared" si="15"/>
        <v>1188836.2952086315</v>
      </c>
      <c r="U47" s="31">
        <f t="shared" si="15"/>
        <v>1195038.6993051388</v>
      </c>
      <c r="V47" s="31">
        <f t="shared" si="15"/>
        <v>1201396.163504059</v>
      </c>
      <c r="W47" s="31">
        <f t="shared" si="15"/>
        <v>1207912.5643079521</v>
      </c>
      <c r="X47" s="31">
        <f t="shared" si="15"/>
        <v>1214591.8751319426</v>
      </c>
      <c r="Y47" s="31">
        <f t="shared" si="15"/>
        <v>1221438.1687265327</v>
      </c>
      <c r="Z47" s="31">
        <f t="shared" si="15"/>
        <v>1228455.6196609878</v>
      </c>
      <c r="AA47" s="31">
        <f t="shared" si="15"/>
        <v>1235648.5068688041</v>
      </c>
      <c r="AB47" s="31">
        <f t="shared" si="15"/>
        <v>1243021.2162568157</v>
      </c>
      <c r="AC47" s="31">
        <f t="shared" si="15"/>
        <v>940740.13134833355</v>
      </c>
      <c r="AD47" s="31">
        <f t="shared" si="15"/>
        <v>744375.69756567676</v>
      </c>
      <c r="AE47" s="31">
        <f t="shared" si="15"/>
        <v>565862.57594507968</v>
      </c>
      <c r="AF47" s="31">
        <f t="shared" si="15"/>
        <v>403577.91992635507</v>
      </c>
      <c r="AG47" s="31">
        <f t="shared" si="15"/>
        <v>256046.41445478724</v>
      </c>
      <c r="AH47" s="31">
        <f t="shared" si="15"/>
        <v>121926.86402608918</v>
      </c>
    </row>
    <row r="48" spans="1:34" x14ac:dyDescent="0.25">
      <c r="A48" s="119" t="s">
        <v>42</v>
      </c>
      <c r="B48" s="28" t="s">
        <v>37</v>
      </c>
      <c r="C48" s="31">
        <f>C47+C46-C45</f>
        <v>-1824074.0740740739</v>
      </c>
      <c r="D48" s="31">
        <f>D47+D46-D45</f>
        <v>-1331146.6808233154</v>
      </c>
      <c r="E48" s="31">
        <f>E47+E46-E45</f>
        <v>-892062.46154404804</v>
      </c>
      <c r="F48" s="31">
        <f t="shared" ref="F48:AH48" si="16">F47+F46-F45</f>
        <v>-500637.75953981397</v>
      </c>
      <c r="G48" s="31">
        <f t="shared" si="16"/>
        <v>-151410.90340409148</v>
      </c>
      <c r="H48" s="31">
        <f t="shared" si="16"/>
        <v>160443.93700919487</v>
      </c>
      <c r="I48" s="31">
        <f t="shared" si="16"/>
        <v>1245152.9493006705</v>
      </c>
      <c r="J48" s="31">
        <f t="shared" si="16"/>
        <v>1245266.9743721641</v>
      </c>
      <c r="K48" s="31">
        <f t="shared" si="16"/>
        <v>1245683.7018855372</v>
      </c>
      <c r="L48" s="31">
        <f t="shared" si="16"/>
        <v>1246398.7053292338</v>
      </c>
      <c r="M48" s="31">
        <f t="shared" si="16"/>
        <v>1247407.9272918124</v>
      </c>
      <c r="N48" s="31">
        <f t="shared" si="16"/>
        <v>1248707.669498933</v>
      </c>
      <c r="O48" s="31">
        <f t="shared" si="16"/>
        <v>1250294.5833688902</v>
      </c>
      <c r="P48" s="31">
        <f t="shared" si="16"/>
        <v>1252165.6610689489</v>
      </c>
      <c r="Q48" s="31">
        <f t="shared" si="16"/>
        <v>1254318.2270555273</v>
      </c>
      <c r="R48" s="31">
        <f t="shared" si="16"/>
        <v>1256749.9300820273</v>
      </c>
      <c r="S48" s="31">
        <f t="shared" si="16"/>
        <v>1259458.735658837</v>
      </c>
      <c r="T48" s="31">
        <f t="shared" si="16"/>
        <v>1262442.9189507286</v>
      </c>
      <c r="U48" s="31">
        <f t="shared" si="16"/>
        <v>1265701.058097552</v>
      </c>
      <c r="V48" s="31">
        <f t="shared" si="16"/>
        <v>1269232.0279447758</v>
      </c>
      <c r="W48" s="31">
        <f t="shared" si="16"/>
        <v>1273034.9941710401</v>
      </c>
      <c r="X48" s="31">
        <f t="shared" si="16"/>
        <v>1277109.4078005073</v>
      </c>
      <c r="Y48" s="31">
        <f t="shared" si="16"/>
        <v>1281455.0000883548</v>
      </c>
      <c r="Z48" s="31">
        <f t="shared" si="16"/>
        <v>1286071.7777683369</v>
      </c>
      <c r="AA48" s="31">
        <f t="shared" si="16"/>
        <v>1290960.0186518594</v>
      </c>
      <c r="AB48" s="31">
        <f t="shared" si="16"/>
        <v>1296120.2675685487</v>
      </c>
      <c r="AC48" s="31">
        <f t="shared" si="16"/>
        <v>991715.22060759715</v>
      </c>
      <c r="AD48" s="31">
        <f t="shared" si="16"/>
        <v>783097.15921799734</v>
      </c>
      <c r="AE48" s="31">
        <f t="shared" si="16"/>
        <v>594120.59815393505</v>
      </c>
      <c r="AF48" s="31">
        <f t="shared" si="16"/>
        <v>422925.6233029677</v>
      </c>
      <c r="AG48" s="31">
        <f t="shared" si="16"/>
        <v>267830.39330894157</v>
      </c>
      <c r="AH48" s="31">
        <f t="shared" si="16"/>
        <v>127313.82578798832</v>
      </c>
    </row>
    <row r="49" spans="1:34" x14ac:dyDescent="0.25">
      <c r="A49" s="51"/>
      <c r="B49" s="28"/>
      <c r="C49" s="28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</row>
    <row r="50" spans="1:34" x14ac:dyDescent="0.25">
      <c r="A50" s="141" t="s">
        <v>88</v>
      </c>
      <c r="B50" s="142" t="s">
        <v>37</v>
      </c>
      <c r="C50" s="143">
        <f>XNPV(B$6,C42:AH42,C$22:AH$22)</f>
        <v>10983015.863276418</v>
      </c>
      <c r="D50" s="117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</row>
    <row r="51" spans="1:34" x14ac:dyDescent="0.25">
      <c r="A51" s="141" t="s">
        <v>84</v>
      </c>
      <c r="B51" s="142" t="s">
        <v>37</v>
      </c>
      <c r="C51" s="143">
        <f>XNPV(B$6,C43:AH43,C$22:AH$22)</f>
        <v>-5864110.5639684796</v>
      </c>
      <c r="D51" s="117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</row>
    <row r="52" spans="1:34" s="21" customFormat="1" x14ac:dyDescent="0.25">
      <c r="A52" s="126"/>
      <c r="B52" s="28"/>
      <c r="C52" s="28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</row>
    <row r="53" spans="1:34" x14ac:dyDescent="0.25">
      <c r="A53" s="120" t="s">
        <v>101</v>
      </c>
      <c r="B53" s="28" t="s">
        <v>67</v>
      </c>
      <c r="C53" s="32">
        <f>(XNPV($B$6,C30,C$22)+XNPV($B$6,C34,C$22))/(XNPV($B$6,C24,C$22))</f>
        <v>0</v>
      </c>
      <c r="D53" s="32">
        <f t="shared" ref="D53:AH53" si="17">(XNPV($B$6,D30,D$22)+XNPV($B$6,D34,D$22))/(XNPV($B$6,D24,D$22))</f>
        <v>0.23454506912626136</v>
      </c>
      <c r="E53" s="32">
        <f t="shared" si="17"/>
        <v>0.44868061694859762</v>
      </c>
      <c r="F53" s="32">
        <f t="shared" si="17"/>
        <v>0.64425523844682209</v>
      </c>
      <c r="G53" s="32">
        <f t="shared" si="17"/>
        <v>0.82295132467801335</v>
      </c>
      <c r="H53" s="32">
        <f t="shared" si="17"/>
        <v>0.98630008071222686</v>
      </c>
      <c r="I53" s="32">
        <f t="shared" si="17"/>
        <v>2.6076399641171739</v>
      </c>
      <c r="J53" s="32">
        <f t="shared" si="17"/>
        <v>2.6135902921919976</v>
      </c>
      <c r="K53" s="32">
        <f t="shared" si="17"/>
        <v>2.6196893784686917</v>
      </c>
      <c r="L53" s="32">
        <f t="shared" si="17"/>
        <v>2.6259409419023032</v>
      </c>
      <c r="M53" s="32">
        <f t="shared" si="17"/>
        <v>2.6323487944217554</v>
      </c>
      <c r="N53" s="32">
        <f t="shared" si="17"/>
        <v>2.6389168432541932</v>
      </c>
      <c r="O53" s="32">
        <f t="shared" si="17"/>
        <v>2.6456490933074419</v>
      </c>
      <c r="P53" s="32">
        <f t="shared" si="17"/>
        <v>2.6525496496120229</v>
      </c>
      <c r="Q53" s="32">
        <f t="shared" si="17"/>
        <v>2.6596227198242173</v>
      </c>
      <c r="R53" s="32">
        <f t="shared" si="17"/>
        <v>2.6668726167917174</v>
      </c>
      <c r="S53" s="32">
        <f t="shared" si="17"/>
        <v>2.6743037611834044</v>
      </c>
      <c r="T53" s="32">
        <f t="shared" si="17"/>
        <v>2.6819206841848837</v>
      </c>
      <c r="U53" s="32">
        <f t="shared" si="17"/>
        <v>2.6897280302614002</v>
      </c>
      <c r="V53" s="32">
        <f t="shared" si="17"/>
        <v>2.6977305599898296</v>
      </c>
      <c r="W53" s="32">
        <f t="shared" si="17"/>
        <v>2.7059331529614696</v>
      </c>
      <c r="X53" s="32">
        <f t="shared" si="17"/>
        <v>2.7143408107574007</v>
      </c>
      <c r="Y53" s="32">
        <f t="shared" si="17"/>
        <v>2.7229586599982296</v>
      </c>
      <c r="Z53" s="32">
        <f t="shared" si="17"/>
        <v>2.7317919554700802</v>
      </c>
      <c r="AA53" s="32">
        <f t="shared" si="17"/>
        <v>2.7408460833287265</v>
      </c>
      <c r="AB53" s="32">
        <f t="shared" si="17"/>
        <v>2.7501265643838386</v>
      </c>
      <c r="AC53" s="32">
        <f t="shared" si="17"/>
        <v>2.3696268411242278</v>
      </c>
      <c r="AD53" s="32">
        <f t="shared" si="17"/>
        <v>2.3696268411242278</v>
      </c>
      <c r="AE53" s="32">
        <f t="shared" si="17"/>
        <v>2.3696268411242274</v>
      </c>
      <c r="AF53" s="32">
        <f t="shared" si="17"/>
        <v>2.3696268411242278</v>
      </c>
      <c r="AG53" s="32">
        <f t="shared" si="17"/>
        <v>2.3696268411242274</v>
      </c>
      <c r="AH53" s="32">
        <f t="shared" si="17"/>
        <v>2.3696268411242274</v>
      </c>
    </row>
    <row r="54" spans="1:34" x14ac:dyDescent="0.25">
      <c r="A54" s="120" t="s">
        <v>99</v>
      </c>
      <c r="B54" s="28" t="s">
        <v>67</v>
      </c>
      <c r="C54" s="108">
        <f>(XNPV(B$6,C30:W30,C$22:W$22)+XNPV(B$6,C34:W34,C$22:W$22))/(XNPV(B$6,C24:W24,C$22:W$22))</f>
        <v>1.4068626490127609</v>
      </c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117"/>
      <c r="AD54" s="31"/>
      <c r="AE54" s="117"/>
      <c r="AF54" s="31"/>
      <c r="AG54" s="117"/>
      <c r="AH54" s="31"/>
    </row>
    <row r="55" spans="1:34" x14ac:dyDescent="0.25">
      <c r="A55" s="126" t="s">
        <v>107</v>
      </c>
      <c r="B55" s="28" t="s">
        <v>67</v>
      </c>
      <c r="C55" s="32">
        <f>(XNPV($B$6,C47,C$22)+XNPV($B$6,C46,C$22))/(XNPV($B$6,C45,C$22))</f>
        <v>0</v>
      </c>
      <c r="D55" s="32">
        <f t="shared" ref="D55:AH55" si="18">(XNPV($B$14,D47,D$22)+XNPV($B$14,D46,D$22))/(XNPV($B$14,D45,D$22))</f>
        <v>0.23982740308313205</v>
      </c>
      <c r="E55" s="32">
        <f t="shared" si="18"/>
        <v>0.4693473618670399</v>
      </c>
      <c r="F55" s="32">
        <f t="shared" si="18"/>
        <v>0.68978168651611693</v>
      </c>
      <c r="G55" s="32">
        <f t="shared" si="18"/>
        <v>0.90226958389147227</v>
      </c>
      <c r="H55" s="32">
        <f t="shared" si="18"/>
        <v>1.1078759602007695</v>
      </c>
      <c r="I55" s="32">
        <f>(XNPV($B$14,I47,I$22)+XNPV($B$14,I46,I$22))/(XNPV($B$14,I45,I$22))</f>
        <v>3.0023439335143984</v>
      </c>
      <c r="J55" s="32">
        <f t="shared" si="18"/>
        <v>3.0859659359019904</v>
      </c>
      <c r="K55" s="32">
        <f t="shared" si="18"/>
        <v>3.1736083360354006</v>
      </c>
      <c r="L55" s="32">
        <f t="shared" si="18"/>
        <v>3.2654749521509263</v>
      </c>
      <c r="M55" s="32">
        <f t="shared" si="18"/>
        <v>3.3617805528365134</v>
      </c>
      <c r="N55" s="32">
        <f t="shared" si="18"/>
        <v>3.4627514797184213</v>
      </c>
      <c r="O55" s="32">
        <f t="shared" si="18"/>
        <v>3.5686263073613289</v>
      </c>
      <c r="P55" s="32">
        <f t="shared" si="18"/>
        <v>3.6796565426953731</v>
      </c>
      <c r="Q55" s="32">
        <f t="shared" si="18"/>
        <v>3.7961073664317042</v>
      </c>
      <c r="R55" s="32">
        <f t="shared" si="18"/>
        <v>3.9182584190858187</v>
      </c>
      <c r="S55" s="32">
        <f t="shared" si="18"/>
        <v>4.0464046343959952</v>
      </c>
      <c r="T55" s="32">
        <f t="shared" si="18"/>
        <v>4.1808571231031539</v>
      </c>
      <c r="U55" s="32">
        <f t="shared" si="18"/>
        <v>4.3219441102491851</v>
      </c>
      <c r="V55" s="32">
        <f t="shared" si="18"/>
        <v>4.470011929354059</v>
      </c>
      <c r="W55" s="32">
        <f t="shared" si="18"/>
        <v>4.6254260770484912</v>
      </c>
      <c r="X55" s="32">
        <f t="shared" si="18"/>
        <v>4.7885723319698048</v>
      </c>
      <c r="Y55" s="32">
        <f t="shared" si="18"/>
        <v>4.9598579419744055</v>
      </c>
      <c r="Z55" s="32">
        <f t="shared" si="18"/>
        <v>5.1397128839824315</v>
      </c>
      <c r="AA55" s="32">
        <f t="shared" si="18"/>
        <v>5.3285912010493668</v>
      </c>
      <c r="AB55" s="32">
        <f t="shared" si="18"/>
        <v>5.5269724215570646</v>
      </c>
      <c r="AC55" s="32">
        <f t="shared" si="18"/>
        <v>4.6080977318619203</v>
      </c>
      <c r="AD55" s="32">
        <f t="shared" si="18"/>
        <v>4.7507076541988758</v>
      </c>
      <c r="AE55" s="32">
        <f t="shared" si="18"/>
        <v>4.8992596566332036</v>
      </c>
      <c r="AF55" s="32">
        <f t="shared" si="18"/>
        <v>5.0540013258356282</v>
      </c>
      <c r="AG55" s="32">
        <f t="shared" si="18"/>
        <v>5.2151905645881538</v>
      </c>
      <c r="AH55" s="32">
        <f t="shared" si="18"/>
        <v>5.383096021622034</v>
      </c>
    </row>
    <row r="56" spans="1:34" x14ac:dyDescent="0.25">
      <c r="A56" s="141" t="s">
        <v>108</v>
      </c>
      <c r="B56" s="142" t="s">
        <v>67</v>
      </c>
      <c r="C56" s="144">
        <f>(XNPV(B$6,C47:AH47,C$22:AH$22)+XNPV(B$6,C46:AH46,C$22:AH$22))/(XNPV(B$6,C45:AH45,C$22:AH$22))</f>
        <v>1.7468053551692371</v>
      </c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117"/>
      <c r="AD56" s="32"/>
      <c r="AE56" s="117"/>
      <c r="AF56" s="32"/>
      <c r="AG56" s="117"/>
      <c r="AH56" s="32"/>
    </row>
    <row r="57" spans="1:34" x14ac:dyDescent="0.25">
      <c r="A57" s="126" t="s">
        <v>100</v>
      </c>
      <c r="B57" s="28" t="s">
        <v>67</v>
      </c>
      <c r="C57" s="32">
        <f>(XNPV($B$6,C46,C$22))/(XNPV($B$6,C45,C$22))</f>
        <v>0</v>
      </c>
      <c r="D57" s="32">
        <f t="shared" ref="D57:AH57" si="19">(XNPV($B$6,D46,D$22))/(XNPV($B$6,D45,D$22))</f>
        <v>0.1077690541613644</v>
      </c>
      <c r="E57" s="32">
        <f t="shared" si="19"/>
        <v>0.20574092158078655</v>
      </c>
      <c r="F57" s="32">
        <f t="shared" si="19"/>
        <v>0.29480625559844309</v>
      </c>
      <c r="G57" s="32">
        <f t="shared" si="19"/>
        <v>0.37577474106903985</v>
      </c>
      <c r="H57" s="32">
        <f t="shared" si="19"/>
        <v>0.44938245513321878</v>
      </c>
      <c r="I57" s="32">
        <f t="shared" si="19"/>
        <v>1.1854595957750083</v>
      </c>
      <c r="J57" s="32">
        <f t="shared" si="19"/>
        <v>1.1854595957750083</v>
      </c>
      <c r="K57" s="32">
        <f t="shared" si="19"/>
        <v>1.1854595957750085</v>
      </c>
      <c r="L57" s="32">
        <f t="shared" si="19"/>
        <v>1.1854595957750083</v>
      </c>
      <c r="M57" s="32">
        <f t="shared" si="19"/>
        <v>1.185459595775008</v>
      </c>
      <c r="N57" s="32">
        <f t="shared" si="19"/>
        <v>1.185459595775008</v>
      </c>
      <c r="O57" s="32">
        <f t="shared" si="19"/>
        <v>1.185459595775008</v>
      </c>
      <c r="P57" s="32">
        <f t="shared" si="19"/>
        <v>1.185459595775008</v>
      </c>
      <c r="Q57" s="32">
        <f t="shared" si="19"/>
        <v>1.185459595775008</v>
      </c>
      <c r="R57" s="32">
        <f t="shared" si="19"/>
        <v>1.1854595957750083</v>
      </c>
      <c r="S57" s="32">
        <f t="shared" si="19"/>
        <v>1.1854595957750083</v>
      </c>
      <c r="T57" s="32">
        <f t="shared" si="19"/>
        <v>1.185459595775008</v>
      </c>
      <c r="U57" s="32">
        <f t="shared" si="19"/>
        <v>1.185459595775008</v>
      </c>
      <c r="V57" s="32">
        <f t="shared" si="19"/>
        <v>1.1854595957750083</v>
      </c>
      <c r="W57" s="32">
        <f t="shared" si="19"/>
        <v>1.185459595775008</v>
      </c>
      <c r="X57" s="32">
        <f t="shared" si="19"/>
        <v>1.1854595957750083</v>
      </c>
      <c r="Y57" s="32">
        <f t="shared" si="19"/>
        <v>1.1854595957750083</v>
      </c>
      <c r="Z57" s="32">
        <f t="shared" si="19"/>
        <v>1.1854595957750083</v>
      </c>
      <c r="AA57" s="32">
        <f t="shared" si="19"/>
        <v>1.1854595957750083</v>
      </c>
      <c r="AB57" s="32">
        <f t="shared" si="19"/>
        <v>1.1854595957750083</v>
      </c>
      <c r="AC57" s="32">
        <f t="shared" si="19"/>
        <v>1.185459595775008</v>
      </c>
      <c r="AD57" s="32">
        <f t="shared" si="19"/>
        <v>1.1854595957750083</v>
      </c>
      <c r="AE57" s="32">
        <f t="shared" si="19"/>
        <v>1.185459595775008</v>
      </c>
      <c r="AF57" s="32">
        <f t="shared" si="19"/>
        <v>1.185459595775008</v>
      </c>
      <c r="AG57" s="32">
        <f t="shared" si="19"/>
        <v>1.185459595775008</v>
      </c>
      <c r="AH57" s="32">
        <f t="shared" si="19"/>
        <v>1.185459595775008</v>
      </c>
    </row>
    <row r="58" spans="1:34" x14ac:dyDescent="0.25">
      <c r="A58" s="141" t="s">
        <v>102</v>
      </c>
      <c r="B58" s="142" t="s">
        <v>67</v>
      </c>
      <c r="C58" s="144">
        <f>(XNPV(B$6,C46:AH46,C$22:AH$22))/(XNPV(B$6,C45:AH45,C$22:AH$22))</f>
        <v>0.57894534868173197</v>
      </c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117"/>
      <c r="AD58" s="32"/>
      <c r="AE58" s="117"/>
      <c r="AF58" s="32"/>
      <c r="AG58" s="117"/>
      <c r="AH58" s="32"/>
    </row>
    <row r="59" spans="1:34" s="21" customFormat="1" x14ac:dyDescent="0.25">
      <c r="A59" s="120"/>
      <c r="B59" s="127"/>
      <c r="C59" s="128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127"/>
      <c r="AD59" s="32"/>
      <c r="AE59" s="127"/>
      <c r="AF59" s="32"/>
      <c r="AG59" s="127"/>
      <c r="AH59" s="32"/>
    </row>
    <row r="60" spans="1:34" x14ac:dyDescent="0.25">
      <c r="A60" s="141" t="s">
        <v>95</v>
      </c>
      <c r="B60" s="145" t="s">
        <v>68</v>
      </c>
      <c r="C60" s="146">
        <f>XIRR(C42:AH42, C$22:AH$22, 0.01)</f>
        <v>0.14283774852752684</v>
      </c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117"/>
      <c r="AD60" s="32"/>
      <c r="AE60" s="117"/>
      <c r="AF60" s="32"/>
      <c r="AG60" s="117"/>
      <c r="AH60" s="32"/>
    </row>
    <row r="61" spans="1:34" x14ac:dyDescent="0.25">
      <c r="A61" s="220" t="s">
        <v>103</v>
      </c>
      <c r="B61" s="221" t="s">
        <v>68</v>
      </c>
      <c r="C61" s="222" t="e">
        <f>XIRR(C42:H42, C$22:H$22, 0.01)</f>
        <v>#NUM!</v>
      </c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117"/>
      <c r="AD61" s="32"/>
      <c r="AE61" s="117"/>
      <c r="AF61" s="32"/>
      <c r="AG61" s="117"/>
      <c r="AH61" s="32"/>
    </row>
    <row r="62" spans="1:34" x14ac:dyDescent="0.25">
      <c r="A62" s="141" t="s">
        <v>96</v>
      </c>
      <c r="B62" s="145" t="s">
        <v>68</v>
      </c>
      <c r="C62" s="269">
        <f>XIRR(C43:AH43, C$22:AH$22, 0.01)</f>
        <v>4.7683715820312501E-9</v>
      </c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117"/>
      <c r="AD62" s="32"/>
      <c r="AE62" s="117"/>
      <c r="AF62" s="32"/>
      <c r="AG62" s="117"/>
      <c r="AH62" s="32"/>
    </row>
    <row r="63" spans="1:34" x14ac:dyDescent="0.25">
      <c r="A63" s="220" t="s">
        <v>104</v>
      </c>
      <c r="B63" s="221" t="s">
        <v>68</v>
      </c>
      <c r="C63" s="223" t="e">
        <f>XIRR(C43:H43, C$22:H$22, 0.01)</f>
        <v>#NUM!</v>
      </c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117"/>
      <c r="AD63" s="32"/>
      <c r="AE63" s="117"/>
      <c r="AF63" s="32"/>
      <c r="AG63" s="117"/>
      <c r="AH63" s="32"/>
    </row>
    <row r="64" spans="1:34" x14ac:dyDescent="0.25">
      <c r="A64" s="304" t="s">
        <v>89</v>
      </c>
      <c r="B64" s="145" t="s">
        <v>69</v>
      </c>
      <c r="C64" s="151">
        <f>IF(I65,$J$21-$D$21)+1</f>
        <v>7</v>
      </c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117"/>
      <c r="AD64" s="32"/>
      <c r="AE64" s="117"/>
      <c r="AF64" s="32"/>
      <c r="AG64" s="117"/>
      <c r="AH64" s="32"/>
    </row>
    <row r="65" spans="1:74" x14ac:dyDescent="0.25">
      <c r="A65" s="305"/>
      <c r="B65" s="129" t="s">
        <v>69</v>
      </c>
      <c r="C65" s="130">
        <f>(D34+D30)/C25</f>
        <v>0.23454506912626136</v>
      </c>
      <c r="D65" s="121">
        <f>(SUM($D$34:E34)+SUM($D$30:E30))/SUM($C$25:D25)</f>
        <v>0.35788012127730706</v>
      </c>
      <c r="E65" s="121">
        <f>(SUM($D$34:F34)+SUM($D$30:F30))/SUM($C$25:E25)</f>
        <v>0.4852724829822459</v>
      </c>
      <c r="F65" s="121">
        <f>(SUM($D$34:G34)+SUM($D$30:G30))/SUM($C$25:F25)</f>
        <v>0.61672599088230839</v>
      </c>
      <c r="G65" s="121">
        <f>(SUM($D$34:H34)+SUM($D$30:H30))/SUM($C$25:G25)</f>
        <v>0.75223826050745179</v>
      </c>
      <c r="H65" s="121">
        <f>(SUM($D$34:I34)+SUM($D$30:I30))/SUM($C$25:H25)</f>
        <v>0.89180080871061795</v>
      </c>
      <c r="I65" s="121">
        <f>(SUM($D$34:J34)+SUM($D$30:J30))/SUM($C$25:I25)</f>
        <v>1.1293999261826178</v>
      </c>
      <c r="J65" s="121"/>
      <c r="K65" s="121"/>
      <c r="L65" s="121"/>
      <c r="M65" s="121"/>
      <c r="N65" s="121"/>
      <c r="O65" s="121"/>
      <c r="P65" s="121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17"/>
      <c r="AD65" s="121"/>
      <c r="AE65" s="117"/>
      <c r="AF65" s="121"/>
      <c r="AG65" s="117"/>
      <c r="AH65" s="121"/>
    </row>
    <row r="66" spans="1:74" x14ac:dyDescent="0.25">
      <c r="A66" s="306" t="s">
        <v>105</v>
      </c>
      <c r="B66" s="145" t="s">
        <v>69</v>
      </c>
      <c r="C66" s="152">
        <f>IF(N67,$O$21-$D$21)+1</f>
        <v>12</v>
      </c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117"/>
      <c r="AD66" s="32"/>
      <c r="AE66" s="117"/>
      <c r="AF66" s="32"/>
      <c r="AG66" s="117"/>
      <c r="AH66" s="32"/>
    </row>
    <row r="67" spans="1:74" x14ac:dyDescent="0.25">
      <c r="A67" s="305"/>
      <c r="B67" s="28" t="s">
        <v>69</v>
      </c>
      <c r="C67" s="131">
        <f>D34/C25</f>
        <v>0.1077690541613644</v>
      </c>
      <c r="D67" s="32">
        <f>SUM($D$34:E34)/SUM($C$25:D25)</f>
        <v>0.16421951110303146</v>
      </c>
      <c r="E67" s="32">
        <f>SUM($D$34:F34)/SUM($C$25:E25)</f>
        <v>0.22237541991604792</v>
      </c>
      <c r="F67" s="32">
        <f>SUM($D$34:G34)/SUM($C$25:F25)</f>
        <v>0.28222906362362049</v>
      </c>
      <c r="G67" s="32">
        <f>SUM($D$34:H34)/SUM($C$25:G25)</f>
        <v>0.34376970815637592</v>
      </c>
      <c r="H67" s="32">
        <f>SUM($D$34:I34)/SUM($C$25:H25)</f>
        <v>0.40698367099555371</v>
      </c>
      <c r="I67" s="32">
        <f>SUM($D$34:J34)/SUM($C$25:I25)</f>
        <v>0.51475272515691817</v>
      </c>
      <c r="J67" s="32">
        <f>SUM($D$34:K34)/SUM($C$25:J25)</f>
        <v>0.62252177931828256</v>
      </c>
      <c r="K67" s="32">
        <f>SUM($D$34:L34)/SUM($C$25:K25)</f>
        <v>0.73029083347964696</v>
      </c>
      <c r="L67" s="32">
        <f>SUM($D$34:M34)/SUM($C$25:L25)</f>
        <v>0.83805988764101147</v>
      </c>
      <c r="M67" s="32">
        <f>SUM($D$34:N34)/SUM($C$25:M25)</f>
        <v>0.94582894180237587</v>
      </c>
      <c r="N67" s="32">
        <f>SUM($D$34:O34)/SUM($C$25:N25)</f>
        <v>1.0535979959637403</v>
      </c>
      <c r="O67" s="32"/>
      <c r="P67" s="32"/>
      <c r="Q67" s="32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117"/>
      <c r="AD67" s="31"/>
      <c r="AE67" s="117"/>
      <c r="AF67" s="31"/>
      <c r="AG67" s="117"/>
      <c r="AH67" s="31"/>
    </row>
    <row r="68" spans="1:74" ht="3" customHeight="1" x14ac:dyDescent="0.25">
      <c r="A68" s="33"/>
      <c r="B68" s="162"/>
      <c r="C68" s="162"/>
      <c r="D68" s="163"/>
      <c r="E68" s="164"/>
      <c r="F68" s="164"/>
      <c r="G68" s="164"/>
      <c r="H68" s="164"/>
      <c r="I68" s="164"/>
      <c r="J68" s="164"/>
      <c r="K68" s="164"/>
      <c r="L68" s="164"/>
      <c r="M68" s="164"/>
      <c r="N68" s="164"/>
      <c r="O68" s="164"/>
      <c r="P68" s="164"/>
      <c r="Q68" s="164"/>
      <c r="R68" s="164"/>
      <c r="S68" s="164"/>
      <c r="T68" s="164"/>
      <c r="U68" s="164"/>
      <c r="V68" s="164"/>
      <c r="W68" s="164"/>
      <c r="X68" s="164"/>
      <c r="Y68" s="164"/>
      <c r="Z68" s="164"/>
      <c r="AA68" s="164"/>
      <c r="AB68" s="164"/>
      <c r="AC68" s="164"/>
      <c r="AD68" s="164"/>
      <c r="AE68" s="164"/>
      <c r="AF68" s="164"/>
      <c r="AG68" s="164"/>
      <c r="AH68" s="164"/>
    </row>
    <row r="69" spans="1:74" ht="23.45" customHeight="1" x14ac:dyDescent="0.25">
      <c r="A69" s="210" t="s">
        <v>54</v>
      </c>
      <c r="B69" s="211"/>
      <c r="C69" s="211"/>
      <c r="D69" s="212"/>
      <c r="E69" s="213"/>
      <c r="F69" s="213"/>
      <c r="G69" s="213"/>
      <c r="H69" s="213"/>
      <c r="I69" s="213"/>
      <c r="J69" s="213"/>
      <c r="K69" s="213"/>
      <c r="L69" s="213"/>
      <c r="M69" s="213"/>
      <c r="N69" s="213"/>
      <c r="O69" s="213"/>
      <c r="P69" s="213"/>
      <c r="Q69" s="213"/>
      <c r="R69" s="213"/>
      <c r="S69" s="213"/>
      <c r="T69" s="213"/>
      <c r="U69" s="213"/>
      <c r="V69" s="213"/>
      <c r="W69" s="213"/>
      <c r="X69" s="213"/>
      <c r="Y69" s="213"/>
      <c r="Z69" s="213"/>
      <c r="AA69" s="213"/>
      <c r="AB69" s="213"/>
      <c r="AC69" s="214"/>
      <c r="AD69" s="213"/>
      <c r="AE69" s="214"/>
      <c r="AF69" s="213"/>
      <c r="AG69" s="214"/>
      <c r="AH69" s="213"/>
    </row>
    <row r="70" spans="1:74" x14ac:dyDescent="0.25">
      <c r="A70" s="154" t="s">
        <v>48</v>
      </c>
      <c r="B70" s="155" t="s">
        <v>49</v>
      </c>
      <c r="C70" s="156">
        <f>C76+C79+C82+C85+C88+C91</f>
        <v>0</v>
      </c>
      <c r="D70" s="156">
        <f>D76+D79+D82+D85+D88+D91</f>
        <v>0</v>
      </c>
      <c r="E70" s="156">
        <f t="shared" ref="E70:AH71" si="20">E76+E79+E82+E85+E88+E91</f>
        <v>0</v>
      </c>
      <c r="F70" s="156">
        <f t="shared" si="20"/>
        <v>364814.81481481477</v>
      </c>
      <c r="G70" s="156">
        <f>G76+G79+G82+G85+G88+G91</f>
        <v>729629.62962962955</v>
      </c>
      <c r="H70" s="156">
        <f t="shared" si="20"/>
        <v>1094444.4444444443</v>
      </c>
      <c r="I70" s="156">
        <f t="shared" si="20"/>
        <v>1459259.2592592591</v>
      </c>
      <c r="J70" s="156">
        <f t="shared" si="20"/>
        <v>1824074.0740740739</v>
      </c>
      <c r="K70" s="156">
        <f t="shared" si="20"/>
        <v>1824074.0740740739</v>
      </c>
      <c r="L70" s="156">
        <f t="shared" si="20"/>
        <v>1459259.2592592593</v>
      </c>
      <c r="M70" s="156">
        <f t="shared" si="20"/>
        <v>1094444.4444444445</v>
      </c>
      <c r="N70" s="156">
        <f t="shared" si="20"/>
        <v>729629.62962962966</v>
      </c>
      <c r="O70" s="156">
        <f t="shared" si="20"/>
        <v>364814.81481481483</v>
      </c>
      <c r="P70" s="156">
        <f t="shared" si="20"/>
        <v>0</v>
      </c>
      <c r="Q70" s="156">
        <f t="shared" si="20"/>
        <v>0</v>
      </c>
      <c r="R70" s="156">
        <f t="shared" si="20"/>
        <v>0</v>
      </c>
      <c r="S70" s="156">
        <f t="shared" si="20"/>
        <v>0</v>
      </c>
      <c r="T70" s="156">
        <f t="shared" si="20"/>
        <v>0</v>
      </c>
      <c r="U70" s="156">
        <f t="shared" si="20"/>
        <v>0</v>
      </c>
      <c r="V70" s="156">
        <f t="shared" si="20"/>
        <v>0</v>
      </c>
      <c r="W70" s="156">
        <f t="shared" si="20"/>
        <v>0</v>
      </c>
      <c r="X70" s="156">
        <f t="shared" si="20"/>
        <v>0</v>
      </c>
      <c r="Y70" s="156">
        <f t="shared" si="20"/>
        <v>0</v>
      </c>
      <c r="Z70" s="156">
        <f t="shared" si="20"/>
        <v>0</v>
      </c>
      <c r="AA70" s="156">
        <f t="shared" si="20"/>
        <v>0</v>
      </c>
      <c r="AB70" s="157">
        <f t="shared" si="20"/>
        <v>0</v>
      </c>
      <c r="AC70" s="157">
        <f t="shared" si="20"/>
        <v>0</v>
      </c>
      <c r="AD70" s="157">
        <f t="shared" si="20"/>
        <v>0</v>
      </c>
      <c r="AE70" s="157">
        <f t="shared" si="20"/>
        <v>0</v>
      </c>
      <c r="AF70" s="157">
        <f t="shared" si="20"/>
        <v>0</v>
      </c>
      <c r="AG70" s="157">
        <f t="shared" si="20"/>
        <v>0</v>
      </c>
      <c r="AH70" s="157">
        <f t="shared" si="20"/>
        <v>0</v>
      </c>
    </row>
    <row r="71" spans="1:74" x14ac:dyDescent="0.25">
      <c r="A71" s="158"/>
      <c r="B71" s="159" t="s">
        <v>50</v>
      </c>
      <c r="C71" s="160">
        <f>C77+C80+C83+C86+C89+C92</f>
        <v>0</v>
      </c>
      <c r="D71" s="160">
        <f>D77+D80+D83+D86+D89+D92</f>
        <v>72962.962962962964</v>
      </c>
      <c r="E71" s="160">
        <f t="shared" si="20"/>
        <v>145925.92592592593</v>
      </c>
      <c r="F71" s="160">
        <f t="shared" si="20"/>
        <v>218888.88888888888</v>
      </c>
      <c r="G71" s="160">
        <f t="shared" si="20"/>
        <v>277259.25925925927</v>
      </c>
      <c r="H71" s="160">
        <f t="shared" si="20"/>
        <v>321037.03703703708</v>
      </c>
      <c r="I71" s="160">
        <f t="shared" si="20"/>
        <v>350222.22222222225</v>
      </c>
      <c r="J71" s="160">
        <f t="shared" si="20"/>
        <v>291851.85185185185</v>
      </c>
      <c r="K71" s="160">
        <f t="shared" si="20"/>
        <v>218888.88888888888</v>
      </c>
      <c r="L71" s="160">
        <f t="shared" si="20"/>
        <v>145925.92592592593</v>
      </c>
      <c r="M71" s="160">
        <f t="shared" si="20"/>
        <v>87555.555555555562</v>
      </c>
      <c r="N71" s="160">
        <f t="shared" si="20"/>
        <v>43777.777777777781</v>
      </c>
      <c r="O71" s="160">
        <f t="shared" si="20"/>
        <v>14592.592592592593</v>
      </c>
      <c r="P71" s="160">
        <f t="shared" si="20"/>
        <v>0</v>
      </c>
      <c r="Q71" s="160">
        <f t="shared" si="20"/>
        <v>0</v>
      </c>
      <c r="R71" s="160">
        <f t="shared" si="20"/>
        <v>0</v>
      </c>
      <c r="S71" s="160">
        <f t="shared" si="20"/>
        <v>0</v>
      </c>
      <c r="T71" s="160">
        <f t="shared" si="20"/>
        <v>0</v>
      </c>
      <c r="U71" s="160">
        <f t="shared" si="20"/>
        <v>0</v>
      </c>
      <c r="V71" s="160">
        <f t="shared" si="20"/>
        <v>0</v>
      </c>
      <c r="W71" s="160">
        <f t="shared" si="20"/>
        <v>0</v>
      </c>
      <c r="X71" s="160">
        <f t="shared" si="20"/>
        <v>0</v>
      </c>
      <c r="Y71" s="160">
        <f t="shared" si="20"/>
        <v>0</v>
      </c>
      <c r="Z71" s="160">
        <f t="shared" si="20"/>
        <v>0</v>
      </c>
      <c r="AA71" s="160">
        <f t="shared" si="20"/>
        <v>0</v>
      </c>
      <c r="AB71" s="161">
        <f t="shared" si="20"/>
        <v>0</v>
      </c>
      <c r="AC71" s="161">
        <f t="shared" si="20"/>
        <v>0</v>
      </c>
      <c r="AD71" s="161">
        <f t="shared" si="20"/>
        <v>0</v>
      </c>
      <c r="AE71" s="161">
        <f t="shared" si="20"/>
        <v>0</v>
      </c>
      <c r="AF71" s="161">
        <f t="shared" si="20"/>
        <v>0</v>
      </c>
      <c r="AG71" s="161">
        <f t="shared" si="20"/>
        <v>0</v>
      </c>
      <c r="AH71" s="161">
        <f t="shared" si="20"/>
        <v>0</v>
      </c>
    </row>
    <row r="72" spans="1:74" x14ac:dyDescent="0.25">
      <c r="A72" s="197" t="s">
        <v>109</v>
      </c>
      <c r="B72" s="36" t="s">
        <v>51</v>
      </c>
      <c r="C72" s="37">
        <f t="shared" ref="C72:H72" si="21">C24</f>
        <v>1824074.0740740739</v>
      </c>
      <c r="D72" s="37">
        <f t="shared" si="21"/>
        <v>1824074.0740740739</v>
      </c>
      <c r="E72" s="37">
        <f t="shared" si="21"/>
        <v>1824074.0740740739</v>
      </c>
      <c r="F72" s="37">
        <f t="shared" si="21"/>
        <v>1824074.0740740739</v>
      </c>
      <c r="G72" s="37">
        <f t="shared" si="21"/>
        <v>1824074.0740740742</v>
      </c>
      <c r="H72" s="37">
        <f t="shared" si="21"/>
        <v>1824074.0740740742</v>
      </c>
      <c r="I72" s="37">
        <f t="shared" ref="I72:AH72" si="22">I25</f>
        <v>0</v>
      </c>
      <c r="J72" s="37">
        <f t="shared" si="22"/>
        <v>0</v>
      </c>
      <c r="K72" s="37">
        <f t="shared" si="22"/>
        <v>0</v>
      </c>
      <c r="L72" s="37">
        <f t="shared" si="22"/>
        <v>0</v>
      </c>
      <c r="M72" s="37">
        <f t="shared" si="22"/>
        <v>0</v>
      </c>
      <c r="N72" s="37">
        <f t="shared" si="22"/>
        <v>0</v>
      </c>
      <c r="O72" s="37">
        <f t="shared" si="22"/>
        <v>0</v>
      </c>
      <c r="P72" s="37">
        <f t="shared" si="22"/>
        <v>0</v>
      </c>
      <c r="Q72" s="37">
        <f t="shared" si="22"/>
        <v>0</v>
      </c>
      <c r="R72" s="37">
        <f t="shared" si="22"/>
        <v>0</v>
      </c>
      <c r="S72" s="37">
        <f t="shared" si="22"/>
        <v>0</v>
      </c>
      <c r="T72" s="37">
        <f t="shared" si="22"/>
        <v>0</v>
      </c>
      <c r="U72" s="37">
        <f t="shared" si="22"/>
        <v>0</v>
      </c>
      <c r="V72" s="37">
        <f t="shared" si="22"/>
        <v>0</v>
      </c>
      <c r="W72" s="37">
        <f t="shared" si="22"/>
        <v>0</v>
      </c>
      <c r="X72" s="37">
        <f t="shared" si="22"/>
        <v>0</v>
      </c>
      <c r="Y72" s="37">
        <f t="shared" si="22"/>
        <v>0</v>
      </c>
      <c r="Z72" s="37">
        <f t="shared" si="22"/>
        <v>0</v>
      </c>
      <c r="AA72" s="37">
        <f t="shared" si="22"/>
        <v>0</v>
      </c>
      <c r="AB72" s="38">
        <f t="shared" si="22"/>
        <v>0</v>
      </c>
      <c r="AC72" s="38">
        <f t="shared" si="22"/>
        <v>0</v>
      </c>
      <c r="AD72" s="38">
        <f t="shared" si="22"/>
        <v>0</v>
      </c>
      <c r="AE72" s="38">
        <f t="shared" si="22"/>
        <v>0</v>
      </c>
      <c r="AF72" s="38">
        <f t="shared" si="22"/>
        <v>0</v>
      </c>
      <c r="AG72" s="38">
        <f t="shared" si="22"/>
        <v>0</v>
      </c>
      <c r="AH72" s="38">
        <f t="shared" si="22"/>
        <v>0</v>
      </c>
    </row>
    <row r="73" spans="1:74" x14ac:dyDescent="0.25">
      <c r="C73" s="39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8"/>
      <c r="AC73" s="18"/>
      <c r="AD73" s="18"/>
      <c r="AE73" s="18"/>
      <c r="AF73" s="18"/>
      <c r="AG73" s="18"/>
      <c r="AH73" s="18"/>
    </row>
    <row r="74" spans="1:74" x14ac:dyDescent="0.25">
      <c r="A74" s="21"/>
      <c r="B74" s="21"/>
      <c r="C74" s="165">
        <v>1</v>
      </c>
      <c r="D74" s="166">
        <v>2</v>
      </c>
      <c r="E74" s="166">
        <v>3</v>
      </c>
      <c r="F74" s="166">
        <v>4</v>
      </c>
      <c r="G74" s="166">
        <v>5</v>
      </c>
      <c r="H74" s="166">
        <v>6</v>
      </c>
      <c r="I74" s="166">
        <v>7</v>
      </c>
      <c r="J74" s="165">
        <v>8</v>
      </c>
      <c r="K74" s="166">
        <v>9</v>
      </c>
      <c r="L74" s="166">
        <v>10</v>
      </c>
      <c r="M74" s="166">
        <v>11</v>
      </c>
      <c r="N74" s="166">
        <v>12</v>
      </c>
      <c r="O74" s="166">
        <v>13</v>
      </c>
      <c r="P74" s="166">
        <v>14</v>
      </c>
      <c r="Q74" s="165">
        <v>15</v>
      </c>
      <c r="R74" s="166">
        <v>16</v>
      </c>
      <c r="S74" s="166">
        <v>17</v>
      </c>
      <c r="T74" s="166">
        <v>18</v>
      </c>
      <c r="U74" s="166">
        <v>19</v>
      </c>
      <c r="V74" s="166">
        <v>20</v>
      </c>
      <c r="W74" s="166">
        <v>21</v>
      </c>
      <c r="X74" s="165">
        <v>22</v>
      </c>
      <c r="Y74" s="166">
        <v>23</v>
      </c>
      <c r="Z74" s="166">
        <v>24</v>
      </c>
      <c r="AA74" s="166">
        <v>25</v>
      </c>
      <c r="AB74" s="167">
        <v>26</v>
      </c>
      <c r="AC74" s="167">
        <v>27</v>
      </c>
      <c r="AD74" s="167">
        <v>28</v>
      </c>
      <c r="AE74" s="167">
        <v>29</v>
      </c>
      <c r="AF74" s="167">
        <v>30</v>
      </c>
      <c r="AG74" s="167">
        <v>31</v>
      </c>
      <c r="AH74" s="167">
        <v>32</v>
      </c>
    </row>
    <row r="75" spans="1:74" ht="9" customHeight="1" x14ac:dyDescent="0.25">
      <c r="A75" s="168"/>
      <c r="B75" s="169"/>
      <c r="C75" s="170"/>
      <c r="D75" s="171">
        <v>1</v>
      </c>
      <c r="E75" s="172">
        <f>D75+1</f>
        <v>2</v>
      </c>
      <c r="F75" s="172">
        <f t="shared" ref="F75:AH75" si="23">E75+1</f>
        <v>3</v>
      </c>
      <c r="G75" s="172">
        <f t="shared" si="23"/>
        <v>4</v>
      </c>
      <c r="H75" s="172">
        <f t="shared" si="23"/>
        <v>5</v>
      </c>
      <c r="I75" s="172">
        <f t="shared" si="23"/>
        <v>6</v>
      </c>
      <c r="J75" s="172">
        <f t="shared" si="23"/>
        <v>7</v>
      </c>
      <c r="K75" s="172">
        <f t="shared" si="23"/>
        <v>8</v>
      </c>
      <c r="L75" s="172">
        <f t="shared" si="23"/>
        <v>9</v>
      </c>
      <c r="M75" s="172">
        <f t="shared" si="23"/>
        <v>10</v>
      </c>
      <c r="N75" s="172">
        <f t="shared" si="23"/>
        <v>11</v>
      </c>
      <c r="O75" s="172">
        <f t="shared" si="23"/>
        <v>12</v>
      </c>
      <c r="P75" s="172">
        <f t="shared" si="23"/>
        <v>13</v>
      </c>
      <c r="Q75" s="172">
        <f t="shared" si="23"/>
        <v>14</v>
      </c>
      <c r="R75" s="172">
        <f t="shared" si="23"/>
        <v>15</v>
      </c>
      <c r="S75" s="172">
        <f t="shared" si="23"/>
        <v>16</v>
      </c>
      <c r="T75" s="172">
        <f t="shared" si="23"/>
        <v>17</v>
      </c>
      <c r="U75" s="172">
        <f t="shared" si="23"/>
        <v>18</v>
      </c>
      <c r="V75" s="172">
        <f t="shared" si="23"/>
        <v>19</v>
      </c>
      <c r="W75" s="172">
        <f t="shared" si="23"/>
        <v>20</v>
      </c>
      <c r="X75" s="172">
        <f t="shared" si="23"/>
        <v>21</v>
      </c>
      <c r="Y75" s="172">
        <f t="shared" si="23"/>
        <v>22</v>
      </c>
      <c r="Z75" s="172">
        <f t="shared" si="23"/>
        <v>23</v>
      </c>
      <c r="AA75" s="172">
        <f t="shared" si="23"/>
        <v>24</v>
      </c>
      <c r="AB75" s="173">
        <f t="shared" si="23"/>
        <v>25</v>
      </c>
      <c r="AC75" s="173">
        <f t="shared" si="23"/>
        <v>26</v>
      </c>
      <c r="AD75" s="173">
        <f t="shared" si="23"/>
        <v>27</v>
      </c>
      <c r="AE75" s="173">
        <f t="shared" si="23"/>
        <v>28</v>
      </c>
      <c r="AF75" s="173">
        <f t="shared" si="23"/>
        <v>29</v>
      </c>
      <c r="AG75" s="173">
        <f t="shared" si="23"/>
        <v>30</v>
      </c>
      <c r="AH75" s="173">
        <f t="shared" si="23"/>
        <v>31</v>
      </c>
    </row>
    <row r="76" spans="1:74" s="16" customFormat="1" x14ac:dyDescent="0.25">
      <c r="A76" s="174">
        <v>1</v>
      </c>
      <c r="B76" s="175" t="s">
        <v>49</v>
      </c>
      <c r="C76" s="176"/>
      <c r="D76" s="177">
        <f>IF($B$13&gt;D75,0,IF($C$72-(SUM($C$76:C76)+1)&gt;0,IF($B$12&gt;0,$C$72/$B$12,0),0))</f>
        <v>0</v>
      </c>
      <c r="E76" s="177">
        <f>IF($B$13&gt;E75,0,IF($C$72-(SUM($C$76:D76)+1)&gt;0,IF($B$12&gt;0,$C$72/$B$12,0),0))</f>
        <v>0</v>
      </c>
      <c r="F76" s="177">
        <f>IF($B$13&gt;F75,0,IF($C$72-(SUM($C$76:E76)+1)&gt;0,IF($B$12&gt;0,$C$72/$B$12,0),0))</f>
        <v>364814.81481481477</v>
      </c>
      <c r="G76" s="177">
        <f>IF($B$13&gt;G75,0,IF($C$72-(SUM($C$76:F76)+1)&gt;0,IF($B$12&gt;0,$C$72/$B$12,0),0))</f>
        <v>364814.81481481477</v>
      </c>
      <c r="H76" s="177">
        <f>IF($B$13&gt;H75,0,IF($C$72-(SUM($C$76:G76)+1)&gt;0,IF($B$12&gt;0,$C$72/$B$12,0),0))</f>
        <v>364814.81481481477</v>
      </c>
      <c r="I76" s="177">
        <f>IF($B$13&gt;I75,0,IF($C$72-(SUM($C$76:H76)+1)&gt;0,IF($B$12&gt;0,$C$72/$B$12,0),0))</f>
        <v>364814.81481481477</v>
      </c>
      <c r="J76" s="177">
        <f>IF($B$13&gt;J75,0,IF($C$72-(SUM($C$76:I76)+1)&gt;0,IF($B$12&gt;0,$C$72/$B$12,0),0))</f>
        <v>364814.81481481477</v>
      </c>
      <c r="K76" s="177">
        <f>IF($B$13&gt;K75,0,IF($C$72-(SUM($C$76:J76)+1)&gt;0,IF($B$12&gt;0,$C$72/$B$12,0),0))</f>
        <v>0</v>
      </c>
      <c r="L76" s="177">
        <f>IF($B$13&gt;L75,0,IF($C$72-(SUM($C$76:K76)+1)&gt;0,IF($B$12&gt;0,$C$72/$B$12,0),0))</f>
        <v>0</v>
      </c>
      <c r="M76" s="177">
        <f>IF($B$13&gt;M75,0,IF($C$72-(SUM($C$76:L76)+1)&gt;0,IF($B$12&gt;0,$C$72/$B$12,0),0))</f>
        <v>0</v>
      </c>
      <c r="N76" s="177">
        <f>IF($B$13&gt;N75,0,IF($C$72-(SUM($C$76:M76)+1)&gt;0,IF($B$12&gt;0,$C$72/$B$12,0),0))</f>
        <v>0</v>
      </c>
      <c r="O76" s="177">
        <f>IF($B$13&gt;O75,0,IF($C$72-(SUM($C$76:N76)+1)&gt;0,IF($B$12&gt;0,$C$72/$B$12,0),0))</f>
        <v>0</v>
      </c>
      <c r="P76" s="177">
        <f>IF($B$13&gt;P75,0,IF($C$72-(SUM($C$76:O76)+1)&gt;0,IF($B$12&gt;0,$C$72/$B$12,0),0))</f>
        <v>0</v>
      </c>
      <c r="Q76" s="177">
        <f>IF($B$13&gt;Q75,0,IF($C$72-(SUM($C$76:P76)+1)&gt;0,IF($B$12&gt;0,$C$72/$B$12,0),0))</f>
        <v>0</v>
      </c>
      <c r="R76" s="177">
        <f>IF($B$13&gt;R75,0,IF($C$72-(SUM($C$76:Q76)+1)&gt;0,IF($B$12&gt;0,$C$72/$B$12,0),0))</f>
        <v>0</v>
      </c>
      <c r="S76" s="177">
        <f>IF($B$13&gt;S75,0,IF($C$72-(SUM($C$76:R76)+1)&gt;0,IF($B$12&gt;0,$C$72/$B$12,0),0))</f>
        <v>0</v>
      </c>
      <c r="T76" s="177">
        <f>IF($B$13&gt;T75,0,IF($C$72-(SUM($C$76:S76)+1)&gt;0,IF($B$12&gt;0,$C$72/$B$12,0),0))</f>
        <v>0</v>
      </c>
      <c r="U76" s="177">
        <f>IF($B$13&gt;U75,0,IF($C$72-(SUM($C$76:T76)+1)&gt;0,IF($B$12&gt;0,$C$72/$B$12,0),0))</f>
        <v>0</v>
      </c>
      <c r="V76" s="177">
        <f>IF($B$13&gt;V75,0,IF($C$72-(SUM($C$76:U76)+1)&gt;0,IF($B$12&gt;0,$C$72/$B$12,0),0))</f>
        <v>0</v>
      </c>
      <c r="W76" s="177">
        <f>IF($B$13&gt;W75,0,IF($C$72-(SUM($C$76:V76)+1)&gt;0,IF($B$12&gt;0,$C$72/$B$12,0),0))</f>
        <v>0</v>
      </c>
      <c r="X76" s="177">
        <f>IF($B$13&gt;X75,0,IF($C$72-(SUM($C$76:W76)+1)&gt;0,IF($B$12&gt;0,$C$72/$B$12,0),0))</f>
        <v>0</v>
      </c>
      <c r="Y76" s="177">
        <f>IF($B$13&gt;Y75,0,IF($C$72-(SUM($C$76:X76)+1)&gt;0,IF($B$12&gt;0,$C$72/$B$12,0),0))</f>
        <v>0</v>
      </c>
      <c r="Z76" s="177">
        <f>IF($B$13&gt;Z75,0,IF($C$72-(SUM($C$76:Y76)+1)&gt;0,IF($B$12&gt;0,$C$72/$B$12,0),0))</f>
        <v>0</v>
      </c>
      <c r="AA76" s="177">
        <f>IF($B$13&gt;AA75,0,IF($C$72-(SUM($C$76:Z76)+1)&gt;0,IF($B$12&gt;0,$C$72/$B$12,0),0))</f>
        <v>0</v>
      </c>
      <c r="AB76" s="178">
        <f>IF($B$13&gt;AB75,0,IF($C$72-(SUM($C$76:AA76)+1)&gt;0,IF($B$12&gt;0,$C$72/$B$12,0),0))</f>
        <v>0</v>
      </c>
      <c r="AC76" s="178">
        <f>IF($B$13&gt;AC75,0,IF($C$72-(SUM($C$76:AB76)+1)&gt;0,IF($B$12&gt;0,$C$72/$B$12,0),0))</f>
        <v>0</v>
      </c>
      <c r="AD76" s="178">
        <f>IF($B$13&gt;AD75,0,IF($C$72-(SUM($C$76:AC76)+1)&gt;0,IF($B$12&gt;0,$C$72/$B$12,0),0))</f>
        <v>0</v>
      </c>
      <c r="AE76" s="178">
        <f>IF($B$13&gt;AE75,0,IF($C$72-(SUM($C$76:AD76)+1)&gt;0,IF($B$12&gt;0,$C$72/$B$12,0),0))</f>
        <v>0</v>
      </c>
      <c r="AF76" s="178">
        <f>IF($B$13&gt;AF75,0,IF($C$72-(SUM($C$76:AE76)+1)&gt;0,IF($B$12&gt;0,$C$72/$B$12,0),0))</f>
        <v>0</v>
      </c>
      <c r="AG76" s="178">
        <f>IF($B$13&gt;AG75,0,IF($C$72-(SUM($C$76:AF76)+1)&gt;0,IF($B$12&gt;0,$C$72/$B$12,0),0))</f>
        <v>0</v>
      </c>
      <c r="AH76" s="178">
        <f>IF($B$13&gt;AH75,0,IF($C$72-(SUM($C$76:AG76)+1)&gt;0,IF($B$12&gt;0,$C$72/$B$12,0),0))</f>
        <v>0</v>
      </c>
    </row>
    <row r="77" spans="1:74" s="16" customFormat="1" ht="11.25" customHeight="1" x14ac:dyDescent="0.25">
      <c r="A77" s="179"/>
      <c r="B77" s="180" t="s">
        <v>50</v>
      </c>
      <c r="C77" s="181"/>
      <c r="D77" s="182">
        <f>($C$72-SUM($C$76:C76))*$B$14</f>
        <v>72962.962962962964</v>
      </c>
      <c r="E77" s="182">
        <f>($C$72-SUM($C$76:D76))*$B$14</f>
        <v>72962.962962962964</v>
      </c>
      <c r="F77" s="182">
        <f>($C$72-SUM($C$76:E76))*$B$14</f>
        <v>72962.962962962964</v>
      </c>
      <c r="G77" s="182">
        <f>($C$72-SUM($C$76:F76))*$B$14</f>
        <v>58370.370370370365</v>
      </c>
      <c r="H77" s="182">
        <f>($C$72-SUM($C$76:G76))*$B$14</f>
        <v>43777.777777777781</v>
      </c>
      <c r="I77" s="182">
        <f>($C$72-SUM($C$76:H76))*$B$14</f>
        <v>29185.185185185186</v>
      </c>
      <c r="J77" s="182">
        <f>($C$72-SUM($C$76:I76))*$B$14</f>
        <v>14592.592592592593</v>
      </c>
      <c r="K77" s="182">
        <f>($C$72-SUM($C$76:J76))*$B$14</f>
        <v>0</v>
      </c>
      <c r="L77" s="182">
        <f>($C$72-SUM($C$76:K76))*$B$14</f>
        <v>0</v>
      </c>
      <c r="M77" s="182">
        <f>($C$72-SUM($C$76:L76))*$B$14</f>
        <v>0</v>
      </c>
      <c r="N77" s="182">
        <f>($C$72-SUM($C$76:M76))*$B$14</f>
        <v>0</v>
      </c>
      <c r="O77" s="182">
        <f>($C$72-SUM($C$76:N76))*$B$14</f>
        <v>0</v>
      </c>
      <c r="P77" s="182">
        <f>($C$72-SUM($C$76:O76))*$B$14</f>
        <v>0</v>
      </c>
      <c r="Q77" s="182">
        <f>($C$72-SUM($C$76:P76))*$B$14</f>
        <v>0</v>
      </c>
      <c r="R77" s="182">
        <f>($C$72-SUM($C$76:Q76))*$B$14</f>
        <v>0</v>
      </c>
      <c r="S77" s="182">
        <f>($C$72-SUM($C$76:R76))*$B$14</f>
        <v>0</v>
      </c>
      <c r="T77" s="182">
        <f>($C$72-SUM($C$76:S76))*$B$14</f>
        <v>0</v>
      </c>
      <c r="U77" s="182">
        <f>($C$72-SUM($C$76:T76))*$B$14</f>
        <v>0</v>
      </c>
      <c r="V77" s="182">
        <f>($C$72-SUM($C$76:U76))*$B$14</f>
        <v>0</v>
      </c>
      <c r="W77" s="182">
        <f>($C$72-SUM($C$76:V76))*$B$14</f>
        <v>0</v>
      </c>
      <c r="X77" s="182">
        <f>($C$72-SUM($C$76:W76))*$B$14</f>
        <v>0</v>
      </c>
      <c r="Y77" s="182">
        <f>($C$72-SUM($C$76:X76))*$B$14</f>
        <v>0</v>
      </c>
      <c r="Z77" s="182">
        <f>($C$72-SUM($C$76:Y76))*$B$14</f>
        <v>0</v>
      </c>
      <c r="AA77" s="182">
        <f>($C$72-SUM($C$76:Z76))*$B$14</f>
        <v>0</v>
      </c>
      <c r="AB77" s="183">
        <f>($C$72-SUM($C$76:AA76))*$B$14</f>
        <v>0</v>
      </c>
      <c r="AC77" s="183">
        <f>($C$72-SUM($C$76:AB76))*$B$14</f>
        <v>0</v>
      </c>
      <c r="AD77" s="183">
        <f>($C$72-SUM($C$76:AC76))*$B$14</f>
        <v>0</v>
      </c>
      <c r="AE77" s="183">
        <f>($C$72-SUM($C$76:AD76))*$B$14</f>
        <v>0</v>
      </c>
      <c r="AF77" s="183">
        <f>($C$72-SUM($C$76:AE76))*$B$14</f>
        <v>0</v>
      </c>
      <c r="AG77" s="183">
        <f>($C$72-SUM($C$76:AF76))*$B$14</f>
        <v>0</v>
      </c>
      <c r="AH77" s="183">
        <f>($C$72-SUM($C$76:AG76))*$B$14</f>
        <v>0</v>
      </c>
    </row>
    <row r="78" spans="1:74" ht="13.5" customHeight="1" x14ac:dyDescent="0.25">
      <c r="A78" s="184"/>
      <c r="B78" s="185"/>
      <c r="C78" s="186"/>
      <c r="D78" s="187"/>
      <c r="E78" s="172">
        <v>1</v>
      </c>
      <c r="F78" s="172">
        <f>E78+1</f>
        <v>2</v>
      </c>
      <c r="G78" s="172">
        <f t="shared" ref="G78:AH78" si="24">F78+1</f>
        <v>3</v>
      </c>
      <c r="H78" s="172">
        <f t="shared" si="24"/>
        <v>4</v>
      </c>
      <c r="I78" s="172">
        <f t="shared" si="24"/>
        <v>5</v>
      </c>
      <c r="J78" s="172">
        <f t="shared" si="24"/>
        <v>6</v>
      </c>
      <c r="K78" s="172">
        <f t="shared" si="24"/>
        <v>7</v>
      </c>
      <c r="L78" s="172">
        <f t="shared" si="24"/>
        <v>8</v>
      </c>
      <c r="M78" s="172">
        <f t="shared" si="24"/>
        <v>9</v>
      </c>
      <c r="N78" s="172">
        <f t="shared" si="24"/>
        <v>10</v>
      </c>
      <c r="O78" s="172">
        <f t="shared" si="24"/>
        <v>11</v>
      </c>
      <c r="P78" s="172">
        <f t="shared" si="24"/>
        <v>12</v>
      </c>
      <c r="Q78" s="172">
        <f t="shared" si="24"/>
        <v>13</v>
      </c>
      <c r="R78" s="172">
        <f t="shared" si="24"/>
        <v>14</v>
      </c>
      <c r="S78" s="172">
        <f t="shared" si="24"/>
        <v>15</v>
      </c>
      <c r="T78" s="172">
        <f t="shared" si="24"/>
        <v>16</v>
      </c>
      <c r="U78" s="172">
        <f t="shared" si="24"/>
        <v>17</v>
      </c>
      <c r="V78" s="172">
        <f t="shared" si="24"/>
        <v>18</v>
      </c>
      <c r="W78" s="172">
        <f t="shared" si="24"/>
        <v>19</v>
      </c>
      <c r="X78" s="172">
        <f t="shared" si="24"/>
        <v>20</v>
      </c>
      <c r="Y78" s="172">
        <f t="shared" si="24"/>
        <v>21</v>
      </c>
      <c r="Z78" s="172">
        <f t="shared" si="24"/>
        <v>22</v>
      </c>
      <c r="AA78" s="172">
        <f t="shared" si="24"/>
        <v>23</v>
      </c>
      <c r="AB78" s="173">
        <f t="shared" si="24"/>
        <v>24</v>
      </c>
      <c r="AC78" s="173">
        <f t="shared" si="24"/>
        <v>25</v>
      </c>
      <c r="AD78" s="173">
        <f t="shared" si="24"/>
        <v>26</v>
      </c>
      <c r="AE78" s="173">
        <f t="shared" si="24"/>
        <v>27</v>
      </c>
      <c r="AF78" s="173">
        <f t="shared" si="24"/>
        <v>28</v>
      </c>
      <c r="AG78" s="173">
        <f t="shared" si="24"/>
        <v>29</v>
      </c>
      <c r="AH78" s="173">
        <f t="shared" si="24"/>
        <v>30</v>
      </c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</row>
    <row r="79" spans="1:74" s="16" customFormat="1" x14ac:dyDescent="0.25">
      <c r="A79" s="184">
        <f>A76+1</f>
        <v>2</v>
      </c>
      <c r="B79" s="188" t="s">
        <v>49</v>
      </c>
      <c r="C79" s="189"/>
      <c r="D79" s="190"/>
      <c r="E79" s="177">
        <f>IF($B$13&gt;E78,0,IF($D$72-(SUM($C$79:D79)+1)&gt;0,IF($B$12&gt;0,$D$72/$B$12,0),0))</f>
        <v>0</v>
      </c>
      <c r="F79" s="177">
        <f>IF($B$13&gt;F78,0,IF($D$72-(SUM($C$79:E79)+1)&gt;0,IF($B$12&gt;0,$D$72/$B$12,0),0))</f>
        <v>0</v>
      </c>
      <c r="G79" s="177">
        <f>IF($B$13&gt;G78,0,IF($D$72-(SUM($C$79:F79)+1)&gt;0,IF($B$12&gt;0,$D$72/$B$12,0),0))</f>
        <v>364814.81481481477</v>
      </c>
      <c r="H79" s="177">
        <f>IF($B$13&gt;H78,0,IF($D$72-(SUM($C$79:G79)+1)&gt;0,IF($B$12&gt;0,$D$72/$B$12,0),0))</f>
        <v>364814.81481481477</v>
      </c>
      <c r="I79" s="177">
        <f>IF($B$13&gt;I78,0,IF($D$72-(SUM($C$79:H79)+1)&gt;0,IF($B$12&gt;0,$D$72/$B$12,0),0))</f>
        <v>364814.81481481477</v>
      </c>
      <c r="J79" s="177">
        <f>IF($B$13&gt;J78,0,IF($D$72-(SUM($C$79:I79)+1)&gt;0,IF($B$12&gt;0,$D$72/$B$12,0),0))</f>
        <v>364814.81481481477</v>
      </c>
      <c r="K79" s="177">
        <f>IF($B$13&gt;K78,0,IF($D$72-(SUM($C$79:J79)+1)&gt;0,IF($B$12&gt;0,$D$72/$B$12,0),0))</f>
        <v>364814.81481481477</v>
      </c>
      <c r="L79" s="177">
        <f>IF($B$13&gt;L78,0,IF($D$72-(SUM($C$79:K79)+1)&gt;0,IF($B$12&gt;0,$D$72/$B$12,0),0))</f>
        <v>0</v>
      </c>
      <c r="M79" s="177">
        <f>IF($B$13&gt;M78,0,IF($D$72-(SUM($C$79:L79)+1)&gt;0,IF($B$12&gt;0,$D$72/$B$12,0),0))</f>
        <v>0</v>
      </c>
      <c r="N79" s="177">
        <f>IF($B$13&gt;N78,0,IF($D$72-(SUM($C$79:M79)+1)&gt;0,IF($B$12&gt;0,$D$72/$B$12,0),0))</f>
        <v>0</v>
      </c>
      <c r="O79" s="177">
        <f>IF($B$13&gt;O78,0,IF($D$72-(SUM($C$79:N79)+1)&gt;0,IF($B$12&gt;0,$D$72/$B$12,0),0))</f>
        <v>0</v>
      </c>
      <c r="P79" s="177">
        <f>IF($B$13&gt;P78,0,IF($D$72-(SUM($C$79:O79)+1)&gt;0,IF($B$12&gt;0,$D$72/$B$12,0),0))</f>
        <v>0</v>
      </c>
      <c r="Q79" s="177">
        <f>IF($B$13&gt;Q78,0,IF($D$72-(SUM($C$79:P79)+1)&gt;0,IF($B$12&gt;0,$D$72/$B$12,0),0))</f>
        <v>0</v>
      </c>
      <c r="R79" s="177">
        <f>IF($B$13&gt;R78,0,IF($D$72-(SUM($C$79:Q79)+1)&gt;0,IF($B$12&gt;0,$D$72/$B$12,0),0))</f>
        <v>0</v>
      </c>
      <c r="S79" s="177">
        <f>IF($B$13&gt;S78,0,IF($D$72-(SUM($C$79:R79)+1)&gt;0,IF($B$12&gt;0,$D$72/$B$12,0),0))</f>
        <v>0</v>
      </c>
      <c r="T79" s="177">
        <f>IF($B$13&gt;T78,0,IF($D$72-(SUM($C$79:S79)+1)&gt;0,IF($B$12&gt;0,$D$72/$B$12,0),0))</f>
        <v>0</v>
      </c>
      <c r="U79" s="177">
        <f>IF($B$13&gt;U78,0,IF($D$72-(SUM($C$79:T79)+1)&gt;0,IF($B$12&gt;0,$D$72/$B$12,0),0))</f>
        <v>0</v>
      </c>
      <c r="V79" s="177">
        <f>IF($B$13&gt;V78,0,IF($D$72-(SUM($C$79:U79)+1)&gt;0,IF($B$12&gt;0,$D$72/$B$12,0),0))</f>
        <v>0</v>
      </c>
      <c r="W79" s="177">
        <f>IF($B$13&gt;W78,0,IF($D$72-(SUM($C$79:V79)+1)&gt;0,IF($B$12&gt;0,$D$72/$B$12,0),0))</f>
        <v>0</v>
      </c>
      <c r="X79" s="177">
        <f>IF($B$13&gt;X78,0,IF($D$72-(SUM($C$79:W79)+1)&gt;0,IF($B$12&gt;0,$D$72/$B$12,0),0))</f>
        <v>0</v>
      </c>
      <c r="Y79" s="177">
        <f>IF($B$13&gt;Y78,0,IF($D$72-(SUM($C$79:X79)+1)&gt;0,IF($B$12&gt;0,$D$72/$B$12,0),0))</f>
        <v>0</v>
      </c>
      <c r="Z79" s="177">
        <f>IF($B$13&gt;Z78,0,IF($D$72-(SUM($C$79:Y79)+1)&gt;0,IF($B$12&gt;0,$D$72/$B$12,0),0))</f>
        <v>0</v>
      </c>
      <c r="AA79" s="177">
        <f>IF($B$13&gt;AA78,0,IF($D$72-(SUM($C$79:Z79)+1)&gt;0,IF($B$12&gt;0,$D$72/$B$12,0),0))</f>
        <v>0</v>
      </c>
      <c r="AB79" s="178">
        <f>IF($B$13&gt;AB78,0,IF($D$72-(SUM($C$79:AA79)+1)&gt;0,IF($B$12&gt;0,$D$72/$B$12,0),0))</f>
        <v>0</v>
      </c>
      <c r="AC79" s="178">
        <f>IF($B$13&gt;AC78,0,IF($D$72-(SUM($C$79:AB79)+1)&gt;0,IF($B$12&gt;0,$D$72/$B$12,0),0))</f>
        <v>0</v>
      </c>
      <c r="AD79" s="178">
        <f>IF($B$13&gt;AD78,0,IF($D$72-(SUM($C$79:AC79)+1)&gt;0,IF($B$12&gt;0,$D$72/$B$12,0),0))</f>
        <v>0</v>
      </c>
      <c r="AE79" s="178">
        <f>IF($B$13&gt;AE78,0,IF($D$72-(SUM($C$79:AD79)+1)&gt;0,IF($B$12&gt;0,$D$72/$B$12,0),0))</f>
        <v>0</v>
      </c>
      <c r="AF79" s="178">
        <f>IF($B$13&gt;AF78,0,IF($D$72-(SUM($C$79:AE79)+1)&gt;0,IF($B$12&gt;0,$D$72/$B$12,0),0))</f>
        <v>0</v>
      </c>
      <c r="AG79" s="178">
        <f>IF($B$13&gt;AG78,0,IF($D$72-(SUM($C$79:AF79)+1)&gt;0,IF($B$12&gt;0,$D$72/$B$12,0),0))</f>
        <v>0</v>
      </c>
      <c r="AH79" s="178">
        <f>IF($B$13&gt;AH78,0,IF($D$72-(SUM($C$79:AG79)+1)&gt;0,IF($B$12&gt;0,$D$72/$B$12,0),0))</f>
        <v>0</v>
      </c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  <c r="BI79" s="17"/>
      <c r="BJ79" s="17"/>
      <c r="BK79" s="17"/>
      <c r="BL79" s="17"/>
      <c r="BM79" s="17"/>
      <c r="BN79" s="17"/>
      <c r="BO79" s="17"/>
      <c r="BP79" s="17"/>
      <c r="BQ79" s="17"/>
      <c r="BR79" s="17"/>
      <c r="BS79" s="17"/>
      <c r="BT79" s="17"/>
      <c r="BU79" s="17"/>
      <c r="BV79" s="17"/>
    </row>
    <row r="80" spans="1:74" s="16" customFormat="1" x14ac:dyDescent="0.25">
      <c r="A80" s="191"/>
      <c r="B80" s="180" t="s">
        <v>50</v>
      </c>
      <c r="C80" s="192"/>
      <c r="D80" s="193"/>
      <c r="E80" s="182">
        <f>($D$72-SUM($C$79:D79))*$B$14</f>
        <v>72962.962962962964</v>
      </c>
      <c r="F80" s="182">
        <f>($D$72-SUM($C$79:E79))*$B$14</f>
        <v>72962.962962962964</v>
      </c>
      <c r="G80" s="182">
        <f>($D$72-SUM($C$79:F79))*$B$14</f>
        <v>72962.962962962964</v>
      </c>
      <c r="H80" s="182">
        <f>($D$72-SUM($C$79:G79))*$B$14</f>
        <v>58370.370370370365</v>
      </c>
      <c r="I80" s="182">
        <f>($D$72-SUM($C$79:H79))*$B$14</f>
        <v>43777.777777777781</v>
      </c>
      <c r="J80" s="182">
        <f>($D$72-SUM($C$79:I79))*$B$14</f>
        <v>29185.185185185186</v>
      </c>
      <c r="K80" s="182">
        <f>($D$72-SUM($C$79:J79))*$B$14</f>
        <v>14592.592592592593</v>
      </c>
      <c r="L80" s="182">
        <f>($D$72-SUM($C$79:K79))*$B$14</f>
        <v>0</v>
      </c>
      <c r="M80" s="182">
        <f>($D$72-SUM($C$79:L79))*$B$14</f>
        <v>0</v>
      </c>
      <c r="N80" s="182">
        <f>($D$72-SUM($C$79:M79))*$B$14</f>
        <v>0</v>
      </c>
      <c r="O80" s="182">
        <f>($D$72-SUM($C$79:N79))*$B$14</f>
        <v>0</v>
      </c>
      <c r="P80" s="182">
        <f>($D$72-SUM($C$79:O79))*$B$14</f>
        <v>0</v>
      </c>
      <c r="Q80" s="182">
        <f>($D$72-SUM($C$79:P79))*$B$14</f>
        <v>0</v>
      </c>
      <c r="R80" s="182">
        <f>($D$72-SUM($C$79:Q79))*$B$14</f>
        <v>0</v>
      </c>
      <c r="S80" s="182">
        <f>($D$72-SUM($C$79:R79))*$B$14</f>
        <v>0</v>
      </c>
      <c r="T80" s="182">
        <f>($D$72-SUM($C$79:S79))*$B$14</f>
        <v>0</v>
      </c>
      <c r="U80" s="182">
        <f>($D$72-SUM($C$79:T79))*$B$14</f>
        <v>0</v>
      </c>
      <c r="V80" s="182">
        <f>($D$72-SUM($C$79:U79))*$B$14</f>
        <v>0</v>
      </c>
      <c r="W80" s="182">
        <f>($D$72-SUM($C$79:V79))*$B$14</f>
        <v>0</v>
      </c>
      <c r="X80" s="182">
        <f>($D$72-SUM($C$79:W79))*$B$14</f>
        <v>0</v>
      </c>
      <c r="Y80" s="182">
        <f>($D$72-SUM($C$79:X79))*$B$14</f>
        <v>0</v>
      </c>
      <c r="Z80" s="182">
        <f>($D$72-SUM($C$79:Y79))*$B$14</f>
        <v>0</v>
      </c>
      <c r="AA80" s="182">
        <f>($D$72-SUM($C$79:Z79))*$B$14</f>
        <v>0</v>
      </c>
      <c r="AB80" s="183">
        <f>($D$72-SUM($C$79:AA79))*$B$14</f>
        <v>0</v>
      </c>
      <c r="AC80" s="183">
        <f>($D$72-SUM($C$79:AB79))*$B$14</f>
        <v>0</v>
      </c>
      <c r="AD80" s="183">
        <f>($D$72-SUM($C$79:AC79))*$B$14</f>
        <v>0</v>
      </c>
      <c r="AE80" s="183">
        <f>($D$72-SUM($C$79:AD79))*$B$14</f>
        <v>0</v>
      </c>
      <c r="AF80" s="183">
        <f>($D$72-SUM($C$79:AE79))*$B$14</f>
        <v>0</v>
      </c>
      <c r="AG80" s="183">
        <f>($D$72-SUM($C$79:AF79))*$B$14</f>
        <v>0</v>
      </c>
      <c r="AH80" s="183">
        <f>($D$72-SUM($C$79:AG79))*$B$14</f>
        <v>0</v>
      </c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  <c r="BI80" s="17"/>
      <c r="BJ80" s="17"/>
      <c r="BK80" s="17"/>
      <c r="BL80" s="17"/>
      <c r="BM80" s="17"/>
      <c r="BN80" s="17"/>
      <c r="BO80" s="17"/>
      <c r="BP80" s="17"/>
      <c r="BQ80" s="17"/>
      <c r="BR80" s="17"/>
      <c r="BS80" s="17"/>
      <c r="BT80" s="17"/>
      <c r="BU80" s="17"/>
      <c r="BV80" s="17"/>
    </row>
    <row r="81" spans="1:74" ht="12" customHeight="1" x14ac:dyDescent="0.25">
      <c r="A81" s="184"/>
      <c r="B81" s="185"/>
      <c r="C81" s="186"/>
      <c r="D81" s="187"/>
      <c r="E81" s="194"/>
      <c r="F81" s="172">
        <v>1</v>
      </c>
      <c r="G81" s="172">
        <f>F81+1</f>
        <v>2</v>
      </c>
      <c r="H81" s="172">
        <f t="shared" ref="H81:AH81" si="25">G81+1</f>
        <v>3</v>
      </c>
      <c r="I81" s="172">
        <f t="shared" si="25"/>
        <v>4</v>
      </c>
      <c r="J81" s="172">
        <f t="shared" si="25"/>
        <v>5</v>
      </c>
      <c r="K81" s="172">
        <f t="shared" si="25"/>
        <v>6</v>
      </c>
      <c r="L81" s="172">
        <f t="shared" si="25"/>
        <v>7</v>
      </c>
      <c r="M81" s="172">
        <f t="shared" si="25"/>
        <v>8</v>
      </c>
      <c r="N81" s="172">
        <f t="shared" si="25"/>
        <v>9</v>
      </c>
      <c r="O81" s="172">
        <f t="shared" si="25"/>
        <v>10</v>
      </c>
      <c r="P81" s="172">
        <f t="shared" si="25"/>
        <v>11</v>
      </c>
      <c r="Q81" s="172">
        <f t="shared" si="25"/>
        <v>12</v>
      </c>
      <c r="R81" s="172">
        <f t="shared" si="25"/>
        <v>13</v>
      </c>
      <c r="S81" s="172">
        <f t="shared" si="25"/>
        <v>14</v>
      </c>
      <c r="T81" s="172">
        <f t="shared" si="25"/>
        <v>15</v>
      </c>
      <c r="U81" s="172">
        <f t="shared" si="25"/>
        <v>16</v>
      </c>
      <c r="V81" s="172">
        <f t="shared" si="25"/>
        <v>17</v>
      </c>
      <c r="W81" s="172">
        <f t="shared" si="25"/>
        <v>18</v>
      </c>
      <c r="X81" s="172">
        <f t="shared" si="25"/>
        <v>19</v>
      </c>
      <c r="Y81" s="172">
        <f t="shared" si="25"/>
        <v>20</v>
      </c>
      <c r="Z81" s="172">
        <f t="shared" si="25"/>
        <v>21</v>
      </c>
      <c r="AA81" s="172">
        <f t="shared" si="25"/>
        <v>22</v>
      </c>
      <c r="AB81" s="173">
        <f t="shared" si="25"/>
        <v>23</v>
      </c>
      <c r="AC81" s="173">
        <f t="shared" si="25"/>
        <v>24</v>
      </c>
      <c r="AD81" s="173">
        <f t="shared" si="25"/>
        <v>25</v>
      </c>
      <c r="AE81" s="173">
        <f t="shared" si="25"/>
        <v>26</v>
      </c>
      <c r="AF81" s="173">
        <f t="shared" si="25"/>
        <v>27</v>
      </c>
      <c r="AG81" s="173">
        <f t="shared" si="25"/>
        <v>28</v>
      </c>
      <c r="AH81" s="173">
        <f t="shared" si="25"/>
        <v>29</v>
      </c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</row>
    <row r="82" spans="1:74" s="16" customFormat="1" x14ac:dyDescent="0.25">
      <c r="A82" s="184">
        <f>A79+1</f>
        <v>3</v>
      </c>
      <c r="B82" s="188" t="s">
        <v>49</v>
      </c>
      <c r="C82" s="189"/>
      <c r="D82" s="190"/>
      <c r="E82" s="190"/>
      <c r="F82" s="177">
        <f>IF($B$13&gt;F81,0,IF($E$72-(SUM($C$82:E82)+1)&gt;0,IF($B$12&gt;0,$E$72/$B$12,0),0))</f>
        <v>0</v>
      </c>
      <c r="G82" s="177">
        <f>IF($B$13&gt;G81,0,IF($E$72-(SUM($C$82:F82)+1)&gt;0,IF($B$12&gt;0,$E$72/$B$12,0),0))</f>
        <v>0</v>
      </c>
      <c r="H82" s="177">
        <f>IF($B$13&gt;H81,0,IF($E$72-(SUM($C$82:G82)+1)&gt;0,IF($B$12&gt;0,$E$72/$B$12,0),0))</f>
        <v>364814.81481481477</v>
      </c>
      <c r="I82" s="177">
        <f>IF($B$13&gt;I81,0,IF($E$72-(SUM($C$82:H82)+1)&gt;0,IF($B$12&gt;0,$E$72/$B$12,0),0))</f>
        <v>364814.81481481477</v>
      </c>
      <c r="J82" s="177">
        <f>IF($B$13&gt;J81,0,IF($E$72-(SUM($C$82:I82)+1)&gt;0,IF($B$12&gt;0,$E$72/$B$12,0),0))</f>
        <v>364814.81481481477</v>
      </c>
      <c r="K82" s="177">
        <f>IF($B$13&gt;K81,0,IF($E$72-(SUM($C$82:J82)+1)&gt;0,IF($B$12&gt;0,$E$72/$B$12,0),0))</f>
        <v>364814.81481481477</v>
      </c>
      <c r="L82" s="177">
        <f>IF($B$13&gt;L81,0,IF($E$72-(SUM($C$82:K82)+1)&gt;0,IF($B$12&gt;0,$E$72/$B$12,0),0))</f>
        <v>364814.81481481477</v>
      </c>
      <c r="M82" s="177">
        <f>IF($B$13&gt;M81,0,IF($E$72-(SUM($C$82:L82)+1)&gt;0,IF($B$12&gt;0,$E$72/$B$12,0),0))</f>
        <v>0</v>
      </c>
      <c r="N82" s="177">
        <f>IF($B$13&gt;N81,0,IF($E$72-(SUM($C$82:M82)+1)&gt;0,IF($B$12&gt;0,$E$72/$B$12,0),0))</f>
        <v>0</v>
      </c>
      <c r="O82" s="177">
        <f>IF($B$13&gt;O81,0,IF($E$72-(SUM($C$82:N82)+1)&gt;0,IF($B$12&gt;0,$E$72/$B$12,0),0))</f>
        <v>0</v>
      </c>
      <c r="P82" s="177">
        <f>IF($B$13&gt;P81,0,IF($E$72-(SUM($C$82:O82)+1)&gt;0,IF($B$12&gt;0,$E$72/$B$12,0),0))</f>
        <v>0</v>
      </c>
      <c r="Q82" s="177">
        <f>IF($B$13&gt;Q81,0,IF($E$72-(SUM($C$82:P82)+1)&gt;0,IF($B$12&gt;0,$E$72/$B$12,0),0))</f>
        <v>0</v>
      </c>
      <c r="R82" s="177">
        <f>IF($B$13&gt;R81,0,IF($E$72-(SUM($C$82:Q82)+1)&gt;0,IF($B$12&gt;0,$E$72/$B$12,0),0))</f>
        <v>0</v>
      </c>
      <c r="S82" s="177">
        <f>IF($B$13&gt;S81,0,IF($E$72-(SUM($C$82:R82)+1)&gt;0,IF($B$12&gt;0,$E$72/$B$12,0),0))</f>
        <v>0</v>
      </c>
      <c r="T82" s="177">
        <f>IF($B$13&gt;T81,0,IF($E$72-(SUM($C$82:S82)+1)&gt;0,IF($B$12&gt;0,$E$72/$B$12,0),0))</f>
        <v>0</v>
      </c>
      <c r="U82" s="177">
        <f>IF($B$13&gt;U81,0,IF($E$72-(SUM($C$82:T82)+1)&gt;0,IF($B$12&gt;0,$E$72/$B$12,0),0))</f>
        <v>0</v>
      </c>
      <c r="V82" s="177">
        <f>IF($B$13&gt;V81,0,IF($E$72-(SUM($C$82:U82)+1)&gt;0,IF($B$12&gt;0,$E$72/$B$12,0),0))</f>
        <v>0</v>
      </c>
      <c r="W82" s="177">
        <f>IF($B$13&gt;W81,0,IF($E$72-(SUM($C$82:V82)+1)&gt;0,IF($B$12&gt;0,$E$72/$B$12,0),0))</f>
        <v>0</v>
      </c>
      <c r="X82" s="177">
        <f>IF($B$13&gt;X81,0,IF($E$72-(SUM($C$82:W82)+1)&gt;0,IF($B$12&gt;0,$E$72/$B$12,0),0))</f>
        <v>0</v>
      </c>
      <c r="Y82" s="177">
        <f>IF($B$13&gt;Y81,0,IF($E$72-(SUM($C$82:X82)+1)&gt;0,IF($B$12&gt;0,$E$72/$B$12,0),0))</f>
        <v>0</v>
      </c>
      <c r="Z82" s="177">
        <f>IF($B$13&gt;Z81,0,IF($E$72-(SUM($C$82:Y82)+1)&gt;0,IF($B$12&gt;0,$E$72/$B$12,0),0))</f>
        <v>0</v>
      </c>
      <c r="AA82" s="177">
        <f>IF($B$13&gt;AA81,0,IF($E$72-(SUM($C$82:Z82)+1)&gt;0,IF($B$12&gt;0,$E$72/$B$12,0),0))</f>
        <v>0</v>
      </c>
      <c r="AB82" s="178">
        <f>IF($B$13&gt;AB81,0,IF($E$72-(SUM($C$82:AA82)+1)&gt;0,IF($B$12&gt;0,$E$72/$B$12,0),0))</f>
        <v>0</v>
      </c>
      <c r="AC82" s="178">
        <f>IF($B$13&gt;AC81,0,IF($E$72-(SUM($C$82:AB82)+1)&gt;0,IF($B$12&gt;0,$E$72/$B$12,0),0))</f>
        <v>0</v>
      </c>
      <c r="AD82" s="178">
        <f>IF($B$13&gt;AD81,0,IF($E$72-(SUM($C$82:AC82)+1)&gt;0,IF($B$12&gt;0,$E$72/$B$12,0),0))</f>
        <v>0</v>
      </c>
      <c r="AE82" s="178">
        <f>IF($B$13&gt;AE81,0,IF($E$72-(SUM($C$82:AD82)+1)&gt;0,IF($B$12&gt;0,$E$72/$B$12,0),0))</f>
        <v>0</v>
      </c>
      <c r="AF82" s="178">
        <f>IF($B$13&gt;AF81,0,IF($E$72-(SUM($C$82:AE82)+1)&gt;0,IF($B$12&gt;0,$E$72/$B$12,0),0))</f>
        <v>0</v>
      </c>
      <c r="AG82" s="178">
        <f>IF($B$13&gt;AG81,0,IF($E$72-(SUM($C$82:AF82)+1)&gt;0,IF($B$12&gt;0,$E$72/$B$12,0),0))</f>
        <v>0</v>
      </c>
      <c r="AH82" s="178">
        <f>IF($B$13&gt;AH81,0,IF($E$72-(SUM($C$82:AG82)+1)&gt;0,IF($B$12&gt;0,$E$72/$B$12,0),0))</f>
        <v>0</v>
      </c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  <c r="BD82" s="17"/>
      <c r="BE82" s="17"/>
      <c r="BF82" s="17"/>
      <c r="BG82" s="17"/>
      <c r="BH82" s="17"/>
      <c r="BI82" s="17"/>
      <c r="BJ82" s="17"/>
      <c r="BK82" s="17"/>
      <c r="BL82" s="17"/>
      <c r="BM82" s="17"/>
      <c r="BN82" s="17"/>
      <c r="BO82" s="17"/>
      <c r="BP82" s="17"/>
      <c r="BQ82" s="17"/>
      <c r="BR82" s="17"/>
      <c r="BS82" s="17"/>
      <c r="BT82" s="17"/>
      <c r="BU82" s="17"/>
      <c r="BV82" s="17"/>
    </row>
    <row r="83" spans="1:74" s="16" customFormat="1" x14ac:dyDescent="0.25">
      <c r="A83" s="191"/>
      <c r="B83" s="180" t="s">
        <v>50</v>
      </c>
      <c r="C83" s="192"/>
      <c r="D83" s="193"/>
      <c r="E83" s="193"/>
      <c r="F83" s="182">
        <f>($E$72-SUM($C$82:E82))*$B$14</f>
        <v>72962.962962962964</v>
      </c>
      <c r="G83" s="182">
        <f>($E$72-SUM($C$82:F82))*$B$14</f>
        <v>72962.962962962964</v>
      </c>
      <c r="H83" s="182">
        <f>($E$72-SUM($C$82:G82))*$B$14</f>
        <v>72962.962962962964</v>
      </c>
      <c r="I83" s="182">
        <f>($E$72-SUM($C$82:H82))*$B$14</f>
        <v>58370.370370370365</v>
      </c>
      <c r="J83" s="182">
        <f>($E$72-SUM($C$82:I82))*$B$14</f>
        <v>43777.777777777781</v>
      </c>
      <c r="K83" s="182">
        <f>($E$72-SUM($C$82:J82))*$B$14</f>
        <v>29185.185185185186</v>
      </c>
      <c r="L83" s="182">
        <f>($E$72-SUM($C$82:K82))*$B$14</f>
        <v>14592.592592592593</v>
      </c>
      <c r="M83" s="182">
        <f>($E$72-SUM($C$82:L82))*$B$14</f>
        <v>0</v>
      </c>
      <c r="N83" s="182">
        <f>($E$72-SUM($C$82:M82))*$B$14</f>
        <v>0</v>
      </c>
      <c r="O83" s="182">
        <f>($E$72-SUM($C$82:N82))*$B$14</f>
        <v>0</v>
      </c>
      <c r="P83" s="182">
        <f>($E$72-SUM($C$82:O82))*$B$14</f>
        <v>0</v>
      </c>
      <c r="Q83" s="182">
        <f>($E$72-SUM($C$82:P82))*$B$14</f>
        <v>0</v>
      </c>
      <c r="R83" s="182">
        <f>($E$72-SUM($C$82:Q82))*$B$14</f>
        <v>0</v>
      </c>
      <c r="S83" s="182">
        <f>($E$72-SUM($C$82:R82))*$B$14</f>
        <v>0</v>
      </c>
      <c r="T83" s="182">
        <f>($E$72-SUM($C$82:S82))*$B$14</f>
        <v>0</v>
      </c>
      <c r="U83" s="182">
        <f>($E$72-SUM($C$82:T82))*$B$14</f>
        <v>0</v>
      </c>
      <c r="V83" s="182">
        <f>($E$72-SUM($C$82:U82))*$B$14</f>
        <v>0</v>
      </c>
      <c r="W83" s="182">
        <f>($E$72-SUM($C$82:V82))*$B$14</f>
        <v>0</v>
      </c>
      <c r="X83" s="182">
        <f>($E$72-SUM($C$82:W82))*$B$14</f>
        <v>0</v>
      </c>
      <c r="Y83" s="182">
        <f>($E$72-SUM($C$82:X82))*$B$14</f>
        <v>0</v>
      </c>
      <c r="Z83" s="182">
        <f>($E$72-SUM($C$82:Y82))*$B$14</f>
        <v>0</v>
      </c>
      <c r="AA83" s="182">
        <f>($E$72-SUM($C$82:Z82))*$B$14</f>
        <v>0</v>
      </c>
      <c r="AB83" s="183">
        <f>($E$72-SUM($C$82:AA82))*$B$14</f>
        <v>0</v>
      </c>
      <c r="AC83" s="183">
        <f>($E$72-SUM($C$82:AB82))*$B$14</f>
        <v>0</v>
      </c>
      <c r="AD83" s="183">
        <f>($E$72-SUM($C$82:AC82))*$B$14</f>
        <v>0</v>
      </c>
      <c r="AE83" s="183">
        <f>($E$72-SUM($C$82:AD82))*$B$14</f>
        <v>0</v>
      </c>
      <c r="AF83" s="183">
        <f>($E$72-SUM($C$82:AE82))*$B$14</f>
        <v>0</v>
      </c>
      <c r="AG83" s="183">
        <f>($E$72-SUM($C$82:AF82))*$B$14</f>
        <v>0</v>
      </c>
      <c r="AH83" s="183">
        <f>($E$72-SUM($C$82:AG82))*$B$14</f>
        <v>0</v>
      </c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  <c r="BH83" s="17"/>
      <c r="BI83" s="17"/>
      <c r="BJ83" s="17"/>
      <c r="BK83" s="17"/>
      <c r="BL83" s="17"/>
      <c r="BM83" s="17"/>
      <c r="BN83" s="17"/>
      <c r="BO83" s="17"/>
      <c r="BP83" s="17"/>
      <c r="BQ83" s="17"/>
      <c r="BR83" s="17"/>
      <c r="BS83" s="17"/>
      <c r="BT83" s="17"/>
      <c r="BU83" s="17"/>
      <c r="BV83" s="17"/>
    </row>
    <row r="84" spans="1:74" ht="15" customHeight="1" x14ac:dyDescent="0.25">
      <c r="A84" s="184"/>
      <c r="B84" s="185"/>
      <c r="C84" s="186"/>
      <c r="D84" s="187"/>
      <c r="E84" s="194"/>
      <c r="F84" s="194"/>
      <c r="G84" s="172">
        <v>1</v>
      </c>
      <c r="H84" s="172">
        <f>G84+1</f>
        <v>2</v>
      </c>
      <c r="I84" s="172">
        <f t="shared" ref="I84:AH84" si="26">H84+1</f>
        <v>3</v>
      </c>
      <c r="J84" s="172">
        <f t="shared" si="26"/>
        <v>4</v>
      </c>
      <c r="K84" s="172">
        <f t="shared" si="26"/>
        <v>5</v>
      </c>
      <c r="L84" s="172">
        <f t="shared" si="26"/>
        <v>6</v>
      </c>
      <c r="M84" s="172">
        <f t="shared" si="26"/>
        <v>7</v>
      </c>
      <c r="N84" s="172">
        <f t="shared" si="26"/>
        <v>8</v>
      </c>
      <c r="O84" s="172">
        <f t="shared" si="26"/>
        <v>9</v>
      </c>
      <c r="P84" s="172">
        <f t="shared" si="26"/>
        <v>10</v>
      </c>
      <c r="Q84" s="172">
        <f t="shared" si="26"/>
        <v>11</v>
      </c>
      <c r="R84" s="172">
        <f t="shared" si="26"/>
        <v>12</v>
      </c>
      <c r="S84" s="172">
        <f t="shared" si="26"/>
        <v>13</v>
      </c>
      <c r="T84" s="172">
        <f t="shared" si="26"/>
        <v>14</v>
      </c>
      <c r="U84" s="172">
        <f t="shared" si="26"/>
        <v>15</v>
      </c>
      <c r="V84" s="172">
        <f t="shared" si="26"/>
        <v>16</v>
      </c>
      <c r="W84" s="172">
        <f t="shared" si="26"/>
        <v>17</v>
      </c>
      <c r="X84" s="172">
        <f t="shared" si="26"/>
        <v>18</v>
      </c>
      <c r="Y84" s="172">
        <f t="shared" si="26"/>
        <v>19</v>
      </c>
      <c r="Z84" s="172">
        <f t="shared" si="26"/>
        <v>20</v>
      </c>
      <c r="AA84" s="172">
        <f t="shared" si="26"/>
        <v>21</v>
      </c>
      <c r="AB84" s="173">
        <f t="shared" si="26"/>
        <v>22</v>
      </c>
      <c r="AC84" s="173">
        <f t="shared" si="26"/>
        <v>23</v>
      </c>
      <c r="AD84" s="173">
        <f t="shared" si="26"/>
        <v>24</v>
      </c>
      <c r="AE84" s="173">
        <f t="shared" si="26"/>
        <v>25</v>
      </c>
      <c r="AF84" s="173">
        <f t="shared" si="26"/>
        <v>26</v>
      </c>
      <c r="AG84" s="173">
        <f t="shared" si="26"/>
        <v>27</v>
      </c>
      <c r="AH84" s="173">
        <f t="shared" si="26"/>
        <v>28</v>
      </c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</row>
    <row r="85" spans="1:74" s="16" customFormat="1" x14ac:dyDescent="0.25">
      <c r="A85" s="184">
        <f>A82+1</f>
        <v>4</v>
      </c>
      <c r="B85" s="188" t="s">
        <v>49</v>
      </c>
      <c r="C85" s="189"/>
      <c r="D85" s="190"/>
      <c r="E85" s="190"/>
      <c r="F85" s="190"/>
      <c r="G85" s="177">
        <f>IF($B$13&gt;G84,0,IF($F$72-(SUM($C$85:F85)+1)&gt;0,IF($B$12&gt;0,$F$72/$B$12,0),0))</f>
        <v>0</v>
      </c>
      <c r="H85" s="177">
        <f>IF($B$13&gt;H84,0,IF($F$72-(SUM($C$85:G85)+1)&gt;0,IF($B$12&gt;0,$F$72/$B$12,0),0))</f>
        <v>0</v>
      </c>
      <c r="I85" s="177">
        <f>IF($B$13&gt;I84,0,IF($F$72-(SUM($C$85:H85)+1)&gt;0,IF($B$12&gt;0,$F$72/$B$12,0),0))</f>
        <v>364814.81481481477</v>
      </c>
      <c r="J85" s="177">
        <f>IF($B$13&gt;J84,0,IF($F$72-(SUM($C$85:I85)+1)&gt;0,IF($B$12&gt;0,$F$72/$B$12,0),0))</f>
        <v>364814.81481481477</v>
      </c>
      <c r="K85" s="177">
        <f>IF($B$13&gt;K84,0,IF($F$72-(SUM($C$85:J85)+1)&gt;0,IF($B$12&gt;0,$F$72/$B$12,0),0))</f>
        <v>364814.81481481477</v>
      </c>
      <c r="L85" s="177">
        <f>IF($B$13&gt;L84,0,IF($F$72-(SUM($C$85:K85)+1)&gt;0,IF($B$12&gt;0,$F$72/$B$12,0),0))</f>
        <v>364814.81481481477</v>
      </c>
      <c r="M85" s="177">
        <f>IF($B$13&gt;M84,0,IF($F$72-(SUM($C$85:L85)+1)&gt;0,IF($B$12&gt;0,$F$72/$B$12,0),0))</f>
        <v>364814.81481481477</v>
      </c>
      <c r="N85" s="177">
        <f>IF($B$13&gt;N84,0,IF($F$72-(SUM($C$85:M85)+1)&gt;0,IF($B$12&gt;0,$F$72/$B$12,0),0))</f>
        <v>0</v>
      </c>
      <c r="O85" s="177">
        <f>IF($B$13&gt;O84,0,IF($F$72-(SUM($C$85:N85)+1)&gt;0,IF($B$12&gt;0,$F$72/$B$12,0),0))</f>
        <v>0</v>
      </c>
      <c r="P85" s="177">
        <f>IF($B$13&gt;P84,0,IF($F$72-(SUM($C$85:O85)+1)&gt;0,IF($B$12&gt;0,$F$72/$B$12,0),0))</f>
        <v>0</v>
      </c>
      <c r="Q85" s="177">
        <f>IF($B$13&gt;Q84,0,IF($F$72-(SUM($C$85:P85)+1)&gt;0,IF($B$12&gt;0,$F$72/$B$12,0),0))</f>
        <v>0</v>
      </c>
      <c r="R85" s="177">
        <f>IF($B$13&gt;R84,0,IF($F$72-(SUM($C$85:Q85)+1)&gt;0,IF($B$12&gt;0,$F$72/$B$12,0),0))</f>
        <v>0</v>
      </c>
      <c r="S85" s="177">
        <f>IF($B$13&gt;S84,0,IF($F$72-(SUM($C$85:R85)+1)&gt;0,IF($B$12&gt;0,$F$72/$B$12,0),0))</f>
        <v>0</v>
      </c>
      <c r="T85" s="177">
        <f>IF($B$13&gt;T84,0,IF($F$72-(SUM($C$85:S85)+1)&gt;0,IF($B$12&gt;0,$F$72/$B$12,0),0))</f>
        <v>0</v>
      </c>
      <c r="U85" s="177">
        <f>IF($B$13&gt;U84,0,IF($F$72-(SUM($C$85:T85)+1)&gt;0,IF($B$12&gt;0,$F$72/$B$12,0),0))</f>
        <v>0</v>
      </c>
      <c r="V85" s="177">
        <f>IF($B$13&gt;V84,0,IF($F$72-(SUM($C$85:U85)+1)&gt;0,IF($B$12&gt;0,$F$72/$B$12,0),0))</f>
        <v>0</v>
      </c>
      <c r="W85" s="177">
        <f>IF($B$13&gt;W84,0,IF($F$72-(SUM($C$85:V85)+1)&gt;0,IF($B$12&gt;0,$F$72/$B$12,0),0))</f>
        <v>0</v>
      </c>
      <c r="X85" s="177">
        <f>IF($B$13&gt;X84,0,IF($F$72-(SUM($C$85:W85)+1)&gt;0,IF($B$12&gt;0,$F$72/$B$12,0),0))</f>
        <v>0</v>
      </c>
      <c r="Y85" s="177">
        <f>IF($B$13&gt;Y84,0,IF($F$72-(SUM($C$85:X85)+1)&gt;0,IF($B$12&gt;0,$F$72/$B$12,0),0))</f>
        <v>0</v>
      </c>
      <c r="Z85" s="177">
        <f>IF($B$13&gt;Z84,0,IF($F$72-(SUM($C$85:Y85)+1)&gt;0,IF($B$12&gt;0,$F$72/$B$12,0),0))</f>
        <v>0</v>
      </c>
      <c r="AA85" s="177">
        <f>IF($B$13&gt;AA84,0,IF($F$72-(SUM($C$85:Z85)+1)&gt;0,IF($B$12&gt;0,$F$72/$B$12,0),0))</f>
        <v>0</v>
      </c>
      <c r="AB85" s="178">
        <f>IF($B$13&gt;AB84,0,IF($F$72-(SUM($C$85:AA85)+1)&gt;0,IF($B$12&gt;0,$F$72/$B$12,0),0))</f>
        <v>0</v>
      </c>
      <c r="AC85" s="178">
        <f>IF($B$13&gt;AC84,0,IF($F$72-(SUM($C$85:AB85)+1)&gt;0,IF($B$12&gt;0,$F$72/$B$12,0),0))</f>
        <v>0</v>
      </c>
      <c r="AD85" s="178">
        <f>IF($B$13&gt;AD84,0,IF($F$72-(SUM($C$85:AC85)+1)&gt;0,IF($B$12&gt;0,$F$72/$B$12,0),0))</f>
        <v>0</v>
      </c>
      <c r="AE85" s="178">
        <f>IF($B$13&gt;AE84,0,IF($F$72-(SUM($C$85:AD85)+1)&gt;0,IF($B$12&gt;0,$F$72/$B$12,0),0))</f>
        <v>0</v>
      </c>
      <c r="AF85" s="178">
        <f>IF($B$13&gt;AF84,0,IF($F$72-(SUM($C$85:AE85)+1)&gt;0,IF($B$12&gt;0,$F$72/$B$12,0),0))</f>
        <v>0</v>
      </c>
      <c r="AG85" s="178">
        <f>IF($B$13&gt;AG84,0,IF($F$72-(SUM($C$85:AF85)+1)&gt;0,IF($B$12&gt;0,$F$72/$B$12,0),0))</f>
        <v>0</v>
      </c>
      <c r="AH85" s="178">
        <f>IF($B$13&gt;AH84,0,IF($F$72-(SUM($C$85:AG85)+1)&gt;0,IF($B$12&gt;0,$F$72/$B$12,0),0))</f>
        <v>0</v>
      </c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  <c r="BI85" s="17"/>
      <c r="BJ85" s="17"/>
      <c r="BK85" s="17"/>
      <c r="BL85" s="17"/>
      <c r="BM85" s="17"/>
      <c r="BN85" s="17"/>
      <c r="BO85" s="17"/>
      <c r="BP85" s="17"/>
      <c r="BQ85" s="17"/>
      <c r="BR85" s="17"/>
      <c r="BS85" s="17"/>
      <c r="BT85" s="17"/>
      <c r="BU85" s="17"/>
      <c r="BV85" s="17"/>
    </row>
    <row r="86" spans="1:74" s="16" customFormat="1" x14ac:dyDescent="0.25">
      <c r="A86" s="191"/>
      <c r="B86" s="180" t="s">
        <v>50</v>
      </c>
      <c r="C86" s="192"/>
      <c r="D86" s="193"/>
      <c r="E86" s="193"/>
      <c r="F86" s="193"/>
      <c r="G86" s="182">
        <f>($F$72-SUM($C$85:F85))*$B$14</f>
        <v>72962.962962962964</v>
      </c>
      <c r="H86" s="182">
        <f>($F$72-SUM($C$85:G85))*$B$14</f>
        <v>72962.962962962964</v>
      </c>
      <c r="I86" s="182">
        <f>($F$72-SUM($C$85:H85))*$B$14</f>
        <v>72962.962962962964</v>
      </c>
      <c r="J86" s="182">
        <f>($F$72-SUM($C$85:I85))*$B$14</f>
        <v>58370.370370370365</v>
      </c>
      <c r="K86" s="182">
        <f>($F$72-SUM($C$85:J85))*$B$14</f>
        <v>43777.777777777781</v>
      </c>
      <c r="L86" s="182">
        <f>($F$72-SUM($C$85:K85))*$B$14</f>
        <v>29185.185185185186</v>
      </c>
      <c r="M86" s="182">
        <f>($F$72-SUM($C$85:L85))*$B$14</f>
        <v>14592.592592592593</v>
      </c>
      <c r="N86" s="182">
        <f>($F$72-SUM($C$85:M85))*$B$14</f>
        <v>0</v>
      </c>
      <c r="O86" s="182">
        <f>($F$72-SUM($C$85:N85))*$B$14</f>
        <v>0</v>
      </c>
      <c r="P86" s="182">
        <f>($F$72-SUM($C$85:O85))*$B$14</f>
        <v>0</v>
      </c>
      <c r="Q86" s="182">
        <f>($F$72-SUM($C$85:P85))*$B$14</f>
        <v>0</v>
      </c>
      <c r="R86" s="182">
        <f>($F$72-SUM($C$85:Q85))*$B$14</f>
        <v>0</v>
      </c>
      <c r="S86" s="182">
        <f>($F$72-SUM($C$85:R85))*$B$14</f>
        <v>0</v>
      </c>
      <c r="T86" s="182">
        <f>($F$72-SUM($C$85:S85))*$B$14</f>
        <v>0</v>
      </c>
      <c r="U86" s="182">
        <f>($F$72-SUM($C$85:T85))*$B$14</f>
        <v>0</v>
      </c>
      <c r="V86" s="182">
        <f>($F$72-SUM($C$85:U85))*$B$14</f>
        <v>0</v>
      </c>
      <c r="W86" s="182">
        <f>($F$72-SUM($C$85:V85))*$B$14</f>
        <v>0</v>
      </c>
      <c r="X86" s="182">
        <f>($F$72-SUM($C$85:W85))*$B$14</f>
        <v>0</v>
      </c>
      <c r="Y86" s="182">
        <f>($F$72-SUM($C$85:X85))*$B$14</f>
        <v>0</v>
      </c>
      <c r="Z86" s="182">
        <f>($F$72-SUM($C$85:Y85))*$B$14</f>
        <v>0</v>
      </c>
      <c r="AA86" s="182">
        <f>($F$72-SUM($C$85:Z85))*$B$14</f>
        <v>0</v>
      </c>
      <c r="AB86" s="183">
        <f>($F$72-SUM($C$85:AA85))*$B$14</f>
        <v>0</v>
      </c>
      <c r="AC86" s="183">
        <f>($F$72-SUM($C$85:AB85))*$B$14</f>
        <v>0</v>
      </c>
      <c r="AD86" s="183">
        <f>($F$72-SUM($C$85:AC85))*$B$14</f>
        <v>0</v>
      </c>
      <c r="AE86" s="183">
        <f>($F$72-SUM($C$85:AD85))*$B$14</f>
        <v>0</v>
      </c>
      <c r="AF86" s="183">
        <f>($F$72-SUM($C$85:AE85))*$B$14</f>
        <v>0</v>
      </c>
      <c r="AG86" s="183">
        <f>($F$72-SUM($C$85:AF85))*$B$14</f>
        <v>0</v>
      </c>
      <c r="AH86" s="183">
        <f>($F$72-SUM($C$85:AG85))*$B$14</f>
        <v>0</v>
      </c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  <c r="BD86" s="17"/>
      <c r="BE86" s="17"/>
      <c r="BF86" s="17"/>
      <c r="BG86" s="17"/>
      <c r="BH86" s="17"/>
      <c r="BI86" s="17"/>
      <c r="BJ86" s="17"/>
      <c r="BK86" s="17"/>
      <c r="BL86" s="17"/>
      <c r="BM86" s="17"/>
      <c r="BN86" s="17"/>
      <c r="BO86" s="17"/>
      <c r="BP86" s="17"/>
      <c r="BQ86" s="17"/>
      <c r="BR86" s="17"/>
      <c r="BS86" s="17"/>
      <c r="BT86" s="17"/>
      <c r="BU86" s="17"/>
      <c r="BV86" s="17"/>
    </row>
    <row r="87" spans="1:74" ht="9" customHeight="1" x14ac:dyDescent="0.25">
      <c r="A87" s="184"/>
      <c r="B87" s="185"/>
      <c r="C87" s="186"/>
      <c r="D87" s="187"/>
      <c r="E87" s="194"/>
      <c r="F87" s="194"/>
      <c r="G87" s="194"/>
      <c r="H87" s="172">
        <v>1</v>
      </c>
      <c r="I87" s="172">
        <f>H87+1</f>
        <v>2</v>
      </c>
      <c r="J87" s="172">
        <f t="shared" ref="J87:AH87" si="27">I87+1</f>
        <v>3</v>
      </c>
      <c r="K87" s="172">
        <f t="shared" si="27"/>
        <v>4</v>
      </c>
      <c r="L87" s="172">
        <f t="shared" si="27"/>
        <v>5</v>
      </c>
      <c r="M87" s="172">
        <f t="shared" si="27"/>
        <v>6</v>
      </c>
      <c r="N87" s="172">
        <f t="shared" si="27"/>
        <v>7</v>
      </c>
      <c r="O87" s="172">
        <f t="shared" si="27"/>
        <v>8</v>
      </c>
      <c r="P87" s="172">
        <f t="shared" si="27"/>
        <v>9</v>
      </c>
      <c r="Q87" s="172">
        <f t="shared" si="27"/>
        <v>10</v>
      </c>
      <c r="R87" s="172">
        <f t="shared" si="27"/>
        <v>11</v>
      </c>
      <c r="S87" s="172">
        <f t="shared" si="27"/>
        <v>12</v>
      </c>
      <c r="T87" s="172">
        <f t="shared" si="27"/>
        <v>13</v>
      </c>
      <c r="U87" s="172">
        <f t="shared" si="27"/>
        <v>14</v>
      </c>
      <c r="V87" s="172">
        <f t="shared" si="27"/>
        <v>15</v>
      </c>
      <c r="W87" s="172">
        <f t="shared" si="27"/>
        <v>16</v>
      </c>
      <c r="X87" s="172">
        <f t="shared" si="27"/>
        <v>17</v>
      </c>
      <c r="Y87" s="172">
        <f t="shared" si="27"/>
        <v>18</v>
      </c>
      <c r="Z87" s="172">
        <f t="shared" si="27"/>
        <v>19</v>
      </c>
      <c r="AA87" s="172">
        <f t="shared" si="27"/>
        <v>20</v>
      </c>
      <c r="AB87" s="173">
        <f t="shared" si="27"/>
        <v>21</v>
      </c>
      <c r="AC87" s="173">
        <f t="shared" si="27"/>
        <v>22</v>
      </c>
      <c r="AD87" s="173">
        <f t="shared" si="27"/>
        <v>23</v>
      </c>
      <c r="AE87" s="173">
        <f t="shared" si="27"/>
        <v>24</v>
      </c>
      <c r="AF87" s="173">
        <f t="shared" si="27"/>
        <v>25</v>
      </c>
      <c r="AG87" s="173">
        <f t="shared" si="27"/>
        <v>26</v>
      </c>
      <c r="AH87" s="173">
        <f t="shared" si="27"/>
        <v>27</v>
      </c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</row>
    <row r="88" spans="1:74" s="16" customFormat="1" x14ac:dyDescent="0.25">
      <c r="A88" s="184">
        <f>A85+1</f>
        <v>5</v>
      </c>
      <c r="B88" s="188" t="s">
        <v>49</v>
      </c>
      <c r="C88" s="189"/>
      <c r="D88" s="190"/>
      <c r="E88" s="190"/>
      <c r="F88" s="190"/>
      <c r="G88" s="190"/>
      <c r="H88" s="177">
        <f>IF($B$13&gt;H87,0,IF($G$72-(SUM($C$88:G88)+1)&gt;0,IF($B$12&gt;0,$G$72/$B$12,0),0))</f>
        <v>0</v>
      </c>
      <c r="I88" s="177">
        <f>IF($B$13&gt;I87,0,IF($G$72-(SUM($C$88:H88)+1)&gt;0,IF($B$12&gt;0,$G$72/$B$12,0),0))</f>
        <v>0</v>
      </c>
      <c r="J88" s="177">
        <f>IF($B$13&gt;J87,0,IF($G$72-(SUM($C$88:I88)+1)&gt;0,IF($B$12&gt;0,$G$72/$B$12,0),0))</f>
        <v>364814.81481481483</v>
      </c>
      <c r="K88" s="177">
        <f>IF($B$13&gt;K87,0,IF($G$72-(SUM($C$88:J88)+1)&gt;0,IF($B$12&gt;0,$G$72/$B$12,0),0))</f>
        <v>364814.81481481483</v>
      </c>
      <c r="L88" s="177">
        <f>IF($B$13&gt;L87,0,IF($G$72-(SUM($C$88:K88)+1)&gt;0,IF($B$12&gt;0,$G$72/$B$12,0),0))</f>
        <v>364814.81481481483</v>
      </c>
      <c r="M88" s="177">
        <f>IF($B$13&gt;M87,0,IF($G$72-(SUM($C$88:L88)+1)&gt;0,IF($B$12&gt;0,$G$72/$B$12,0),0))</f>
        <v>364814.81481481483</v>
      </c>
      <c r="N88" s="177">
        <f>IF($B$13&gt;N87,0,IF($G$72-(SUM($C$88:M88)+1)&gt;0,IF($B$12&gt;0,$G$72/$B$12,0),0))</f>
        <v>364814.81481481483</v>
      </c>
      <c r="O88" s="177">
        <f>IF($B$13&gt;O87,0,IF($G$72-(SUM($C$88:N88)+1)&gt;0,IF($B$12&gt;0,$G$72/$B$12,0),0))</f>
        <v>0</v>
      </c>
      <c r="P88" s="177">
        <f>IF($B$13&gt;P87,0,IF($G$72-(SUM($C$88:O88)+1)&gt;0,IF($B$12&gt;0,$G$72/$B$12,0),0))</f>
        <v>0</v>
      </c>
      <c r="Q88" s="177">
        <f>IF($B$13&gt;Q87,0,IF($G$72-(SUM($C$88:P88)+1)&gt;0,IF($B$12&gt;0,$G$72/$B$12,0),0))</f>
        <v>0</v>
      </c>
      <c r="R88" s="177">
        <f>IF($B$13&gt;R87,0,IF($G$72-(SUM($C$88:Q88)+1)&gt;0,IF($B$12&gt;0,$G$72/$B$12,0),0))</f>
        <v>0</v>
      </c>
      <c r="S88" s="177">
        <f>IF($B$13&gt;S87,0,IF($G$72-(SUM($C$88:R88)+1)&gt;0,IF($B$12&gt;0,$G$72/$B$12,0),0))</f>
        <v>0</v>
      </c>
      <c r="T88" s="177">
        <f>IF($B$13&gt;T87,0,IF($G$72-(SUM($C$88:S88)+1)&gt;0,IF($B$12&gt;0,$G$72/$B$12,0),0))</f>
        <v>0</v>
      </c>
      <c r="U88" s="177">
        <f>IF($B$13&gt;U87,0,IF($G$72-(SUM($C$88:T88)+1)&gt;0,IF($B$12&gt;0,$G$72/$B$12,0),0))</f>
        <v>0</v>
      </c>
      <c r="V88" s="177">
        <f>IF($B$13&gt;V87,0,IF($G$72-(SUM($C$88:U88)+1)&gt;0,IF($B$12&gt;0,$G$72/$B$12,0),0))</f>
        <v>0</v>
      </c>
      <c r="W88" s="177">
        <f>IF($B$13&gt;W87,0,IF($G$72-(SUM($C$88:V88)+1)&gt;0,IF($B$12&gt;0,$G$72/$B$12,0),0))</f>
        <v>0</v>
      </c>
      <c r="X88" s="177">
        <f>IF($B$13&gt;X87,0,IF($G$72-(SUM($C$88:W88)+1)&gt;0,IF($B$12&gt;0,$G$72/$B$12,0),0))</f>
        <v>0</v>
      </c>
      <c r="Y88" s="177">
        <f>IF($B$13&gt;Y87,0,IF($G$72-(SUM($C$88:X88)+1)&gt;0,IF($B$12&gt;0,$G$72/$B$12,0),0))</f>
        <v>0</v>
      </c>
      <c r="Z88" s="177">
        <f>IF($B$13&gt;Z87,0,IF($G$72-(SUM($C$88:Y88)+1)&gt;0,IF($B$12&gt;0,$G$72/$B$12,0),0))</f>
        <v>0</v>
      </c>
      <c r="AA88" s="177">
        <f>IF($B$13&gt;AA87,0,IF($G$72-(SUM($C$88:Z88)+1)&gt;0,IF($B$12&gt;0,$G$72/$B$12,0),0))</f>
        <v>0</v>
      </c>
      <c r="AB88" s="178">
        <f>IF($B$13&gt;AB87,0,IF($G$72-(SUM($C$88:AA88)+1)&gt;0,IF($B$12&gt;0,$G$72/$B$12,0),0))</f>
        <v>0</v>
      </c>
      <c r="AC88" s="178">
        <f>IF($B$13&gt;AC87,0,IF($G$72-(SUM($C$88:AB88)+1)&gt;0,IF($B$12&gt;0,$G$72/$B$12,0),0))</f>
        <v>0</v>
      </c>
      <c r="AD88" s="178">
        <f>IF($B$13&gt;AD87,0,IF($G$72-(SUM($C$88:AC88)+1)&gt;0,IF($B$12&gt;0,$G$72/$B$12,0),0))</f>
        <v>0</v>
      </c>
      <c r="AE88" s="178">
        <f>IF($B$13&gt;AE87,0,IF($G$72-(SUM($C$88:AD88)+1)&gt;0,IF($B$12&gt;0,$G$72/$B$12,0),0))</f>
        <v>0</v>
      </c>
      <c r="AF88" s="178">
        <f>IF($B$13&gt;AF87,0,IF($G$72-(SUM($C$88:AE88)+1)&gt;0,IF($B$12&gt;0,$G$72/$B$12,0),0))</f>
        <v>0</v>
      </c>
      <c r="AG88" s="178">
        <f>IF($B$13&gt;AG87,0,IF($G$72-(SUM($C$88:AF88)+1)&gt;0,IF($B$12&gt;0,$G$72/$B$12,0),0))</f>
        <v>0</v>
      </c>
      <c r="AH88" s="178">
        <f>IF($B$13&gt;AH87,0,IF($G$72-(SUM($C$88:AG88)+1)&gt;0,IF($B$12&gt;0,$G$72/$B$12,0),0))</f>
        <v>0</v>
      </c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  <c r="BC88" s="17"/>
      <c r="BD88" s="17"/>
      <c r="BE88" s="17"/>
      <c r="BF88" s="17"/>
      <c r="BG88" s="17"/>
      <c r="BH88" s="17"/>
      <c r="BI88" s="17"/>
      <c r="BJ88" s="17"/>
      <c r="BK88" s="17"/>
      <c r="BL88" s="17"/>
      <c r="BM88" s="17"/>
      <c r="BN88" s="17"/>
      <c r="BO88" s="17"/>
      <c r="BP88" s="17"/>
      <c r="BQ88" s="17"/>
      <c r="BR88" s="17"/>
      <c r="BS88" s="17"/>
      <c r="BT88" s="17"/>
      <c r="BU88" s="17"/>
      <c r="BV88" s="17"/>
    </row>
    <row r="89" spans="1:74" s="16" customFormat="1" x14ac:dyDescent="0.25">
      <c r="A89" s="195"/>
      <c r="B89" s="180" t="s">
        <v>50</v>
      </c>
      <c r="C89" s="192"/>
      <c r="D89" s="193"/>
      <c r="E89" s="193"/>
      <c r="F89" s="193"/>
      <c r="G89" s="193"/>
      <c r="H89" s="182">
        <f>($G$72-SUM($C$88:G88))*$B$14</f>
        <v>72962.962962962964</v>
      </c>
      <c r="I89" s="182">
        <f>($G$72-SUM($C$88:H88))*$B$14</f>
        <v>72962.962962962964</v>
      </c>
      <c r="J89" s="182">
        <f>($G$72-SUM($C$88:I88))*$B$14</f>
        <v>72962.962962962964</v>
      </c>
      <c r="K89" s="182">
        <f>($G$72-SUM($C$88:J88))*$B$14</f>
        <v>58370.370370370372</v>
      </c>
      <c r="L89" s="182">
        <f>($G$72-SUM($C$88:K88))*$B$14</f>
        <v>43777.777777777781</v>
      </c>
      <c r="M89" s="182">
        <f>($G$72-SUM($C$88:L88))*$B$14</f>
        <v>29185.185185185186</v>
      </c>
      <c r="N89" s="182">
        <f>($G$72-SUM($C$88:M88))*$B$14</f>
        <v>14592.592592592593</v>
      </c>
      <c r="O89" s="182">
        <f>($G$72-SUM($C$88:N88))*$B$14</f>
        <v>0</v>
      </c>
      <c r="P89" s="182">
        <f>($G$72-SUM($C$88:O88))*$B$14</f>
        <v>0</v>
      </c>
      <c r="Q89" s="182">
        <f>($G$72-SUM($C$88:P88))*$B$14</f>
        <v>0</v>
      </c>
      <c r="R89" s="182">
        <f>($G$72-SUM($C$88:Q88))*$B$14</f>
        <v>0</v>
      </c>
      <c r="S89" s="182">
        <f>($G$72-SUM($C$88:R88))*$B$14</f>
        <v>0</v>
      </c>
      <c r="T89" s="182">
        <f>($G$72-SUM($C$88:S88))*$B$14</f>
        <v>0</v>
      </c>
      <c r="U89" s="182">
        <f>($G$72-SUM($C$88:T88))*$B$14</f>
        <v>0</v>
      </c>
      <c r="V89" s="182">
        <f>($G$72-SUM($C$88:U88))*$B$14</f>
        <v>0</v>
      </c>
      <c r="W89" s="182">
        <f>($G$72-SUM($C$88:V88))*$B$14</f>
        <v>0</v>
      </c>
      <c r="X89" s="182">
        <f>($G$72-SUM($C$88:W88))*$B$14</f>
        <v>0</v>
      </c>
      <c r="Y89" s="182">
        <f>($G$72-SUM($C$88:X88))*$B$14</f>
        <v>0</v>
      </c>
      <c r="Z89" s="182">
        <f>($G$72-SUM($C$88:Y88))*$B$14</f>
        <v>0</v>
      </c>
      <c r="AA89" s="182">
        <f>($G$72-SUM($C$88:Z88))*$B$14</f>
        <v>0</v>
      </c>
      <c r="AB89" s="183">
        <f>($G$72-SUM($C$88:AA88))*$B$14</f>
        <v>0</v>
      </c>
      <c r="AC89" s="183">
        <f>($G$72-SUM($C$88:AB88))*$B$14</f>
        <v>0</v>
      </c>
      <c r="AD89" s="183">
        <f>($G$72-SUM($C$88:AC88))*$B$14</f>
        <v>0</v>
      </c>
      <c r="AE89" s="183">
        <f>($G$72-SUM($C$88:AD88))*$B$14</f>
        <v>0</v>
      </c>
      <c r="AF89" s="183">
        <f>($G$72-SUM($C$88:AE88))*$B$14</f>
        <v>0</v>
      </c>
      <c r="AG89" s="183">
        <f>($G$72-SUM($C$88:AF88))*$B$14</f>
        <v>0</v>
      </c>
      <c r="AH89" s="183">
        <f>($G$72-SUM($C$88:AG88))*$B$14</f>
        <v>0</v>
      </c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  <c r="BA89" s="17"/>
      <c r="BB89" s="17"/>
      <c r="BC89" s="17"/>
      <c r="BD89" s="17"/>
      <c r="BE89" s="17"/>
      <c r="BF89" s="17"/>
      <c r="BG89" s="17"/>
      <c r="BH89" s="17"/>
      <c r="BI89" s="17"/>
      <c r="BJ89" s="17"/>
      <c r="BK89" s="17"/>
      <c r="BL89" s="17"/>
      <c r="BM89" s="17"/>
      <c r="BN89" s="17"/>
      <c r="BO89" s="17"/>
      <c r="BP89" s="17"/>
      <c r="BQ89" s="17"/>
      <c r="BR89" s="17"/>
      <c r="BS89" s="17"/>
      <c r="BT89" s="17"/>
      <c r="BU89" s="17"/>
      <c r="BV89" s="17"/>
    </row>
    <row r="90" spans="1:74" ht="9" customHeight="1" x14ac:dyDescent="0.25">
      <c r="A90" s="184"/>
      <c r="B90" s="185"/>
      <c r="C90" s="186"/>
      <c r="D90" s="187"/>
      <c r="E90" s="194"/>
      <c r="F90" s="194"/>
      <c r="G90" s="194"/>
      <c r="H90" s="194"/>
      <c r="I90" s="172">
        <v>1</v>
      </c>
      <c r="J90" s="172">
        <f>I90+1</f>
        <v>2</v>
      </c>
      <c r="K90" s="172">
        <f t="shared" ref="K90:AH90" si="28">J90+1</f>
        <v>3</v>
      </c>
      <c r="L90" s="172">
        <f t="shared" si="28"/>
        <v>4</v>
      </c>
      <c r="M90" s="172">
        <f t="shared" si="28"/>
        <v>5</v>
      </c>
      <c r="N90" s="172">
        <f t="shared" si="28"/>
        <v>6</v>
      </c>
      <c r="O90" s="172">
        <f t="shared" si="28"/>
        <v>7</v>
      </c>
      <c r="P90" s="172">
        <f t="shared" si="28"/>
        <v>8</v>
      </c>
      <c r="Q90" s="172">
        <f t="shared" si="28"/>
        <v>9</v>
      </c>
      <c r="R90" s="172">
        <f t="shared" si="28"/>
        <v>10</v>
      </c>
      <c r="S90" s="172">
        <f t="shared" si="28"/>
        <v>11</v>
      </c>
      <c r="T90" s="172">
        <f t="shared" si="28"/>
        <v>12</v>
      </c>
      <c r="U90" s="172">
        <f t="shared" si="28"/>
        <v>13</v>
      </c>
      <c r="V90" s="172">
        <f t="shared" si="28"/>
        <v>14</v>
      </c>
      <c r="W90" s="172">
        <f t="shared" si="28"/>
        <v>15</v>
      </c>
      <c r="X90" s="172">
        <f t="shared" si="28"/>
        <v>16</v>
      </c>
      <c r="Y90" s="172">
        <f t="shared" si="28"/>
        <v>17</v>
      </c>
      <c r="Z90" s="172">
        <f t="shared" si="28"/>
        <v>18</v>
      </c>
      <c r="AA90" s="172">
        <f t="shared" si="28"/>
        <v>19</v>
      </c>
      <c r="AB90" s="173">
        <f t="shared" si="28"/>
        <v>20</v>
      </c>
      <c r="AC90" s="173">
        <f t="shared" si="28"/>
        <v>21</v>
      </c>
      <c r="AD90" s="173">
        <f t="shared" si="28"/>
        <v>22</v>
      </c>
      <c r="AE90" s="173">
        <f t="shared" si="28"/>
        <v>23</v>
      </c>
      <c r="AF90" s="173">
        <f t="shared" si="28"/>
        <v>24</v>
      </c>
      <c r="AG90" s="173">
        <f t="shared" si="28"/>
        <v>25</v>
      </c>
      <c r="AH90" s="173">
        <f t="shared" si="28"/>
        <v>26</v>
      </c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19"/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</row>
    <row r="91" spans="1:74" s="16" customFormat="1" x14ac:dyDescent="0.25">
      <c r="A91" s="184">
        <f>A88+1</f>
        <v>6</v>
      </c>
      <c r="B91" s="188" t="s">
        <v>49</v>
      </c>
      <c r="C91" s="189"/>
      <c r="D91" s="190"/>
      <c r="E91" s="190"/>
      <c r="F91" s="190"/>
      <c r="G91" s="190"/>
      <c r="H91" s="190"/>
      <c r="I91" s="177">
        <f>IF($B$13&gt;I90,0,IF($H$72-(SUM($C$91:H91)+1)&gt;0,IF($B$12&gt;0,$H$72/$B$12,0),0))</f>
        <v>0</v>
      </c>
      <c r="J91" s="177">
        <f>IF($B$13&gt;J90,0,IF($H$72-(SUM($C$91:I91)+1)&gt;0,IF($B$12&gt;0,$H$72/$B$12,0),0))</f>
        <v>0</v>
      </c>
      <c r="K91" s="177">
        <f>IF($B$13&gt;K90,0,IF($H$72-(SUM($C$91:J91)+1)&gt;0,IF($B$12&gt;0,$H$72/$B$12,0),0))</f>
        <v>364814.81481481483</v>
      </c>
      <c r="L91" s="177">
        <f>IF($B$13&gt;L90,0,IF($H$72-(SUM($C$91:K91)+1)&gt;0,IF($B$12&gt;0,$H$72/$B$12,0),0))</f>
        <v>364814.81481481483</v>
      </c>
      <c r="M91" s="177">
        <f>IF($B$13&gt;M90,0,IF($H$72-(SUM($C$91:L91)+1)&gt;0,IF($B$12&gt;0,$H$72/$B$12,0),0))</f>
        <v>364814.81481481483</v>
      </c>
      <c r="N91" s="177">
        <f>IF($B$13&gt;N90,0,IF($H$72-(SUM($C$91:M91)+1)&gt;0,IF($B$12&gt;0,$H$72/$B$12,0),0))</f>
        <v>364814.81481481483</v>
      </c>
      <c r="O91" s="177">
        <f>IF($B$13&gt;O90,0,IF($H$72-(SUM($C$91:N91)+1)&gt;0,IF($B$12&gt;0,$H$72/$B$12,0),0))</f>
        <v>364814.81481481483</v>
      </c>
      <c r="P91" s="177">
        <f>IF($B$13&gt;P90,0,IF($H$72-(SUM($C$91:O91)+1)&gt;0,IF($B$12&gt;0,$H$72/$B$12,0),0))</f>
        <v>0</v>
      </c>
      <c r="Q91" s="177">
        <f>IF($B$13&gt;Q90,0,IF($H$72-(SUM($C$91:P91)+1)&gt;0,IF($B$12&gt;0,$H$72/$B$12,0),0))</f>
        <v>0</v>
      </c>
      <c r="R91" s="177">
        <f>IF($B$13&gt;R90,0,IF($H$72-(SUM($C$91:Q91)+1)&gt;0,IF($B$12&gt;0,$H$72/$B$12,0),0))</f>
        <v>0</v>
      </c>
      <c r="S91" s="177">
        <f>IF($B$13&gt;S90,0,IF($H$72-(SUM($C$91:R91)+1)&gt;0,IF($B$12&gt;0,$H$72/$B$12,0),0))</f>
        <v>0</v>
      </c>
      <c r="T91" s="177">
        <f>IF($B$13&gt;T90,0,IF($H$72-(SUM($C$91:S91)+1)&gt;0,IF($B$12&gt;0,$H$72/$B$12,0),0))</f>
        <v>0</v>
      </c>
      <c r="U91" s="177">
        <f>IF($B$13&gt;U90,0,IF($H$72-(SUM($C$91:T91)+1)&gt;0,IF($B$12&gt;0,$H$72/$B$12,0),0))</f>
        <v>0</v>
      </c>
      <c r="V91" s="177">
        <f>IF($B$13&gt;V90,0,IF($H$72-(SUM($C$91:U91)+1)&gt;0,IF($B$12&gt;0,$H$72/$B$12,0),0))</f>
        <v>0</v>
      </c>
      <c r="W91" s="177">
        <f>IF($B$13&gt;W90,0,IF($H$72-(SUM($C$91:V91)+1)&gt;0,IF($B$12&gt;0,$H$72/$B$12,0),0))</f>
        <v>0</v>
      </c>
      <c r="X91" s="177">
        <f>IF($B$13&gt;X90,0,IF($H$72-(SUM($C$91:W91)+1)&gt;0,IF($B$12&gt;0,$H$72/$B$12,0),0))</f>
        <v>0</v>
      </c>
      <c r="Y91" s="177">
        <f>IF($B$13&gt;Y90,0,IF($H$72-(SUM($C$91:X91)+1)&gt;0,IF($B$12&gt;0,$H$72/$B$12,0),0))</f>
        <v>0</v>
      </c>
      <c r="Z91" s="177">
        <f>IF($B$13&gt;Z90,0,IF($H$72-(SUM($C$91:Y91)+1)&gt;0,IF($B$12&gt;0,$H$72/$B$12,0),0))</f>
        <v>0</v>
      </c>
      <c r="AA91" s="177">
        <f>IF($B$13&gt;AA90,0,IF($H$72-(SUM($C$91:Z91)+1)&gt;0,IF($B$12&gt;0,$H$72/$B$12,0),0))</f>
        <v>0</v>
      </c>
      <c r="AB91" s="178">
        <f>IF($B$13&gt;AB90,0,IF($H$72-(SUM($C$91:AA91)+1)&gt;0,IF($B$12&gt;0,$H$72/$B$12,0),0))</f>
        <v>0</v>
      </c>
      <c r="AC91" s="178">
        <f>IF($B$13&gt;AC90,0,IF($H$72-(SUM($C$91:AB91)+1)&gt;0,IF($B$12&gt;0,$H$72/$B$12,0),0))</f>
        <v>0</v>
      </c>
      <c r="AD91" s="178">
        <f>IF($B$13&gt;AD90,0,IF($H$72-(SUM($C$91:AC91)+1)&gt;0,IF($B$12&gt;0,$H$72/$B$12,0),0))</f>
        <v>0</v>
      </c>
      <c r="AE91" s="178">
        <f>IF($B$13&gt;AE90,0,IF($H$72-(SUM($C$91:AD91)+1)&gt;0,IF($B$12&gt;0,$H$72/$B$12,0),0))</f>
        <v>0</v>
      </c>
      <c r="AF91" s="178">
        <f>IF($B$13&gt;AF90,0,IF($H$72-(SUM($C$91:AE91)+1)&gt;0,IF($B$12&gt;0,$H$72/$B$12,0),0))</f>
        <v>0</v>
      </c>
      <c r="AG91" s="178">
        <f>IF($B$13&gt;AG90,0,IF($H$72-(SUM($C$91:AF91)+1)&gt;0,IF($B$12&gt;0,$H$72/$B$12,0),0))</f>
        <v>0</v>
      </c>
      <c r="AH91" s="178">
        <f>IF($B$13&gt;AH90,0,IF($H$72-(SUM($C$91:AG91)+1)&gt;0,IF($B$12&gt;0,$H$72/$B$12,0),0))</f>
        <v>0</v>
      </c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  <c r="BC91" s="17"/>
      <c r="BD91" s="17"/>
      <c r="BE91" s="17"/>
      <c r="BF91" s="17"/>
      <c r="BG91" s="17"/>
      <c r="BH91" s="17"/>
      <c r="BI91" s="17"/>
      <c r="BJ91" s="17"/>
      <c r="BK91" s="17"/>
      <c r="BL91" s="17"/>
      <c r="BM91" s="17"/>
      <c r="BN91" s="17"/>
      <c r="BO91" s="17"/>
      <c r="BP91" s="17"/>
      <c r="BQ91" s="17"/>
      <c r="BR91" s="17"/>
      <c r="BS91" s="17"/>
      <c r="BT91" s="17"/>
      <c r="BU91" s="17"/>
      <c r="BV91" s="17"/>
    </row>
    <row r="92" spans="1:74" s="16" customFormat="1" x14ac:dyDescent="0.25">
      <c r="A92" s="196"/>
      <c r="B92" s="180" t="s">
        <v>50</v>
      </c>
      <c r="C92" s="192"/>
      <c r="D92" s="193"/>
      <c r="E92" s="193"/>
      <c r="F92" s="193"/>
      <c r="G92" s="193"/>
      <c r="H92" s="193"/>
      <c r="I92" s="182">
        <f>($H$72-SUM($C$91:H91))*$B$14</f>
        <v>72962.962962962964</v>
      </c>
      <c r="J92" s="182">
        <f>($H$72-SUM($C$91:I91))*$B$14</f>
        <v>72962.962962962964</v>
      </c>
      <c r="K92" s="182">
        <f>($H$72-SUM($C$91:J91))*$B$14</f>
        <v>72962.962962962964</v>
      </c>
      <c r="L92" s="182">
        <f>($H$72-SUM($C$91:K91))*$B$14</f>
        <v>58370.370370370372</v>
      </c>
      <c r="M92" s="182">
        <f>($H$72-SUM($C$91:L91))*$B$14</f>
        <v>43777.777777777781</v>
      </c>
      <c r="N92" s="182">
        <f>($H$72-SUM($C$91:M91))*$B$14</f>
        <v>29185.185185185186</v>
      </c>
      <c r="O92" s="182">
        <f>($H$72-SUM($C$91:N91))*$B$14</f>
        <v>14592.592592592593</v>
      </c>
      <c r="P92" s="182">
        <f>($H$72-SUM($C$91:O91))*$B$14</f>
        <v>0</v>
      </c>
      <c r="Q92" s="182">
        <f>($H$72-SUM($C$91:P91))*$B$14</f>
        <v>0</v>
      </c>
      <c r="R92" s="182">
        <f>($H$72-SUM($C$91:Q91))*$B$14</f>
        <v>0</v>
      </c>
      <c r="S92" s="182">
        <f>($H$72-SUM($C$91:R91))*$B$14</f>
        <v>0</v>
      </c>
      <c r="T92" s="182">
        <f>($H$72-SUM($C$91:S91))*$B$14</f>
        <v>0</v>
      </c>
      <c r="U92" s="182">
        <f>($H$72-SUM($C$91:T91))*$B$14</f>
        <v>0</v>
      </c>
      <c r="V92" s="182">
        <f>($H$72-SUM($C$91:U91))*$B$14</f>
        <v>0</v>
      </c>
      <c r="W92" s="182">
        <f>($H$72-SUM($C$91:V91))*$B$14</f>
        <v>0</v>
      </c>
      <c r="X92" s="182">
        <f>($H$72-SUM($C$91:W91))*$B$14</f>
        <v>0</v>
      </c>
      <c r="Y92" s="182">
        <f>($H$72-SUM($C$91:X91))*$B$14</f>
        <v>0</v>
      </c>
      <c r="Z92" s="182">
        <f>($H$72-SUM($C$91:Y91))*$B$14</f>
        <v>0</v>
      </c>
      <c r="AA92" s="182">
        <f>($H$72-SUM($C$91:Z91))*$B$14</f>
        <v>0</v>
      </c>
      <c r="AB92" s="183">
        <f>($H$72-SUM($C$91:AA91))*$B$14</f>
        <v>0</v>
      </c>
      <c r="AC92" s="183">
        <f>($H$72-SUM($C$91:AB91))*$B$14</f>
        <v>0</v>
      </c>
      <c r="AD92" s="183">
        <f>($H$72-SUM($C$91:AC91))*$B$14</f>
        <v>0</v>
      </c>
      <c r="AE92" s="183">
        <f>($H$72-SUM($C$91:AD91))*$B$14</f>
        <v>0</v>
      </c>
      <c r="AF92" s="183">
        <f>($H$72-SUM($C$91:AE91))*$B$14</f>
        <v>0</v>
      </c>
      <c r="AG92" s="183">
        <f>($H$72-SUM($C$91:AF91))*$B$14</f>
        <v>0</v>
      </c>
      <c r="AH92" s="183">
        <f>($H$72-SUM($C$91:AG91))*$B$14</f>
        <v>0</v>
      </c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  <c r="BD92" s="17"/>
      <c r="BE92" s="17"/>
      <c r="BF92" s="17"/>
      <c r="BG92" s="17"/>
      <c r="BH92" s="17"/>
      <c r="BI92" s="17"/>
      <c r="BJ92" s="17"/>
      <c r="BK92" s="17"/>
      <c r="BL92" s="17"/>
      <c r="BM92" s="17"/>
      <c r="BN92" s="17"/>
      <c r="BO92" s="17"/>
      <c r="BP92" s="17"/>
      <c r="BQ92" s="17"/>
      <c r="BR92" s="17"/>
      <c r="BS92" s="17"/>
      <c r="BT92" s="17"/>
      <c r="BU92" s="17"/>
      <c r="BV92" s="17"/>
    </row>
    <row r="93" spans="1:74" x14ac:dyDescent="0.25">
      <c r="A93" s="40"/>
      <c r="B93" s="20"/>
      <c r="C93" s="34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29"/>
      <c r="AC93" s="29"/>
      <c r="AD93" s="29"/>
      <c r="AE93" s="29"/>
      <c r="AF93" s="29"/>
      <c r="AG93" s="29"/>
      <c r="AH93" s="29"/>
    </row>
    <row r="94" spans="1:74" s="21" customFormat="1" x14ac:dyDescent="0.25">
      <c r="A94" s="203" t="s">
        <v>60</v>
      </c>
      <c r="B94" s="199" t="s">
        <v>37</v>
      </c>
      <c r="C94" s="204">
        <f t="shared" ref="C94:AH94" si="29">C34</f>
        <v>0</v>
      </c>
      <c r="D94" s="204">
        <f t="shared" si="29"/>
        <v>196578.7376832295</v>
      </c>
      <c r="E94" s="204">
        <f t="shared" si="29"/>
        <v>375286.6810316199</v>
      </c>
      <c r="F94" s="204">
        <f t="shared" si="29"/>
        <v>537748.44771197485</v>
      </c>
      <c r="G94" s="204">
        <f t="shared" si="29"/>
        <v>685440.96287593385</v>
      </c>
      <c r="H94" s="204">
        <f t="shared" si="29"/>
        <v>819706.88575226034</v>
      </c>
      <c r="I94" s="204">
        <f t="shared" si="29"/>
        <v>941766.81563982985</v>
      </c>
      <c r="J94" s="204">
        <f t="shared" si="29"/>
        <v>941766.81563982985</v>
      </c>
      <c r="K94" s="204">
        <f t="shared" si="29"/>
        <v>941766.81563982985</v>
      </c>
      <c r="L94" s="204">
        <f t="shared" si="29"/>
        <v>941766.81563982985</v>
      </c>
      <c r="M94" s="204">
        <f t="shared" si="29"/>
        <v>941766.81563982985</v>
      </c>
      <c r="N94" s="204">
        <f t="shared" si="29"/>
        <v>941766.81563982985</v>
      </c>
      <c r="O94" s="204">
        <f t="shared" si="29"/>
        <v>941766.81563982985</v>
      </c>
      <c r="P94" s="204">
        <f t="shared" si="29"/>
        <v>941766.81563982985</v>
      </c>
      <c r="Q94" s="204">
        <f t="shared" si="29"/>
        <v>941766.81563982985</v>
      </c>
      <c r="R94" s="204">
        <f t="shared" si="29"/>
        <v>941766.81563982985</v>
      </c>
      <c r="S94" s="204">
        <f t="shared" si="29"/>
        <v>941766.81563982985</v>
      </c>
      <c r="T94" s="204">
        <f t="shared" si="29"/>
        <v>941766.81563982985</v>
      </c>
      <c r="U94" s="204">
        <f t="shared" si="29"/>
        <v>941766.81563982985</v>
      </c>
      <c r="V94" s="204">
        <f t="shared" si="29"/>
        <v>941766.81563982985</v>
      </c>
      <c r="W94" s="204">
        <f t="shared" si="29"/>
        <v>941766.81563982985</v>
      </c>
      <c r="X94" s="204">
        <f t="shared" si="29"/>
        <v>941766.81563982985</v>
      </c>
      <c r="Y94" s="204">
        <f t="shared" si="29"/>
        <v>941766.81563982985</v>
      </c>
      <c r="Z94" s="204">
        <f t="shared" si="29"/>
        <v>941766.81563982985</v>
      </c>
      <c r="AA94" s="204">
        <f t="shared" si="29"/>
        <v>941766.81563982985</v>
      </c>
      <c r="AB94" s="204">
        <f t="shared" si="29"/>
        <v>941766.81563982985</v>
      </c>
      <c r="AC94" s="204">
        <f t="shared" si="29"/>
        <v>941766.81563982985</v>
      </c>
      <c r="AD94" s="204">
        <f t="shared" si="29"/>
        <v>745188.07795660035</v>
      </c>
      <c r="AE94" s="204">
        <f t="shared" si="29"/>
        <v>566480.13460820983</v>
      </c>
      <c r="AF94" s="204">
        <f t="shared" si="29"/>
        <v>404018.36792785494</v>
      </c>
      <c r="AG94" s="204">
        <f t="shared" si="29"/>
        <v>256325.85276389593</v>
      </c>
      <c r="AH94" s="204">
        <f t="shared" si="29"/>
        <v>122059.92988756951</v>
      </c>
    </row>
    <row r="95" spans="1:74" s="21" customFormat="1" x14ac:dyDescent="0.25">
      <c r="A95" s="203" t="s">
        <v>55</v>
      </c>
      <c r="B95" s="199" t="s">
        <v>37</v>
      </c>
      <c r="C95" s="204">
        <f t="shared" ref="C95:AH95" si="30">C26</f>
        <v>0</v>
      </c>
      <c r="D95" s="204">
        <f t="shared" si="30"/>
        <v>165824.91582491584</v>
      </c>
      <c r="E95" s="204">
        <f t="shared" si="30"/>
        <v>316574.83930211206</v>
      </c>
      <c r="F95" s="204">
        <f t="shared" si="30"/>
        <v>453620.22428138135</v>
      </c>
      <c r="G95" s="204">
        <f t="shared" si="30"/>
        <v>578206.93789889885</v>
      </c>
      <c r="H95" s="204">
        <f t="shared" si="30"/>
        <v>691467.58664209663</v>
      </c>
      <c r="I95" s="204">
        <f t="shared" si="30"/>
        <v>794431.81277227646</v>
      </c>
      <c r="J95" s="204">
        <f t="shared" si="30"/>
        <v>794431.81277227646</v>
      </c>
      <c r="K95" s="204">
        <f t="shared" si="30"/>
        <v>794431.81277227646</v>
      </c>
      <c r="L95" s="204">
        <f t="shared" si="30"/>
        <v>794431.81277227646</v>
      </c>
      <c r="M95" s="204">
        <f t="shared" si="30"/>
        <v>794431.81277227646</v>
      </c>
      <c r="N95" s="204">
        <f t="shared" si="30"/>
        <v>794431.81277227646</v>
      </c>
      <c r="O95" s="204">
        <f t="shared" si="30"/>
        <v>794431.81277227646</v>
      </c>
      <c r="P95" s="204">
        <f t="shared" si="30"/>
        <v>794431.81277227646</v>
      </c>
      <c r="Q95" s="204">
        <f t="shared" si="30"/>
        <v>794431.81277227646</v>
      </c>
      <c r="R95" s="204">
        <f t="shared" si="30"/>
        <v>794431.81277227646</v>
      </c>
      <c r="S95" s="204">
        <f t="shared" si="30"/>
        <v>794431.81277227646</v>
      </c>
      <c r="T95" s="204">
        <f t="shared" si="30"/>
        <v>794431.81277227646</v>
      </c>
      <c r="U95" s="204">
        <f t="shared" si="30"/>
        <v>794431.81277227646</v>
      </c>
      <c r="V95" s="204">
        <f t="shared" si="30"/>
        <v>794431.81277227646</v>
      </c>
      <c r="W95" s="204">
        <f t="shared" si="30"/>
        <v>794431.81277227646</v>
      </c>
      <c r="X95" s="204">
        <f t="shared" si="30"/>
        <v>794431.81277227646</v>
      </c>
      <c r="Y95" s="204">
        <f t="shared" si="30"/>
        <v>794431.81277227646</v>
      </c>
      <c r="Z95" s="204">
        <f t="shared" si="30"/>
        <v>794431.81277227646</v>
      </c>
      <c r="AA95" s="204">
        <f t="shared" si="30"/>
        <v>794431.81277227646</v>
      </c>
      <c r="AB95" s="204">
        <f t="shared" si="30"/>
        <v>794431.81277227646</v>
      </c>
      <c r="AC95" s="204">
        <f t="shared" si="30"/>
        <v>794431.81277227646</v>
      </c>
      <c r="AD95" s="204">
        <f t="shared" si="30"/>
        <v>628606.8969473606</v>
      </c>
      <c r="AE95" s="204">
        <f t="shared" si="30"/>
        <v>477856.9734701644</v>
      </c>
      <c r="AF95" s="204">
        <f t="shared" si="30"/>
        <v>340811.58849089511</v>
      </c>
      <c r="AG95" s="204">
        <f t="shared" si="30"/>
        <v>216224.87487337762</v>
      </c>
      <c r="AH95" s="204">
        <f t="shared" si="30"/>
        <v>102964.22613017984</v>
      </c>
    </row>
    <row r="96" spans="1:74" s="21" customFormat="1" x14ac:dyDescent="0.25">
      <c r="A96" s="203" t="s">
        <v>56</v>
      </c>
      <c r="B96" s="199" t="s">
        <v>37</v>
      </c>
      <c r="C96" s="204">
        <f t="shared" ref="C96" si="31">C94-C95</f>
        <v>0</v>
      </c>
      <c r="D96" s="204">
        <f>D94-D95</f>
        <v>30753.821858313662</v>
      </c>
      <c r="E96" s="204">
        <f t="shared" ref="E96:AH96" si="32">E94-E95</f>
        <v>58711.84172950784</v>
      </c>
      <c r="F96" s="204">
        <f t="shared" si="32"/>
        <v>84128.223430593498</v>
      </c>
      <c r="G96" s="204">
        <f t="shared" si="32"/>
        <v>107234.02497703501</v>
      </c>
      <c r="H96" s="204">
        <f t="shared" si="32"/>
        <v>128239.2991101637</v>
      </c>
      <c r="I96" s="204">
        <f t="shared" si="32"/>
        <v>147335.00286755338</v>
      </c>
      <c r="J96" s="204">
        <f t="shared" si="32"/>
        <v>147335.00286755338</v>
      </c>
      <c r="K96" s="204">
        <f t="shared" si="32"/>
        <v>147335.00286755338</v>
      </c>
      <c r="L96" s="204">
        <f t="shared" si="32"/>
        <v>147335.00286755338</v>
      </c>
      <c r="M96" s="204">
        <f t="shared" si="32"/>
        <v>147335.00286755338</v>
      </c>
      <c r="N96" s="204">
        <f t="shared" si="32"/>
        <v>147335.00286755338</v>
      </c>
      <c r="O96" s="204">
        <f t="shared" si="32"/>
        <v>147335.00286755338</v>
      </c>
      <c r="P96" s="204">
        <f t="shared" si="32"/>
        <v>147335.00286755338</v>
      </c>
      <c r="Q96" s="204">
        <f t="shared" si="32"/>
        <v>147335.00286755338</v>
      </c>
      <c r="R96" s="204">
        <f t="shared" si="32"/>
        <v>147335.00286755338</v>
      </c>
      <c r="S96" s="204">
        <f t="shared" si="32"/>
        <v>147335.00286755338</v>
      </c>
      <c r="T96" s="204">
        <f t="shared" si="32"/>
        <v>147335.00286755338</v>
      </c>
      <c r="U96" s="204">
        <f t="shared" si="32"/>
        <v>147335.00286755338</v>
      </c>
      <c r="V96" s="204">
        <f t="shared" si="32"/>
        <v>147335.00286755338</v>
      </c>
      <c r="W96" s="204">
        <f t="shared" si="32"/>
        <v>147335.00286755338</v>
      </c>
      <c r="X96" s="204">
        <f t="shared" si="32"/>
        <v>147335.00286755338</v>
      </c>
      <c r="Y96" s="204">
        <f t="shared" si="32"/>
        <v>147335.00286755338</v>
      </c>
      <c r="Z96" s="204">
        <f t="shared" si="32"/>
        <v>147335.00286755338</v>
      </c>
      <c r="AA96" s="204">
        <f t="shared" si="32"/>
        <v>147335.00286755338</v>
      </c>
      <c r="AB96" s="204">
        <f t="shared" si="32"/>
        <v>147335.00286755338</v>
      </c>
      <c r="AC96" s="204">
        <f t="shared" si="32"/>
        <v>147335.00286755338</v>
      </c>
      <c r="AD96" s="204">
        <f t="shared" si="32"/>
        <v>116581.18100923975</v>
      </c>
      <c r="AE96" s="204">
        <f t="shared" si="32"/>
        <v>88623.161138045427</v>
      </c>
      <c r="AF96" s="204">
        <f t="shared" si="32"/>
        <v>63206.779436959827</v>
      </c>
      <c r="AG96" s="204">
        <f t="shared" si="32"/>
        <v>40100.977890518319</v>
      </c>
      <c r="AH96" s="204">
        <f t="shared" si="32"/>
        <v>19095.703757389667</v>
      </c>
    </row>
    <row r="97" spans="1:34" s="21" customFormat="1" x14ac:dyDescent="0.25">
      <c r="A97" s="203" t="s">
        <v>57</v>
      </c>
      <c r="B97" s="199" t="s">
        <v>37</v>
      </c>
      <c r="C97" s="204">
        <f>C71</f>
        <v>0</v>
      </c>
      <c r="D97" s="204">
        <f t="shared" ref="D97:AH97" si="33">D71</f>
        <v>72962.962962962964</v>
      </c>
      <c r="E97" s="204">
        <f t="shared" si="33"/>
        <v>145925.92592592593</v>
      </c>
      <c r="F97" s="204">
        <f t="shared" si="33"/>
        <v>218888.88888888888</v>
      </c>
      <c r="G97" s="204">
        <f t="shared" si="33"/>
        <v>277259.25925925927</v>
      </c>
      <c r="H97" s="204">
        <f t="shared" si="33"/>
        <v>321037.03703703708</v>
      </c>
      <c r="I97" s="204">
        <f t="shared" si="33"/>
        <v>350222.22222222225</v>
      </c>
      <c r="J97" s="204">
        <f t="shared" si="33"/>
        <v>291851.85185185185</v>
      </c>
      <c r="K97" s="204">
        <f t="shared" si="33"/>
        <v>218888.88888888888</v>
      </c>
      <c r="L97" s="204">
        <f t="shared" si="33"/>
        <v>145925.92592592593</v>
      </c>
      <c r="M97" s="204">
        <f t="shared" si="33"/>
        <v>87555.555555555562</v>
      </c>
      <c r="N97" s="204">
        <f t="shared" si="33"/>
        <v>43777.777777777781</v>
      </c>
      <c r="O97" s="204">
        <f t="shared" si="33"/>
        <v>14592.592592592593</v>
      </c>
      <c r="P97" s="204">
        <f t="shared" si="33"/>
        <v>0</v>
      </c>
      <c r="Q97" s="204">
        <f t="shared" si="33"/>
        <v>0</v>
      </c>
      <c r="R97" s="204">
        <f t="shared" si="33"/>
        <v>0</v>
      </c>
      <c r="S97" s="204">
        <f t="shared" si="33"/>
        <v>0</v>
      </c>
      <c r="T97" s="204">
        <f t="shared" si="33"/>
        <v>0</v>
      </c>
      <c r="U97" s="204">
        <f t="shared" si="33"/>
        <v>0</v>
      </c>
      <c r="V97" s="204">
        <f t="shared" si="33"/>
        <v>0</v>
      </c>
      <c r="W97" s="204">
        <f t="shared" si="33"/>
        <v>0</v>
      </c>
      <c r="X97" s="204">
        <f t="shared" si="33"/>
        <v>0</v>
      </c>
      <c r="Y97" s="204">
        <f t="shared" si="33"/>
        <v>0</v>
      </c>
      <c r="Z97" s="204">
        <f t="shared" si="33"/>
        <v>0</v>
      </c>
      <c r="AA97" s="204">
        <f t="shared" si="33"/>
        <v>0</v>
      </c>
      <c r="AB97" s="204">
        <f t="shared" si="33"/>
        <v>0</v>
      </c>
      <c r="AC97" s="204">
        <f t="shared" si="33"/>
        <v>0</v>
      </c>
      <c r="AD97" s="204">
        <f t="shared" si="33"/>
        <v>0</v>
      </c>
      <c r="AE97" s="204">
        <f t="shared" si="33"/>
        <v>0</v>
      </c>
      <c r="AF97" s="204">
        <f t="shared" si="33"/>
        <v>0</v>
      </c>
      <c r="AG97" s="204">
        <f t="shared" si="33"/>
        <v>0</v>
      </c>
      <c r="AH97" s="204">
        <f t="shared" si="33"/>
        <v>0</v>
      </c>
    </row>
    <row r="98" spans="1:34" s="21" customFormat="1" x14ac:dyDescent="0.25">
      <c r="A98" s="203" t="s">
        <v>58</v>
      </c>
      <c r="B98" s="199" t="s">
        <v>37</v>
      </c>
      <c r="C98" s="204">
        <f>C96-C97</f>
        <v>0</v>
      </c>
      <c r="D98" s="204">
        <f>D96-D97</f>
        <v>-42209.141104649301</v>
      </c>
      <c r="E98" s="204">
        <f t="shared" ref="E98:AH98" si="34">E96-E97</f>
        <v>-87214.084196418087</v>
      </c>
      <c r="F98" s="204">
        <f t="shared" si="34"/>
        <v>-134760.66545829538</v>
      </c>
      <c r="G98" s="204">
        <f t="shared" si="34"/>
        <v>-170025.23428222426</v>
      </c>
      <c r="H98" s="204">
        <f t="shared" si="34"/>
        <v>-192797.73792687338</v>
      </c>
      <c r="I98" s="204">
        <f t="shared" si="34"/>
        <v>-202887.21935466886</v>
      </c>
      <c r="J98" s="204">
        <f t="shared" si="34"/>
        <v>-144516.84898429847</v>
      </c>
      <c r="K98" s="204">
        <f t="shared" si="34"/>
        <v>-71553.886021335493</v>
      </c>
      <c r="L98" s="204">
        <f t="shared" si="34"/>
        <v>1409.0769416274561</v>
      </c>
      <c r="M98" s="204">
        <f t="shared" si="34"/>
        <v>59779.447311997821</v>
      </c>
      <c r="N98" s="204">
        <f t="shared" si="34"/>
        <v>103557.2250897756</v>
      </c>
      <c r="O98" s="204">
        <f t="shared" si="34"/>
        <v>132742.4102749608</v>
      </c>
      <c r="P98" s="204">
        <f t="shared" si="34"/>
        <v>147335.00286755338</v>
      </c>
      <c r="Q98" s="204">
        <f t="shared" si="34"/>
        <v>147335.00286755338</v>
      </c>
      <c r="R98" s="204">
        <f t="shared" si="34"/>
        <v>147335.00286755338</v>
      </c>
      <c r="S98" s="204">
        <f t="shared" si="34"/>
        <v>147335.00286755338</v>
      </c>
      <c r="T98" s="204">
        <f t="shared" si="34"/>
        <v>147335.00286755338</v>
      </c>
      <c r="U98" s="204">
        <f t="shared" si="34"/>
        <v>147335.00286755338</v>
      </c>
      <c r="V98" s="204">
        <f t="shared" si="34"/>
        <v>147335.00286755338</v>
      </c>
      <c r="W98" s="204">
        <f t="shared" si="34"/>
        <v>147335.00286755338</v>
      </c>
      <c r="X98" s="204">
        <f t="shared" si="34"/>
        <v>147335.00286755338</v>
      </c>
      <c r="Y98" s="204">
        <f t="shared" si="34"/>
        <v>147335.00286755338</v>
      </c>
      <c r="Z98" s="204">
        <f t="shared" si="34"/>
        <v>147335.00286755338</v>
      </c>
      <c r="AA98" s="204">
        <f t="shared" si="34"/>
        <v>147335.00286755338</v>
      </c>
      <c r="AB98" s="204">
        <f t="shared" si="34"/>
        <v>147335.00286755338</v>
      </c>
      <c r="AC98" s="204">
        <f t="shared" si="34"/>
        <v>147335.00286755338</v>
      </c>
      <c r="AD98" s="204">
        <f t="shared" si="34"/>
        <v>116581.18100923975</v>
      </c>
      <c r="AE98" s="204">
        <f t="shared" si="34"/>
        <v>88623.161138045427</v>
      </c>
      <c r="AF98" s="204">
        <f t="shared" si="34"/>
        <v>63206.779436959827</v>
      </c>
      <c r="AG98" s="204">
        <f t="shared" si="34"/>
        <v>40100.977890518319</v>
      </c>
      <c r="AH98" s="204">
        <f t="shared" si="34"/>
        <v>19095.703757389667</v>
      </c>
    </row>
    <row r="99" spans="1:34" s="21" customFormat="1" x14ac:dyDescent="0.25">
      <c r="A99" s="200" t="s">
        <v>61</v>
      </c>
      <c r="B99" s="199" t="s">
        <v>37</v>
      </c>
      <c r="C99" s="204">
        <v>0</v>
      </c>
      <c r="D99" s="204">
        <v>0</v>
      </c>
      <c r="E99" s="204">
        <v>0</v>
      </c>
      <c r="F99" s="204">
        <v>0</v>
      </c>
      <c r="G99" s="204">
        <v>0</v>
      </c>
      <c r="H99" s="204">
        <v>0</v>
      </c>
      <c r="I99" s="204">
        <v>0</v>
      </c>
      <c r="J99" s="204">
        <v>0</v>
      </c>
      <c r="K99" s="204">
        <v>0</v>
      </c>
      <c r="L99" s="204">
        <v>0</v>
      </c>
      <c r="M99" s="204">
        <v>0</v>
      </c>
      <c r="N99" s="204">
        <v>0</v>
      </c>
      <c r="O99" s="204">
        <v>0</v>
      </c>
      <c r="P99" s="204">
        <v>0</v>
      </c>
      <c r="Q99" s="204">
        <v>0</v>
      </c>
      <c r="R99" s="204">
        <v>0</v>
      </c>
      <c r="S99" s="204">
        <v>0</v>
      </c>
      <c r="T99" s="204">
        <v>0</v>
      </c>
      <c r="U99" s="204">
        <v>0</v>
      </c>
      <c r="V99" s="204">
        <v>0</v>
      </c>
      <c r="W99" s="204">
        <v>0</v>
      </c>
      <c r="X99" s="204">
        <v>0</v>
      </c>
      <c r="Y99" s="204">
        <v>0</v>
      </c>
      <c r="Z99" s="204">
        <v>0</v>
      </c>
      <c r="AA99" s="204">
        <v>0</v>
      </c>
      <c r="AB99" s="204">
        <v>0</v>
      </c>
      <c r="AC99" s="204">
        <v>0</v>
      </c>
      <c r="AD99" s="204">
        <v>0</v>
      </c>
      <c r="AE99" s="204">
        <v>0</v>
      </c>
      <c r="AF99" s="204">
        <v>0</v>
      </c>
      <c r="AG99" s="204">
        <v>0</v>
      </c>
      <c r="AH99" s="204">
        <v>0</v>
      </c>
    </row>
    <row r="100" spans="1:34" s="21" customFormat="1" x14ac:dyDescent="0.25">
      <c r="A100" s="203" t="s">
        <v>59</v>
      </c>
      <c r="B100" s="199" t="s">
        <v>37</v>
      </c>
      <c r="C100" s="204">
        <f>C98+C99</f>
        <v>0</v>
      </c>
      <c r="D100" s="204">
        <f>D98+D99</f>
        <v>-42209.141104649301</v>
      </c>
      <c r="E100" s="204">
        <f t="shared" ref="E100:AH100" si="35">E98+E99</f>
        <v>-87214.084196418087</v>
      </c>
      <c r="F100" s="204">
        <f t="shared" si="35"/>
        <v>-134760.66545829538</v>
      </c>
      <c r="G100" s="204">
        <f t="shared" si="35"/>
        <v>-170025.23428222426</v>
      </c>
      <c r="H100" s="204">
        <f t="shared" si="35"/>
        <v>-192797.73792687338</v>
      </c>
      <c r="I100" s="204">
        <f t="shared" si="35"/>
        <v>-202887.21935466886</v>
      </c>
      <c r="J100" s="204">
        <f t="shared" si="35"/>
        <v>-144516.84898429847</v>
      </c>
      <c r="K100" s="204">
        <f t="shared" si="35"/>
        <v>-71553.886021335493</v>
      </c>
      <c r="L100" s="204">
        <f t="shared" si="35"/>
        <v>1409.0769416274561</v>
      </c>
      <c r="M100" s="204">
        <f t="shared" si="35"/>
        <v>59779.447311997821</v>
      </c>
      <c r="N100" s="204">
        <f t="shared" si="35"/>
        <v>103557.2250897756</v>
      </c>
      <c r="O100" s="204">
        <f t="shared" si="35"/>
        <v>132742.4102749608</v>
      </c>
      <c r="P100" s="204">
        <f t="shared" si="35"/>
        <v>147335.00286755338</v>
      </c>
      <c r="Q100" s="204">
        <f t="shared" si="35"/>
        <v>147335.00286755338</v>
      </c>
      <c r="R100" s="204">
        <f t="shared" si="35"/>
        <v>147335.00286755338</v>
      </c>
      <c r="S100" s="204">
        <f t="shared" si="35"/>
        <v>147335.00286755338</v>
      </c>
      <c r="T100" s="204">
        <f t="shared" si="35"/>
        <v>147335.00286755338</v>
      </c>
      <c r="U100" s="204">
        <f t="shared" si="35"/>
        <v>147335.00286755338</v>
      </c>
      <c r="V100" s="204">
        <f t="shared" si="35"/>
        <v>147335.00286755338</v>
      </c>
      <c r="W100" s="204">
        <f t="shared" si="35"/>
        <v>147335.00286755338</v>
      </c>
      <c r="X100" s="204">
        <f t="shared" si="35"/>
        <v>147335.00286755338</v>
      </c>
      <c r="Y100" s="204">
        <f t="shared" si="35"/>
        <v>147335.00286755338</v>
      </c>
      <c r="Z100" s="204">
        <f t="shared" si="35"/>
        <v>147335.00286755338</v>
      </c>
      <c r="AA100" s="204">
        <f t="shared" si="35"/>
        <v>147335.00286755338</v>
      </c>
      <c r="AB100" s="204">
        <f t="shared" si="35"/>
        <v>147335.00286755338</v>
      </c>
      <c r="AC100" s="204">
        <f t="shared" si="35"/>
        <v>147335.00286755338</v>
      </c>
      <c r="AD100" s="204">
        <f t="shared" si="35"/>
        <v>116581.18100923975</v>
      </c>
      <c r="AE100" s="204">
        <f t="shared" si="35"/>
        <v>88623.161138045427</v>
      </c>
      <c r="AF100" s="204">
        <f t="shared" si="35"/>
        <v>63206.779436959827</v>
      </c>
      <c r="AG100" s="204">
        <f t="shared" si="35"/>
        <v>40100.977890518319</v>
      </c>
      <c r="AH100" s="204">
        <f t="shared" si="35"/>
        <v>19095.703757389667</v>
      </c>
    </row>
    <row r="101" spans="1:34" s="21" customFormat="1" x14ac:dyDescent="0.25">
      <c r="A101" s="200" t="s">
        <v>62</v>
      </c>
      <c r="B101" s="199" t="s">
        <v>37</v>
      </c>
      <c r="C101" s="204">
        <f>IF(C100*$B$17&gt;0,C100*$B$17,0)</f>
        <v>0</v>
      </c>
      <c r="D101" s="204">
        <f>IF(D100*$B$17&gt;0,D100*$B$17,0)</f>
        <v>0</v>
      </c>
      <c r="E101" s="204">
        <f t="shared" ref="E101:AH101" si="36">IF(E100*$B$17&gt;0,E100*$B$17,0)</f>
        <v>0</v>
      </c>
      <c r="F101" s="204">
        <f t="shared" si="36"/>
        <v>0</v>
      </c>
      <c r="G101" s="204">
        <f t="shared" si="36"/>
        <v>0</v>
      </c>
      <c r="H101" s="204">
        <f t="shared" si="36"/>
        <v>0</v>
      </c>
      <c r="I101" s="204">
        <f t="shared" si="36"/>
        <v>0</v>
      </c>
      <c r="J101" s="204">
        <f t="shared" si="36"/>
        <v>0</v>
      </c>
      <c r="K101" s="204">
        <f t="shared" si="36"/>
        <v>0</v>
      </c>
      <c r="L101" s="204">
        <f t="shared" si="36"/>
        <v>352.26923540686403</v>
      </c>
      <c r="M101" s="204">
        <f t="shared" si="36"/>
        <v>14944.861827999455</v>
      </c>
      <c r="N101" s="204">
        <f t="shared" si="36"/>
        <v>25889.306272443901</v>
      </c>
      <c r="O101" s="204">
        <f t="shared" si="36"/>
        <v>33185.6025687402</v>
      </c>
      <c r="P101" s="204">
        <f t="shared" si="36"/>
        <v>36833.750716888346</v>
      </c>
      <c r="Q101" s="204">
        <f t="shared" si="36"/>
        <v>36833.750716888346</v>
      </c>
      <c r="R101" s="204">
        <f t="shared" si="36"/>
        <v>36833.750716888346</v>
      </c>
      <c r="S101" s="204">
        <f t="shared" si="36"/>
        <v>36833.750716888346</v>
      </c>
      <c r="T101" s="204">
        <f t="shared" si="36"/>
        <v>36833.750716888346</v>
      </c>
      <c r="U101" s="204">
        <f t="shared" si="36"/>
        <v>36833.750716888346</v>
      </c>
      <c r="V101" s="204">
        <f t="shared" si="36"/>
        <v>36833.750716888346</v>
      </c>
      <c r="W101" s="204">
        <f t="shared" si="36"/>
        <v>36833.750716888346</v>
      </c>
      <c r="X101" s="204">
        <f t="shared" si="36"/>
        <v>36833.750716888346</v>
      </c>
      <c r="Y101" s="204">
        <f t="shared" si="36"/>
        <v>36833.750716888346</v>
      </c>
      <c r="Z101" s="204">
        <f t="shared" si="36"/>
        <v>36833.750716888346</v>
      </c>
      <c r="AA101" s="204">
        <f t="shared" si="36"/>
        <v>36833.750716888346</v>
      </c>
      <c r="AB101" s="204">
        <f t="shared" si="36"/>
        <v>36833.750716888346</v>
      </c>
      <c r="AC101" s="204">
        <f t="shared" si="36"/>
        <v>36833.750716888346</v>
      </c>
      <c r="AD101" s="204">
        <f t="shared" si="36"/>
        <v>29145.295252309937</v>
      </c>
      <c r="AE101" s="204">
        <f t="shared" si="36"/>
        <v>22155.790284511357</v>
      </c>
      <c r="AF101" s="204">
        <f t="shared" si="36"/>
        <v>15801.694859239957</v>
      </c>
      <c r="AG101" s="204">
        <f t="shared" si="36"/>
        <v>10025.24447262958</v>
      </c>
      <c r="AH101" s="204">
        <f t="shared" si="36"/>
        <v>4773.9259393474167</v>
      </c>
    </row>
    <row r="102" spans="1:34" s="21" customFormat="1" x14ac:dyDescent="0.25">
      <c r="A102" s="203" t="s">
        <v>63</v>
      </c>
      <c r="B102" s="199" t="s">
        <v>37</v>
      </c>
      <c r="C102" s="204">
        <f>C100-C101</f>
        <v>0</v>
      </c>
      <c r="D102" s="204">
        <f>D100-D101</f>
        <v>-42209.141104649301</v>
      </c>
      <c r="E102" s="204">
        <f t="shared" ref="E102:AH102" si="37">E100-E101</f>
        <v>-87214.084196418087</v>
      </c>
      <c r="F102" s="204">
        <f t="shared" si="37"/>
        <v>-134760.66545829538</v>
      </c>
      <c r="G102" s="204">
        <f t="shared" si="37"/>
        <v>-170025.23428222426</v>
      </c>
      <c r="H102" s="204">
        <f t="shared" si="37"/>
        <v>-192797.73792687338</v>
      </c>
      <c r="I102" s="204">
        <f t="shared" si="37"/>
        <v>-202887.21935466886</v>
      </c>
      <c r="J102" s="204">
        <f t="shared" si="37"/>
        <v>-144516.84898429847</v>
      </c>
      <c r="K102" s="204">
        <f t="shared" si="37"/>
        <v>-71553.886021335493</v>
      </c>
      <c r="L102" s="204">
        <f t="shared" si="37"/>
        <v>1056.8077062205921</v>
      </c>
      <c r="M102" s="204">
        <f t="shared" si="37"/>
        <v>44834.585483998366</v>
      </c>
      <c r="N102" s="204">
        <f t="shared" si="37"/>
        <v>77667.918817331694</v>
      </c>
      <c r="O102" s="204">
        <f t="shared" si="37"/>
        <v>99556.807706220599</v>
      </c>
      <c r="P102" s="204">
        <f t="shared" si="37"/>
        <v>110501.25215066504</v>
      </c>
      <c r="Q102" s="204">
        <f t="shared" si="37"/>
        <v>110501.25215066504</v>
      </c>
      <c r="R102" s="204">
        <f t="shared" si="37"/>
        <v>110501.25215066504</v>
      </c>
      <c r="S102" s="204">
        <f t="shared" si="37"/>
        <v>110501.25215066504</v>
      </c>
      <c r="T102" s="204">
        <f t="shared" si="37"/>
        <v>110501.25215066504</v>
      </c>
      <c r="U102" s="204">
        <f t="shared" si="37"/>
        <v>110501.25215066504</v>
      </c>
      <c r="V102" s="204">
        <f t="shared" si="37"/>
        <v>110501.25215066504</v>
      </c>
      <c r="W102" s="204">
        <f t="shared" si="37"/>
        <v>110501.25215066504</v>
      </c>
      <c r="X102" s="204">
        <f t="shared" si="37"/>
        <v>110501.25215066504</v>
      </c>
      <c r="Y102" s="204">
        <f t="shared" si="37"/>
        <v>110501.25215066504</v>
      </c>
      <c r="Z102" s="204">
        <f t="shared" si="37"/>
        <v>110501.25215066504</v>
      </c>
      <c r="AA102" s="204">
        <f t="shared" si="37"/>
        <v>110501.25215066504</v>
      </c>
      <c r="AB102" s="204">
        <f t="shared" si="37"/>
        <v>110501.25215066504</v>
      </c>
      <c r="AC102" s="204">
        <f t="shared" si="37"/>
        <v>110501.25215066504</v>
      </c>
      <c r="AD102" s="204">
        <f t="shared" si="37"/>
        <v>87435.885756929812</v>
      </c>
      <c r="AE102" s="204">
        <f t="shared" si="37"/>
        <v>66467.37085353407</v>
      </c>
      <c r="AF102" s="204">
        <f t="shared" si="37"/>
        <v>47405.08457771987</v>
      </c>
      <c r="AG102" s="204">
        <f t="shared" si="37"/>
        <v>30075.733417888739</v>
      </c>
      <c r="AH102" s="204">
        <f t="shared" si="37"/>
        <v>14321.77781804225</v>
      </c>
    </row>
    <row r="103" spans="1:34" s="21" customFormat="1" x14ac:dyDescent="0.25">
      <c r="A103" s="198" t="s">
        <v>64</v>
      </c>
      <c r="B103" s="199" t="s">
        <v>37</v>
      </c>
      <c r="C103" s="204">
        <f>C102-C72</f>
        <v>-1824074.0740740739</v>
      </c>
      <c r="D103" s="204">
        <f t="shared" ref="D103:AH103" si="38">D102-D72</f>
        <v>-1866283.2151787232</v>
      </c>
      <c r="E103" s="204">
        <f t="shared" si="38"/>
        <v>-1911288.158270492</v>
      </c>
      <c r="F103" s="204">
        <f t="shared" si="38"/>
        <v>-1958834.7395323692</v>
      </c>
      <c r="G103" s="204">
        <f t="shared" si="38"/>
        <v>-1994099.3083562984</v>
      </c>
      <c r="H103" s="204">
        <f t="shared" si="38"/>
        <v>-2016871.8120009475</v>
      </c>
      <c r="I103" s="204">
        <f t="shared" si="38"/>
        <v>-202887.21935466886</v>
      </c>
      <c r="J103" s="204">
        <f t="shared" si="38"/>
        <v>-144516.84898429847</v>
      </c>
      <c r="K103" s="204">
        <f t="shared" si="38"/>
        <v>-71553.886021335493</v>
      </c>
      <c r="L103" s="204">
        <f t="shared" si="38"/>
        <v>1056.8077062205921</v>
      </c>
      <c r="M103" s="204">
        <f t="shared" si="38"/>
        <v>44834.585483998366</v>
      </c>
      <c r="N103" s="204">
        <f t="shared" si="38"/>
        <v>77667.918817331694</v>
      </c>
      <c r="O103" s="204">
        <f t="shared" si="38"/>
        <v>99556.807706220599</v>
      </c>
      <c r="P103" s="204">
        <f t="shared" si="38"/>
        <v>110501.25215066504</v>
      </c>
      <c r="Q103" s="204">
        <f t="shared" si="38"/>
        <v>110501.25215066504</v>
      </c>
      <c r="R103" s="204">
        <f t="shared" si="38"/>
        <v>110501.25215066504</v>
      </c>
      <c r="S103" s="204">
        <f t="shared" si="38"/>
        <v>110501.25215066504</v>
      </c>
      <c r="T103" s="204">
        <f t="shared" si="38"/>
        <v>110501.25215066504</v>
      </c>
      <c r="U103" s="204">
        <f t="shared" si="38"/>
        <v>110501.25215066504</v>
      </c>
      <c r="V103" s="204">
        <f t="shared" si="38"/>
        <v>110501.25215066504</v>
      </c>
      <c r="W103" s="204">
        <f t="shared" si="38"/>
        <v>110501.25215066504</v>
      </c>
      <c r="X103" s="204">
        <f t="shared" si="38"/>
        <v>110501.25215066504</v>
      </c>
      <c r="Y103" s="204">
        <f t="shared" si="38"/>
        <v>110501.25215066504</v>
      </c>
      <c r="Z103" s="204">
        <f t="shared" si="38"/>
        <v>110501.25215066504</v>
      </c>
      <c r="AA103" s="204">
        <f t="shared" si="38"/>
        <v>110501.25215066504</v>
      </c>
      <c r="AB103" s="204">
        <f t="shared" si="38"/>
        <v>110501.25215066504</v>
      </c>
      <c r="AC103" s="204">
        <f t="shared" si="38"/>
        <v>110501.25215066504</v>
      </c>
      <c r="AD103" s="204">
        <f t="shared" si="38"/>
        <v>87435.885756929812</v>
      </c>
      <c r="AE103" s="204">
        <f t="shared" si="38"/>
        <v>66467.37085353407</v>
      </c>
      <c r="AF103" s="204">
        <f t="shared" si="38"/>
        <v>47405.08457771987</v>
      </c>
      <c r="AG103" s="204">
        <f t="shared" si="38"/>
        <v>30075.733417888739</v>
      </c>
      <c r="AH103" s="204">
        <f t="shared" si="38"/>
        <v>14321.77781804225</v>
      </c>
    </row>
    <row r="104" spans="1:34" s="21" customFormat="1" x14ac:dyDescent="0.25">
      <c r="A104" s="202" t="s">
        <v>65</v>
      </c>
      <c r="B104" s="201" t="s">
        <v>37</v>
      </c>
      <c r="C104" s="204">
        <f t="shared" ref="C104:AH104" si="39">C103+C31+C32</f>
        <v>-1824074.0740740739</v>
      </c>
      <c r="D104" s="204">
        <f t="shared" si="39"/>
        <v>-1635034.3730668277</v>
      </c>
      <c r="E104" s="204">
        <f t="shared" si="39"/>
        <v>-1468148.1583866146</v>
      </c>
      <c r="F104" s="204">
        <f t="shared" si="39"/>
        <v>-1321413.9097070852</v>
      </c>
      <c r="G104" s="204">
        <f t="shared" si="39"/>
        <v>-1178416.0956621522</v>
      </c>
      <c r="H104" s="204">
        <f t="shared" si="39"/>
        <v>-1037494.2912688681</v>
      </c>
      <c r="I104" s="204">
        <f t="shared" si="39"/>
        <v>926938.10875654162</v>
      </c>
      <c r="J104" s="204">
        <f t="shared" si="39"/>
        <v>990035.60904598399</v>
      </c>
      <c r="K104" s="204">
        <f t="shared" si="39"/>
        <v>1067843.8801759956</v>
      </c>
      <c r="L104" s="204">
        <f t="shared" si="39"/>
        <v>1145421.0147747765</v>
      </c>
      <c r="M104" s="204">
        <f t="shared" si="39"/>
        <v>1194289.3944455599</v>
      </c>
      <c r="N104" s="204">
        <f t="shared" si="39"/>
        <v>1232340.5947192239</v>
      </c>
      <c r="O104" s="204">
        <f t="shared" si="39"/>
        <v>1259577.7972219517</v>
      </c>
      <c r="P104" s="204">
        <f t="shared" si="39"/>
        <v>1276004.2631205812</v>
      </c>
      <c r="Q104" s="204">
        <f t="shared" si="39"/>
        <v>1281623.3351111207</v>
      </c>
      <c r="R104" s="204">
        <f t="shared" si="39"/>
        <v>1287382.8839014238</v>
      </c>
      <c r="S104" s="204">
        <f t="shared" si="39"/>
        <v>1293286.4214114845</v>
      </c>
      <c r="T104" s="204">
        <f t="shared" si="39"/>
        <v>1299337.5473592966</v>
      </c>
      <c r="U104" s="204">
        <f t="shared" si="39"/>
        <v>1305539.9514558038</v>
      </c>
      <c r="V104" s="204">
        <f t="shared" si="39"/>
        <v>1311897.415654724</v>
      </c>
      <c r="W104" s="204">
        <f t="shared" si="39"/>
        <v>1318413.8164586171</v>
      </c>
      <c r="X104" s="204">
        <f t="shared" si="39"/>
        <v>1325093.1272826076</v>
      </c>
      <c r="Y104" s="204">
        <f t="shared" si="39"/>
        <v>1331939.4208771978</v>
      </c>
      <c r="Z104" s="204">
        <f t="shared" si="39"/>
        <v>1338956.8718116528</v>
      </c>
      <c r="AA104" s="204">
        <f t="shared" si="39"/>
        <v>1346149.7590194691</v>
      </c>
      <c r="AB104" s="204">
        <f t="shared" si="39"/>
        <v>1353522.4684074807</v>
      </c>
      <c r="AC104" s="204">
        <f t="shared" si="39"/>
        <v>1051241.3834989986</v>
      </c>
      <c r="AD104" s="204">
        <f t="shared" si="39"/>
        <v>831811.58332260652</v>
      </c>
      <c r="AE104" s="204">
        <f t="shared" si="39"/>
        <v>632329.94679861376</v>
      </c>
      <c r="AF104" s="204">
        <f t="shared" si="39"/>
        <v>450983.00450407492</v>
      </c>
      <c r="AG104" s="204">
        <f t="shared" si="39"/>
        <v>286122.14787267597</v>
      </c>
      <c r="AH104" s="204">
        <f t="shared" si="39"/>
        <v>136248.64184413143</v>
      </c>
    </row>
    <row r="105" spans="1:34" customFormat="1" x14ac:dyDescent="0.25">
      <c r="A105" s="58"/>
      <c r="B105" s="20"/>
      <c r="C105" s="11"/>
    </row>
    <row r="106" spans="1:34" customFormat="1" ht="13.5" customHeight="1" x14ac:dyDescent="0.25">
      <c r="A106" s="207" t="s">
        <v>66</v>
      </c>
      <c r="B106" s="208" t="s">
        <v>12</v>
      </c>
      <c r="C106" s="209">
        <f>SUM(C72:AB72)</f>
        <v>10944444.444444444</v>
      </c>
    </row>
    <row r="107" spans="1:34" x14ac:dyDescent="0.25">
      <c r="A107" s="34"/>
      <c r="B107" s="20"/>
    </row>
    <row r="108" spans="1:34" x14ac:dyDescent="0.25">
      <c r="A108" s="205" t="s">
        <v>114</v>
      </c>
      <c r="B108" s="206" t="s">
        <v>67</v>
      </c>
      <c r="C108" s="216" t="e">
        <f>(C102+C71+C70)/(C70+C71)</f>
        <v>#DIV/0!</v>
      </c>
      <c r="D108" s="216">
        <f>(D102+D71+D70)/(D70+D71)</f>
        <v>0.421499081306837</v>
      </c>
      <c r="E108" s="216">
        <f t="shared" ref="E108:G108" si="40">(E102+E71+E70)/(E70+E71)</f>
        <v>0.40234003215652581</v>
      </c>
      <c r="F108" s="216">
        <f t="shared" si="40"/>
        <v>0.76912830156256506</v>
      </c>
      <c r="G108" s="216">
        <f t="shared" si="40"/>
        <v>0.83113803701831623</v>
      </c>
      <c r="H108" s="216">
        <f>(H102+H71+H70)/(H70+H71)</f>
        <v>0.86379352859842007</v>
      </c>
      <c r="I108" s="216">
        <f>(I102+I71+I70)/(I70+I71)</f>
        <v>0.88787549282429878</v>
      </c>
      <c r="J108" s="216">
        <f t="shared" ref="J108:N108" si="41">(J102+J71+J70)/(J70+J71)</f>
        <v>0.93170042144974519</v>
      </c>
      <c r="K108" s="216">
        <f t="shared" si="41"/>
        <v>0.96497543650152184</v>
      </c>
      <c r="L108" s="216">
        <f t="shared" si="41"/>
        <v>1.0006583712059982</v>
      </c>
      <c r="M108" s="216">
        <f t="shared" si="41"/>
        <v>1.0379311213908617</v>
      </c>
      <c r="N108" s="216">
        <f t="shared" si="41"/>
        <v>1.1004230345784867</v>
      </c>
      <c r="O108" s="216">
        <f>(O102+O71+O70)/(O70+O71)</f>
        <v>1.2624008012561456</v>
      </c>
      <c r="P108" s="216" t="e">
        <f t="shared" ref="P108:AH108" si="42">(P102+P71+P70)/(P70+P71)</f>
        <v>#DIV/0!</v>
      </c>
      <c r="Q108" s="216" t="e">
        <f t="shared" si="42"/>
        <v>#DIV/0!</v>
      </c>
      <c r="R108" s="216" t="e">
        <f t="shared" si="42"/>
        <v>#DIV/0!</v>
      </c>
      <c r="S108" s="216" t="e">
        <f t="shared" si="42"/>
        <v>#DIV/0!</v>
      </c>
      <c r="T108" s="216" t="e">
        <f t="shared" si="42"/>
        <v>#DIV/0!</v>
      </c>
      <c r="U108" s="216" t="e">
        <f t="shared" si="42"/>
        <v>#DIV/0!</v>
      </c>
      <c r="V108" s="216" t="e">
        <f t="shared" si="42"/>
        <v>#DIV/0!</v>
      </c>
      <c r="W108" s="216" t="e">
        <f t="shared" si="42"/>
        <v>#DIV/0!</v>
      </c>
      <c r="X108" s="216" t="e">
        <f t="shared" si="42"/>
        <v>#DIV/0!</v>
      </c>
      <c r="Y108" s="216" t="e">
        <f t="shared" si="42"/>
        <v>#DIV/0!</v>
      </c>
      <c r="Z108" s="216" t="e">
        <f t="shared" si="42"/>
        <v>#DIV/0!</v>
      </c>
      <c r="AA108" s="216" t="e">
        <f t="shared" si="42"/>
        <v>#DIV/0!</v>
      </c>
      <c r="AB108" s="216" t="e">
        <f t="shared" si="42"/>
        <v>#DIV/0!</v>
      </c>
      <c r="AC108" s="216" t="e">
        <f t="shared" si="42"/>
        <v>#DIV/0!</v>
      </c>
      <c r="AD108" s="216" t="e">
        <f t="shared" si="42"/>
        <v>#DIV/0!</v>
      </c>
      <c r="AE108" s="216" t="e">
        <f t="shared" si="42"/>
        <v>#DIV/0!</v>
      </c>
      <c r="AF108" s="216" t="e">
        <f t="shared" si="42"/>
        <v>#DIV/0!</v>
      </c>
      <c r="AG108" s="216" t="e">
        <f t="shared" si="42"/>
        <v>#DIV/0!</v>
      </c>
      <c r="AH108" s="216" t="e">
        <f t="shared" si="42"/>
        <v>#DIV/0!</v>
      </c>
    </row>
    <row r="109" spans="1:34" x14ac:dyDescent="0.25">
      <c r="A109" s="205" t="s">
        <v>115</v>
      </c>
      <c r="B109" s="206" t="s">
        <v>67</v>
      </c>
      <c r="C109" s="216">
        <f>AVERAGE(D108:O108)</f>
        <v>0.87282197165414355</v>
      </c>
      <c r="D109" s="217"/>
      <c r="E109" s="217"/>
      <c r="F109" s="217"/>
      <c r="G109" s="217"/>
      <c r="H109" s="217"/>
      <c r="I109" s="217"/>
      <c r="J109" s="217"/>
      <c r="K109" s="217"/>
      <c r="L109" s="217"/>
      <c r="M109" s="217"/>
      <c r="N109" s="217"/>
      <c r="O109" s="217"/>
      <c r="P109" s="217"/>
      <c r="Q109" s="217"/>
      <c r="R109" s="217"/>
      <c r="S109" s="217"/>
      <c r="T109" s="217"/>
      <c r="U109" s="217"/>
      <c r="V109" s="217"/>
      <c r="W109" s="217"/>
      <c r="X109" s="217"/>
      <c r="Y109" s="217"/>
      <c r="Z109" s="217"/>
      <c r="AA109" s="217"/>
      <c r="AB109" s="217"/>
      <c r="AC109" s="217"/>
      <c r="AD109" s="217"/>
      <c r="AE109" s="217"/>
      <c r="AF109" s="217"/>
      <c r="AG109" s="217"/>
      <c r="AH109" s="217"/>
    </row>
    <row r="110" spans="1:34" x14ac:dyDescent="0.25">
      <c r="A110" s="205" t="s">
        <v>116</v>
      </c>
      <c r="B110" s="206" t="s">
        <v>67</v>
      </c>
      <c r="C110" s="216" t="e">
        <f t="shared" ref="C110:AH110" si="43">(C102+C71*$C15+C70)/(C70+C71*$C15)</f>
        <v>#DIV/0!</v>
      </c>
      <c r="D110" s="216">
        <f t="shared" si="43"/>
        <v>0.421499081306837</v>
      </c>
      <c r="E110" s="216">
        <f t="shared" si="43"/>
        <v>0.40234003215652581</v>
      </c>
      <c r="F110" s="216">
        <f t="shared" si="43"/>
        <v>0.76912830156256506</v>
      </c>
      <c r="G110" s="216">
        <f t="shared" si="43"/>
        <v>0.83113803701831623</v>
      </c>
      <c r="H110" s="216">
        <f t="shared" si="43"/>
        <v>0.86379352859842007</v>
      </c>
      <c r="I110" s="216">
        <f t="shared" si="43"/>
        <v>0.88787549282429878</v>
      </c>
      <c r="J110" s="216">
        <f t="shared" si="43"/>
        <v>0.93170042144974519</v>
      </c>
      <c r="K110" s="216">
        <f t="shared" si="43"/>
        <v>0.96497543650152184</v>
      </c>
      <c r="L110" s="216">
        <f t="shared" si="43"/>
        <v>1.0006583712059982</v>
      </c>
      <c r="M110" s="216">
        <f t="shared" si="43"/>
        <v>1.0379311213908617</v>
      </c>
      <c r="N110" s="216">
        <f t="shared" si="43"/>
        <v>1.1004230345784867</v>
      </c>
      <c r="O110" s="216">
        <f t="shared" si="43"/>
        <v>1.2624008012561456</v>
      </c>
      <c r="P110" s="216" t="e">
        <f t="shared" si="43"/>
        <v>#DIV/0!</v>
      </c>
      <c r="Q110" s="216" t="e">
        <f t="shared" si="43"/>
        <v>#DIV/0!</v>
      </c>
      <c r="R110" s="216" t="e">
        <f t="shared" si="43"/>
        <v>#DIV/0!</v>
      </c>
      <c r="S110" s="216" t="e">
        <f t="shared" si="43"/>
        <v>#DIV/0!</v>
      </c>
      <c r="T110" s="216" t="e">
        <f t="shared" si="43"/>
        <v>#DIV/0!</v>
      </c>
      <c r="U110" s="216" t="e">
        <f t="shared" si="43"/>
        <v>#DIV/0!</v>
      </c>
      <c r="V110" s="216" t="e">
        <f t="shared" si="43"/>
        <v>#DIV/0!</v>
      </c>
      <c r="W110" s="216" t="e">
        <f t="shared" si="43"/>
        <v>#DIV/0!</v>
      </c>
      <c r="X110" s="216" t="e">
        <f t="shared" si="43"/>
        <v>#DIV/0!</v>
      </c>
      <c r="Y110" s="216" t="e">
        <f t="shared" si="43"/>
        <v>#DIV/0!</v>
      </c>
      <c r="Z110" s="216" t="e">
        <f t="shared" si="43"/>
        <v>#DIV/0!</v>
      </c>
      <c r="AA110" s="216" t="e">
        <f t="shared" si="43"/>
        <v>#DIV/0!</v>
      </c>
      <c r="AB110" s="216" t="e">
        <f t="shared" si="43"/>
        <v>#DIV/0!</v>
      </c>
      <c r="AC110" s="216" t="e">
        <f t="shared" si="43"/>
        <v>#DIV/0!</v>
      </c>
      <c r="AD110" s="216" t="e">
        <f t="shared" si="43"/>
        <v>#DIV/0!</v>
      </c>
      <c r="AE110" s="216" t="e">
        <f t="shared" si="43"/>
        <v>#DIV/0!</v>
      </c>
      <c r="AF110" s="216" t="e">
        <f t="shared" si="43"/>
        <v>#DIV/0!</v>
      </c>
      <c r="AG110" s="216" t="e">
        <f t="shared" si="43"/>
        <v>#DIV/0!</v>
      </c>
      <c r="AH110" s="216" t="e">
        <f t="shared" si="43"/>
        <v>#DIV/0!</v>
      </c>
    </row>
    <row r="111" spans="1:34" x14ac:dyDescent="0.25">
      <c r="A111" s="205" t="s">
        <v>117</v>
      </c>
      <c r="B111" s="206" t="s">
        <v>67</v>
      </c>
      <c r="C111" s="216">
        <f>AVERAGE(D110:O110)</f>
        <v>0.87282197165414355</v>
      </c>
      <c r="D111" s="217"/>
      <c r="E111" s="217"/>
      <c r="F111" s="217"/>
      <c r="G111" s="217"/>
      <c r="H111" s="217"/>
      <c r="I111" s="217"/>
      <c r="J111" s="217"/>
      <c r="K111" s="217"/>
      <c r="L111" s="217"/>
      <c r="M111" s="217"/>
      <c r="N111" s="217"/>
      <c r="O111" s="217"/>
      <c r="P111" s="217"/>
      <c r="Q111" s="217"/>
      <c r="R111" s="217"/>
      <c r="S111" s="217"/>
      <c r="T111" s="217"/>
      <c r="U111" s="217"/>
      <c r="V111" s="217"/>
      <c r="W111" s="217"/>
      <c r="X111" s="217"/>
      <c r="Y111" s="217"/>
      <c r="Z111" s="217"/>
      <c r="AA111" s="217"/>
      <c r="AB111" s="217"/>
      <c r="AC111" s="217"/>
      <c r="AD111" s="217"/>
      <c r="AE111" s="217"/>
      <c r="AF111" s="217"/>
      <c r="AG111" s="217"/>
      <c r="AH111" s="217"/>
    </row>
    <row r="112" spans="1:34" x14ac:dyDescent="0.25">
      <c r="A112" s="205" t="s">
        <v>118</v>
      </c>
      <c r="B112" s="206" t="s">
        <v>67</v>
      </c>
      <c r="C112" s="216" t="e">
        <f t="shared" ref="C112:AH112" si="44">(C102+C71*$C16+C70)/(C70+C71*$C16)</f>
        <v>#DIV/0!</v>
      </c>
      <c r="D112" s="216">
        <f t="shared" si="44"/>
        <v>0.421499081306837</v>
      </c>
      <c r="E112" s="216">
        <f t="shared" si="44"/>
        <v>0.40234003215652581</v>
      </c>
      <c r="F112" s="216">
        <f t="shared" si="44"/>
        <v>0.76912830156256506</v>
      </c>
      <c r="G112" s="216">
        <f t="shared" si="44"/>
        <v>0.83113803701831623</v>
      </c>
      <c r="H112" s="216">
        <f t="shared" si="44"/>
        <v>0.86379352859842007</v>
      </c>
      <c r="I112" s="216">
        <f t="shared" si="44"/>
        <v>0.88787549282429878</v>
      </c>
      <c r="J112" s="216">
        <f t="shared" si="44"/>
        <v>0.93170042144974519</v>
      </c>
      <c r="K112" s="216">
        <f t="shared" si="44"/>
        <v>0.96497543650152184</v>
      </c>
      <c r="L112" s="216">
        <f t="shared" si="44"/>
        <v>1.0006583712059982</v>
      </c>
      <c r="M112" s="216">
        <f t="shared" si="44"/>
        <v>1.0379311213908617</v>
      </c>
      <c r="N112" s="216">
        <f t="shared" si="44"/>
        <v>1.1004230345784867</v>
      </c>
      <c r="O112" s="216">
        <f t="shared" si="44"/>
        <v>1.2624008012561456</v>
      </c>
      <c r="P112" s="216" t="e">
        <f t="shared" si="44"/>
        <v>#DIV/0!</v>
      </c>
      <c r="Q112" s="216" t="e">
        <f t="shared" si="44"/>
        <v>#DIV/0!</v>
      </c>
      <c r="R112" s="216" t="e">
        <f t="shared" si="44"/>
        <v>#DIV/0!</v>
      </c>
      <c r="S112" s="216" t="e">
        <f t="shared" si="44"/>
        <v>#DIV/0!</v>
      </c>
      <c r="T112" s="216" t="e">
        <f t="shared" si="44"/>
        <v>#DIV/0!</v>
      </c>
      <c r="U112" s="216" t="e">
        <f t="shared" si="44"/>
        <v>#DIV/0!</v>
      </c>
      <c r="V112" s="216" t="e">
        <f t="shared" si="44"/>
        <v>#DIV/0!</v>
      </c>
      <c r="W112" s="216" t="e">
        <f t="shared" si="44"/>
        <v>#DIV/0!</v>
      </c>
      <c r="X112" s="216" t="e">
        <f t="shared" si="44"/>
        <v>#DIV/0!</v>
      </c>
      <c r="Y112" s="216" t="e">
        <f t="shared" si="44"/>
        <v>#DIV/0!</v>
      </c>
      <c r="Z112" s="216" t="e">
        <f t="shared" si="44"/>
        <v>#DIV/0!</v>
      </c>
      <c r="AA112" s="216" t="e">
        <f t="shared" si="44"/>
        <v>#DIV/0!</v>
      </c>
      <c r="AB112" s="216" t="e">
        <f t="shared" si="44"/>
        <v>#DIV/0!</v>
      </c>
      <c r="AC112" s="216" t="e">
        <f t="shared" si="44"/>
        <v>#DIV/0!</v>
      </c>
      <c r="AD112" s="216" t="e">
        <f t="shared" si="44"/>
        <v>#DIV/0!</v>
      </c>
      <c r="AE112" s="216" t="e">
        <f t="shared" si="44"/>
        <v>#DIV/0!</v>
      </c>
      <c r="AF112" s="216" t="e">
        <f t="shared" si="44"/>
        <v>#DIV/0!</v>
      </c>
      <c r="AG112" s="216" t="e">
        <f t="shared" si="44"/>
        <v>#DIV/0!</v>
      </c>
      <c r="AH112" s="216" t="e">
        <f t="shared" si="44"/>
        <v>#DIV/0!</v>
      </c>
    </row>
    <row r="113" spans="1:34" x14ac:dyDescent="0.25">
      <c r="A113" s="205" t="s">
        <v>119</v>
      </c>
      <c r="B113" s="206" t="s">
        <v>67</v>
      </c>
      <c r="C113" s="216">
        <f>AVERAGE(D112:O112)</f>
        <v>0.87282197165414355</v>
      </c>
      <c r="D113" s="217"/>
      <c r="E113" s="217"/>
      <c r="F113" s="217"/>
      <c r="G113" s="217"/>
      <c r="H113" s="217"/>
      <c r="I113" s="217"/>
      <c r="J113" s="217"/>
      <c r="K113" s="217"/>
      <c r="L113" s="217"/>
      <c r="M113" s="217"/>
      <c r="N113" s="217"/>
      <c r="O113" s="217"/>
      <c r="P113" s="217"/>
      <c r="Q113" s="217"/>
      <c r="R113" s="217"/>
      <c r="S113" s="217"/>
      <c r="T113" s="217"/>
      <c r="U113" s="217"/>
      <c r="V113" s="217"/>
      <c r="W113" s="217"/>
      <c r="X113" s="217"/>
      <c r="Y113" s="217"/>
      <c r="Z113" s="217"/>
      <c r="AA113" s="217"/>
      <c r="AB113" s="217"/>
      <c r="AC113" s="217"/>
      <c r="AD113" s="217"/>
      <c r="AE113" s="217"/>
      <c r="AF113" s="217"/>
      <c r="AG113" s="217"/>
      <c r="AH113" s="217"/>
    </row>
    <row r="114" spans="1:34" s="21" customFormat="1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</row>
  </sheetData>
  <mergeCells count="4">
    <mergeCell ref="B20:B21"/>
    <mergeCell ref="D20:I20"/>
    <mergeCell ref="A64:A65"/>
    <mergeCell ref="A66:A67"/>
  </mergeCells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162"/>
  <sheetViews>
    <sheetView tabSelected="1" topLeftCell="E141" zoomScale="69" zoomScaleNormal="69" workbookViewId="0">
      <selection activeCell="B162" sqref="B162"/>
    </sheetView>
  </sheetViews>
  <sheetFormatPr defaultRowHeight="15" x14ac:dyDescent="0.25"/>
  <cols>
    <col min="1" max="1" width="36.140625" style="77" customWidth="1"/>
    <col min="2" max="2" width="57" style="77" customWidth="1"/>
    <col min="3" max="32" width="18.7109375" style="77" customWidth="1"/>
  </cols>
  <sheetData>
    <row r="1" spans="1:32" ht="26.25" x14ac:dyDescent="0.4">
      <c r="A1" s="107">
        <v>0.05</v>
      </c>
      <c r="B1" s="107" t="s">
        <v>79</v>
      </c>
    </row>
    <row r="2" spans="1:32" ht="23.25" customHeight="1" x14ac:dyDescent="0.25">
      <c r="A2" s="316" t="s">
        <v>138</v>
      </c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6"/>
      <c r="M2" s="316"/>
      <c r="N2" s="316"/>
      <c r="O2" s="316"/>
      <c r="P2" s="316"/>
      <c r="Q2" s="316"/>
      <c r="R2" s="316"/>
      <c r="S2" s="316"/>
      <c r="T2" s="316"/>
      <c r="U2" s="316"/>
      <c r="V2" s="316"/>
      <c r="W2" s="316"/>
      <c r="X2" s="316"/>
      <c r="Y2" s="316"/>
      <c r="Z2" s="316"/>
      <c r="AA2" s="316"/>
      <c r="AB2" s="316"/>
      <c r="AC2" s="316"/>
      <c r="AD2" s="316"/>
    </row>
    <row r="3" spans="1:32" x14ac:dyDescent="0.25">
      <c r="A3" s="78"/>
      <c r="B3" s="78"/>
      <c r="C3" s="60" t="s">
        <v>8</v>
      </c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61" t="s">
        <v>9</v>
      </c>
    </row>
    <row r="4" spans="1:32" ht="15.75" customHeight="1" x14ac:dyDescent="0.25">
      <c r="A4" s="317" t="s">
        <v>131</v>
      </c>
      <c r="B4" s="317"/>
      <c r="C4" s="79"/>
      <c r="D4" s="1">
        <v>1</v>
      </c>
      <c r="E4" s="1">
        <v>2</v>
      </c>
      <c r="F4" s="1">
        <v>3</v>
      </c>
      <c r="G4" s="1">
        <v>4</v>
      </c>
      <c r="H4" s="1">
        <v>5</v>
      </c>
      <c r="I4" s="1">
        <v>6</v>
      </c>
      <c r="J4" s="1">
        <v>7</v>
      </c>
      <c r="K4" s="1">
        <v>8</v>
      </c>
      <c r="L4" s="1">
        <v>9</v>
      </c>
      <c r="M4" s="1">
        <v>10</v>
      </c>
      <c r="N4" s="1">
        <v>11</v>
      </c>
      <c r="O4" s="1">
        <v>12</v>
      </c>
      <c r="P4" s="1">
        <v>13</v>
      </c>
      <c r="Q4" s="1">
        <v>14</v>
      </c>
      <c r="R4" s="1">
        <v>15</v>
      </c>
      <c r="S4" s="1">
        <v>16</v>
      </c>
      <c r="T4" s="1">
        <v>17</v>
      </c>
      <c r="U4" s="1">
        <v>18</v>
      </c>
      <c r="V4" s="1">
        <v>19</v>
      </c>
      <c r="W4" s="1">
        <v>20</v>
      </c>
      <c r="X4" s="1">
        <v>21</v>
      </c>
      <c r="Y4" s="1">
        <v>22</v>
      </c>
      <c r="Z4" s="1">
        <v>23</v>
      </c>
      <c r="AA4" s="1">
        <v>24</v>
      </c>
      <c r="AB4" s="1">
        <v>25</v>
      </c>
      <c r="AC4" s="62" t="s">
        <v>78</v>
      </c>
      <c r="AD4" s="7"/>
    </row>
    <row r="5" spans="1:32" ht="16.5" customHeight="1" x14ac:dyDescent="0.25">
      <c r="A5" s="89"/>
      <c r="B5" s="90"/>
      <c r="C5" s="99">
        <v>44197</v>
      </c>
      <c r="D5" s="99">
        <v>44562</v>
      </c>
      <c r="E5" s="99">
        <v>44927</v>
      </c>
      <c r="F5" s="99">
        <v>45292</v>
      </c>
      <c r="G5" s="99">
        <v>45658</v>
      </c>
      <c r="H5" s="99">
        <v>46023</v>
      </c>
      <c r="I5" s="99">
        <v>46388</v>
      </c>
      <c r="J5" s="99">
        <v>46753</v>
      </c>
      <c r="K5" s="99">
        <v>47119</v>
      </c>
      <c r="L5" s="99">
        <v>47484</v>
      </c>
      <c r="M5" s="99">
        <v>47849</v>
      </c>
      <c r="N5" s="99">
        <v>48214</v>
      </c>
      <c r="O5" s="99">
        <v>48580</v>
      </c>
      <c r="P5" s="99">
        <v>48945</v>
      </c>
      <c r="Q5" s="99">
        <v>49310</v>
      </c>
      <c r="R5" s="99">
        <v>49675</v>
      </c>
      <c r="S5" s="99">
        <v>50041</v>
      </c>
      <c r="T5" s="99">
        <v>50406</v>
      </c>
      <c r="U5" s="99">
        <v>50771</v>
      </c>
      <c r="V5" s="99">
        <v>51136</v>
      </c>
      <c r="W5" s="99">
        <v>51502</v>
      </c>
      <c r="X5" s="99">
        <v>51867</v>
      </c>
      <c r="Y5" s="99">
        <v>52232</v>
      </c>
      <c r="Z5" s="99">
        <v>52597</v>
      </c>
      <c r="AA5" s="99">
        <v>52963</v>
      </c>
      <c r="AB5" s="99">
        <v>53328</v>
      </c>
      <c r="AC5" s="91"/>
      <c r="AD5" s="92"/>
    </row>
    <row r="6" spans="1:32" s="106" customFormat="1" ht="16.5" customHeight="1" x14ac:dyDescent="0.25">
      <c r="C6" s="101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3"/>
      <c r="AD6" s="104"/>
      <c r="AE6" s="105"/>
      <c r="AF6" s="105"/>
    </row>
    <row r="7" spans="1:32" x14ac:dyDescent="0.25">
      <c r="A7" s="307" t="s">
        <v>10</v>
      </c>
      <c r="B7" s="308"/>
      <c r="C7" s="80"/>
      <c r="D7" s="63"/>
      <c r="E7" s="63"/>
      <c r="F7" s="63"/>
      <c r="G7" s="63"/>
      <c r="H7" s="63"/>
      <c r="I7" s="63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</row>
    <row r="8" spans="1:32" x14ac:dyDescent="0.25">
      <c r="A8" s="226" t="s">
        <v>11</v>
      </c>
      <c r="B8" s="59"/>
      <c r="C8" s="88">
        <f>Interventions!$E$6</f>
        <v>27361</v>
      </c>
      <c r="D8" s="65"/>
      <c r="E8" s="65"/>
      <c r="F8" s="65"/>
      <c r="G8" s="65"/>
      <c r="H8" s="65"/>
      <c r="I8" s="65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66">
        <f>SUM(C8:AB8)</f>
        <v>27361</v>
      </c>
      <c r="AD8" s="3" t="s">
        <v>12</v>
      </c>
    </row>
    <row r="9" spans="1:32" x14ac:dyDescent="0.25">
      <c r="A9" s="59" t="s">
        <v>137</v>
      </c>
      <c r="B9" s="2"/>
      <c r="C9" s="93"/>
      <c r="D9" s="67">
        <f>Interventions!$E$7</f>
        <v>2736.1000000000004</v>
      </c>
      <c r="E9" s="67">
        <f>Interventions!$E$7</f>
        <v>2736.1000000000004</v>
      </c>
      <c r="F9" s="67">
        <f>Interventions!$E$7</f>
        <v>2736.1000000000004</v>
      </c>
      <c r="G9" s="67">
        <f>Interventions!$E$7</f>
        <v>2736.1000000000004</v>
      </c>
      <c r="H9" s="67">
        <f>Interventions!$E$7</f>
        <v>2736.1000000000004</v>
      </c>
      <c r="I9" s="67">
        <f>Interventions!$E$7</f>
        <v>2736.1000000000004</v>
      </c>
      <c r="J9" s="67">
        <f>Interventions!$E$7</f>
        <v>2736.1000000000004</v>
      </c>
      <c r="K9" s="67">
        <f>Interventions!$E$7</f>
        <v>2736.1000000000004</v>
      </c>
      <c r="L9" s="67">
        <f>Interventions!$E$7</f>
        <v>2736.1000000000004</v>
      </c>
      <c r="M9" s="67">
        <f>Interventions!$E$7</f>
        <v>2736.1000000000004</v>
      </c>
      <c r="N9" s="67">
        <f>Interventions!$E$7</f>
        <v>2736.1000000000004</v>
      </c>
      <c r="O9" s="67">
        <f>Interventions!$E$7</f>
        <v>2736.1000000000004</v>
      </c>
      <c r="P9" s="67">
        <f>Interventions!$E$7</f>
        <v>2736.1000000000004</v>
      </c>
      <c r="Q9" s="67">
        <f>Interventions!$E$7</f>
        <v>2736.1000000000004</v>
      </c>
      <c r="R9" s="67">
        <f>Interventions!$E$7</f>
        <v>2736.1000000000004</v>
      </c>
      <c r="S9" s="67">
        <f>Interventions!$E$7</f>
        <v>2736.1000000000004</v>
      </c>
      <c r="T9" s="67">
        <f>Interventions!$E$7</f>
        <v>2736.1000000000004</v>
      </c>
      <c r="U9" s="67">
        <f>Interventions!$E$7</f>
        <v>2736.1000000000004</v>
      </c>
      <c r="V9" s="67">
        <f>Interventions!$E$7</f>
        <v>2736.1000000000004</v>
      </c>
      <c r="W9" s="67">
        <f>Interventions!$E$7</f>
        <v>2736.1000000000004</v>
      </c>
      <c r="X9" s="67">
        <f>Interventions!$E$7</f>
        <v>2736.1000000000004</v>
      </c>
      <c r="Y9" s="67">
        <f>Interventions!$E$7</f>
        <v>2736.1000000000004</v>
      </c>
      <c r="Z9" s="67">
        <f>Interventions!$E$7</f>
        <v>2736.1000000000004</v>
      </c>
      <c r="AA9" s="67">
        <f>Interventions!$E$7</f>
        <v>2736.1000000000004</v>
      </c>
      <c r="AB9" s="67">
        <f>Interventions!$E$7</f>
        <v>2736.1000000000004</v>
      </c>
      <c r="AC9" s="66">
        <f>SUM(C9:AB9)</f>
        <v>68402.499999999985</v>
      </c>
      <c r="AD9" s="3" t="s">
        <v>12</v>
      </c>
    </row>
    <row r="10" spans="1:32" x14ac:dyDescent="0.25">
      <c r="A10" s="309" t="s">
        <v>80</v>
      </c>
      <c r="B10" s="310"/>
      <c r="C10" s="94">
        <f t="shared" ref="C10:W10" si="0">SUM(C8:C9)</f>
        <v>27361</v>
      </c>
      <c r="D10" s="94">
        <f t="shared" si="0"/>
        <v>2736.1000000000004</v>
      </c>
      <c r="E10" s="94">
        <f t="shared" si="0"/>
        <v>2736.1000000000004</v>
      </c>
      <c r="F10" s="94">
        <f t="shared" si="0"/>
        <v>2736.1000000000004</v>
      </c>
      <c r="G10" s="94">
        <f t="shared" si="0"/>
        <v>2736.1000000000004</v>
      </c>
      <c r="H10" s="94">
        <f t="shared" si="0"/>
        <v>2736.1000000000004</v>
      </c>
      <c r="I10" s="94">
        <f t="shared" si="0"/>
        <v>2736.1000000000004</v>
      </c>
      <c r="J10" s="94">
        <f t="shared" si="0"/>
        <v>2736.1000000000004</v>
      </c>
      <c r="K10" s="94">
        <f t="shared" si="0"/>
        <v>2736.1000000000004</v>
      </c>
      <c r="L10" s="94">
        <f t="shared" si="0"/>
        <v>2736.1000000000004</v>
      </c>
      <c r="M10" s="94">
        <f t="shared" si="0"/>
        <v>2736.1000000000004</v>
      </c>
      <c r="N10" s="94">
        <f t="shared" si="0"/>
        <v>2736.1000000000004</v>
      </c>
      <c r="O10" s="94">
        <f t="shared" si="0"/>
        <v>2736.1000000000004</v>
      </c>
      <c r="P10" s="94">
        <f t="shared" si="0"/>
        <v>2736.1000000000004</v>
      </c>
      <c r="Q10" s="94">
        <f t="shared" si="0"/>
        <v>2736.1000000000004</v>
      </c>
      <c r="R10" s="94">
        <f t="shared" si="0"/>
        <v>2736.1000000000004</v>
      </c>
      <c r="S10" s="94">
        <f t="shared" si="0"/>
        <v>2736.1000000000004</v>
      </c>
      <c r="T10" s="94">
        <f t="shared" si="0"/>
        <v>2736.1000000000004</v>
      </c>
      <c r="U10" s="94">
        <f t="shared" si="0"/>
        <v>2736.1000000000004</v>
      </c>
      <c r="V10" s="94">
        <f t="shared" si="0"/>
        <v>2736.1000000000004</v>
      </c>
      <c r="W10" s="94">
        <f t="shared" si="0"/>
        <v>2736.1000000000004</v>
      </c>
      <c r="X10" s="94">
        <f t="shared" ref="X10:AB10" si="1">SUM(X8:X9)</f>
        <v>2736.1000000000004</v>
      </c>
      <c r="Y10" s="94">
        <f t="shared" si="1"/>
        <v>2736.1000000000004</v>
      </c>
      <c r="Z10" s="94">
        <f t="shared" si="1"/>
        <v>2736.1000000000004</v>
      </c>
      <c r="AA10" s="94">
        <f t="shared" si="1"/>
        <v>2736.1000000000004</v>
      </c>
      <c r="AB10" s="94">
        <f t="shared" si="1"/>
        <v>2736.1000000000004</v>
      </c>
      <c r="AC10" s="95">
        <f>SUM(AC8:AC9)</f>
        <v>95763.499999999985</v>
      </c>
      <c r="AD10" s="6" t="s">
        <v>12</v>
      </c>
    </row>
    <row r="11" spans="1:32" x14ac:dyDescent="0.25">
      <c r="A11" s="307" t="s">
        <v>151</v>
      </c>
      <c r="B11" s="308"/>
      <c r="C11" s="80"/>
      <c r="D11" s="63"/>
      <c r="E11" s="63"/>
      <c r="F11" s="63"/>
      <c r="G11" s="63"/>
      <c r="H11" s="63"/>
      <c r="I11" s="63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</row>
    <row r="12" spans="1:32" x14ac:dyDescent="0.25">
      <c r="A12" s="59" t="s">
        <v>171</v>
      </c>
      <c r="B12" s="59"/>
      <c r="C12" s="59"/>
      <c r="D12" s="67">
        <f>'Carbon avoided'!E12</f>
        <v>575.59040000000005</v>
      </c>
      <c r="E12" s="67">
        <f>'Carbon avoided'!F12</f>
        <v>589.98016000000007</v>
      </c>
      <c r="F12" s="67">
        <f>'Carbon avoided'!G12</f>
        <v>604.72966399999996</v>
      </c>
      <c r="G12" s="67">
        <f>'Carbon avoided'!H12</f>
        <v>619.84790559999999</v>
      </c>
      <c r="H12" s="67">
        <f>'Carbon avoided'!I12</f>
        <v>635.34410323999998</v>
      </c>
      <c r="I12" s="67">
        <f>'Carbon avoided'!J12</f>
        <v>651.22770582099986</v>
      </c>
      <c r="J12" s="67">
        <f>'Carbon avoided'!K12</f>
        <v>667.5083984665248</v>
      </c>
      <c r="K12" s="67">
        <f>'Carbon avoided'!L12</f>
        <v>684.19610842818781</v>
      </c>
      <c r="L12" s="67">
        <f>'Carbon avoided'!M12</f>
        <v>701.30101113889248</v>
      </c>
      <c r="M12" s="67">
        <f>'Carbon avoided'!N12</f>
        <v>718.83353641736471</v>
      </c>
      <c r="N12" s="67">
        <f>'Carbon avoided'!O12</f>
        <v>736.80437482779871</v>
      </c>
      <c r="O12" s="67">
        <f>'Carbon avoided'!P12</f>
        <v>755.22448419849366</v>
      </c>
      <c r="P12" s="67">
        <f>'Carbon avoided'!Q12</f>
        <v>774.10509630345587</v>
      </c>
      <c r="Q12" s="67">
        <f>'Carbon avoided'!R12</f>
        <v>793.45772371104215</v>
      </c>
      <c r="R12" s="67">
        <f>'Carbon avoided'!S12</f>
        <v>813.29416680381814</v>
      </c>
      <c r="S12" s="67">
        <f>'Carbon avoided'!T12</f>
        <v>833.62652097391356</v>
      </c>
      <c r="T12" s="67">
        <f>'Carbon avoided'!U12</f>
        <v>854.46718399826136</v>
      </c>
      <c r="U12" s="67">
        <f>'Carbon avoided'!V12</f>
        <v>875.82886359821782</v>
      </c>
      <c r="V12" s="67">
        <f>'Carbon avoided'!W12</f>
        <v>897.72458518817314</v>
      </c>
      <c r="W12" s="67">
        <f>'Carbon avoided'!X12</f>
        <v>920.16769981787741</v>
      </c>
      <c r="X12" s="67">
        <f>'Carbon avoided'!Y12</f>
        <v>943.17189231332429</v>
      </c>
      <c r="Y12" s="67">
        <f>'Carbon avoided'!Z12</f>
        <v>966.75118962115732</v>
      </c>
      <c r="Z12" s="67">
        <f>'Carbon avoided'!AA12</f>
        <v>990.9199693616863</v>
      </c>
      <c r="AA12" s="67">
        <f>'Carbon avoided'!AB12</f>
        <v>1015.6929685957284</v>
      </c>
      <c r="AB12" s="67">
        <f>'Carbon avoided'!AC12</f>
        <v>1041.0852928106215</v>
      </c>
      <c r="AC12" s="66">
        <f>SUM(C12:AB12)</f>
        <v>19660.88100523554</v>
      </c>
      <c r="AD12" s="3" t="s">
        <v>12</v>
      </c>
    </row>
    <row r="13" spans="1:32" ht="12.75" customHeight="1" x14ac:dyDescent="0.25">
      <c r="A13" s="59" t="s">
        <v>175</v>
      </c>
      <c r="B13" s="59"/>
      <c r="C13" s="59"/>
      <c r="D13" s="67">
        <f>Interventions!$E$10</f>
        <v>3240</v>
      </c>
      <c r="E13" s="67">
        <f>Interventions!$E$10</f>
        <v>3240</v>
      </c>
      <c r="F13" s="67">
        <f>Interventions!$E$10</f>
        <v>3240</v>
      </c>
      <c r="G13" s="67">
        <f>Interventions!$E$10</f>
        <v>3240</v>
      </c>
      <c r="H13" s="67">
        <f>Interventions!$E$10</f>
        <v>3240</v>
      </c>
      <c r="I13" s="67">
        <f>Interventions!$E$10</f>
        <v>3240</v>
      </c>
      <c r="J13" s="67">
        <f>Interventions!$E$10</f>
        <v>3240</v>
      </c>
      <c r="K13" s="67">
        <f>Interventions!$E$10</f>
        <v>3240</v>
      </c>
      <c r="L13" s="67">
        <f>Interventions!$E$10</f>
        <v>3240</v>
      </c>
      <c r="M13" s="67">
        <f>Interventions!$E$10</f>
        <v>3240</v>
      </c>
      <c r="N13" s="67">
        <f>Interventions!$E$10</f>
        <v>3240</v>
      </c>
      <c r="O13" s="67">
        <f>Interventions!$E$10</f>
        <v>3240</v>
      </c>
      <c r="P13" s="67">
        <f>Interventions!$E$10</f>
        <v>3240</v>
      </c>
      <c r="Q13" s="67">
        <f>Interventions!$E$10</f>
        <v>3240</v>
      </c>
      <c r="R13" s="67">
        <f>Interventions!$E$10</f>
        <v>3240</v>
      </c>
      <c r="S13" s="67">
        <f>Interventions!$E$10</f>
        <v>3240</v>
      </c>
      <c r="T13" s="67">
        <f>Interventions!$E$10</f>
        <v>3240</v>
      </c>
      <c r="U13" s="67">
        <f>Interventions!$E$10</f>
        <v>3240</v>
      </c>
      <c r="V13" s="67">
        <f>Interventions!$E$10</f>
        <v>3240</v>
      </c>
      <c r="W13" s="67">
        <f>Interventions!$E$10</f>
        <v>3240</v>
      </c>
      <c r="X13" s="67">
        <f>Interventions!$E$10</f>
        <v>3240</v>
      </c>
      <c r="Y13" s="67">
        <f>Interventions!$E$10</f>
        <v>3240</v>
      </c>
      <c r="Z13" s="67">
        <f>Interventions!$E$10</f>
        <v>3240</v>
      </c>
      <c r="AA13" s="67">
        <f>Interventions!$E$10</f>
        <v>3240</v>
      </c>
      <c r="AB13" s="67">
        <f>Interventions!$E$10</f>
        <v>3240</v>
      </c>
      <c r="AC13" s="66">
        <f>SUM(C13:AB13)</f>
        <v>81000</v>
      </c>
      <c r="AD13" s="3" t="s">
        <v>12</v>
      </c>
    </row>
    <row r="14" spans="1:32" x14ac:dyDescent="0.25">
      <c r="A14" s="309" t="s">
        <v>80</v>
      </c>
      <c r="B14" s="310"/>
      <c r="C14" s="68">
        <f t="shared" ref="C14:R14" si="2">SUM(C12:C13)</f>
        <v>0</v>
      </c>
      <c r="D14" s="68">
        <f t="shared" si="2"/>
        <v>3815.5904</v>
      </c>
      <c r="E14" s="68">
        <f t="shared" si="2"/>
        <v>3829.9801600000001</v>
      </c>
      <c r="F14" s="68">
        <f t="shared" si="2"/>
        <v>3844.729664</v>
      </c>
      <c r="G14" s="68">
        <f t="shared" si="2"/>
        <v>3859.8479056000001</v>
      </c>
      <c r="H14" s="68">
        <f t="shared" si="2"/>
        <v>3875.3441032400001</v>
      </c>
      <c r="I14" s="68">
        <f t="shared" si="2"/>
        <v>3891.2277058209997</v>
      </c>
      <c r="J14" s="68">
        <f t="shared" si="2"/>
        <v>3907.5083984665248</v>
      </c>
      <c r="K14" s="68">
        <f t="shared" si="2"/>
        <v>3924.1961084281879</v>
      </c>
      <c r="L14" s="68">
        <f t="shared" si="2"/>
        <v>3941.3010111388926</v>
      </c>
      <c r="M14" s="68">
        <f t="shared" si="2"/>
        <v>3958.8335364173645</v>
      </c>
      <c r="N14" s="68">
        <f t="shared" si="2"/>
        <v>3976.8043748277987</v>
      </c>
      <c r="O14" s="68">
        <f t="shared" si="2"/>
        <v>3995.2244841984939</v>
      </c>
      <c r="P14" s="68">
        <f t="shared" si="2"/>
        <v>4014.1050963034559</v>
      </c>
      <c r="Q14" s="68">
        <f t="shared" si="2"/>
        <v>4033.457723711042</v>
      </c>
      <c r="R14" s="68">
        <f t="shared" si="2"/>
        <v>4053.2941668038184</v>
      </c>
      <c r="S14" s="68">
        <f t="shared" ref="S14:W14" si="3">SUM(S12:S13)</f>
        <v>4073.6265209739136</v>
      </c>
      <c r="T14" s="68">
        <f t="shared" si="3"/>
        <v>4094.4671839982611</v>
      </c>
      <c r="U14" s="68">
        <f t="shared" si="3"/>
        <v>4115.828863598218</v>
      </c>
      <c r="V14" s="68">
        <f t="shared" si="3"/>
        <v>4137.7245851881735</v>
      </c>
      <c r="W14" s="68">
        <f t="shared" si="3"/>
        <v>4160.1676998178773</v>
      </c>
      <c r="X14" s="68">
        <f t="shared" ref="X14:AB14" si="4">SUM(X12:X13)</f>
        <v>4183.171892313324</v>
      </c>
      <c r="Y14" s="68">
        <f t="shared" si="4"/>
        <v>4206.7511896211572</v>
      </c>
      <c r="Z14" s="68">
        <f t="shared" si="4"/>
        <v>4230.9199693616865</v>
      </c>
      <c r="AA14" s="68">
        <f t="shared" si="4"/>
        <v>4255.6929685957284</v>
      </c>
      <c r="AB14" s="68">
        <f t="shared" si="4"/>
        <v>4281.0852928106215</v>
      </c>
      <c r="AC14" s="68">
        <f>SUM(AC12:AC13)</f>
        <v>100660.88100523554</v>
      </c>
      <c r="AD14" s="6" t="s">
        <v>12</v>
      </c>
    </row>
    <row r="15" spans="1:32" x14ac:dyDescent="0.25">
      <c r="A15" s="307" t="s">
        <v>150</v>
      </c>
      <c r="B15" s="308"/>
      <c r="C15" s="80"/>
      <c r="D15" s="63"/>
      <c r="E15" s="63"/>
      <c r="F15" s="63"/>
      <c r="G15" s="63"/>
      <c r="H15" s="63"/>
      <c r="I15" s="63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</row>
    <row r="16" spans="1:32" x14ac:dyDescent="0.25">
      <c r="A16" s="226"/>
      <c r="B16" s="59"/>
      <c r="C16" s="59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6"/>
      <c r="AD16" s="3"/>
    </row>
    <row r="17" spans="1:30" x14ac:dyDescent="0.25">
      <c r="A17" s="240"/>
      <c r="B17" s="59"/>
      <c r="C17" s="59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6"/>
      <c r="AD17" s="3"/>
    </row>
    <row r="18" spans="1:30" ht="13.5" customHeight="1" x14ac:dyDescent="0.25">
      <c r="A18" s="240"/>
      <c r="B18" s="59"/>
      <c r="C18" s="59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6"/>
      <c r="AD18" s="3"/>
    </row>
    <row r="19" spans="1:30" x14ac:dyDescent="0.25">
      <c r="A19" s="59" t="s">
        <v>36</v>
      </c>
      <c r="B19" s="59" t="s">
        <v>36</v>
      </c>
      <c r="C19" s="59"/>
      <c r="D19" s="67">
        <f>Interventions!$E$14</f>
        <v>3243.5360000000001</v>
      </c>
      <c r="E19" s="67">
        <f>Interventions!$E$14</f>
        <v>3243.5360000000001</v>
      </c>
      <c r="F19" s="67">
        <f>Interventions!$E$14</f>
        <v>3243.5360000000001</v>
      </c>
      <c r="G19" s="67">
        <f>Interventions!$E$14</f>
        <v>3243.5360000000001</v>
      </c>
      <c r="H19" s="67">
        <f>Interventions!$E$14</f>
        <v>3243.5360000000001</v>
      </c>
      <c r="I19" s="67">
        <f>Interventions!$E$14</f>
        <v>3243.5360000000001</v>
      </c>
      <c r="J19" s="67">
        <f>Interventions!$E$14</f>
        <v>3243.5360000000001</v>
      </c>
      <c r="K19" s="67">
        <f>Interventions!$E$14</f>
        <v>3243.5360000000001</v>
      </c>
      <c r="L19" s="67">
        <f>Interventions!$E$14</f>
        <v>3243.5360000000001</v>
      </c>
      <c r="M19" s="67">
        <f>Interventions!$E$14</f>
        <v>3243.5360000000001</v>
      </c>
      <c r="N19" s="67">
        <f>Interventions!$E$14</f>
        <v>3243.5360000000001</v>
      </c>
      <c r="O19" s="67">
        <f>Interventions!$E$14</f>
        <v>3243.5360000000001</v>
      </c>
      <c r="P19" s="67">
        <f>Interventions!$E$14</f>
        <v>3243.5360000000001</v>
      </c>
      <c r="Q19" s="67">
        <f>Interventions!$E$14</f>
        <v>3243.5360000000001</v>
      </c>
      <c r="R19" s="67">
        <f>Interventions!$E$14</f>
        <v>3243.5360000000001</v>
      </c>
      <c r="S19" s="67">
        <f>Interventions!$E$14</f>
        <v>3243.5360000000001</v>
      </c>
      <c r="T19" s="67">
        <f>Interventions!$E$14</f>
        <v>3243.5360000000001</v>
      </c>
      <c r="U19" s="67">
        <f>Interventions!$E$14</f>
        <v>3243.5360000000001</v>
      </c>
      <c r="V19" s="67">
        <f>Interventions!$E$14</f>
        <v>3243.5360000000001</v>
      </c>
      <c r="W19" s="67">
        <f>Interventions!$E$14</f>
        <v>3243.5360000000001</v>
      </c>
      <c r="X19" s="67">
        <f>Interventions!$E$14</f>
        <v>3243.5360000000001</v>
      </c>
      <c r="Y19" s="67">
        <f>Interventions!$E$14</f>
        <v>3243.5360000000001</v>
      </c>
      <c r="Z19" s="67">
        <f>Interventions!$E$14</f>
        <v>3243.5360000000001</v>
      </c>
      <c r="AA19" s="67">
        <f>Interventions!$E$14</f>
        <v>3243.5360000000001</v>
      </c>
      <c r="AB19" s="67">
        <f>Interventions!$E$14</f>
        <v>3243.5360000000001</v>
      </c>
      <c r="AC19" s="66">
        <f>SUM(D19:AB19)</f>
        <v>81088.399999999965</v>
      </c>
      <c r="AD19" s="3" t="s">
        <v>12</v>
      </c>
    </row>
    <row r="20" spans="1:30" x14ac:dyDescent="0.25">
      <c r="A20" s="309" t="s">
        <v>80</v>
      </c>
      <c r="B20" s="310"/>
      <c r="C20" s="81">
        <f>SUM(C16:C16)</f>
        <v>0</v>
      </c>
      <c r="D20" s="81">
        <f>SUM(D16:D19)</f>
        <v>3243.5360000000001</v>
      </c>
      <c r="E20" s="81">
        <f t="shared" ref="E20" si="5">SUM(E16:E19)</f>
        <v>3243.5360000000001</v>
      </c>
      <c r="F20" s="81">
        <f t="shared" ref="F20" si="6">SUM(F16:F19)</f>
        <v>3243.5360000000001</v>
      </c>
      <c r="G20" s="81">
        <f t="shared" ref="G20" si="7">SUM(G16:G19)</f>
        <v>3243.5360000000001</v>
      </c>
      <c r="H20" s="81">
        <f t="shared" ref="H20" si="8">SUM(H16:H19)</f>
        <v>3243.5360000000001</v>
      </c>
      <c r="I20" s="81">
        <f t="shared" ref="I20" si="9">SUM(I16:I19)</f>
        <v>3243.5360000000001</v>
      </c>
      <c r="J20" s="81">
        <f t="shared" ref="J20" si="10">SUM(J16:J19)</f>
        <v>3243.5360000000001</v>
      </c>
      <c r="K20" s="81">
        <f t="shared" ref="K20" si="11">SUM(K16:K19)</f>
        <v>3243.5360000000001</v>
      </c>
      <c r="L20" s="81">
        <f t="shared" ref="L20" si="12">SUM(L16:L19)</f>
        <v>3243.5360000000001</v>
      </c>
      <c r="M20" s="81">
        <f t="shared" ref="M20" si="13">SUM(M16:M19)</f>
        <v>3243.5360000000001</v>
      </c>
      <c r="N20" s="81">
        <f t="shared" ref="N20" si="14">SUM(N16:N19)</f>
        <v>3243.5360000000001</v>
      </c>
      <c r="O20" s="81">
        <f t="shared" ref="O20" si="15">SUM(O16:O19)</f>
        <v>3243.5360000000001</v>
      </c>
      <c r="P20" s="81">
        <f t="shared" ref="P20" si="16">SUM(P16:P19)</f>
        <v>3243.5360000000001</v>
      </c>
      <c r="Q20" s="81">
        <f t="shared" ref="Q20" si="17">SUM(Q16:Q19)</f>
        <v>3243.5360000000001</v>
      </c>
      <c r="R20" s="81">
        <f t="shared" ref="R20" si="18">SUM(R16:R19)</f>
        <v>3243.5360000000001</v>
      </c>
      <c r="S20" s="81">
        <f t="shared" ref="S20" si="19">SUM(S16:S19)</f>
        <v>3243.5360000000001</v>
      </c>
      <c r="T20" s="81">
        <f t="shared" ref="T20" si="20">SUM(T16:T19)</f>
        <v>3243.5360000000001</v>
      </c>
      <c r="U20" s="81">
        <f t="shared" ref="U20" si="21">SUM(U16:U19)</f>
        <v>3243.5360000000001</v>
      </c>
      <c r="V20" s="81">
        <f t="shared" ref="V20" si="22">SUM(V16:V19)</f>
        <v>3243.5360000000001</v>
      </c>
      <c r="W20" s="81">
        <f t="shared" ref="W20" si="23">SUM(W16:W19)</f>
        <v>3243.5360000000001</v>
      </c>
      <c r="X20" s="81">
        <f t="shared" ref="X20" si="24">SUM(X16:X19)</f>
        <v>3243.5360000000001</v>
      </c>
      <c r="Y20" s="81">
        <f t="shared" ref="Y20" si="25">SUM(Y16:Y19)</f>
        <v>3243.5360000000001</v>
      </c>
      <c r="Z20" s="81">
        <f t="shared" ref="Z20" si="26">SUM(Z16:Z19)</f>
        <v>3243.5360000000001</v>
      </c>
      <c r="AA20" s="81">
        <f t="shared" ref="AA20" si="27">SUM(AA16:AA19)</f>
        <v>3243.5360000000001</v>
      </c>
      <c r="AB20" s="81">
        <f t="shared" ref="AB20" si="28">SUM(AB16:AB19)</f>
        <v>3243.5360000000001</v>
      </c>
      <c r="AC20" s="81">
        <f t="shared" ref="AC20" si="29">SUM(AC16:AC19)</f>
        <v>81088.399999999965</v>
      </c>
      <c r="AD20" s="6" t="s">
        <v>12</v>
      </c>
    </row>
    <row r="21" spans="1:30" x14ac:dyDescent="0.25">
      <c r="A21" s="132"/>
      <c r="B21" s="133" t="s">
        <v>81</v>
      </c>
      <c r="C21" s="134">
        <f t="shared" ref="C21:R21" si="30">(C20+C14)-C10</f>
        <v>-27361</v>
      </c>
      <c r="D21" s="134">
        <f t="shared" si="30"/>
        <v>4323.0263999999997</v>
      </c>
      <c r="E21" s="134">
        <f t="shared" si="30"/>
        <v>4337.4161599999998</v>
      </c>
      <c r="F21" s="134">
        <f t="shared" si="30"/>
        <v>4352.1656640000001</v>
      </c>
      <c r="G21" s="134">
        <f t="shared" si="30"/>
        <v>4367.2839055999993</v>
      </c>
      <c r="H21" s="134">
        <f t="shared" si="30"/>
        <v>4382.7801032400002</v>
      </c>
      <c r="I21" s="134">
        <f t="shared" si="30"/>
        <v>4398.6637058209999</v>
      </c>
      <c r="J21" s="134">
        <f t="shared" si="30"/>
        <v>4414.9443984665249</v>
      </c>
      <c r="K21" s="134">
        <f t="shared" si="30"/>
        <v>4431.6321084281881</v>
      </c>
      <c r="L21" s="134">
        <f t="shared" si="30"/>
        <v>4448.7370111388918</v>
      </c>
      <c r="M21" s="134">
        <f t="shared" si="30"/>
        <v>4466.2695364173642</v>
      </c>
      <c r="N21" s="134">
        <f t="shared" si="30"/>
        <v>4484.2403748277984</v>
      </c>
      <c r="O21" s="134">
        <f t="shared" si="30"/>
        <v>4502.6604841984936</v>
      </c>
      <c r="P21" s="134">
        <f t="shared" si="30"/>
        <v>4521.5410963034556</v>
      </c>
      <c r="Q21" s="134">
        <f t="shared" si="30"/>
        <v>4540.8937237110422</v>
      </c>
      <c r="R21" s="134">
        <f t="shared" si="30"/>
        <v>4560.7301668038181</v>
      </c>
      <c r="S21" s="134">
        <f t="shared" ref="S21:W21" si="31">(S20+S14)-S10</f>
        <v>4581.0625209739137</v>
      </c>
      <c r="T21" s="134">
        <f t="shared" si="31"/>
        <v>4601.9031839982608</v>
      </c>
      <c r="U21" s="134">
        <f t="shared" si="31"/>
        <v>4623.2648635982177</v>
      </c>
      <c r="V21" s="134">
        <f t="shared" si="31"/>
        <v>4645.1605851881732</v>
      </c>
      <c r="W21" s="134">
        <f t="shared" si="31"/>
        <v>4667.603699817877</v>
      </c>
      <c r="X21" s="134">
        <f t="shared" ref="X21:AB21" si="32">(X20+X14)-X10</f>
        <v>4690.6078923133236</v>
      </c>
      <c r="Y21" s="134">
        <f t="shared" si="32"/>
        <v>4714.1871896211569</v>
      </c>
      <c r="Z21" s="134">
        <f t="shared" si="32"/>
        <v>4738.3559693616862</v>
      </c>
      <c r="AA21" s="134">
        <f t="shared" si="32"/>
        <v>4763.1289685957281</v>
      </c>
      <c r="AB21" s="134">
        <f t="shared" si="32"/>
        <v>4788.5212928106212</v>
      </c>
      <c r="AC21" s="134">
        <f>(AC20+AC14)-AC10</f>
        <v>85985.78100523552</v>
      </c>
      <c r="AD21" s="135" t="s">
        <v>12</v>
      </c>
    </row>
    <row r="22" spans="1:30" x14ac:dyDescent="0.25">
      <c r="A22" s="132"/>
      <c r="B22" s="133" t="s">
        <v>82</v>
      </c>
      <c r="C22" s="134">
        <f t="shared" ref="C22:R22" si="33">(C20)-C10</f>
        <v>-27361</v>
      </c>
      <c r="D22" s="134">
        <f t="shared" si="33"/>
        <v>507.43599999999969</v>
      </c>
      <c r="E22" s="134">
        <f t="shared" si="33"/>
        <v>507.43599999999969</v>
      </c>
      <c r="F22" s="134">
        <f t="shared" si="33"/>
        <v>507.43599999999969</v>
      </c>
      <c r="G22" s="134">
        <f t="shared" si="33"/>
        <v>507.43599999999969</v>
      </c>
      <c r="H22" s="134">
        <f t="shared" si="33"/>
        <v>507.43599999999969</v>
      </c>
      <c r="I22" s="134">
        <f t="shared" si="33"/>
        <v>507.43599999999969</v>
      </c>
      <c r="J22" s="134">
        <f t="shared" si="33"/>
        <v>507.43599999999969</v>
      </c>
      <c r="K22" s="134">
        <f t="shared" si="33"/>
        <v>507.43599999999969</v>
      </c>
      <c r="L22" s="134">
        <f t="shared" si="33"/>
        <v>507.43599999999969</v>
      </c>
      <c r="M22" s="134">
        <f t="shared" si="33"/>
        <v>507.43599999999969</v>
      </c>
      <c r="N22" s="134">
        <f t="shared" si="33"/>
        <v>507.43599999999969</v>
      </c>
      <c r="O22" s="134">
        <f t="shared" si="33"/>
        <v>507.43599999999969</v>
      </c>
      <c r="P22" s="134">
        <f t="shared" si="33"/>
        <v>507.43599999999969</v>
      </c>
      <c r="Q22" s="134">
        <f t="shared" si="33"/>
        <v>507.43599999999969</v>
      </c>
      <c r="R22" s="134">
        <f t="shared" si="33"/>
        <v>507.43599999999969</v>
      </c>
      <c r="S22" s="134">
        <f t="shared" ref="S22:W22" si="34">(S20)-S10</f>
        <v>507.43599999999969</v>
      </c>
      <c r="T22" s="134">
        <f t="shared" si="34"/>
        <v>507.43599999999969</v>
      </c>
      <c r="U22" s="134">
        <f t="shared" si="34"/>
        <v>507.43599999999969</v>
      </c>
      <c r="V22" s="134">
        <f t="shared" si="34"/>
        <v>507.43599999999969</v>
      </c>
      <c r="W22" s="134">
        <f t="shared" si="34"/>
        <v>507.43599999999969</v>
      </c>
      <c r="X22" s="134">
        <f t="shared" ref="X22:AB22" si="35">(X20)-X10</f>
        <v>507.43599999999969</v>
      </c>
      <c r="Y22" s="134">
        <f t="shared" si="35"/>
        <v>507.43599999999969</v>
      </c>
      <c r="Z22" s="134">
        <f t="shared" si="35"/>
        <v>507.43599999999969</v>
      </c>
      <c r="AA22" s="134">
        <f t="shared" si="35"/>
        <v>507.43599999999969</v>
      </c>
      <c r="AB22" s="134">
        <f t="shared" si="35"/>
        <v>507.43599999999969</v>
      </c>
      <c r="AC22" s="134">
        <f>(AC20)-AC10</f>
        <v>-14675.10000000002</v>
      </c>
      <c r="AD22" s="135" t="s">
        <v>12</v>
      </c>
    </row>
    <row r="23" spans="1:30" ht="13.5" customHeight="1" x14ac:dyDescent="0.25">
      <c r="A23" s="69" t="s">
        <v>83</v>
      </c>
      <c r="B23" s="70">
        <f>XIRR(C22:AB22, C$5:AB$5, 0.1)</f>
        <v>-5.2049860358238234E-2</v>
      </c>
      <c r="D23" s="82"/>
      <c r="E23" s="71"/>
      <c r="F23" s="71"/>
      <c r="G23" s="71"/>
      <c r="H23" s="71"/>
      <c r="I23" s="71"/>
      <c r="J23" s="72"/>
    </row>
    <row r="24" spans="1:30" ht="13.5" customHeight="1" x14ac:dyDescent="0.25">
      <c r="A24" s="96" t="s">
        <v>85</v>
      </c>
      <c r="B24" s="73">
        <f>XIRR(C21:AB21, C$5:AB$5, 0.1)</f>
        <v>0.1571242392063141</v>
      </c>
      <c r="D24" s="82"/>
      <c r="E24" s="71"/>
      <c r="F24" s="71"/>
      <c r="G24" s="71"/>
      <c r="H24" s="71"/>
      <c r="I24" s="71"/>
      <c r="J24" s="72"/>
    </row>
    <row r="25" spans="1:30" x14ac:dyDescent="0.25">
      <c r="A25" s="97" t="s">
        <v>86</v>
      </c>
      <c r="B25" s="84">
        <f>XNPV(A$1,C20:AB20,C$5:AB$5)/XNPV(A$1,C10:AB10,C$5:AB$5)</f>
        <v>0.69335724056386927</v>
      </c>
      <c r="E25" s="85"/>
      <c r="F25" s="85"/>
      <c r="G25" s="85"/>
      <c r="H25" s="85"/>
      <c r="I25" s="85"/>
    </row>
    <row r="26" spans="1:30" x14ac:dyDescent="0.25">
      <c r="A26" s="96" t="s">
        <v>87</v>
      </c>
      <c r="B26" s="86">
        <f>(XNPV(A$1,C20:AB20,C$5:AB$5)+XNPV(A$1,C14:AB14,C$5:AB$5))/XNPV(A$1,C10:AB10,C$5:AB$5)</f>
        <v>1.5439756908617523</v>
      </c>
      <c r="E26" s="85"/>
      <c r="F26" s="85"/>
      <c r="G26" s="85"/>
      <c r="H26" s="85"/>
      <c r="I26" s="85"/>
    </row>
    <row r="27" spans="1:30" x14ac:dyDescent="0.25">
      <c r="A27" s="98" t="s">
        <v>84</v>
      </c>
      <c r="B27" s="74">
        <f>XNPV(A$1,C22:AB22,C$5:AB$5)</f>
        <v>-20211.381206328282</v>
      </c>
      <c r="E27" s="85"/>
      <c r="F27" s="85"/>
      <c r="G27" s="85"/>
      <c r="H27" s="85"/>
      <c r="I27" s="85"/>
    </row>
    <row r="28" spans="1:30" x14ac:dyDescent="0.25">
      <c r="A28" s="96" t="s">
        <v>88</v>
      </c>
      <c r="B28" s="76">
        <f>XNPV(A$1,C21:AB21,C$5:AB$5)</f>
        <v>35854.42576632127</v>
      </c>
      <c r="E28" s="85"/>
      <c r="F28" s="85"/>
      <c r="G28" s="85"/>
      <c r="H28" s="85"/>
      <c r="I28" s="85"/>
    </row>
    <row r="29" spans="1:30" x14ac:dyDescent="0.25">
      <c r="A29" s="83" t="s">
        <v>76</v>
      </c>
      <c r="B29" s="74" t="s">
        <v>127</v>
      </c>
      <c r="C29" s="75">
        <f>C20/C10</f>
        <v>0</v>
      </c>
      <c r="D29" s="87">
        <f>SUM($C$20:D20)/SUM($C$10:D10)</f>
        <v>0.1077690541613644</v>
      </c>
      <c r="E29" s="87">
        <f>SUM($C$20:E20)/SUM($C$10:E10)</f>
        <v>0.19757659929583474</v>
      </c>
      <c r="F29" s="87">
        <f>SUM($C$20:F20)/SUM($C$10:F10)</f>
        <v>0.27356759902500194</v>
      </c>
      <c r="G29" s="87">
        <f>SUM($C$20:G20)/SUM($C$10:G10)</f>
        <v>0.33870274165000241</v>
      </c>
      <c r="H29" s="87">
        <f>SUM($C$20:H20)/SUM($C$10:H10)</f>
        <v>0.39515319859166947</v>
      </c>
      <c r="I29" s="87">
        <f>SUM($C$20:I20)/SUM($C$10:I10)</f>
        <v>0.44454734841562821</v>
      </c>
      <c r="J29" s="87">
        <f>SUM($C$20:J20)/SUM($C$10:J10)</f>
        <v>0.48813042178970939</v>
      </c>
      <c r="K29" s="87">
        <f>SUM($C$20:K20)/SUM($C$10:K10)</f>
        <v>0.5268709314555593</v>
      </c>
      <c r="L29" s="87">
        <f>SUM($C$20:L20)/SUM($C$10:L10)</f>
        <v>0.56153349273553033</v>
      </c>
      <c r="M29" s="87">
        <f>SUM($C$20:M20)/SUM($C$10:M10)</f>
        <v>0.59272979788750424</v>
      </c>
      <c r="N29" s="87">
        <f>SUM($C$20:N20)/SUM($C$10:N10)</f>
        <v>0.62095502635833788</v>
      </c>
      <c r="O29" s="87">
        <f>SUM($C$20:O20)/SUM($C$10:O10)</f>
        <v>0.64661432496818649</v>
      </c>
      <c r="P29" s="87">
        <f>SUM($C$20:P20)/SUM($C$10:P10)</f>
        <v>0.67004238022065699</v>
      </c>
      <c r="Q29" s="87">
        <f>SUM($C$20:Q20)/SUM($C$10:Q10)</f>
        <v>0.69151809753542171</v>
      </c>
      <c r="R29" s="87">
        <f>SUM($C$20:R20)/SUM($C$10:R10)</f>
        <v>0.71127575746500504</v>
      </c>
      <c r="S29" s="87">
        <f>SUM($C$20:S20)/SUM($C$10:S10)</f>
        <v>0.72951359740000521</v>
      </c>
      <c r="T29" s="87">
        <f>SUM($C$20:T20)/SUM($C$10:T10)</f>
        <v>0.74640048622870891</v>
      </c>
      <c r="U29" s="87">
        <f>SUM($C$20:U20)/SUM($C$10:U10)</f>
        <v>0.76208116871250531</v>
      </c>
      <c r="V29" s="87">
        <f>SUM($C$20:V20)/SUM($C$10:V10)</f>
        <v>0.77668042481810873</v>
      </c>
      <c r="W29" s="87">
        <f>SUM($C$20:W20)/SUM($C$10:W10)</f>
        <v>0.79030639718333873</v>
      </c>
      <c r="X29" s="87">
        <f>SUM($C$20:X20)/SUM($C$10:X10)</f>
        <v>0.80305327455726339</v>
      </c>
      <c r="Y29" s="87">
        <f>SUM($C$20:Y20)/SUM($C$10:Y10)</f>
        <v>0.81500347209531776</v>
      </c>
      <c r="Z29" s="87">
        <f>SUM($C$20:Z20)/SUM($C$10:Z10)</f>
        <v>0.82622941523712645</v>
      </c>
      <c r="AA29" s="87">
        <f>SUM($C$20:AA20)/SUM($C$10:AA10)</f>
        <v>0.83679500878235813</v>
      </c>
      <c r="AB29" s="87">
        <f>SUM($C$20:AB20)/SUM($C$10:AB10)</f>
        <v>0.84675685412500512</v>
      </c>
    </row>
    <row r="30" spans="1:30" x14ac:dyDescent="0.25">
      <c r="A30" s="96" t="s">
        <v>89</v>
      </c>
      <c r="B30" s="76">
        <f>IF(J30,$J$4-$C$4)</f>
        <v>7</v>
      </c>
      <c r="C30" s="75">
        <f>(C20+C14)/C10</f>
        <v>0</v>
      </c>
      <c r="D30" s="87">
        <f>(SUM($C$20:D20)+SUM($C$14:D14))/SUM($C$10:D10)</f>
        <v>0.23454506912626136</v>
      </c>
      <c r="E30" s="87">
        <f>(SUM($C$20:E20)+SUM($C$14:E14))/SUM($C$10:E10)</f>
        <v>0.43043756197994715</v>
      </c>
      <c r="F30" s="87">
        <f>(SUM($C$20:F20)+SUM($C$14:F14))/SUM($C$10:F10)</f>
        <v>0.59660741774507797</v>
      </c>
      <c r="G30" s="87">
        <f>(SUM($C$20:G20)+SUM($C$14:G14))/SUM($C$10:G10)</f>
        <v>0.73943339919698015</v>
      </c>
      <c r="H30" s="87">
        <f>(SUM($C$20:H20)+SUM($C$14:H14))/SUM($C$10:H10)</f>
        <v>0.86359349031687449</v>
      </c>
      <c r="I30" s="87">
        <f>(SUM($C$20:I20)+SUM($C$14:I14))/SUM($C$10:I10)</f>
        <v>0.97259639492939332</v>
      </c>
      <c r="J30" s="87">
        <f>(SUM($C$20:J20)+SUM($C$14:J14))/SUM($C$10:J10)</f>
        <v>1.0691254477095464</v>
      </c>
      <c r="K30" s="87">
        <f>(SUM($C$20:K20)+SUM($C$14:K14))/SUM($C$10:K10)</f>
        <v>1.1552678883072767</v>
      </c>
      <c r="L30" s="87">
        <f>(SUM($C$20:L20)+SUM($C$14:L14))/SUM($C$10:L10)</f>
        <v>1.2326717332333308</v>
      </c>
      <c r="M30" s="87">
        <f>(SUM($C$20:M20)+SUM($C$14:M14))/SUM($C$10:M10)</f>
        <v>1.302655586292752</v>
      </c>
      <c r="N30" s="87">
        <f>(SUM($C$20:N20)+SUM($C$14:N14))/SUM($C$10:N10)</f>
        <v>1.3662870747194873</v>
      </c>
      <c r="O30" s="87">
        <f>(SUM($C$20:O20)+SUM($C$14:O14))/SUM($C$10:O10)</f>
        <v>1.4244398937462128</v>
      </c>
      <c r="P30" s="87">
        <f>(SUM($C$20:P20)+SUM($C$14:P14))/SUM($C$10:P10)</f>
        <v>1.4778359700882047</v>
      </c>
      <c r="Q30" s="87">
        <f>(SUM($C$20:Q20)+SUM($C$14:Q14))/SUM($C$10:Q10)</f>
        <v>1.5270770846605386</v>
      </c>
      <c r="R30" s="87">
        <f>(SUM($C$20:R20)+SUM($C$14:R14))/SUM($C$10:R10)</f>
        <v>1.5726689059457855</v>
      </c>
      <c r="S30" s="87">
        <f>(SUM($C$20:S20)+SUM($C$14:S14))/SUM($C$10:S10)</f>
        <v>1.6150394773010786</v>
      </c>
      <c r="T30" s="87">
        <f>(SUM($C$20:T20)+SUM($C$14:T14))/SUM($C$10:T10)</f>
        <v>1.6545535960745528</v>
      </c>
      <c r="U30" s="87">
        <f>(SUM($C$20:U20)+SUM($C$14:U14))/SUM($C$10:U10)</f>
        <v>1.6915241115812256</v>
      </c>
      <c r="V30" s="87">
        <f>(SUM($C$20:V20)+SUM($C$14:V14))/SUM($C$10:V10)</f>
        <v>1.7262208856642809</v>
      </c>
      <c r="W30" s="87">
        <f>(SUM($C$20:W20)+SUM($C$14:W14))/SUM($C$10:W10)</f>
        <v>1.7588779612408538</v>
      </c>
      <c r="X30" s="87">
        <f>(SUM($C$20:X20)+SUM($C$14:X14))/SUM($C$10:X10)</f>
        <v>1.7896993434833228</v>
      </c>
      <c r="Y30" s="87">
        <f>(SUM($C$20:Y20)+SUM($C$14:Y14))/SUM($C$10:Y10)</f>
        <v>1.8188636971244132</v>
      </c>
      <c r="Z30" s="87">
        <f>(SUM($C$20:Z20)+SUM($C$14:Z14))/SUM($C$10:Z10)</f>
        <v>1.8465281898015546</v>
      </c>
      <c r="AA30" s="87">
        <f>(SUM($C$20:AA20)+SUM($C$14:AA14))/SUM($C$10:AA10)</f>
        <v>1.8728316572582357</v>
      </c>
      <c r="AB30" s="87">
        <f>(SUM($C$20:AB20)+SUM($C$14:AB14))/SUM($C$10:AB10)</f>
        <v>1.8978972260332529</v>
      </c>
    </row>
    <row r="31" spans="1:30" x14ac:dyDescent="0.25">
      <c r="J31" s="8"/>
    </row>
    <row r="34" spans="1:32" ht="26.25" x14ac:dyDescent="0.4">
      <c r="A34" s="107">
        <v>9.5000000000000001E-2</v>
      </c>
      <c r="B34" s="107" t="s">
        <v>79</v>
      </c>
    </row>
    <row r="35" spans="1:32" ht="23.25" customHeight="1" x14ac:dyDescent="0.25">
      <c r="A35" s="313" t="s">
        <v>139</v>
      </c>
      <c r="B35" s="314"/>
      <c r="C35" s="314"/>
      <c r="D35" s="314"/>
      <c r="E35" s="314"/>
      <c r="F35" s="314"/>
      <c r="G35" s="314"/>
      <c r="H35" s="314"/>
      <c r="I35" s="314"/>
      <c r="J35" s="314"/>
      <c r="K35" s="314"/>
      <c r="L35" s="314"/>
      <c r="M35" s="314"/>
      <c r="N35" s="314"/>
      <c r="O35" s="314"/>
      <c r="P35" s="314"/>
      <c r="Q35" s="314"/>
      <c r="R35" s="314"/>
      <c r="S35" s="314"/>
      <c r="T35" s="314"/>
      <c r="U35" s="314"/>
      <c r="V35" s="314"/>
      <c r="W35" s="314"/>
      <c r="X35" s="314"/>
      <c r="Y35" s="314"/>
      <c r="Z35" s="314"/>
      <c r="AA35" s="314"/>
      <c r="AB35" s="314"/>
      <c r="AC35" s="314"/>
      <c r="AD35" s="315"/>
    </row>
    <row r="36" spans="1:32" x14ac:dyDescent="0.25">
      <c r="A36" s="78"/>
      <c r="B36" s="78"/>
      <c r="C36" s="60" t="s">
        <v>8</v>
      </c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1" t="s">
        <v>9</v>
      </c>
    </row>
    <row r="37" spans="1:32" ht="15.75" customHeight="1" x14ac:dyDescent="0.25">
      <c r="A37" s="311" t="s">
        <v>131</v>
      </c>
      <c r="B37" s="312"/>
      <c r="C37" s="224"/>
      <c r="D37" s="1">
        <v>1</v>
      </c>
      <c r="E37" s="1">
        <v>2</v>
      </c>
      <c r="F37" s="1">
        <v>3</v>
      </c>
      <c r="G37" s="1">
        <v>4</v>
      </c>
      <c r="H37" s="1">
        <v>5</v>
      </c>
      <c r="I37" s="1">
        <v>6</v>
      </c>
      <c r="J37" s="1">
        <v>7</v>
      </c>
      <c r="K37" s="1">
        <v>8</v>
      </c>
      <c r="L37" s="1">
        <v>9</v>
      </c>
      <c r="M37" s="1">
        <v>10</v>
      </c>
      <c r="N37" s="1">
        <v>11</v>
      </c>
      <c r="O37" s="1">
        <v>12</v>
      </c>
      <c r="P37" s="1">
        <v>13</v>
      </c>
      <c r="Q37" s="1">
        <v>14</v>
      </c>
      <c r="R37" s="1">
        <v>15</v>
      </c>
      <c r="S37" s="1">
        <v>16</v>
      </c>
      <c r="T37" s="1">
        <v>17</v>
      </c>
      <c r="U37" s="1">
        <v>18</v>
      </c>
      <c r="V37" s="1">
        <v>19</v>
      </c>
      <c r="W37" s="1">
        <v>20</v>
      </c>
      <c r="X37" s="1">
        <v>21</v>
      </c>
      <c r="Y37" s="1">
        <v>22</v>
      </c>
      <c r="Z37" s="1">
        <v>23</v>
      </c>
      <c r="AA37" s="1">
        <v>24</v>
      </c>
      <c r="AB37" s="1">
        <v>25</v>
      </c>
      <c r="AC37" s="62" t="s">
        <v>78</v>
      </c>
      <c r="AD37" s="7"/>
    </row>
    <row r="38" spans="1:32" ht="16.5" customHeight="1" x14ac:dyDescent="0.25">
      <c r="A38" s="89"/>
      <c r="B38" s="90"/>
      <c r="C38" s="99">
        <v>44197</v>
      </c>
      <c r="D38" s="99">
        <v>44562</v>
      </c>
      <c r="E38" s="99">
        <v>44927</v>
      </c>
      <c r="F38" s="99">
        <v>45292</v>
      </c>
      <c r="G38" s="99">
        <v>45658</v>
      </c>
      <c r="H38" s="99">
        <v>46023</v>
      </c>
      <c r="I38" s="99">
        <v>46388</v>
      </c>
      <c r="J38" s="99">
        <v>46753</v>
      </c>
      <c r="K38" s="99">
        <v>47119</v>
      </c>
      <c r="L38" s="99">
        <v>47484</v>
      </c>
      <c r="M38" s="99">
        <v>47849</v>
      </c>
      <c r="N38" s="99">
        <v>48214</v>
      </c>
      <c r="O38" s="99">
        <v>48580</v>
      </c>
      <c r="P38" s="99">
        <v>48945</v>
      </c>
      <c r="Q38" s="99">
        <v>49310</v>
      </c>
      <c r="R38" s="99">
        <v>49675</v>
      </c>
      <c r="S38" s="99">
        <v>50041</v>
      </c>
      <c r="T38" s="99">
        <v>50406</v>
      </c>
      <c r="U38" s="99">
        <v>50771</v>
      </c>
      <c r="V38" s="99">
        <v>51136</v>
      </c>
      <c r="W38" s="99">
        <v>51502</v>
      </c>
      <c r="X38" s="99">
        <v>51867</v>
      </c>
      <c r="Y38" s="99">
        <v>52232</v>
      </c>
      <c r="Z38" s="99">
        <v>52597</v>
      </c>
      <c r="AA38" s="99">
        <v>52963</v>
      </c>
      <c r="AB38" s="99">
        <v>53328</v>
      </c>
      <c r="AC38" s="91"/>
      <c r="AD38" s="92"/>
    </row>
    <row r="39" spans="1:32" s="106" customFormat="1" ht="16.5" customHeight="1" x14ac:dyDescent="0.25">
      <c r="C39" s="101"/>
      <c r="D39" s="102"/>
      <c r="E39" s="102"/>
      <c r="F39" s="102"/>
      <c r="G39" s="102"/>
      <c r="H39" s="102"/>
      <c r="I39" s="102"/>
      <c r="J39" s="102"/>
      <c r="K39" s="102"/>
      <c r="L39" s="102"/>
      <c r="M39" s="102"/>
      <c r="N39" s="102"/>
      <c r="O39" s="102"/>
      <c r="P39" s="102"/>
      <c r="Q39" s="102"/>
      <c r="R39" s="102"/>
      <c r="S39" s="102"/>
      <c r="T39" s="102"/>
      <c r="U39" s="102"/>
      <c r="V39" s="102"/>
      <c r="W39" s="102"/>
      <c r="X39" s="102"/>
      <c r="Y39" s="102"/>
      <c r="Z39" s="102"/>
      <c r="AA39" s="102"/>
      <c r="AB39" s="102"/>
      <c r="AC39" s="103"/>
      <c r="AD39" s="104"/>
      <c r="AE39" s="105"/>
      <c r="AF39" s="105"/>
    </row>
    <row r="40" spans="1:32" x14ac:dyDescent="0.25">
      <c r="A40" s="307" t="s">
        <v>10</v>
      </c>
      <c r="B40" s="308"/>
      <c r="C40" s="239"/>
      <c r="D40" s="63"/>
      <c r="E40" s="63"/>
      <c r="F40" s="63"/>
      <c r="G40" s="63"/>
      <c r="H40" s="63"/>
      <c r="I40" s="63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</row>
    <row r="41" spans="1:32" x14ac:dyDescent="0.25">
      <c r="A41" s="226" t="s">
        <v>11</v>
      </c>
      <c r="B41" s="59"/>
      <c r="C41" s="88">
        <f>Interventions!$F$6</f>
        <v>27361</v>
      </c>
      <c r="D41" s="65"/>
      <c r="E41" s="65"/>
      <c r="F41" s="65"/>
      <c r="G41" s="65"/>
      <c r="H41" s="65"/>
      <c r="I41" s="65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66">
        <f>SUM(C41:AB41)</f>
        <v>27361</v>
      </c>
      <c r="AD41" s="3" t="s">
        <v>12</v>
      </c>
    </row>
    <row r="42" spans="1:32" x14ac:dyDescent="0.25">
      <c r="A42" s="59" t="s">
        <v>137</v>
      </c>
      <c r="B42" s="226"/>
      <c r="C42" s="93"/>
      <c r="D42" s="67">
        <f>Interventions!$F$7</f>
        <v>2736.1000000000004</v>
      </c>
      <c r="E42" s="67">
        <f>Interventions!$F$7</f>
        <v>2736.1000000000004</v>
      </c>
      <c r="F42" s="67">
        <f>Interventions!$F$7</f>
        <v>2736.1000000000004</v>
      </c>
      <c r="G42" s="67">
        <f>Interventions!$F$7</f>
        <v>2736.1000000000004</v>
      </c>
      <c r="H42" s="67">
        <f>Interventions!$F$7</f>
        <v>2736.1000000000004</v>
      </c>
      <c r="I42" s="67">
        <f>Interventions!$F$7</f>
        <v>2736.1000000000004</v>
      </c>
      <c r="J42" s="67">
        <f>Interventions!$F$7</f>
        <v>2736.1000000000004</v>
      </c>
      <c r="K42" s="67">
        <f>Interventions!$F$7</f>
        <v>2736.1000000000004</v>
      </c>
      <c r="L42" s="67">
        <f>Interventions!$F$7</f>
        <v>2736.1000000000004</v>
      </c>
      <c r="M42" s="67">
        <f>Interventions!$F$7</f>
        <v>2736.1000000000004</v>
      </c>
      <c r="N42" s="67">
        <f>Interventions!$F$7</f>
        <v>2736.1000000000004</v>
      </c>
      <c r="O42" s="67">
        <f>Interventions!$F$7</f>
        <v>2736.1000000000004</v>
      </c>
      <c r="P42" s="67">
        <f>Interventions!$F$7</f>
        <v>2736.1000000000004</v>
      </c>
      <c r="Q42" s="67">
        <f>Interventions!$F$7</f>
        <v>2736.1000000000004</v>
      </c>
      <c r="R42" s="67">
        <f>Interventions!$F$7</f>
        <v>2736.1000000000004</v>
      </c>
      <c r="S42" s="67">
        <f>Interventions!$F$7</f>
        <v>2736.1000000000004</v>
      </c>
      <c r="T42" s="67">
        <f>Interventions!$F$7</f>
        <v>2736.1000000000004</v>
      </c>
      <c r="U42" s="67">
        <f>Interventions!$F$7</f>
        <v>2736.1000000000004</v>
      </c>
      <c r="V42" s="67">
        <f>Interventions!$F$7</f>
        <v>2736.1000000000004</v>
      </c>
      <c r="W42" s="67">
        <f>Interventions!$F$7</f>
        <v>2736.1000000000004</v>
      </c>
      <c r="X42" s="67">
        <f>Interventions!$F$7</f>
        <v>2736.1000000000004</v>
      </c>
      <c r="Y42" s="67">
        <f>Interventions!$F$7</f>
        <v>2736.1000000000004</v>
      </c>
      <c r="Z42" s="67">
        <f>Interventions!$F$7</f>
        <v>2736.1000000000004</v>
      </c>
      <c r="AA42" s="67">
        <f>Interventions!$F$7</f>
        <v>2736.1000000000004</v>
      </c>
      <c r="AB42" s="67">
        <f>Interventions!$F$7</f>
        <v>2736.1000000000004</v>
      </c>
      <c r="AC42" s="66">
        <f>SUM(C42:AB42)</f>
        <v>68402.499999999985</v>
      </c>
      <c r="AD42" s="3" t="s">
        <v>12</v>
      </c>
    </row>
    <row r="43" spans="1:32" x14ac:dyDescent="0.25">
      <c r="A43" s="309" t="s">
        <v>80</v>
      </c>
      <c r="B43" s="310"/>
      <c r="C43" s="94">
        <f t="shared" ref="C43:W43" si="36">SUM(C41:C42)</f>
        <v>27361</v>
      </c>
      <c r="D43" s="94">
        <f t="shared" si="36"/>
        <v>2736.1000000000004</v>
      </c>
      <c r="E43" s="94">
        <f t="shared" si="36"/>
        <v>2736.1000000000004</v>
      </c>
      <c r="F43" s="94">
        <f t="shared" si="36"/>
        <v>2736.1000000000004</v>
      </c>
      <c r="G43" s="94">
        <f t="shared" si="36"/>
        <v>2736.1000000000004</v>
      </c>
      <c r="H43" s="94">
        <f t="shared" si="36"/>
        <v>2736.1000000000004</v>
      </c>
      <c r="I43" s="94">
        <f t="shared" si="36"/>
        <v>2736.1000000000004</v>
      </c>
      <c r="J43" s="94">
        <f t="shared" si="36"/>
        <v>2736.1000000000004</v>
      </c>
      <c r="K43" s="94">
        <f t="shared" si="36"/>
        <v>2736.1000000000004</v>
      </c>
      <c r="L43" s="94">
        <f t="shared" si="36"/>
        <v>2736.1000000000004</v>
      </c>
      <c r="M43" s="94">
        <f t="shared" si="36"/>
        <v>2736.1000000000004</v>
      </c>
      <c r="N43" s="94">
        <f t="shared" si="36"/>
        <v>2736.1000000000004</v>
      </c>
      <c r="O43" s="94">
        <f t="shared" si="36"/>
        <v>2736.1000000000004</v>
      </c>
      <c r="P43" s="94">
        <f t="shared" si="36"/>
        <v>2736.1000000000004</v>
      </c>
      <c r="Q43" s="94">
        <f t="shared" si="36"/>
        <v>2736.1000000000004</v>
      </c>
      <c r="R43" s="94">
        <f t="shared" si="36"/>
        <v>2736.1000000000004</v>
      </c>
      <c r="S43" s="94">
        <f t="shared" si="36"/>
        <v>2736.1000000000004</v>
      </c>
      <c r="T43" s="94">
        <f t="shared" si="36"/>
        <v>2736.1000000000004</v>
      </c>
      <c r="U43" s="94">
        <f t="shared" si="36"/>
        <v>2736.1000000000004</v>
      </c>
      <c r="V43" s="94">
        <f t="shared" si="36"/>
        <v>2736.1000000000004</v>
      </c>
      <c r="W43" s="94">
        <f t="shared" si="36"/>
        <v>2736.1000000000004</v>
      </c>
      <c r="X43" s="94">
        <f t="shared" ref="X43:AB43" si="37">SUM(X41:X42)</f>
        <v>2736.1000000000004</v>
      </c>
      <c r="Y43" s="94">
        <f t="shared" si="37"/>
        <v>2736.1000000000004</v>
      </c>
      <c r="Z43" s="94">
        <f t="shared" si="37"/>
        <v>2736.1000000000004</v>
      </c>
      <c r="AA43" s="94">
        <f t="shared" si="37"/>
        <v>2736.1000000000004</v>
      </c>
      <c r="AB43" s="94">
        <f t="shared" si="37"/>
        <v>2736.1000000000004</v>
      </c>
      <c r="AC43" s="95">
        <f>SUM(AC41:AC42)</f>
        <v>95763.499999999985</v>
      </c>
      <c r="AD43" s="6" t="s">
        <v>12</v>
      </c>
    </row>
    <row r="44" spans="1:32" x14ac:dyDescent="0.25">
      <c r="A44" s="307" t="s">
        <v>155</v>
      </c>
      <c r="B44" s="308"/>
      <c r="C44" s="239"/>
      <c r="D44" s="63"/>
      <c r="E44" s="63"/>
      <c r="F44" s="63"/>
      <c r="G44" s="63"/>
      <c r="H44" s="63"/>
      <c r="I44" s="63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</row>
    <row r="45" spans="1:32" x14ac:dyDescent="0.25">
      <c r="A45" s="59" t="s">
        <v>171</v>
      </c>
      <c r="B45" s="59"/>
      <c r="C45" s="59"/>
      <c r="D45" s="67">
        <f>'Carbon avoided'!E12</f>
        <v>575.59040000000005</v>
      </c>
      <c r="E45" s="67">
        <f>'Carbon avoided'!F12</f>
        <v>589.98016000000007</v>
      </c>
      <c r="F45" s="67">
        <f>'Carbon avoided'!G12</f>
        <v>604.72966399999996</v>
      </c>
      <c r="G45" s="67">
        <f>'Carbon avoided'!H12</f>
        <v>619.84790559999999</v>
      </c>
      <c r="H45" s="67">
        <f>'Carbon avoided'!I12</f>
        <v>635.34410323999998</v>
      </c>
      <c r="I45" s="67">
        <f>'Carbon avoided'!J12</f>
        <v>651.22770582099986</v>
      </c>
      <c r="J45" s="67">
        <f>'Carbon avoided'!K12</f>
        <v>667.5083984665248</v>
      </c>
      <c r="K45" s="67">
        <f>'Carbon avoided'!L12</f>
        <v>684.19610842818781</v>
      </c>
      <c r="L45" s="67">
        <f>'Carbon avoided'!M12</f>
        <v>701.30101113889248</v>
      </c>
      <c r="M45" s="67">
        <f>'Carbon avoided'!N12</f>
        <v>718.83353641736471</v>
      </c>
      <c r="N45" s="67">
        <f>'Carbon avoided'!O12</f>
        <v>736.80437482779871</v>
      </c>
      <c r="O45" s="67">
        <f>'Carbon avoided'!P12</f>
        <v>755.22448419849366</v>
      </c>
      <c r="P45" s="67">
        <f>'Carbon avoided'!Q12</f>
        <v>774.10509630345587</v>
      </c>
      <c r="Q45" s="67">
        <f>'Carbon avoided'!R12</f>
        <v>793.45772371104215</v>
      </c>
      <c r="R45" s="67">
        <f>'Carbon avoided'!S12</f>
        <v>813.29416680381814</v>
      </c>
      <c r="S45" s="67">
        <f>'Carbon avoided'!T12</f>
        <v>833.62652097391356</v>
      </c>
      <c r="T45" s="67">
        <f>'Carbon avoided'!U12</f>
        <v>854.46718399826136</v>
      </c>
      <c r="U45" s="67">
        <f>'Carbon avoided'!V12</f>
        <v>875.82886359821782</v>
      </c>
      <c r="V45" s="67">
        <f>'Carbon avoided'!W12</f>
        <v>897.72458518817314</v>
      </c>
      <c r="W45" s="67">
        <f>'Carbon avoided'!X12</f>
        <v>920.16769981787741</v>
      </c>
      <c r="X45" s="67">
        <f>'Carbon avoided'!Y12</f>
        <v>943.17189231332429</v>
      </c>
      <c r="Y45" s="67">
        <f>'Carbon avoided'!Z12</f>
        <v>966.75118962115732</v>
      </c>
      <c r="Z45" s="67">
        <f>'Carbon avoided'!AA12</f>
        <v>990.9199693616863</v>
      </c>
      <c r="AA45" s="67">
        <f>'Carbon avoided'!AB12</f>
        <v>1015.6929685957284</v>
      </c>
      <c r="AB45" s="67">
        <f>'Carbon avoided'!AC12</f>
        <v>1041.0852928106215</v>
      </c>
      <c r="AC45" s="66">
        <f>SUM(C45:AB45)</f>
        <v>19660.88100523554</v>
      </c>
      <c r="AD45" s="3" t="s">
        <v>12</v>
      </c>
    </row>
    <row r="46" spans="1:32" ht="12.75" customHeight="1" x14ac:dyDescent="0.25">
      <c r="A46" s="59" t="s">
        <v>175</v>
      </c>
      <c r="B46" s="59"/>
      <c r="C46" s="59"/>
      <c r="D46" s="67">
        <f>Interventions!$F$10</f>
        <v>3240</v>
      </c>
      <c r="E46" s="67">
        <f>Interventions!$F$10</f>
        <v>3240</v>
      </c>
      <c r="F46" s="67">
        <f>Interventions!$F$10</f>
        <v>3240</v>
      </c>
      <c r="G46" s="67">
        <f>Interventions!$F$10</f>
        <v>3240</v>
      </c>
      <c r="H46" s="67">
        <f>Interventions!$F$10</f>
        <v>3240</v>
      </c>
      <c r="I46" s="67">
        <f>Interventions!$F$10</f>
        <v>3240</v>
      </c>
      <c r="J46" s="67">
        <f>Interventions!$F$10</f>
        <v>3240</v>
      </c>
      <c r="K46" s="67">
        <f>Interventions!$F$10</f>
        <v>3240</v>
      </c>
      <c r="L46" s="67">
        <f>Interventions!$F$10</f>
        <v>3240</v>
      </c>
      <c r="M46" s="67">
        <f>Interventions!$F$10</f>
        <v>3240</v>
      </c>
      <c r="N46" s="67">
        <f>Interventions!$F$10</f>
        <v>3240</v>
      </c>
      <c r="O46" s="67">
        <f>Interventions!$F$10</f>
        <v>3240</v>
      </c>
      <c r="P46" s="67">
        <f>Interventions!$F$10</f>
        <v>3240</v>
      </c>
      <c r="Q46" s="67">
        <f>Interventions!$F$10</f>
        <v>3240</v>
      </c>
      <c r="R46" s="67">
        <f>Interventions!$F$10</f>
        <v>3240</v>
      </c>
      <c r="S46" s="67">
        <f>Interventions!$F$10</f>
        <v>3240</v>
      </c>
      <c r="T46" s="67">
        <f>Interventions!$F$10</f>
        <v>3240</v>
      </c>
      <c r="U46" s="67">
        <f>Interventions!$F$10</f>
        <v>3240</v>
      </c>
      <c r="V46" s="67">
        <f>Interventions!$F$10</f>
        <v>3240</v>
      </c>
      <c r="W46" s="67">
        <f>Interventions!$F$10</f>
        <v>3240</v>
      </c>
      <c r="X46" s="67">
        <f>Interventions!$F$10</f>
        <v>3240</v>
      </c>
      <c r="Y46" s="67">
        <f>Interventions!$F$10</f>
        <v>3240</v>
      </c>
      <c r="Z46" s="67">
        <f>Interventions!$F$10</f>
        <v>3240</v>
      </c>
      <c r="AA46" s="67">
        <f>Interventions!$F$10</f>
        <v>3240</v>
      </c>
      <c r="AB46" s="67">
        <f>Interventions!$F$10</f>
        <v>3240</v>
      </c>
      <c r="AC46" s="66">
        <f>SUM(C46:AB46)</f>
        <v>81000</v>
      </c>
      <c r="AD46" s="3" t="s">
        <v>12</v>
      </c>
    </row>
    <row r="47" spans="1:32" x14ac:dyDescent="0.25">
      <c r="A47" s="309" t="s">
        <v>80</v>
      </c>
      <c r="B47" s="310"/>
      <c r="C47" s="68">
        <f t="shared" ref="C47:R47" si="38">SUM(C45:C46)</f>
        <v>0</v>
      </c>
      <c r="D47" s="68">
        <f t="shared" si="38"/>
        <v>3815.5904</v>
      </c>
      <c r="E47" s="68">
        <f t="shared" si="38"/>
        <v>3829.9801600000001</v>
      </c>
      <c r="F47" s="68">
        <f t="shared" si="38"/>
        <v>3844.729664</v>
      </c>
      <c r="G47" s="68">
        <f t="shared" si="38"/>
        <v>3859.8479056000001</v>
      </c>
      <c r="H47" s="68">
        <f t="shared" si="38"/>
        <v>3875.3441032400001</v>
      </c>
      <c r="I47" s="68">
        <f t="shared" si="38"/>
        <v>3891.2277058209997</v>
      </c>
      <c r="J47" s="68">
        <f t="shared" si="38"/>
        <v>3907.5083984665248</v>
      </c>
      <c r="K47" s="68">
        <f t="shared" si="38"/>
        <v>3924.1961084281879</v>
      </c>
      <c r="L47" s="68">
        <f t="shared" si="38"/>
        <v>3941.3010111388926</v>
      </c>
      <c r="M47" s="68">
        <f t="shared" si="38"/>
        <v>3958.8335364173645</v>
      </c>
      <c r="N47" s="68">
        <f t="shared" si="38"/>
        <v>3976.8043748277987</v>
      </c>
      <c r="O47" s="68">
        <f t="shared" si="38"/>
        <v>3995.2244841984939</v>
      </c>
      <c r="P47" s="68">
        <f t="shared" si="38"/>
        <v>4014.1050963034559</v>
      </c>
      <c r="Q47" s="68">
        <f t="shared" si="38"/>
        <v>4033.457723711042</v>
      </c>
      <c r="R47" s="68">
        <f t="shared" si="38"/>
        <v>4053.2941668038184</v>
      </c>
      <c r="S47" s="68">
        <f t="shared" ref="S47:W47" si="39">SUM(S45:S46)</f>
        <v>4073.6265209739136</v>
      </c>
      <c r="T47" s="68">
        <f t="shared" si="39"/>
        <v>4094.4671839982611</v>
      </c>
      <c r="U47" s="68">
        <f t="shared" si="39"/>
        <v>4115.828863598218</v>
      </c>
      <c r="V47" s="68">
        <f t="shared" si="39"/>
        <v>4137.7245851881735</v>
      </c>
      <c r="W47" s="68">
        <f t="shared" si="39"/>
        <v>4160.1676998178773</v>
      </c>
      <c r="X47" s="68">
        <f t="shared" ref="X47:AB47" si="40">SUM(X45:X46)</f>
        <v>4183.171892313324</v>
      </c>
      <c r="Y47" s="68">
        <f t="shared" si="40"/>
        <v>4206.7511896211572</v>
      </c>
      <c r="Z47" s="68">
        <f t="shared" si="40"/>
        <v>4230.9199693616865</v>
      </c>
      <c r="AA47" s="68">
        <f t="shared" si="40"/>
        <v>4255.6929685957284</v>
      </c>
      <c r="AB47" s="68">
        <f t="shared" si="40"/>
        <v>4281.0852928106215</v>
      </c>
      <c r="AC47" s="68">
        <f>SUM(AC45:AC46)</f>
        <v>100660.88100523554</v>
      </c>
      <c r="AD47" s="6" t="s">
        <v>12</v>
      </c>
    </row>
    <row r="48" spans="1:32" x14ac:dyDescent="0.25">
      <c r="A48" s="307" t="s">
        <v>150</v>
      </c>
      <c r="B48" s="308"/>
      <c r="C48" s="239"/>
      <c r="D48" s="63"/>
      <c r="E48" s="63"/>
      <c r="F48" s="63"/>
      <c r="G48" s="63"/>
      <c r="H48" s="63"/>
      <c r="I48" s="63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</row>
    <row r="49" spans="1:30" x14ac:dyDescent="0.25">
      <c r="A49" s="226"/>
      <c r="B49" s="59"/>
      <c r="C49" s="59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6"/>
      <c r="AD49" s="3"/>
    </row>
    <row r="50" spans="1:30" x14ac:dyDescent="0.25">
      <c r="A50" s="240"/>
      <c r="B50" s="59"/>
      <c r="C50" s="59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6"/>
      <c r="AD50" s="3"/>
    </row>
    <row r="51" spans="1:30" ht="13.5" customHeight="1" x14ac:dyDescent="0.25">
      <c r="A51" s="240"/>
      <c r="B51" s="59"/>
      <c r="C51" s="59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6"/>
      <c r="AD51" s="3"/>
    </row>
    <row r="52" spans="1:30" x14ac:dyDescent="0.25">
      <c r="A52" s="59" t="s">
        <v>36</v>
      </c>
      <c r="B52" s="59" t="s">
        <v>36</v>
      </c>
      <c r="C52" s="59"/>
      <c r="D52" s="67">
        <f>Interventions!$E$14</f>
        <v>3243.5360000000001</v>
      </c>
      <c r="E52" s="67">
        <f>Interventions!$E$14</f>
        <v>3243.5360000000001</v>
      </c>
      <c r="F52" s="67">
        <f>Interventions!$E$14</f>
        <v>3243.5360000000001</v>
      </c>
      <c r="G52" s="67">
        <f>Interventions!$E$14</f>
        <v>3243.5360000000001</v>
      </c>
      <c r="H52" s="67">
        <f>Interventions!$E$14</f>
        <v>3243.5360000000001</v>
      </c>
      <c r="I52" s="67">
        <f>Interventions!$E$14</f>
        <v>3243.5360000000001</v>
      </c>
      <c r="J52" s="67">
        <f>Interventions!$E$14</f>
        <v>3243.5360000000001</v>
      </c>
      <c r="K52" s="67">
        <f>Interventions!$E$14</f>
        <v>3243.5360000000001</v>
      </c>
      <c r="L52" s="67">
        <f>Interventions!$E$14</f>
        <v>3243.5360000000001</v>
      </c>
      <c r="M52" s="67">
        <f>Interventions!$E$14</f>
        <v>3243.5360000000001</v>
      </c>
      <c r="N52" s="67">
        <f>Interventions!$E$14</f>
        <v>3243.5360000000001</v>
      </c>
      <c r="O52" s="67">
        <f>Interventions!$E$14</f>
        <v>3243.5360000000001</v>
      </c>
      <c r="P52" s="67">
        <f>Interventions!$E$14</f>
        <v>3243.5360000000001</v>
      </c>
      <c r="Q52" s="67">
        <f>Interventions!$E$14</f>
        <v>3243.5360000000001</v>
      </c>
      <c r="R52" s="67">
        <f>Interventions!$E$14</f>
        <v>3243.5360000000001</v>
      </c>
      <c r="S52" s="67">
        <f>Interventions!$E$14</f>
        <v>3243.5360000000001</v>
      </c>
      <c r="T52" s="67">
        <f>Interventions!$E$14</f>
        <v>3243.5360000000001</v>
      </c>
      <c r="U52" s="67">
        <f>Interventions!$E$14</f>
        <v>3243.5360000000001</v>
      </c>
      <c r="V52" s="67">
        <f>Interventions!$E$14</f>
        <v>3243.5360000000001</v>
      </c>
      <c r="W52" s="67">
        <f>Interventions!$E$14</f>
        <v>3243.5360000000001</v>
      </c>
      <c r="X52" s="67">
        <f>Interventions!$E$14</f>
        <v>3243.5360000000001</v>
      </c>
      <c r="Y52" s="67">
        <f>Interventions!$E$14</f>
        <v>3243.5360000000001</v>
      </c>
      <c r="Z52" s="67">
        <f>Interventions!$E$14</f>
        <v>3243.5360000000001</v>
      </c>
      <c r="AA52" s="67">
        <f>Interventions!$E$14</f>
        <v>3243.5360000000001</v>
      </c>
      <c r="AB52" s="67">
        <f>Interventions!$E$14</f>
        <v>3243.5360000000001</v>
      </c>
      <c r="AC52" s="66">
        <f>SUM(D52:AB52)</f>
        <v>81088.399999999965</v>
      </c>
      <c r="AD52" s="3" t="s">
        <v>12</v>
      </c>
    </row>
    <row r="53" spans="1:30" x14ac:dyDescent="0.25">
      <c r="A53" s="309" t="s">
        <v>80</v>
      </c>
      <c r="B53" s="310"/>
      <c r="C53" s="81">
        <f>SUM(C49:C49)</f>
        <v>0</v>
      </c>
      <c r="D53" s="81">
        <f>SUM(D49:D52)</f>
        <v>3243.5360000000001</v>
      </c>
      <c r="E53" s="81">
        <f t="shared" ref="E53" si="41">SUM(E49:E52)</f>
        <v>3243.5360000000001</v>
      </c>
      <c r="F53" s="81">
        <f t="shared" ref="F53" si="42">SUM(F49:F52)</f>
        <v>3243.5360000000001</v>
      </c>
      <c r="G53" s="81">
        <f t="shared" ref="G53" si="43">SUM(G49:G52)</f>
        <v>3243.5360000000001</v>
      </c>
      <c r="H53" s="81">
        <f t="shared" ref="H53" si="44">SUM(H49:H52)</f>
        <v>3243.5360000000001</v>
      </c>
      <c r="I53" s="81">
        <f t="shared" ref="I53" si="45">SUM(I49:I52)</f>
        <v>3243.5360000000001</v>
      </c>
      <c r="J53" s="81">
        <f t="shared" ref="J53" si="46">SUM(J49:J52)</f>
        <v>3243.5360000000001</v>
      </c>
      <c r="K53" s="81">
        <f t="shared" ref="K53" si="47">SUM(K49:K52)</f>
        <v>3243.5360000000001</v>
      </c>
      <c r="L53" s="81">
        <f t="shared" ref="L53" si="48">SUM(L49:L52)</f>
        <v>3243.5360000000001</v>
      </c>
      <c r="M53" s="81">
        <f t="shared" ref="M53" si="49">SUM(M49:M52)</f>
        <v>3243.5360000000001</v>
      </c>
      <c r="N53" s="81">
        <f t="shared" ref="N53" si="50">SUM(N49:N52)</f>
        <v>3243.5360000000001</v>
      </c>
      <c r="O53" s="81">
        <f t="shared" ref="O53" si="51">SUM(O49:O52)</f>
        <v>3243.5360000000001</v>
      </c>
      <c r="P53" s="81">
        <f t="shared" ref="P53" si="52">SUM(P49:P52)</f>
        <v>3243.5360000000001</v>
      </c>
      <c r="Q53" s="81">
        <f t="shared" ref="Q53" si="53">SUM(Q49:Q52)</f>
        <v>3243.5360000000001</v>
      </c>
      <c r="R53" s="81">
        <f t="shared" ref="R53" si="54">SUM(R49:R52)</f>
        <v>3243.5360000000001</v>
      </c>
      <c r="S53" s="81">
        <f t="shared" ref="S53" si="55">SUM(S49:S52)</f>
        <v>3243.5360000000001</v>
      </c>
      <c r="T53" s="81">
        <f t="shared" ref="T53" si="56">SUM(T49:T52)</f>
        <v>3243.5360000000001</v>
      </c>
      <c r="U53" s="81">
        <f t="shared" ref="U53" si="57">SUM(U49:U52)</f>
        <v>3243.5360000000001</v>
      </c>
      <c r="V53" s="81">
        <f t="shared" ref="V53" si="58">SUM(V49:V52)</f>
        <v>3243.5360000000001</v>
      </c>
      <c r="W53" s="81">
        <f t="shared" ref="W53" si="59">SUM(W49:W52)</f>
        <v>3243.5360000000001</v>
      </c>
      <c r="X53" s="81">
        <f t="shared" ref="X53" si="60">SUM(X49:X52)</f>
        <v>3243.5360000000001</v>
      </c>
      <c r="Y53" s="81">
        <f t="shared" ref="Y53" si="61">SUM(Y49:Y52)</f>
        <v>3243.5360000000001</v>
      </c>
      <c r="Z53" s="81">
        <f t="shared" ref="Z53" si="62">SUM(Z49:Z52)</f>
        <v>3243.5360000000001</v>
      </c>
      <c r="AA53" s="81">
        <f t="shared" ref="AA53" si="63">SUM(AA49:AA52)</f>
        <v>3243.5360000000001</v>
      </c>
      <c r="AB53" s="81">
        <f t="shared" ref="AB53" si="64">SUM(AB49:AB52)</f>
        <v>3243.5360000000001</v>
      </c>
      <c r="AC53" s="81">
        <f t="shared" ref="AC53" si="65">SUM(AC49:AC52)</f>
        <v>81088.399999999965</v>
      </c>
      <c r="AD53" s="6" t="s">
        <v>12</v>
      </c>
    </row>
    <row r="54" spans="1:30" x14ac:dyDescent="0.25">
      <c r="A54" s="132"/>
      <c r="B54" s="133" t="s">
        <v>81</v>
      </c>
      <c r="C54" s="134">
        <f t="shared" ref="C54:R54" si="66">(C53+C47)-C43</f>
        <v>-27361</v>
      </c>
      <c r="D54" s="134">
        <f t="shared" si="66"/>
        <v>4323.0263999999997</v>
      </c>
      <c r="E54" s="134">
        <f t="shared" si="66"/>
        <v>4337.4161599999998</v>
      </c>
      <c r="F54" s="134">
        <f t="shared" si="66"/>
        <v>4352.1656640000001</v>
      </c>
      <c r="G54" s="134">
        <f t="shared" si="66"/>
        <v>4367.2839055999993</v>
      </c>
      <c r="H54" s="134">
        <f t="shared" si="66"/>
        <v>4382.7801032400002</v>
      </c>
      <c r="I54" s="134">
        <f t="shared" si="66"/>
        <v>4398.6637058209999</v>
      </c>
      <c r="J54" s="134">
        <f t="shared" si="66"/>
        <v>4414.9443984665249</v>
      </c>
      <c r="K54" s="134">
        <f t="shared" si="66"/>
        <v>4431.6321084281881</v>
      </c>
      <c r="L54" s="134">
        <f t="shared" si="66"/>
        <v>4448.7370111388918</v>
      </c>
      <c r="M54" s="134">
        <f t="shared" si="66"/>
        <v>4466.2695364173642</v>
      </c>
      <c r="N54" s="134">
        <f t="shared" si="66"/>
        <v>4484.2403748277984</v>
      </c>
      <c r="O54" s="134">
        <f t="shared" si="66"/>
        <v>4502.6604841984936</v>
      </c>
      <c r="P54" s="134">
        <f t="shared" si="66"/>
        <v>4521.5410963034556</v>
      </c>
      <c r="Q54" s="134">
        <f t="shared" si="66"/>
        <v>4540.8937237110422</v>
      </c>
      <c r="R54" s="134">
        <f t="shared" si="66"/>
        <v>4560.7301668038181</v>
      </c>
      <c r="S54" s="134">
        <f t="shared" ref="S54:W54" si="67">(S53+S47)-S43</f>
        <v>4581.0625209739137</v>
      </c>
      <c r="T54" s="134">
        <f t="shared" si="67"/>
        <v>4601.9031839982608</v>
      </c>
      <c r="U54" s="134">
        <f t="shared" si="67"/>
        <v>4623.2648635982177</v>
      </c>
      <c r="V54" s="134">
        <f t="shared" si="67"/>
        <v>4645.1605851881732</v>
      </c>
      <c r="W54" s="134">
        <f t="shared" si="67"/>
        <v>4667.603699817877</v>
      </c>
      <c r="X54" s="134">
        <f t="shared" ref="X54:AB54" si="68">(X53+X47)-X43</f>
        <v>4690.6078923133236</v>
      </c>
      <c r="Y54" s="134">
        <f t="shared" si="68"/>
        <v>4714.1871896211569</v>
      </c>
      <c r="Z54" s="134">
        <f t="shared" si="68"/>
        <v>4738.3559693616862</v>
      </c>
      <c r="AA54" s="134">
        <f t="shared" si="68"/>
        <v>4763.1289685957281</v>
      </c>
      <c r="AB54" s="134">
        <f t="shared" si="68"/>
        <v>4788.5212928106212</v>
      </c>
      <c r="AC54" s="134">
        <f>(AC53+AC47)-AC43</f>
        <v>85985.78100523552</v>
      </c>
      <c r="AD54" s="135" t="s">
        <v>12</v>
      </c>
    </row>
    <row r="55" spans="1:30" x14ac:dyDescent="0.25">
      <c r="A55" s="132"/>
      <c r="B55" s="133" t="s">
        <v>82</v>
      </c>
      <c r="C55" s="134">
        <f t="shared" ref="C55:R55" si="69">(C53)-C43</f>
        <v>-27361</v>
      </c>
      <c r="D55" s="134">
        <f t="shared" si="69"/>
        <v>507.43599999999969</v>
      </c>
      <c r="E55" s="134">
        <f t="shared" si="69"/>
        <v>507.43599999999969</v>
      </c>
      <c r="F55" s="134">
        <f t="shared" si="69"/>
        <v>507.43599999999969</v>
      </c>
      <c r="G55" s="134">
        <f t="shared" si="69"/>
        <v>507.43599999999969</v>
      </c>
      <c r="H55" s="134">
        <f t="shared" si="69"/>
        <v>507.43599999999969</v>
      </c>
      <c r="I55" s="134">
        <f t="shared" si="69"/>
        <v>507.43599999999969</v>
      </c>
      <c r="J55" s="134">
        <f t="shared" si="69"/>
        <v>507.43599999999969</v>
      </c>
      <c r="K55" s="134">
        <f t="shared" si="69"/>
        <v>507.43599999999969</v>
      </c>
      <c r="L55" s="134">
        <f t="shared" si="69"/>
        <v>507.43599999999969</v>
      </c>
      <c r="M55" s="134">
        <f t="shared" si="69"/>
        <v>507.43599999999969</v>
      </c>
      <c r="N55" s="134">
        <f t="shared" si="69"/>
        <v>507.43599999999969</v>
      </c>
      <c r="O55" s="134">
        <f t="shared" si="69"/>
        <v>507.43599999999969</v>
      </c>
      <c r="P55" s="134">
        <f t="shared" si="69"/>
        <v>507.43599999999969</v>
      </c>
      <c r="Q55" s="134">
        <f t="shared" si="69"/>
        <v>507.43599999999969</v>
      </c>
      <c r="R55" s="134">
        <f t="shared" si="69"/>
        <v>507.43599999999969</v>
      </c>
      <c r="S55" s="134">
        <f t="shared" ref="S55:W55" si="70">(S53)-S43</f>
        <v>507.43599999999969</v>
      </c>
      <c r="T55" s="134">
        <f t="shared" si="70"/>
        <v>507.43599999999969</v>
      </c>
      <c r="U55" s="134">
        <f t="shared" si="70"/>
        <v>507.43599999999969</v>
      </c>
      <c r="V55" s="134">
        <f t="shared" si="70"/>
        <v>507.43599999999969</v>
      </c>
      <c r="W55" s="134">
        <f t="shared" si="70"/>
        <v>507.43599999999969</v>
      </c>
      <c r="X55" s="134">
        <f t="shared" ref="X55:AB55" si="71">(X53)-X43</f>
        <v>507.43599999999969</v>
      </c>
      <c r="Y55" s="134">
        <f t="shared" si="71"/>
        <v>507.43599999999969</v>
      </c>
      <c r="Z55" s="134">
        <f t="shared" si="71"/>
        <v>507.43599999999969</v>
      </c>
      <c r="AA55" s="134">
        <f t="shared" si="71"/>
        <v>507.43599999999969</v>
      </c>
      <c r="AB55" s="134">
        <f t="shared" si="71"/>
        <v>507.43599999999969</v>
      </c>
      <c r="AC55" s="134">
        <f>(AC53)-AC43</f>
        <v>-14675.10000000002</v>
      </c>
      <c r="AD55" s="135" t="s">
        <v>12</v>
      </c>
    </row>
    <row r="56" spans="1:30" ht="13.5" customHeight="1" x14ac:dyDescent="0.25">
      <c r="A56" s="69" t="s">
        <v>83</v>
      </c>
      <c r="B56" s="70">
        <f>XIRR(C55:AB55, C$38:AB$38, 0.1)</f>
        <v>-5.2049860358238234E-2</v>
      </c>
      <c r="D56" s="82"/>
      <c r="E56" s="71"/>
      <c r="F56" s="71"/>
      <c r="G56" s="71"/>
      <c r="H56" s="71"/>
      <c r="I56" s="71"/>
      <c r="J56" s="72"/>
    </row>
    <row r="57" spans="1:30" ht="13.5" customHeight="1" x14ac:dyDescent="0.25">
      <c r="A57" s="96" t="s">
        <v>85</v>
      </c>
      <c r="B57" s="73">
        <f>XIRR(C54:AB54, C$38:AB$38, 0.1)</f>
        <v>0.1571242392063141</v>
      </c>
      <c r="D57" s="82"/>
      <c r="E57" s="71"/>
      <c r="F57" s="71"/>
      <c r="G57" s="71"/>
      <c r="H57" s="71"/>
      <c r="I57" s="71"/>
      <c r="J57" s="72"/>
    </row>
    <row r="58" spans="1:30" x14ac:dyDescent="0.25">
      <c r="A58" s="97" t="s">
        <v>86</v>
      </c>
      <c r="B58" s="84">
        <f>XNPV(A$34,C53:AB53,C$38:AB$38)/XNPV(A$34,C43:AB43,C$38:AB$38)</f>
        <v>0.57544807993704239</v>
      </c>
      <c r="E58" s="85"/>
      <c r="F58" s="85"/>
      <c r="G58" s="85"/>
      <c r="H58" s="85"/>
      <c r="I58" s="85"/>
    </row>
    <row r="59" spans="1:30" x14ac:dyDescent="0.25">
      <c r="A59" s="96" t="s">
        <v>87</v>
      </c>
      <c r="B59" s="86">
        <f>(XNPV(A$34,C53:AB53,C$38:AB$38)+XNPV(A$34,C47:AB47,C$38:AB$38))/XNPV(A$34,C43:AB43,C$38:AB$38)</f>
        <v>1.2751960459800746</v>
      </c>
      <c r="E59" s="85"/>
      <c r="F59" s="85"/>
      <c r="G59" s="85"/>
      <c r="H59" s="85"/>
      <c r="I59" s="85"/>
    </row>
    <row r="60" spans="1:30" x14ac:dyDescent="0.25">
      <c r="A60" s="98" t="s">
        <v>84</v>
      </c>
      <c r="B60" s="74">
        <f>XNPV(A$34,C55:AB55,C$38:AB$38)</f>
        <v>-22574.154763319322</v>
      </c>
      <c r="E60" s="85"/>
      <c r="F60" s="85"/>
      <c r="G60" s="85"/>
      <c r="H60" s="85"/>
      <c r="I60" s="85"/>
    </row>
    <row r="61" spans="1:30" x14ac:dyDescent="0.25">
      <c r="A61" s="96" t="s">
        <v>88</v>
      </c>
      <c r="B61" s="76">
        <f>XNPV(A$34,C54:AB54,C$38:AB$38)</f>
        <v>14632.646417631344</v>
      </c>
      <c r="E61" s="85"/>
      <c r="F61" s="85"/>
      <c r="G61" s="85"/>
      <c r="H61" s="85"/>
      <c r="I61" s="85"/>
    </row>
    <row r="62" spans="1:30" x14ac:dyDescent="0.25">
      <c r="A62" s="83" t="s">
        <v>76</v>
      </c>
      <c r="B62" s="74" t="s">
        <v>127</v>
      </c>
      <c r="C62" s="75">
        <f>C53/C43</f>
        <v>0</v>
      </c>
      <c r="D62" s="87">
        <f>SUM($C$53:D53)/SUM($C$43:D43)</f>
        <v>0.1077690541613644</v>
      </c>
      <c r="E62" s="87">
        <f>SUM($C$53:E53)/SUM($C$43:E43)</f>
        <v>0.19757659929583474</v>
      </c>
      <c r="F62" s="87">
        <f>SUM($C$53:F53)/SUM($C$43:F43)</f>
        <v>0.27356759902500194</v>
      </c>
      <c r="G62" s="87">
        <f>SUM($C$53:G53)/SUM($C$43:G43)</f>
        <v>0.33870274165000241</v>
      </c>
      <c r="H62" s="87">
        <f>SUM($C$53:H53)/SUM($C$43:H43)</f>
        <v>0.39515319859166947</v>
      </c>
      <c r="I62" s="87">
        <f>SUM($C$53:I53)/SUM($C$43:I43)</f>
        <v>0.44454734841562821</v>
      </c>
      <c r="J62" s="87">
        <f>SUM($C$53:J53)/SUM($C$43:J43)</f>
        <v>0.48813042178970939</v>
      </c>
      <c r="K62" s="87">
        <f>SUM($C$53:K53)/SUM($C$43:K43)</f>
        <v>0.5268709314555593</v>
      </c>
      <c r="L62" s="87">
        <f>SUM($C$53:L53)/SUM($C$43:L43)</f>
        <v>0.56153349273553033</v>
      </c>
      <c r="M62" s="87">
        <f>SUM($C$53:M53)/SUM($C$43:M43)</f>
        <v>0.59272979788750424</v>
      </c>
      <c r="N62" s="87">
        <f>SUM($C$53:N53)/SUM($C$43:N43)</f>
        <v>0.62095502635833788</v>
      </c>
      <c r="O62" s="87">
        <f>SUM($C$53:O53)/SUM($C$43:O43)</f>
        <v>0.64661432496818649</v>
      </c>
      <c r="P62" s="87">
        <f>SUM($C$53:P53)/SUM($C$43:P43)</f>
        <v>0.67004238022065699</v>
      </c>
      <c r="Q62" s="87">
        <f>SUM($C$53:Q53)/SUM($C$43:Q43)</f>
        <v>0.69151809753542171</v>
      </c>
      <c r="R62" s="87">
        <f>SUM($C$53:R53)/SUM($C$43:R43)</f>
        <v>0.71127575746500504</v>
      </c>
      <c r="S62" s="87">
        <f>SUM($C$53:S53)/SUM($C$43:S43)</f>
        <v>0.72951359740000521</v>
      </c>
      <c r="T62" s="87">
        <f>SUM($C$53:T53)/SUM($C$43:T43)</f>
        <v>0.74640048622870891</v>
      </c>
      <c r="U62" s="87">
        <f>SUM($C$53:U53)/SUM($C$43:U43)</f>
        <v>0.76208116871250531</v>
      </c>
      <c r="V62" s="87">
        <f>SUM($C$53:V53)/SUM($C$43:V43)</f>
        <v>0.77668042481810873</v>
      </c>
      <c r="W62" s="87">
        <f>SUM($C$53:W53)/SUM($C$43:W43)</f>
        <v>0.79030639718333873</v>
      </c>
      <c r="X62" s="87">
        <f>SUM($C$53:X53)/SUM($C$43:X43)</f>
        <v>0.80305327455726339</v>
      </c>
      <c r="Y62" s="87">
        <f>SUM($C$53:Y53)/SUM($C$43:Y43)</f>
        <v>0.81500347209531776</v>
      </c>
      <c r="Z62" s="87">
        <f>SUM($C$53:Z53)/SUM($C$43:Z43)</f>
        <v>0.82622941523712645</v>
      </c>
      <c r="AA62" s="87">
        <f>SUM($C$53:AA53)/SUM($C$43:AA43)</f>
        <v>0.83679500878235813</v>
      </c>
      <c r="AB62" s="87">
        <f>SUM($C$53:AB53)/SUM($C$43:AB43)</f>
        <v>0.84675685412500512</v>
      </c>
    </row>
    <row r="63" spans="1:30" x14ac:dyDescent="0.25">
      <c r="A63" s="96" t="s">
        <v>89</v>
      </c>
      <c r="B63" s="76">
        <f>IF(J63,$J$37-$C$37)</f>
        <v>7</v>
      </c>
      <c r="C63" s="75">
        <f>(C53+C47)/C43</f>
        <v>0</v>
      </c>
      <c r="D63" s="87">
        <f>(SUM($C$53:D53)+SUM($C$47:D47))/SUM($C$43:D43)</f>
        <v>0.23454506912626136</v>
      </c>
      <c r="E63" s="87">
        <f>(SUM($C$53:E53)+SUM($C$47:E47))/SUM($C$43:E43)</f>
        <v>0.43043756197994715</v>
      </c>
      <c r="F63" s="87">
        <f>(SUM($C$53:F53)+SUM($C$47:F47))/SUM($C$43:F43)</f>
        <v>0.59660741774507797</v>
      </c>
      <c r="G63" s="87">
        <f>(SUM($C$53:G53)+SUM($C$47:G47))/SUM($C$43:G43)</f>
        <v>0.73943339919698015</v>
      </c>
      <c r="H63" s="87">
        <f>(SUM($C$53:H53)+SUM($C$47:H47))/SUM($C$43:H43)</f>
        <v>0.86359349031687449</v>
      </c>
      <c r="I63" s="87">
        <f>(SUM($C$53:I53)+SUM($C$47:I47))/SUM($C$43:I43)</f>
        <v>0.97259639492939332</v>
      </c>
      <c r="J63" s="87">
        <f>(SUM($C$53:J53)+SUM($C$47:J47))/SUM($C$43:J43)</f>
        <v>1.0691254477095464</v>
      </c>
      <c r="K63" s="87">
        <f>(SUM($C$53:K53)+SUM($C$47:K47))/SUM($C$43:K43)</f>
        <v>1.1552678883072767</v>
      </c>
      <c r="L63" s="87">
        <f>(SUM($C$53:L53)+SUM($C$47:L47))/SUM($C$43:L43)</f>
        <v>1.2326717332333308</v>
      </c>
      <c r="M63" s="87">
        <f>(SUM($C$53:M53)+SUM($C$47:M47))/SUM($C$43:M43)</f>
        <v>1.302655586292752</v>
      </c>
      <c r="N63" s="87">
        <f>(SUM($C$53:N53)+SUM($C$47:N47))/SUM($C$43:N43)</f>
        <v>1.3662870747194873</v>
      </c>
      <c r="O63" s="87">
        <f>(SUM($C$53:O53)+SUM($C$47:O47))/SUM($C$43:O43)</f>
        <v>1.4244398937462128</v>
      </c>
      <c r="P63" s="87">
        <f>(SUM($C$53:P53)+SUM($C$47:P47))/SUM($C$43:P43)</f>
        <v>1.4778359700882047</v>
      </c>
      <c r="Q63" s="87">
        <f>(SUM($C$53:Q53)+SUM($C$47:Q47))/SUM($C$43:Q43)</f>
        <v>1.5270770846605386</v>
      </c>
      <c r="R63" s="87">
        <f>(SUM($C$53:R53)+SUM($C$47:R47))/SUM($C$43:R43)</f>
        <v>1.5726689059457855</v>
      </c>
      <c r="S63" s="87">
        <f>(SUM($C$53:S53)+SUM($C$47:S47))/SUM($C$43:S43)</f>
        <v>1.6150394773010786</v>
      </c>
      <c r="T63" s="87">
        <f>(SUM($C$53:T53)+SUM($C$47:T47))/SUM($C$43:T43)</f>
        <v>1.6545535960745528</v>
      </c>
      <c r="U63" s="87">
        <f>(SUM($C$53:U53)+SUM($C$47:U47))/SUM($C$43:U43)</f>
        <v>1.6915241115812256</v>
      </c>
      <c r="V63" s="87">
        <f>(SUM($C$53:V53)+SUM($C$47:V47))/SUM($C$43:V43)</f>
        <v>1.7262208856642809</v>
      </c>
      <c r="W63" s="87">
        <f>(SUM($C$53:W53)+SUM($C$47:W47))/SUM($C$43:W43)</f>
        <v>1.7588779612408538</v>
      </c>
      <c r="X63" s="87">
        <f>(SUM($C$53:X53)+SUM($C$47:X47))/SUM($C$43:X43)</f>
        <v>1.7896993434833228</v>
      </c>
      <c r="Y63" s="87">
        <f>(SUM($C$53:Y53)+SUM($C$47:Y47))/SUM($C$43:Y43)</f>
        <v>1.8188636971244132</v>
      </c>
      <c r="Z63" s="87">
        <f>(SUM($C$53:Z53)+SUM($C$47:Z47))/SUM($C$43:Z43)</f>
        <v>1.8465281898015546</v>
      </c>
      <c r="AA63" s="87">
        <f>(SUM($C$53:AA53)+SUM($C$47:AA47))/SUM($C$43:AA43)</f>
        <v>1.8728316572582357</v>
      </c>
      <c r="AB63" s="87">
        <f>(SUM($C$53:AB53)+SUM($C$47:AB47))/SUM($C$43:AB43)</f>
        <v>1.8978972260332529</v>
      </c>
    </row>
    <row r="67" spans="1:32" ht="26.25" x14ac:dyDescent="0.4">
      <c r="A67" s="107">
        <v>0.04</v>
      </c>
      <c r="B67" s="107" t="s">
        <v>79</v>
      </c>
    </row>
    <row r="68" spans="1:32" ht="23.25" customHeight="1" x14ac:dyDescent="0.25">
      <c r="A68" s="313" t="s">
        <v>140</v>
      </c>
      <c r="B68" s="314"/>
      <c r="C68" s="314"/>
      <c r="D68" s="314"/>
      <c r="E68" s="314"/>
      <c r="F68" s="314"/>
      <c r="G68" s="314"/>
      <c r="H68" s="314"/>
      <c r="I68" s="314"/>
      <c r="J68" s="314"/>
      <c r="K68" s="314"/>
      <c r="L68" s="314"/>
      <c r="M68" s="314"/>
      <c r="N68" s="314"/>
      <c r="O68" s="314"/>
      <c r="P68" s="314"/>
      <c r="Q68" s="314"/>
      <c r="R68" s="314"/>
      <c r="S68" s="314"/>
      <c r="T68" s="314"/>
      <c r="U68" s="314"/>
      <c r="V68" s="314"/>
      <c r="W68" s="314"/>
      <c r="X68" s="314"/>
      <c r="Y68" s="314"/>
      <c r="Z68" s="314"/>
      <c r="AA68" s="314"/>
      <c r="AB68" s="314"/>
      <c r="AC68" s="314"/>
      <c r="AD68" s="315"/>
    </row>
    <row r="69" spans="1:32" x14ac:dyDescent="0.25">
      <c r="A69" s="78"/>
      <c r="B69" s="78"/>
      <c r="C69" s="60" t="s">
        <v>8</v>
      </c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1" t="s">
        <v>9</v>
      </c>
    </row>
    <row r="70" spans="1:32" ht="15.75" customHeight="1" x14ac:dyDescent="0.25">
      <c r="A70" s="311" t="s">
        <v>131</v>
      </c>
      <c r="B70" s="312"/>
      <c r="C70" s="224"/>
      <c r="D70" s="1">
        <v>1</v>
      </c>
      <c r="E70" s="1">
        <v>2</v>
      </c>
      <c r="F70" s="1">
        <v>3</v>
      </c>
      <c r="G70" s="1">
        <v>4</v>
      </c>
      <c r="H70" s="1">
        <v>5</v>
      </c>
      <c r="I70" s="1">
        <v>6</v>
      </c>
      <c r="J70" s="1">
        <v>7</v>
      </c>
      <c r="K70" s="1">
        <v>8</v>
      </c>
      <c r="L70" s="1">
        <v>9</v>
      </c>
      <c r="M70" s="1">
        <v>10</v>
      </c>
      <c r="N70" s="1">
        <v>11</v>
      </c>
      <c r="O70" s="1">
        <v>12</v>
      </c>
      <c r="P70" s="1">
        <v>13</v>
      </c>
      <c r="Q70" s="1">
        <v>14</v>
      </c>
      <c r="R70" s="1">
        <v>15</v>
      </c>
      <c r="S70" s="1">
        <v>16</v>
      </c>
      <c r="T70" s="1">
        <v>17</v>
      </c>
      <c r="U70" s="1">
        <v>18</v>
      </c>
      <c r="V70" s="1">
        <v>19</v>
      </c>
      <c r="W70" s="1">
        <v>20</v>
      </c>
      <c r="X70" s="1">
        <v>21</v>
      </c>
      <c r="Y70" s="1">
        <v>22</v>
      </c>
      <c r="Z70" s="1">
        <v>23</v>
      </c>
      <c r="AA70" s="1">
        <v>24</v>
      </c>
      <c r="AB70" s="1">
        <v>25</v>
      </c>
      <c r="AC70" s="62" t="s">
        <v>78</v>
      </c>
      <c r="AD70" s="7"/>
    </row>
    <row r="71" spans="1:32" ht="16.5" customHeight="1" x14ac:dyDescent="0.25">
      <c r="A71" s="89"/>
      <c r="B71" s="90"/>
      <c r="C71" s="99">
        <v>44197</v>
      </c>
      <c r="D71" s="99">
        <v>44562</v>
      </c>
      <c r="E71" s="99">
        <v>44927</v>
      </c>
      <c r="F71" s="99">
        <v>45292</v>
      </c>
      <c r="G71" s="99">
        <v>45658</v>
      </c>
      <c r="H71" s="99">
        <v>46023</v>
      </c>
      <c r="I71" s="99">
        <v>46388</v>
      </c>
      <c r="J71" s="99">
        <v>46753</v>
      </c>
      <c r="K71" s="99">
        <v>47119</v>
      </c>
      <c r="L71" s="99">
        <v>47484</v>
      </c>
      <c r="M71" s="99">
        <v>47849</v>
      </c>
      <c r="N71" s="99">
        <v>48214</v>
      </c>
      <c r="O71" s="99">
        <v>48580</v>
      </c>
      <c r="P71" s="99">
        <v>48945</v>
      </c>
      <c r="Q71" s="99">
        <v>49310</v>
      </c>
      <c r="R71" s="99">
        <v>49675</v>
      </c>
      <c r="S71" s="99">
        <v>50041</v>
      </c>
      <c r="T71" s="99">
        <v>50406</v>
      </c>
      <c r="U71" s="99">
        <v>50771</v>
      </c>
      <c r="V71" s="99">
        <v>51136</v>
      </c>
      <c r="W71" s="99">
        <v>51502</v>
      </c>
      <c r="X71" s="99">
        <v>51867</v>
      </c>
      <c r="Y71" s="99">
        <v>52232</v>
      </c>
      <c r="Z71" s="99">
        <v>52597</v>
      </c>
      <c r="AA71" s="99">
        <v>52963</v>
      </c>
      <c r="AB71" s="99">
        <v>53328</v>
      </c>
      <c r="AC71" s="91"/>
      <c r="AD71" s="92"/>
    </row>
    <row r="72" spans="1:32" s="106" customFormat="1" ht="16.5" customHeight="1" x14ac:dyDescent="0.25">
      <c r="C72" s="101"/>
      <c r="D72" s="102"/>
      <c r="E72" s="102"/>
      <c r="F72" s="102"/>
      <c r="G72" s="102"/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2"/>
      <c r="Z72" s="102"/>
      <c r="AA72" s="102"/>
      <c r="AB72" s="102"/>
      <c r="AC72" s="103"/>
      <c r="AD72" s="104"/>
      <c r="AE72" s="105"/>
      <c r="AF72" s="105"/>
    </row>
    <row r="73" spans="1:32" x14ac:dyDescent="0.25">
      <c r="A73" s="307" t="s">
        <v>10</v>
      </c>
      <c r="B73" s="308"/>
      <c r="C73" s="225"/>
      <c r="D73" s="63"/>
      <c r="E73" s="63"/>
      <c r="F73" s="63"/>
      <c r="G73" s="63"/>
      <c r="H73" s="63"/>
      <c r="I73" s="63"/>
      <c r="J73" s="64"/>
      <c r="K73" s="64"/>
      <c r="L73" s="64"/>
      <c r="M73" s="64"/>
      <c r="N73" s="64"/>
      <c r="O73" s="64"/>
      <c r="P73" s="64"/>
      <c r="Q73" s="64"/>
      <c r="R73" s="64"/>
      <c r="S73" s="64"/>
      <c r="T73" s="64"/>
      <c r="U73" s="64"/>
      <c r="V73" s="64"/>
      <c r="W73" s="64"/>
      <c r="X73" s="64"/>
      <c r="Y73" s="64"/>
      <c r="Z73" s="64"/>
      <c r="AA73" s="64"/>
      <c r="AB73" s="64"/>
      <c r="AC73" s="64"/>
      <c r="AD73" s="64"/>
    </row>
    <row r="74" spans="1:32" x14ac:dyDescent="0.25">
      <c r="A74" s="226" t="s">
        <v>11</v>
      </c>
      <c r="B74" s="59"/>
      <c r="C74" s="88">
        <f>Interventions!$G$6</f>
        <v>27361</v>
      </c>
      <c r="D74" s="65"/>
      <c r="E74" s="65"/>
      <c r="F74" s="65"/>
      <c r="G74" s="65"/>
      <c r="H74" s="65"/>
      <c r="I74" s="65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66">
        <f>SUM(C74:AB74)</f>
        <v>27361</v>
      </c>
      <c r="AD74" s="3" t="s">
        <v>12</v>
      </c>
    </row>
    <row r="75" spans="1:32" x14ac:dyDescent="0.25">
      <c r="A75" s="59" t="s">
        <v>137</v>
      </c>
      <c r="B75" s="226"/>
      <c r="C75" s="93"/>
      <c r="D75" s="67">
        <f>Interventions!$G$7</f>
        <v>2736.1000000000004</v>
      </c>
      <c r="E75" s="67">
        <f>Interventions!$G$7</f>
        <v>2736.1000000000004</v>
      </c>
      <c r="F75" s="67">
        <f>Interventions!$G$7</f>
        <v>2736.1000000000004</v>
      </c>
      <c r="G75" s="67">
        <f>Interventions!$G$7</f>
        <v>2736.1000000000004</v>
      </c>
      <c r="H75" s="67">
        <f>Interventions!$G$7</f>
        <v>2736.1000000000004</v>
      </c>
      <c r="I75" s="67">
        <f>Interventions!$G$7</f>
        <v>2736.1000000000004</v>
      </c>
      <c r="J75" s="67">
        <f>Interventions!$G$7</f>
        <v>2736.1000000000004</v>
      </c>
      <c r="K75" s="67">
        <f>Interventions!$G$7</f>
        <v>2736.1000000000004</v>
      </c>
      <c r="L75" s="67">
        <f>Interventions!$G$7</f>
        <v>2736.1000000000004</v>
      </c>
      <c r="M75" s="67">
        <f>Interventions!$G$7</f>
        <v>2736.1000000000004</v>
      </c>
      <c r="N75" s="67">
        <f>Interventions!$G$7</f>
        <v>2736.1000000000004</v>
      </c>
      <c r="O75" s="67">
        <f>Interventions!$G$7</f>
        <v>2736.1000000000004</v>
      </c>
      <c r="P75" s="67">
        <f>Interventions!$G$7</f>
        <v>2736.1000000000004</v>
      </c>
      <c r="Q75" s="67">
        <f>Interventions!$G$7</f>
        <v>2736.1000000000004</v>
      </c>
      <c r="R75" s="67">
        <f>Interventions!$G$7</f>
        <v>2736.1000000000004</v>
      </c>
      <c r="S75" s="67">
        <f>Interventions!$G$7</f>
        <v>2736.1000000000004</v>
      </c>
      <c r="T75" s="67">
        <f>Interventions!$G$7</f>
        <v>2736.1000000000004</v>
      </c>
      <c r="U75" s="67">
        <f>Interventions!$G$7</f>
        <v>2736.1000000000004</v>
      </c>
      <c r="V75" s="67">
        <f>Interventions!$G$7</f>
        <v>2736.1000000000004</v>
      </c>
      <c r="W75" s="67">
        <f>Interventions!$G$7</f>
        <v>2736.1000000000004</v>
      </c>
      <c r="X75" s="67">
        <f>Interventions!$G$7</f>
        <v>2736.1000000000004</v>
      </c>
      <c r="Y75" s="67">
        <f>Interventions!$G$7</f>
        <v>2736.1000000000004</v>
      </c>
      <c r="Z75" s="67">
        <f>Interventions!$G$7</f>
        <v>2736.1000000000004</v>
      </c>
      <c r="AA75" s="67">
        <f>Interventions!$G$7</f>
        <v>2736.1000000000004</v>
      </c>
      <c r="AB75" s="67">
        <f>Interventions!$G$7</f>
        <v>2736.1000000000004</v>
      </c>
      <c r="AC75" s="66">
        <f>SUM(C75:AB75)</f>
        <v>68402.499999999985</v>
      </c>
      <c r="AD75" s="3" t="s">
        <v>12</v>
      </c>
    </row>
    <row r="76" spans="1:32" x14ac:dyDescent="0.25">
      <c r="A76" s="309" t="s">
        <v>80</v>
      </c>
      <c r="B76" s="310"/>
      <c r="C76" s="94">
        <f t="shared" ref="C76:W76" si="72">SUM(C74:C75)</f>
        <v>27361</v>
      </c>
      <c r="D76" s="94">
        <f t="shared" si="72"/>
        <v>2736.1000000000004</v>
      </c>
      <c r="E76" s="94">
        <f t="shared" si="72"/>
        <v>2736.1000000000004</v>
      </c>
      <c r="F76" s="94">
        <f t="shared" si="72"/>
        <v>2736.1000000000004</v>
      </c>
      <c r="G76" s="94">
        <f t="shared" si="72"/>
        <v>2736.1000000000004</v>
      </c>
      <c r="H76" s="94">
        <f t="shared" si="72"/>
        <v>2736.1000000000004</v>
      </c>
      <c r="I76" s="94">
        <f t="shared" si="72"/>
        <v>2736.1000000000004</v>
      </c>
      <c r="J76" s="94">
        <f t="shared" si="72"/>
        <v>2736.1000000000004</v>
      </c>
      <c r="K76" s="94">
        <f t="shared" si="72"/>
        <v>2736.1000000000004</v>
      </c>
      <c r="L76" s="94">
        <f t="shared" si="72"/>
        <v>2736.1000000000004</v>
      </c>
      <c r="M76" s="94">
        <f t="shared" si="72"/>
        <v>2736.1000000000004</v>
      </c>
      <c r="N76" s="94">
        <f t="shared" si="72"/>
        <v>2736.1000000000004</v>
      </c>
      <c r="O76" s="94">
        <f t="shared" si="72"/>
        <v>2736.1000000000004</v>
      </c>
      <c r="P76" s="94">
        <f t="shared" si="72"/>
        <v>2736.1000000000004</v>
      </c>
      <c r="Q76" s="94">
        <f t="shared" si="72"/>
        <v>2736.1000000000004</v>
      </c>
      <c r="R76" s="94">
        <f t="shared" si="72"/>
        <v>2736.1000000000004</v>
      </c>
      <c r="S76" s="94">
        <f t="shared" si="72"/>
        <v>2736.1000000000004</v>
      </c>
      <c r="T76" s="94">
        <f t="shared" si="72"/>
        <v>2736.1000000000004</v>
      </c>
      <c r="U76" s="94">
        <f t="shared" si="72"/>
        <v>2736.1000000000004</v>
      </c>
      <c r="V76" s="94">
        <f t="shared" si="72"/>
        <v>2736.1000000000004</v>
      </c>
      <c r="W76" s="94">
        <f t="shared" si="72"/>
        <v>2736.1000000000004</v>
      </c>
      <c r="X76" s="94">
        <f t="shared" ref="X76:AB76" si="73">SUM(X74:X75)</f>
        <v>2736.1000000000004</v>
      </c>
      <c r="Y76" s="94">
        <f t="shared" si="73"/>
        <v>2736.1000000000004</v>
      </c>
      <c r="Z76" s="94">
        <f t="shared" si="73"/>
        <v>2736.1000000000004</v>
      </c>
      <c r="AA76" s="94">
        <f t="shared" si="73"/>
        <v>2736.1000000000004</v>
      </c>
      <c r="AB76" s="94">
        <f t="shared" si="73"/>
        <v>2736.1000000000004</v>
      </c>
      <c r="AC76" s="95">
        <f>SUM(AC74:AC75)</f>
        <v>95763.499999999985</v>
      </c>
      <c r="AD76" s="6" t="s">
        <v>12</v>
      </c>
    </row>
    <row r="77" spans="1:32" x14ac:dyDescent="0.25">
      <c r="A77" s="307" t="s">
        <v>155</v>
      </c>
      <c r="B77" s="308"/>
      <c r="C77" s="239"/>
      <c r="D77" s="63"/>
      <c r="E77" s="63"/>
      <c r="F77" s="63"/>
      <c r="G77" s="63"/>
      <c r="H77" s="63"/>
      <c r="I77" s="63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</row>
    <row r="78" spans="1:32" x14ac:dyDescent="0.25">
      <c r="A78" s="59" t="s">
        <v>171</v>
      </c>
      <c r="B78" s="59"/>
      <c r="C78" s="59"/>
      <c r="D78" s="67">
        <f>'Carbon avoided'!E12</f>
        <v>575.59040000000005</v>
      </c>
      <c r="E78" s="67">
        <f>'Carbon avoided'!F12</f>
        <v>589.98016000000007</v>
      </c>
      <c r="F78" s="67">
        <f>'Carbon avoided'!G12</f>
        <v>604.72966399999996</v>
      </c>
      <c r="G78" s="67">
        <f>'Carbon avoided'!H12</f>
        <v>619.84790559999999</v>
      </c>
      <c r="H78" s="67">
        <f>'Carbon avoided'!I12</f>
        <v>635.34410323999998</v>
      </c>
      <c r="I78" s="67">
        <f>'Carbon avoided'!J12</f>
        <v>651.22770582099986</v>
      </c>
      <c r="J78" s="67">
        <f>'Carbon avoided'!K12</f>
        <v>667.5083984665248</v>
      </c>
      <c r="K78" s="67">
        <f>'Carbon avoided'!L12</f>
        <v>684.19610842818781</v>
      </c>
      <c r="L78" s="67">
        <f>'Carbon avoided'!M12</f>
        <v>701.30101113889248</v>
      </c>
      <c r="M78" s="67">
        <f>'Carbon avoided'!N12</f>
        <v>718.83353641736471</v>
      </c>
      <c r="N78" s="67">
        <f>'Carbon avoided'!O12</f>
        <v>736.80437482779871</v>
      </c>
      <c r="O78" s="67">
        <f>'Carbon avoided'!P12</f>
        <v>755.22448419849366</v>
      </c>
      <c r="P78" s="67">
        <f>'Carbon avoided'!Q12</f>
        <v>774.10509630345587</v>
      </c>
      <c r="Q78" s="67">
        <f>'Carbon avoided'!R12</f>
        <v>793.45772371104215</v>
      </c>
      <c r="R78" s="67">
        <f>'Carbon avoided'!S12</f>
        <v>813.29416680381814</v>
      </c>
      <c r="S78" s="67">
        <f>'Carbon avoided'!T12</f>
        <v>833.62652097391356</v>
      </c>
      <c r="T78" s="67">
        <f>'Carbon avoided'!U12</f>
        <v>854.46718399826136</v>
      </c>
      <c r="U78" s="67">
        <f>'Carbon avoided'!V12</f>
        <v>875.82886359821782</v>
      </c>
      <c r="V78" s="67">
        <f>'Carbon avoided'!W12</f>
        <v>897.72458518817314</v>
      </c>
      <c r="W78" s="67">
        <f>'Carbon avoided'!X12</f>
        <v>920.16769981787741</v>
      </c>
      <c r="X78" s="67">
        <f>'Carbon avoided'!Y12</f>
        <v>943.17189231332429</v>
      </c>
      <c r="Y78" s="67">
        <f>'Carbon avoided'!Z12</f>
        <v>966.75118962115732</v>
      </c>
      <c r="Z78" s="67">
        <f>'Carbon avoided'!AA12</f>
        <v>990.9199693616863</v>
      </c>
      <c r="AA78" s="67">
        <f>'Carbon avoided'!AB12</f>
        <v>1015.6929685957284</v>
      </c>
      <c r="AB78" s="67">
        <f>'Carbon avoided'!AC12</f>
        <v>1041.0852928106215</v>
      </c>
      <c r="AC78" s="66">
        <f>SUM(C78:AB78)</f>
        <v>19660.88100523554</v>
      </c>
      <c r="AD78" s="3" t="s">
        <v>12</v>
      </c>
    </row>
    <row r="79" spans="1:32" ht="12.75" customHeight="1" x14ac:dyDescent="0.25">
      <c r="A79" s="59" t="s">
        <v>175</v>
      </c>
      <c r="B79" s="59"/>
      <c r="C79" s="59"/>
      <c r="D79" s="67">
        <f>Interventions!$G$10</f>
        <v>3240</v>
      </c>
      <c r="E79" s="67">
        <f>Interventions!$G$10</f>
        <v>3240</v>
      </c>
      <c r="F79" s="67">
        <f>Interventions!$G$10</f>
        <v>3240</v>
      </c>
      <c r="G79" s="67">
        <f>Interventions!$G$10</f>
        <v>3240</v>
      </c>
      <c r="H79" s="67">
        <f>Interventions!$G$10</f>
        <v>3240</v>
      </c>
      <c r="I79" s="67">
        <f>Interventions!$G$10</f>
        <v>3240</v>
      </c>
      <c r="J79" s="67">
        <f>Interventions!$G$10</f>
        <v>3240</v>
      </c>
      <c r="K79" s="67">
        <f>Interventions!$G$10</f>
        <v>3240</v>
      </c>
      <c r="L79" s="67">
        <f>Interventions!$G$10</f>
        <v>3240</v>
      </c>
      <c r="M79" s="67">
        <f>Interventions!$G$10</f>
        <v>3240</v>
      </c>
      <c r="N79" s="67">
        <f>Interventions!$G$10</f>
        <v>3240</v>
      </c>
      <c r="O79" s="67">
        <f>Interventions!$G$10</f>
        <v>3240</v>
      </c>
      <c r="P79" s="67">
        <f>Interventions!$G$10</f>
        <v>3240</v>
      </c>
      <c r="Q79" s="67">
        <f>Interventions!$G$10</f>
        <v>3240</v>
      </c>
      <c r="R79" s="67">
        <f>Interventions!$G$10</f>
        <v>3240</v>
      </c>
      <c r="S79" s="67">
        <f>Interventions!$G$10</f>
        <v>3240</v>
      </c>
      <c r="T79" s="67">
        <f>Interventions!$G$10</f>
        <v>3240</v>
      </c>
      <c r="U79" s="67">
        <f>Interventions!$G$10</f>
        <v>3240</v>
      </c>
      <c r="V79" s="67">
        <f>Interventions!$G$10</f>
        <v>3240</v>
      </c>
      <c r="W79" s="67">
        <f>Interventions!$G$10</f>
        <v>3240</v>
      </c>
      <c r="X79" s="67">
        <f>Interventions!$G$10</f>
        <v>3240</v>
      </c>
      <c r="Y79" s="67">
        <f>Interventions!$G$10</f>
        <v>3240</v>
      </c>
      <c r="Z79" s="67">
        <f>Interventions!$G$10</f>
        <v>3240</v>
      </c>
      <c r="AA79" s="67">
        <f>Interventions!$G$10</f>
        <v>3240</v>
      </c>
      <c r="AB79" s="67">
        <f>Interventions!$G$10</f>
        <v>3240</v>
      </c>
      <c r="AC79" s="66">
        <f>SUM(C79:AB79)</f>
        <v>81000</v>
      </c>
      <c r="AD79" s="3" t="s">
        <v>12</v>
      </c>
    </row>
    <row r="80" spans="1:32" x14ac:dyDescent="0.25">
      <c r="A80" s="309" t="s">
        <v>80</v>
      </c>
      <c r="B80" s="310"/>
      <c r="C80" s="68">
        <f t="shared" ref="C80:R80" si="74">SUM(C78:C79)</f>
        <v>0</v>
      </c>
      <c r="D80" s="68">
        <f t="shared" si="74"/>
        <v>3815.5904</v>
      </c>
      <c r="E80" s="68">
        <f t="shared" si="74"/>
        <v>3829.9801600000001</v>
      </c>
      <c r="F80" s="68">
        <f t="shared" si="74"/>
        <v>3844.729664</v>
      </c>
      <c r="G80" s="68">
        <f t="shared" si="74"/>
        <v>3859.8479056000001</v>
      </c>
      <c r="H80" s="68">
        <f t="shared" si="74"/>
        <v>3875.3441032400001</v>
      </c>
      <c r="I80" s="68">
        <f t="shared" si="74"/>
        <v>3891.2277058209997</v>
      </c>
      <c r="J80" s="68">
        <f t="shared" si="74"/>
        <v>3907.5083984665248</v>
      </c>
      <c r="K80" s="68">
        <f t="shared" si="74"/>
        <v>3924.1961084281879</v>
      </c>
      <c r="L80" s="68">
        <f t="shared" si="74"/>
        <v>3941.3010111388926</v>
      </c>
      <c r="M80" s="68">
        <f t="shared" si="74"/>
        <v>3958.8335364173645</v>
      </c>
      <c r="N80" s="68">
        <f t="shared" si="74"/>
        <v>3976.8043748277987</v>
      </c>
      <c r="O80" s="68">
        <f t="shared" si="74"/>
        <v>3995.2244841984939</v>
      </c>
      <c r="P80" s="68">
        <f t="shared" si="74"/>
        <v>4014.1050963034559</v>
      </c>
      <c r="Q80" s="68">
        <f t="shared" si="74"/>
        <v>4033.457723711042</v>
      </c>
      <c r="R80" s="68">
        <f t="shared" si="74"/>
        <v>4053.2941668038184</v>
      </c>
      <c r="S80" s="68">
        <f t="shared" ref="S80:W80" si="75">SUM(S78:S79)</f>
        <v>4073.6265209739136</v>
      </c>
      <c r="T80" s="68">
        <f t="shared" si="75"/>
        <v>4094.4671839982611</v>
      </c>
      <c r="U80" s="68">
        <f t="shared" si="75"/>
        <v>4115.828863598218</v>
      </c>
      <c r="V80" s="68">
        <f t="shared" si="75"/>
        <v>4137.7245851881735</v>
      </c>
      <c r="W80" s="68">
        <f t="shared" si="75"/>
        <v>4160.1676998178773</v>
      </c>
      <c r="X80" s="68">
        <f t="shared" ref="X80:AB80" si="76">SUM(X78:X79)</f>
        <v>4183.171892313324</v>
      </c>
      <c r="Y80" s="68">
        <f t="shared" si="76"/>
        <v>4206.7511896211572</v>
      </c>
      <c r="Z80" s="68">
        <f t="shared" si="76"/>
        <v>4230.9199693616865</v>
      </c>
      <c r="AA80" s="68">
        <f t="shared" si="76"/>
        <v>4255.6929685957284</v>
      </c>
      <c r="AB80" s="68">
        <f t="shared" si="76"/>
        <v>4281.0852928106215</v>
      </c>
      <c r="AC80" s="68">
        <f>SUM(AC78:AC79)</f>
        <v>100660.88100523554</v>
      </c>
      <c r="AD80" s="6" t="s">
        <v>12</v>
      </c>
    </row>
    <row r="81" spans="1:30" x14ac:dyDescent="0.25">
      <c r="A81" s="307" t="s">
        <v>150</v>
      </c>
      <c r="B81" s="308"/>
      <c r="C81" s="239"/>
      <c r="D81" s="63"/>
      <c r="E81" s="63"/>
      <c r="F81" s="63"/>
      <c r="G81" s="63"/>
      <c r="H81" s="63"/>
      <c r="I81" s="63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</row>
    <row r="82" spans="1:30" x14ac:dyDescent="0.25">
      <c r="A82" s="226"/>
      <c r="B82" s="59"/>
      <c r="C82" s="59"/>
      <c r="D82" s="67"/>
      <c r="E82" s="67"/>
      <c r="F82" s="67"/>
      <c r="G82" s="67"/>
      <c r="H82" s="67"/>
      <c r="I82" s="67"/>
      <c r="J82" s="67"/>
      <c r="K82" s="67"/>
      <c r="L82" s="67"/>
      <c r="M82" s="67"/>
      <c r="N82" s="67"/>
      <c r="O82" s="67"/>
      <c r="P82" s="67"/>
      <c r="Q82" s="67"/>
      <c r="R82" s="67"/>
      <c r="S82" s="67"/>
      <c r="T82" s="67"/>
      <c r="U82" s="67"/>
      <c r="V82" s="67"/>
      <c r="W82" s="67"/>
      <c r="X82" s="67"/>
      <c r="Y82" s="67"/>
      <c r="Z82" s="67"/>
      <c r="AA82" s="67"/>
      <c r="AB82" s="67"/>
      <c r="AC82" s="66"/>
      <c r="AD82" s="3"/>
    </row>
    <row r="83" spans="1:30" x14ac:dyDescent="0.25">
      <c r="A83" s="240"/>
      <c r="B83" s="59"/>
      <c r="C83" s="59"/>
      <c r="D83" s="67"/>
      <c r="E83" s="67"/>
      <c r="F83" s="67"/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6"/>
      <c r="AD83" s="3"/>
    </row>
    <row r="84" spans="1:30" ht="13.5" customHeight="1" x14ac:dyDescent="0.25">
      <c r="A84" s="240"/>
      <c r="B84" s="59"/>
      <c r="C84" s="59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6"/>
      <c r="AD84" s="3"/>
    </row>
    <row r="85" spans="1:30" x14ac:dyDescent="0.25">
      <c r="A85" s="59" t="s">
        <v>36</v>
      </c>
      <c r="B85" s="59" t="s">
        <v>36</v>
      </c>
      <c r="C85" s="59"/>
      <c r="D85" s="67">
        <f>Interventions!$E$14</f>
        <v>3243.5360000000001</v>
      </c>
      <c r="E85" s="67">
        <f>Interventions!$E$14</f>
        <v>3243.5360000000001</v>
      </c>
      <c r="F85" s="67">
        <f>Interventions!$E$14</f>
        <v>3243.5360000000001</v>
      </c>
      <c r="G85" s="67">
        <f>Interventions!$E$14</f>
        <v>3243.5360000000001</v>
      </c>
      <c r="H85" s="67">
        <f>Interventions!$E$14</f>
        <v>3243.5360000000001</v>
      </c>
      <c r="I85" s="67">
        <f>Interventions!$E$14</f>
        <v>3243.5360000000001</v>
      </c>
      <c r="J85" s="67">
        <f>Interventions!$E$14</f>
        <v>3243.5360000000001</v>
      </c>
      <c r="K85" s="67">
        <f>Interventions!$E$14</f>
        <v>3243.5360000000001</v>
      </c>
      <c r="L85" s="67">
        <f>Interventions!$E$14</f>
        <v>3243.5360000000001</v>
      </c>
      <c r="M85" s="67">
        <f>Interventions!$E$14</f>
        <v>3243.5360000000001</v>
      </c>
      <c r="N85" s="67">
        <f>Interventions!$E$14</f>
        <v>3243.5360000000001</v>
      </c>
      <c r="O85" s="67">
        <f>Interventions!$E$14</f>
        <v>3243.5360000000001</v>
      </c>
      <c r="P85" s="67">
        <f>Interventions!$E$14</f>
        <v>3243.5360000000001</v>
      </c>
      <c r="Q85" s="67">
        <f>Interventions!$E$14</f>
        <v>3243.5360000000001</v>
      </c>
      <c r="R85" s="67">
        <f>Interventions!$E$14</f>
        <v>3243.5360000000001</v>
      </c>
      <c r="S85" s="67">
        <f>Interventions!$E$14</f>
        <v>3243.5360000000001</v>
      </c>
      <c r="T85" s="67">
        <f>Interventions!$E$14</f>
        <v>3243.5360000000001</v>
      </c>
      <c r="U85" s="67">
        <f>Interventions!$E$14</f>
        <v>3243.5360000000001</v>
      </c>
      <c r="V85" s="67">
        <f>Interventions!$E$14</f>
        <v>3243.5360000000001</v>
      </c>
      <c r="W85" s="67">
        <f>Interventions!$E$14</f>
        <v>3243.5360000000001</v>
      </c>
      <c r="X85" s="67">
        <f>Interventions!$E$14</f>
        <v>3243.5360000000001</v>
      </c>
      <c r="Y85" s="67">
        <f>Interventions!$E$14</f>
        <v>3243.5360000000001</v>
      </c>
      <c r="Z85" s="67">
        <f>Interventions!$E$14</f>
        <v>3243.5360000000001</v>
      </c>
      <c r="AA85" s="67">
        <f>Interventions!$E$14</f>
        <v>3243.5360000000001</v>
      </c>
      <c r="AB85" s="67">
        <f>Interventions!$E$14</f>
        <v>3243.5360000000001</v>
      </c>
      <c r="AC85" s="66">
        <f>SUM(D85:AB85)</f>
        <v>81088.399999999965</v>
      </c>
      <c r="AD85" s="3" t="s">
        <v>12</v>
      </c>
    </row>
    <row r="86" spans="1:30" x14ac:dyDescent="0.25">
      <c r="A86" s="309" t="s">
        <v>80</v>
      </c>
      <c r="B86" s="310"/>
      <c r="C86" s="81">
        <f>SUM(C82:C82)</f>
        <v>0</v>
      </c>
      <c r="D86" s="81">
        <f>SUM(D82:D85)</f>
        <v>3243.5360000000001</v>
      </c>
      <c r="E86" s="81">
        <f t="shared" ref="E86" si="77">SUM(E82:E85)</f>
        <v>3243.5360000000001</v>
      </c>
      <c r="F86" s="81">
        <f t="shared" ref="F86" si="78">SUM(F82:F85)</f>
        <v>3243.5360000000001</v>
      </c>
      <c r="G86" s="81">
        <f t="shared" ref="G86" si="79">SUM(G82:G85)</f>
        <v>3243.5360000000001</v>
      </c>
      <c r="H86" s="81">
        <f t="shared" ref="H86" si="80">SUM(H82:H85)</f>
        <v>3243.5360000000001</v>
      </c>
      <c r="I86" s="81">
        <f t="shared" ref="I86" si="81">SUM(I82:I85)</f>
        <v>3243.5360000000001</v>
      </c>
      <c r="J86" s="81">
        <f t="shared" ref="J86" si="82">SUM(J82:J85)</f>
        <v>3243.5360000000001</v>
      </c>
      <c r="K86" s="81">
        <f t="shared" ref="K86" si="83">SUM(K82:K85)</f>
        <v>3243.5360000000001</v>
      </c>
      <c r="L86" s="81">
        <f t="shared" ref="L86" si="84">SUM(L82:L85)</f>
        <v>3243.5360000000001</v>
      </c>
      <c r="M86" s="81">
        <f t="shared" ref="M86" si="85">SUM(M82:M85)</f>
        <v>3243.5360000000001</v>
      </c>
      <c r="N86" s="81">
        <f t="shared" ref="N86" si="86">SUM(N82:N85)</f>
        <v>3243.5360000000001</v>
      </c>
      <c r="O86" s="81">
        <f t="shared" ref="O86" si="87">SUM(O82:O85)</f>
        <v>3243.5360000000001</v>
      </c>
      <c r="P86" s="81">
        <f t="shared" ref="P86" si="88">SUM(P82:P85)</f>
        <v>3243.5360000000001</v>
      </c>
      <c r="Q86" s="81">
        <f t="shared" ref="Q86" si="89">SUM(Q82:Q85)</f>
        <v>3243.5360000000001</v>
      </c>
      <c r="R86" s="81">
        <f t="shared" ref="R86" si="90">SUM(R82:R85)</f>
        <v>3243.5360000000001</v>
      </c>
      <c r="S86" s="81">
        <f t="shared" ref="S86" si="91">SUM(S82:S85)</f>
        <v>3243.5360000000001</v>
      </c>
      <c r="T86" s="81">
        <f t="shared" ref="T86" si="92">SUM(T82:T85)</f>
        <v>3243.5360000000001</v>
      </c>
      <c r="U86" s="81">
        <f t="shared" ref="U86" si="93">SUM(U82:U85)</f>
        <v>3243.5360000000001</v>
      </c>
      <c r="V86" s="81">
        <f t="shared" ref="V86" si="94">SUM(V82:V85)</f>
        <v>3243.5360000000001</v>
      </c>
      <c r="W86" s="81">
        <f t="shared" ref="W86" si="95">SUM(W82:W85)</f>
        <v>3243.5360000000001</v>
      </c>
      <c r="X86" s="81">
        <f t="shared" ref="X86" si="96">SUM(X82:X85)</f>
        <v>3243.5360000000001</v>
      </c>
      <c r="Y86" s="81">
        <f t="shared" ref="Y86" si="97">SUM(Y82:Y85)</f>
        <v>3243.5360000000001</v>
      </c>
      <c r="Z86" s="81">
        <f t="shared" ref="Z86" si="98">SUM(Z82:Z85)</f>
        <v>3243.5360000000001</v>
      </c>
      <c r="AA86" s="81">
        <f t="shared" ref="AA86" si="99">SUM(AA82:AA85)</f>
        <v>3243.5360000000001</v>
      </c>
      <c r="AB86" s="81">
        <f t="shared" ref="AB86" si="100">SUM(AB82:AB85)</f>
        <v>3243.5360000000001</v>
      </c>
      <c r="AC86" s="81">
        <f t="shared" ref="AC86" si="101">SUM(AC82:AC85)</f>
        <v>81088.399999999965</v>
      </c>
      <c r="AD86" s="6" t="s">
        <v>12</v>
      </c>
    </row>
    <row r="87" spans="1:30" x14ac:dyDescent="0.25">
      <c r="A87" s="132"/>
      <c r="B87" s="133" t="s">
        <v>81</v>
      </c>
      <c r="C87" s="134">
        <f t="shared" ref="C87:R87" si="102">(C86+C80)-C76</f>
        <v>-27361</v>
      </c>
      <c r="D87" s="134">
        <f t="shared" si="102"/>
        <v>4323.0263999999997</v>
      </c>
      <c r="E87" s="134">
        <f t="shared" si="102"/>
        <v>4337.4161599999998</v>
      </c>
      <c r="F87" s="134">
        <f t="shared" si="102"/>
        <v>4352.1656640000001</v>
      </c>
      <c r="G87" s="134">
        <f t="shared" si="102"/>
        <v>4367.2839055999993</v>
      </c>
      <c r="H87" s="134">
        <f t="shared" si="102"/>
        <v>4382.7801032400002</v>
      </c>
      <c r="I87" s="134">
        <f t="shared" si="102"/>
        <v>4398.6637058209999</v>
      </c>
      <c r="J87" s="134">
        <f t="shared" si="102"/>
        <v>4414.9443984665249</v>
      </c>
      <c r="K87" s="134">
        <f t="shared" si="102"/>
        <v>4431.6321084281881</v>
      </c>
      <c r="L87" s="134">
        <f t="shared" si="102"/>
        <v>4448.7370111388918</v>
      </c>
      <c r="M87" s="134">
        <f t="shared" si="102"/>
        <v>4466.2695364173642</v>
      </c>
      <c r="N87" s="134">
        <f t="shared" si="102"/>
        <v>4484.2403748277984</v>
      </c>
      <c r="O87" s="134">
        <f t="shared" si="102"/>
        <v>4502.6604841984936</v>
      </c>
      <c r="P87" s="134">
        <f t="shared" si="102"/>
        <v>4521.5410963034556</v>
      </c>
      <c r="Q87" s="134">
        <f t="shared" si="102"/>
        <v>4540.8937237110422</v>
      </c>
      <c r="R87" s="134">
        <f t="shared" si="102"/>
        <v>4560.7301668038181</v>
      </c>
      <c r="S87" s="134">
        <f t="shared" ref="S87:W87" si="103">(S86+S80)-S76</f>
        <v>4581.0625209739137</v>
      </c>
      <c r="T87" s="134">
        <f t="shared" si="103"/>
        <v>4601.9031839982608</v>
      </c>
      <c r="U87" s="134">
        <f t="shared" si="103"/>
        <v>4623.2648635982177</v>
      </c>
      <c r="V87" s="134">
        <f t="shared" si="103"/>
        <v>4645.1605851881732</v>
      </c>
      <c r="W87" s="134">
        <f t="shared" si="103"/>
        <v>4667.603699817877</v>
      </c>
      <c r="X87" s="134">
        <f t="shared" ref="X87:AB87" si="104">(X86+X80)-X76</f>
        <v>4690.6078923133236</v>
      </c>
      <c r="Y87" s="134">
        <f t="shared" si="104"/>
        <v>4714.1871896211569</v>
      </c>
      <c r="Z87" s="134">
        <f t="shared" si="104"/>
        <v>4738.3559693616862</v>
      </c>
      <c r="AA87" s="134">
        <f t="shared" si="104"/>
        <v>4763.1289685957281</v>
      </c>
      <c r="AB87" s="134">
        <f t="shared" si="104"/>
        <v>4788.5212928106212</v>
      </c>
      <c r="AC87" s="134">
        <f>(AC86+AC80)-AC76</f>
        <v>85985.78100523552</v>
      </c>
      <c r="AD87" s="135" t="s">
        <v>12</v>
      </c>
    </row>
    <row r="88" spans="1:30" x14ac:dyDescent="0.25">
      <c r="A88" s="132"/>
      <c r="B88" s="133" t="s">
        <v>82</v>
      </c>
      <c r="C88" s="134">
        <f t="shared" ref="C88:R88" si="105">(C86)-C76</f>
        <v>-27361</v>
      </c>
      <c r="D88" s="134">
        <f t="shared" si="105"/>
        <v>507.43599999999969</v>
      </c>
      <c r="E88" s="134">
        <f t="shared" si="105"/>
        <v>507.43599999999969</v>
      </c>
      <c r="F88" s="134">
        <f t="shared" si="105"/>
        <v>507.43599999999969</v>
      </c>
      <c r="G88" s="134">
        <f t="shared" si="105"/>
        <v>507.43599999999969</v>
      </c>
      <c r="H88" s="134">
        <f t="shared" si="105"/>
        <v>507.43599999999969</v>
      </c>
      <c r="I88" s="134">
        <f t="shared" si="105"/>
        <v>507.43599999999969</v>
      </c>
      <c r="J88" s="134">
        <f t="shared" si="105"/>
        <v>507.43599999999969</v>
      </c>
      <c r="K88" s="134">
        <f t="shared" si="105"/>
        <v>507.43599999999969</v>
      </c>
      <c r="L88" s="134">
        <f t="shared" si="105"/>
        <v>507.43599999999969</v>
      </c>
      <c r="M88" s="134">
        <f t="shared" si="105"/>
        <v>507.43599999999969</v>
      </c>
      <c r="N88" s="134">
        <f t="shared" si="105"/>
        <v>507.43599999999969</v>
      </c>
      <c r="O88" s="134">
        <f t="shared" si="105"/>
        <v>507.43599999999969</v>
      </c>
      <c r="P88" s="134">
        <f t="shared" si="105"/>
        <v>507.43599999999969</v>
      </c>
      <c r="Q88" s="134">
        <f t="shared" si="105"/>
        <v>507.43599999999969</v>
      </c>
      <c r="R88" s="134">
        <f t="shared" si="105"/>
        <v>507.43599999999969</v>
      </c>
      <c r="S88" s="134">
        <f t="shared" ref="S88:W88" si="106">(S86)-S76</f>
        <v>507.43599999999969</v>
      </c>
      <c r="T88" s="134">
        <f t="shared" si="106"/>
        <v>507.43599999999969</v>
      </c>
      <c r="U88" s="134">
        <f t="shared" si="106"/>
        <v>507.43599999999969</v>
      </c>
      <c r="V88" s="134">
        <f t="shared" si="106"/>
        <v>507.43599999999969</v>
      </c>
      <c r="W88" s="134">
        <f t="shared" si="106"/>
        <v>507.43599999999969</v>
      </c>
      <c r="X88" s="134">
        <f t="shared" ref="X88:AB88" si="107">(X86)-X76</f>
        <v>507.43599999999969</v>
      </c>
      <c r="Y88" s="134">
        <f t="shared" si="107"/>
        <v>507.43599999999969</v>
      </c>
      <c r="Z88" s="134">
        <f t="shared" si="107"/>
        <v>507.43599999999969</v>
      </c>
      <c r="AA88" s="134">
        <f t="shared" si="107"/>
        <v>507.43599999999969</v>
      </c>
      <c r="AB88" s="134">
        <f t="shared" si="107"/>
        <v>507.43599999999969</v>
      </c>
      <c r="AC88" s="134">
        <f>(AC86)-AC76</f>
        <v>-14675.10000000002</v>
      </c>
      <c r="AD88" s="135" t="s">
        <v>12</v>
      </c>
    </row>
    <row r="89" spans="1:30" ht="13.5" customHeight="1" x14ac:dyDescent="0.25">
      <c r="A89" s="69" t="s">
        <v>83</v>
      </c>
      <c r="B89" s="70">
        <f>XIRR(C88:AB88, C$38:AB$38, 0.1)</f>
        <v>-5.2049860358238234E-2</v>
      </c>
      <c r="D89" s="82"/>
      <c r="E89" s="71"/>
      <c r="F89" s="71"/>
      <c r="G89" s="71"/>
      <c r="H89" s="71"/>
      <c r="I89" s="71"/>
      <c r="J89" s="72"/>
    </row>
    <row r="90" spans="1:30" ht="13.5" customHeight="1" x14ac:dyDescent="0.25">
      <c r="A90" s="96" t="s">
        <v>85</v>
      </c>
      <c r="B90" s="73">
        <f>XIRR(C87:AB87, C$38:AB$38, 0.1)</f>
        <v>0.1571242392063141</v>
      </c>
      <c r="D90" s="82"/>
      <c r="E90" s="71"/>
      <c r="F90" s="71"/>
      <c r="G90" s="71"/>
      <c r="H90" s="71"/>
      <c r="I90" s="71"/>
      <c r="J90" s="72"/>
    </row>
    <row r="91" spans="1:30" x14ac:dyDescent="0.25">
      <c r="A91" s="97" t="s">
        <v>86</v>
      </c>
      <c r="B91" s="84">
        <f>XNPV(A$67,C86:AB86,C$71:AB$71)/XNPV(A$67,C76:AB76,C$71:AB$71)</f>
        <v>0.7227165379084971</v>
      </c>
      <c r="E91" s="85"/>
      <c r="F91" s="85"/>
      <c r="G91" s="85"/>
      <c r="H91" s="85"/>
      <c r="I91" s="85"/>
    </row>
    <row r="92" spans="1:30" x14ac:dyDescent="0.25">
      <c r="A92" s="96" t="s">
        <v>87</v>
      </c>
      <c r="B92" s="86">
        <f>(XNPV(A$67,C86:AB86,C$71:AB$71)+XNPV(A$67,C80:AB80,C$71:AB$71))/XNPV(A$67,C76:AB76,C$71:AB$71)</f>
        <v>1.611324949843183</v>
      </c>
      <c r="E92" s="85"/>
      <c r="F92" s="85"/>
      <c r="G92" s="85"/>
      <c r="H92" s="85"/>
      <c r="I92" s="85"/>
    </row>
    <row r="93" spans="1:30" x14ac:dyDescent="0.25">
      <c r="A93" s="98" t="s">
        <v>84</v>
      </c>
      <c r="B93" s="74">
        <f>XNPV(A$67,C88:AB88,C$71:AB$71)</f>
        <v>-19435.815971935597</v>
      </c>
      <c r="E93" s="85"/>
      <c r="F93" s="85"/>
      <c r="G93" s="85"/>
      <c r="H93" s="85"/>
      <c r="I93" s="85"/>
    </row>
    <row r="94" spans="1:30" x14ac:dyDescent="0.25">
      <c r="A94" s="96" t="s">
        <v>88</v>
      </c>
      <c r="B94" s="76">
        <f>XNPV(A$67,C87:AB87,C$71:AB$71)</f>
        <v>42850.010363344183</v>
      </c>
      <c r="E94" s="85"/>
      <c r="F94" s="85"/>
      <c r="G94" s="85"/>
      <c r="H94" s="85"/>
      <c r="I94" s="85"/>
    </row>
    <row r="95" spans="1:30" x14ac:dyDescent="0.25">
      <c r="A95" s="83" t="s">
        <v>76</v>
      </c>
      <c r="B95" s="74" t="s">
        <v>127</v>
      </c>
      <c r="C95" s="75">
        <f>C86/C76</f>
        <v>0</v>
      </c>
      <c r="D95" s="87">
        <f>SUM($C$86:D86)/SUM($C$76:D76)</f>
        <v>0.1077690541613644</v>
      </c>
      <c r="E95" s="87">
        <f>SUM($C$86:E86)/SUM($C$76:E76)</f>
        <v>0.19757659929583474</v>
      </c>
      <c r="F95" s="87">
        <f>SUM($C$86:F86)/SUM($C$76:F76)</f>
        <v>0.27356759902500194</v>
      </c>
      <c r="G95" s="87">
        <f>SUM($C$86:G86)/SUM($C$76:G76)</f>
        <v>0.33870274165000241</v>
      </c>
      <c r="H95" s="87">
        <f>SUM($C$86:H86)/SUM($C$76:H76)</f>
        <v>0.39515319859166947</v>
      </c>
      <c r="I95" s="87">
        <f>SUM($C$86:I86)/SUM($C$76:I76)</f>
        <v>0.44454734841562821</v>
      </c>
      <c r="J95" s="87">
        <f>SUM($C$86:J86)/SUM($C$76:J76)</f>
        <v>0.48813042178970939</v>
      </c>
      <c r="K95" s="87">
        <f>SUM($C$86:K86)/SUM($C$76:K76)</f>
        <v>0.5268709314555593</v>
      </c>
      <c r="L95" s="87">
        <f>SUM($C$86:L86)/SUM($C$76:L76)</f>
        <v>0.56153349273553033</v>
      </c>
      <c r="M95" s="87">
        <f>SUM($C$86:M86)/SUM($C$76:M76)</f>
        <v>0.59272979788750424</v>
      </c>
      <c r="N95" s="87">
        <f>SUM($C$86:N86)/SUM($C$76:N76)</f>
        <v>0.62095502635833788</v>
      </c>
      <c r="O95" s="87">
        <f>SUM($C$86:O86)/SUM($C$76:O76)</f>
        <v>0.64661432496818649</v>
      </c>
      <c r="P95" s="87">
        <f>SUM($C$86:P86)/SUM($C$76:P76)</f>
        <v>0.67004238022065699</v>
      </c>
      <c r="Q95" s="87">
        <f>SUM($C$86:Q86)/SUM($C$76:Q76)</f>
        <v>0.69151809753542171</v>
      </c>
      <c r="R95" s="87">
        <f>SUM($C$86:R86)/SUM($C$76:R76)</f>
        <v>0.71127575746500504</v>
      </c>
      <c r="S95" s="87">
        <f>SUM($C$86:S86)/SUM($C$76:S76)</f>
        <v>0.72951359740000521</v>
      </c>
      <c r="T95" s="87">
        <f>SUM($C$86:T86)/SUM($C$76:T76)</f>
        <v>0.74640048622870891</v>
      </c>
      <c r="U95" s="87">
        <f>SUM($C$86:U86)/SUM($C$76:U76)</f>
        <v>0.76208116871250531</v>
      </c>
      <c r="V95" s="87">
        <f>SUM($C$86:V86)/SUM($C$76:V76)</f>
        <v>0.77668042481810873</v>
      </c>
      <c r="W95" s="87">
        <f>SUM($C$86:W86)/SUM($C$76:W76)</f>
        <v>0.79030639718333873</v>
      </c>
      <c r="X95" s="87">
        <f>SUM($C$86:X86)/SUM($C$76:X76)</f>
        <v>0.80305327455726339</v>
      </c>
      <c r="Y95" s="87">
        <f>SUM($C$86:Y86)/SUM($C$76:Y76)</f>
        <v>0.81500347209531776</v>
      </c>
      <c r="Z95" s="87">
        <f>SUM($C$86:Z86)/SUM($C$76:Z76)</f>
        <v>0.82622941523712645</v>
      </c>
      <c r="AA95" s="87">
        <f>SUM($C$86:AA86)/SUM($C$76:AA76)</f>
        <v>0.83679500878235813</v>
      </c>
      <c r="AB95" s="87">
        <f>SUM($C$86:AB86)/SUM($C$76:AB76)</f>
        <v>0.84675685412500512</v>
      </c>
    </row>
    <row r="96" spans="1:30" x14ac:dyDescent="0.25">
      <c r="A96" s="96" t="s">
        <v>89</v>
      </c>
      <c r="B96" s="76">
        <f>IF(J96,$J$70-$C$70)</f>
        <v>7</v>
      </c>
      <c r="C96" s="75">
        <f>(C86+C80)/C76</f>
        <v>0</v>
      </c>
      <c r="D96" s="87">
        <f>(SUM($C$86:D86)+SUM($C$80:D80))/SUM($C$76:D76)</f>
        <v>0.23454506912626136</v>
      </c>
      <c r="E96" s="87">
        <f>(SUM($C$86:E86)+SUM($C$80:E80))/SUM($C$76:E76)</f>
        <v>0.43043756197994715</v>
      </c>
      <c r="F96" s="87">
        <f>(SUM($C$86:F86)+SUM($C$80:F80))/SUM($C$76:F76)</f>
        <v>0.59660741774507797</v>
      </c>
      <c r="G96" s="87">
        <f>(SUM($C$86:G86)+SUM($C$80:G80))/SUM($C$76:G76)</f>
        <v>0.73943339919698015</v>
      </c>
      <c r="H96" s="87">
        <f>(SUM($C$86:H86)+SUM($C$80:H80))/SUM($C$76:H76)</f>
        <v>0.86359349031687449</v>
      </c>
      <c r="I96" s="87">
        <f>(SUM($C$86:I86)+SUM($C$80:I80))/SUM($C$76:I76)</f>
        <v>0.97259639492939332</v>
      </c>
      <c r="J96" s="87">
        <f>(SUM($C$86:J86)+SUM($C$80:J80))/SUM($C$76:J76)</f>
        <v>1.0691254477095464</v>
      </c>
      <c r="K96" s="87">
        <f>(SUM($C$86:K86)+SUM($C$80:K80))/SUM($C$76:K76)</f>
        <v>1.1552678883072767</v>
      </c>
      <c r="L96" s="87">
        <f>(SUM($C$86:L86)+SUM($C$80:L80))/SUM($C$76:L76)</f>
        <v>1.2326717332333308</v>
      </c>
      <c r="M96" s="87">
        <f>(SUM($C$86:M86)+SUM($C$80:M80))/SUM($C$76:M76)</f>
        <v>1.302655586292752</v>
      </c>
      <c r="N96" s="87">
        <f>(SUM($C$86:N86)+SUM($C$80:N80))/SUM($C$76:N76)</f>
        <v>1.3662870747194873</v>
      </c>
      <c r="O96" s="87">
        <f>(SUM($C$86:O86)+SUM($C$80:O80))/SUM($C$76:O76)</f>
        <v>1.4244398937462128</v>
      </c>
      <c r="P96" s="87">
        <f>(SUM($C$86:P86)+SUM($C$80:P80))/SUM($C$76:P76)</f>
        <v>1.4778359700882047</v>
      </c>
      <c r="Q96" s="87">
        <f>(SUM($C$86:Q86)+SUM($C$80:Q80))/SUM($C$76:Q76)</f>
        <v>1.5270770846605386</v>
      </c>
      <c r="R96" s="87">
        <f>(SUM($C$86:R86)+SUM($C$80:R80))/SUM($C$76:R76)</f>
        <v>1.5726689059457855</v>
      </c>
      <c r="S96" s="87">
        <f>(SUM($C$86:S86)+SUM($C$80:S80))/SUM($C$76:S76)</f>
        <v>1.6150394773010786</v>
      </c>
      <c r="T96" s="87">
        <f>(SUM($C$86:T86)+SUM($C$80:T80))/SUM($C$76:T76)</f>
        <v>1.6545535960745528</v>
      </c>
      <c r="U96" s="87">
        <f>(SUM($C$86:U86)+SUM($C$80:U80))/SUM($C$76:U76)</f>
        <v>1.6915241115812256</v>
      </c>
      <c r="V96" s="87">
        <f>(SUM($C$86:V86)+SUM($C$80:V80))/SUM($C$76:V76)</f>
        <v>1.7262208856642809</v>
      </c>
      <c r="W96" s="87">
        <f>(SUM($C$86:W86)+SUM($C$80:W80))/SUM($C$76:W76)</f>
        <v>1.7588779612408538</v>
      </c>
      <c r="X96" s="87">
        <f>(SUM($C$86:X86)+SUM($C$80:X80))/SUM($C$76:X76)</f>
        <v>1.7896993434833228</v>
      </c>
      <c r="Y96" s="87">
        <f>(SUM($C$86:Y86)+SUM($C$80:Y80))/SUM($C$76:Y76)</f>
        <v>1.8188636971244132</v>
      </c>
      <c r="Z96" s="87">
        <f>(SUM($C$86:Z86)+SUM($C$80:Z80))/SUM($C$76:Z76)</f>
        <v>1.8465281898015546</v>
      </c>
      <c r="AA96" s="87">
        <f>(SUM($C$86:AA86)+SUM($C$80:AA80))/SUM($C$76:AA76)</f>
        <v>1.8728316572582357</v>
      </c>
      <c r="AB96" s="87">
        <f>(SUM($C$86:AB86)+SUM($C$80:AB80))/SUM($C$76:AB76)</f>
        <v>1.8978972260332529</v>
      </c>
    </row>
    <row r="100" spans="1:32" ht="26.25" x14ac:dyDescent="0.4">
      <c r="A100" s="107">
        <v>0.04</v>
      </c>
      <c r="B100" s="107" t="s">
        <v>79</v>
      </c>
    </row>
    <row r="101" spans="1:32" ht="23.25" customHeight="1" x14ac:dyDescent="0.25">
      <c r="A101" s="313" t="s">
        <v>141</v>
      </c>
      <c r="B101" s="314"/>
      <c r="C101" s="314"/>
      <c r="D101" s="314"/>
      <c r="E101" s="314"/>
      <c r="F101" s="314"/>
      <c r="G101" s="314"/>
      <c r="H101" s="314"/>
      <c r="I101" s="314"/>
      <c r="J101" s="314"/>
      <c r="K101" s="314"/>
      <c r="L101" s="314"/>
      <c r="M101" s="314"/>
      <c r="N101" s="314"/>
      <c r="O101" s="314"/>
      <c r="P101" s="314"/>
      <c r="Q101" s="314"/>
      <c r="R101" s="314"/>
      <c r="S101" s="314"/>
      <c r="T101" s="314"/>
      <c r="U101" s="314"/>
      <c r="V101" s="314"/>
      <c r="W101" s="314"/>
      <c r="X101" s="314"/>
      <c r="Y101" s="314"/>
      <c r="Z101" s="314"/>
      <c r="AA101" s="314"/>
      <c r="AB101" s="314"/>
      <c r="AC101" s="314"/>
      <c r="AD101" s="315"/>
    </row>
    <row r="102" spans="1:32" x14ac:dyDescent="0.25">
      <c r="A102" s="78"/>
      <c r="B102" s="78"/>
      <c r="C102" s="60" t="s">
        <v>8</v>
      </c>
      <c r="D102" s="60"/>
      <c r="E102" s="60"/>
      <c r="F102" s="60"/>
      <c r="G102" s="60"/>
      <c r="H102" s="60"/>
      <c r="I102" s="60"/>
      <c r="J102" s="60"/>
      <c r="K102" s="60"/>
      <c r="L102" s="60"/>
      <c r="M102" s="60"/>
      <c r="N102" s="60"/>
      <c r="O102" s="60"/>
      <c r="P102" s="60"/>
      <c r="Q102" s="60"/>
      <c r="R102" s="60"/>
      <c r="S102" s="60"/>
      <c r="T102" s="60"/>
      <c r="U102" s="60"/>
      <c r="V102" s="60"/>
      <c r="W102" s="60"/>
      <c r="X102" s="60"/>
      <c r="Y102" s="60"/>
      <c r="Z102" s="60"/>
      <c r="AA102" s="60"/>
      <c r="AB102" s="60"/>
      <c r="AC102" s="60"/>
      <c r="AD102" s="61" t="s">
        <v>9</v>
      </c>
    </row>
    <row r="103" spans="1:32" ht="15.75" customHeight="1" x14ac:dyDescent="0.25">
      <c r="A103" s="311" t="s">
        <v>131</v>
      </c>
      <c r="B103" s="312"/>
      <c r="C103" s="224"/>
      <c r="D103" s="1">
        <v>1</v>
      </c>
      <c r="E103" s="1">
        <v>2</v>
      </c>
      <c r="F103" s="1">
        <v>3</v>
      </c>
      <c r="G103" s="1">
        <v>4</v>
      </c>
      <c r="H103" s="1">
        <v>5</v>
      </c>
      <c r="I103" s="1">
        <v>6</v>
      </c>
      <c r="J103" s="1">
        <v>7</v>
      </c>
      <c r="K103" s="1">
        <v>8</v>
      </c>
      <c r="L103" s="1">
        <v>9</v>
      </c>
      <c r="M103" s="1">
        <v>10</v>
      </c>
      <c r="N103" s="1">
        <v>11</v>
      </c>
      <c r="O103" s="1">
        <v>12</v>
      </c>
      <c r="P103" s="1">
        <v>13</v>
      </c>
      <c r="Q103" s="1">
        <v>14</v>
      </c>
      <c r="R103" s="1">
        <v>15</v>
      </c>
      <c r="S103" s="1">
        <v>16</v>
      </c>
      <c r="T103" s="1">
        <v>17</v>
      </c>
      <c r="U103" s="1">
        <v>18</v>
      </c>
      <c r="V103" s="1">
        <v>19</v>
      </c>
      <c r="W103" s="1">
        <v>20</v>
      </c>
      <c r="X103" s="1">
        <v>21</v>
      </c>
      <c r="Y103" s="1">
        <v>22</v>
      </c>
      <c r="Z103" s="1">
        <v>23</v>
      </c>
      <c r="AA103" s="1">
        <v>24</v>
      </c>
      <c r="AB103" s="1">
        <v>25</v>
      </c>
      <c r="AC103" s="62" t="s">
        <v>78</v>
      </c>
      <c r="AD103" s="7"/>
    </row>
    <row r="104" spans="1:32" ht="16.5" customHeight="1" x14ac:dyDescent="0.25">
      <c r="A104" s="89"/>
      <c r="B104" s="90"/>
      <c r="C104" s="99">
        <v>44197</v>
      </c>
      <c r="D104" s="99">
        <v>44562</v>
      </c>
      <c r="E104" s="99">
        <v>44927</v>
      </c>
      <c r="F104" s="99">
        <v>45292</v>
      </c>
      <c r="G104" s="99">
        <v>45658</v>
      </c>
      <c r="H104" s="99">
        <v>46023</v>
      </c>
      <c r="I104" s="99">
        <v>46388</v>
      </c>
      <c r="J104" s="99">
        <v>46753</v>
      </c>
      <c r="K104" s="99">
        <v>47119</v>
      </c>
      <c r="L104" s="99">
        <v>47484</v>
      </c>
      <c r="M104" s="99">
        <v>47849</v>
      </c>
      <c r="N104" s="99">
        <v>48214</v>
      </c>
      <c r="O104" s="99">
        <v>48580</v>
      </c>
      <c r="P104" s="99">
        <v>48945</v>
      </c>
      <c r="Q104" s="99">
        <v>49310</v>
      </c>
      <c r="R104" s="99">
        <v>49675</v>
      </c>
      <c r="S104" s="99">
        <v>50041</v>
      </c>
      <c r="T104" s="99">
        <v>50406</v>
      </c>
      <c r="U104" s="99">
        <v>50771</v>
      </c>
      <c r="V104" s="99">
        <v>51136</v>
      </c>
      <c r="W104" s="99">
        <v>51502</v>
      </c>
      <c r="X104" s="99">
        <v>51867</v>
      </c>
      <c r="Y104" s="99">
        <v>52232</v>
      </c>
      <c r="Z104" s="99">
        <v>52597</v>
      </c>
      <c r="AA104" s="99">
        <v>52963</v>
      </c>
      <c r="AB104" s="99">
        <v>53328</v>
      </c>
      <c r="AC104" s="91"/>
      <c r="AD104" s="92"/>
    </row>
    <row r="105" spans="1:32" s="106" customFormat="1" ht="16.5" customHeight="1" x14ac:dyDescent="0.25">
      <c r="C105" s="101"/>
      <c r="D105" s="102"/>
      <c r="E105" s="102"/>
      <c r="F105" s="102"/>
      <c r="G105" s="102"/>
      <c r="H105" s="102"/>
      <c r="I105" s="102"/>
      <c r="J105" s="102"/>
      <c r="K105" s="102"/>
      <c r="L105" s="102"/>
      <c r="M105" s="102"/>
      <c r="N105" s="102"/>
      <c r="O105" s="102"/>
      <c r="P105" s="102"/>
      <c r="Q105" s="102"/>
      <c r="R105" s="102"/>
      <c r="S105" s="102"/>
      <c r="T105" s="102"/>
      <c r="U105" s="102"/>
      <c r="V105" s="102"/>
      <c r="W105" s="102"/>
      <c r="X105" s="102"/>
      <c r="Y105" s="102"/>
      <c r="Z105" s="102"/>
      <c r="AA105" s="102"/>
      <c r="AB105" s="102"/>
      <c r="AC105" s="103"/>
      <c r="AD105" s="104"/>
      <c r="AE105" s="105"/>
      <c r="AF105" s="105"/>
    </row>
    <row r="106" spans="1:32" x14ac:dyDescent="0.25">
      <c r="A106" s="307" t="s">
        <v>10</v>
      </c>
      <c r="B106" s="308"/>
      <c r="C106" s="225"/>
      <c r="D106" s="63"/>
      <c r="E106" s="63"/>
      <c r="F106" s="63"/>
      <c r="G106" s="63"/>
      <c r="H106" s="63"/>
      <c r="I106" s="63"/>
      <c r="J106" s="64"/>
      <c r="K106" s="64"/>
      <c r="L106" s="64"/>
      <c r="M106" s="64"/>
      <c r="N106" s="64"/>
      <c r="O106" s="64"/>
      <c r="P106" s="64"/>
      <c r="Q106" s="64"/>
      <c r="R106" s="64"/>
      <c r="S106" s="64"/>
      <c r="T106" s="64"/>
      <c r="U106" s="64"/>
      <c r="V106" s="64"/>
      <c r="W106" s="64"/>
      <c r="X106" s="64"/>
      <c r="Y106" s="64"/>
      <c r="Z106" s="64"/>
      <c r="AA106" s="64"/>
      <c r="AB106" s="64"/>
      <c r="AC106" s="64"/>
      <c r="AD106" s="64"/>
    </row>
    <row r="107" spans="1:32" x14ac:dyDescent="0.25">
      <c r="A107" s="226" t="s">
        <v>11</v>
      </c>
      <c r="B107" s="59"/>
      <c r="C107" s="88">
        <f>Interventions!$H$6</f>
        <v>27361</v>
      </c>
      <c r="D107" s="65"/>
      <c r="E107" s="65"/>
      <c r="F107" s="65"/>
      <c r="G107" s="65"/>
      <c r="H107" s="65"/>
      <c r="I107" s="65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66">
        <f>SUM(C107:AB107)</f>
        <v>27361</v>
      </c>
      <c r="AD107" s="3" t="s">
        <v>12</v>
      </c>
    </row>
    <row r="108" spans="1:32" x14ac:dyDescent="0.25">
      <c r="A108" s="59" t="s">
        <v>137</v>
      </c>
      <c r="B108" s="226"/>
      <c r="C108" s="93"/>
      <c r="D108" s="67">
        <f>Interventions!$H$7</f>
        <v>2736.1000000000004</v>
      </c>
      <c r="E108" s="67">
        <f>Interventions!$H$7</f>
        <v>2736.1000000000004</v>
      </c>
      <c r="F108" s="67">
        <f>Interventions!$H$7</f>
        <v>2736.1000000000004</v>
      </c>
      <c r="G108" s="67">
        <f>Interventions!$H$7</f>
        <v>2736.1000000000004</v>
      </c>
      <c r="H108" s="67">
        <f>Interventions!$H$7</f>
        <v>2736.1000000000004</v>
      </c>
      <c r="I108" s="67">
        <f>Interventions!$H$7</f>
        <v>2736.1000000000004</v>
      </c>
      <c r="J108" s="67">
        <f>Interventions!$H$7</f>
        <v>2736.1000000000004</v>
      </c>
      <c r="K108" s="67">
        <f>Interventions!$H$7</f>
        <v>2736.1000000000004</v>
      </c>
      <c r="L108" s="67">
        <f>Interventions!$H$7</f>
        <v>2736.1000000000004</v>
      </c>
      <c r="M108" s="67">
        <f>Interventions!$H$7</f>
        <v>2736.1000000000004</v>
      </c>
      <c r="N108" s="67">
        <f>Interventions!$H$7</f>
        <v>2736.1000000000004</v>
      </c>
      <c r="O108" s="67">
        <f>Interventions!$H$7</f>
        <v>2736.1000000000004</v>
      </c>
      <c r="P108" s="67">
        <f>Interventions!$H$7</f>
        <v>2736.1000000000004</v>
      </c>
      <c r="Q108" s="67">
        <f>Interventions!$H$7</f>
        <v>2736.1000000000004</v>
      </c>
      <c r="R108" s="67">
        <f>Interventions!$H$7</f>
        <v>2736.1000000000004</v>
      </c>
      <c r="S108" s="67">
        <f>Interventions!$H$7</f>
        <v>2736.1000000000004</v>
      </c>
      <c r="T108" s="67">
        <f>Interventions!$H$7</f>
        <v>2736.1000000000004</v>
      </c>
      <c r="U108" s="67">
        <f>Interventions!$H$7</f>
        <v>2736.1000000000004</v>
      </c>
      <c r="V108" s="67">
        <f>Interventions!$H$7</f>
        <v>2736.1000000000004</v>
      </c>
      <c r="W108" s="67">
        <f>Interventions!$H$7</f>
        <v>2736.1000000000004</v>
      </c>
      <c r="X108" s="67">
        <f>Interventions!$H$7</f>
        <v>2736.1000000000004</v>
      </c>
      <c r="Y108" s="67">
        <f>Interventions!$H$7</f>
        <v>2736.1000000000004</v>
      </c>
      <c r="Z108" s="67">
        <f>Interventions!$H$7</f>
        <v>2736.1000000000004</v>
      </c>
      <c r="AA108" s="67">
        <f>Interventions!$H$7</f>
        <v>2736.1000000000004</v>
      </c>
      <c r="AB108" s="67">
        <f>Interventions!$H$7</f>
        <v>2736.1000000000004</v>
      </c>
      <c r="AC108" s="66">
        <f>SUM(C108:AB108)</f>
        <v>68402.499999999985</v>
      </c>
      <c r="AD108" s="3" t="s">
        <v>12</v>
      </c>
    </row>
    <row r="109" spans="1:32" x14ac:dyDescent="0.25">
      <c r="A109" s="309" t="s">
        <v>80</v>
      </c>
      <c r="B109" s="310"/>
      <c r="C109" s="94">
        <f t="shared" ref="C109:W109" si="108">SUM(C107:C108)</f>
        <v>27361</v>
      </c>
      <c r="D109" s="94">
        <f t="shared" si="108"/>
        <v>2736.1000000000004</v>
      </c>
      <c r="E109" s="94">
        <f t="shared" si="108"/>
        <v>2736.1000000000004</v>
      </c>
      <c r="F109" s="94">
        <f t="shared" si="108"/>
        <v>2736.1000000000004</v>
      </c>
      <c r="G109" s="94">
        <f t="shared" si="108"/>
        <v>2736.1000000000004</v>
      </c>
      <c r="H109" s="94">
        <f t="shared" si="108"/>
        <v>2736.1000000000004</v>
      </c>
      <c r="I109" s="94">
        <f t="shared" si="108"/>
        <v>2736.1000000000004</v>
      </c>
      <c r="J109" s="94">
        <f t="shared" si="108"/>
        <v>2736.1000000000004</v>
      </c>
      <c r="K109" s="94">
        <f t="shared" si="108"/>
        <v>2736.1000000000004</v>
      </c>
      <c r="L109" s="94">
        <f t="shared" si="108"/>
        <v>2736.1000000000004</v>
      </c>
      <c r="M109" s="94">
        <f t="shared" si="108"/>
        <v>2736.1000000000004</v>
      </c>
      <c r="N109" s="94">
        <f t="shared" si="108"/>
        <v>2736.1000000000004</v>
      </c>
      <c r="O109" s="94">
        <f t="shared" si="108"/>
        <v>2736.1000000000004</v>
      </c>
      <c r="P109" s="94">
        <f t="shared" si="108"/>
        <v>2736.1000000000004</v>
      </c>
      <c r="Q109" s="94">
        <f t="shared" si="108"/>
        <v>2736.1000000000004</v>
      </c>
      <c r="R109" s="94">
        <f t="shared" si="108"/>
        <v>2736.1000000000004</v>
      </c>
      <c r="S109" s="94">
        <f t="shared" si="108"/>
        <v>2736.1000000000004</v>
      </c>
      <c r="T109" s="94">
        <f t="shared" si="108"/>
        <v>2736.1000000000004</v>
      </c>
      <c r="U109" s="94">
        <f t="shared" si="108"/>
        <v>2736.1000000000004</v>
      </c>
      <c r="V109" s="94">
        <f t="shared" si="108"/>
        <v>2736.1000000000004</v>
      </c>
      <c r="W109" s="94">
        <f t="shared" si="108"/>
        <v>2736.1000000000004</v>
      </c>
      <c r="X109" s="94">
        <f t="shared" ref="X109:AB109" si="109">SUM(X107:X108)</f>
        <v>2736.1000000000004</v>
      </c>
      <c r="Y109" s="94">
        <f t="shared" si="109"/>
        <v>2736.1000000000004</v>
      </c>
      <c r="Z109" s="94">
        <f t="shared" si="109"/>
        <v>2736.1000000000004</v>
      </c>
      <c r="AA109" s="94">
        <f t="shared" si="109"/>
        <v>2736.1000000000004</v>
      </c>
      <c r="AB109" s="94">
        <f t="shared" si="109"/>
        <v>2736.1000000000004</v>
      </c>
      <c r="AC109" s="95">
        <f>SUM(AC107:AC108)</f>
        <v>95763.499999999985</v>
      </c>
      <c r="AD109" s="6" t="s">
        <v>12</v>
      </c>
    </row>
    <row r="110" spans="1:32" x14ac:dyDescent="0.25">
      <c r="A110" s="307" t="s">
        <v>155</v>
      </c>
      <c r="B110" s="308"/>
      <c r="C110" s="239"/>
      <c r="D110" s="63"/>
      <c r="E110" s="63"/>
      <c r="F110" s="63"/>
      <c r="G110" s="63"/>
      <c r="H110" s="63"/>
      <c r="I110" s="63"/>
      <c r="J110" s="64"/>
      <c r="K110" s="64"/>
      <c r="L110" s="64"/>
      <c r="M110" s="64"/>
      <c r="N110" s="64"/>
      <c r="O110" s="64"/>
      <c r="P110" s="64"/>
      <c r="Q110" s="64"/>
      <c r="R110" s="64"/>
      <c r="S110" s="64"/>
      <c r="T110" s="64"/>
      <c r="U110" s="64"/>
      <c r="V110" s="64"/>
      <c r="W110" s="64"/>
      <c r="X110" s="64"/>
      <c r="Y110" s="64"/>
      <c r="Z110" s="64"/>
      <c r="AA110" s="64"/>
      <c r="AB110" s="64"/>
      <c r="AC110" s="64"/>
      <c r="AD110" s="64"/>
    </row>
    <row r="111" spans="1:32" x14ac:dyDescent="0.25">
      <c r="A111" s="59" t="s">
        <v>171</v>
      </c>
      <c r="B111" s="59"/>
      <c r="C111" s="59"/>
      <c r="D111" s="67">
        <f>'Carbon avoided'!E12</f>
        <v>575.59040000000005</v>
      </c>
      <c r="E111" s="67">
        <f>'Carbon avoided'!F12</f>
        <v>589.98016000000007</v>
      </c>
      <c r="F111" s="67">
        <f>'Carbon avoided'!G12</f>
        <v>604.72966399999996</v>
      </c>
      <c r="G111" s="67">
        <f>'Carbon avoided'!H12</f>
        <v>619.84790559999999</v>
      </c>
      <c r="H111" s="67">
        <f>'Carbon avoided'!I12</f>
        <v>635.34410323999998</v>
      </c>
      <c r="I111" s="67">
        <f>'Carbon avoided'!J12</f>
        <v>651.22770582099986</v>
      </c>
      <c r="J111" s="67">
        <f>'Carbon avoided'!K12</f>
        <v>667.5083984665248</v>
      </c>
      <c r="K111" s="67">
        <f>'Carbon avoided'!L12</f>
        <v>684.19610842818781</v>
      </c>
      <c r="L111" s="67">
        <f>'Carbon avoided'!M12</f>
        <v>701.30101113889248</v>
      </c>
      <c r="M111" s="67">
        <f>'Carbon avoided'!N12</f>
        <v>718.83353641736471</v>
      </c>
      <c r="N111" s="67">
        <f>'Carbon avoided'!O12</f>
        <v>736.80437482779871</v>
      </c>
      <c r="O111" s="67">
        <f>'Carbon avoided'!P12</f>
        <v>755.22448419849366</v>
      </c>
      <c r="P111" s="67">
        <f>'Carbon avoided'!Q12</f>
        <v>774.10509630345587</v>
      </c>
      <c r="Q111" s="67">
        <f>'Carbon avoided'!R12</f>
        <v>793.45772371104215</v>
      </c>
      <c r="R111" s="67">
        <f>'Carbon avoided'!S12</f>
        <v>813.29416680381814</v>
      </c>
      <c r="S111" s="67">
        <f>'Carbon avoided'!T12</f>
        <v>833.62652097391356</v>
      </c>
      <c r="T111" s="67">
        <f>'Carbon avoided'!U12</f>
        <v>854.46718399826136</v>
      </c>
      <c r="U111" s="67">
        <f>'Carbon avoided'!V12</f>
        <v>875.82886359821782</v>
      </c>
      <c r="V111" s="67">
        <f>'Carbon avoided'!W12</f>
        <v>897.72458518817314</v>
      </c>
      <c r="W111" s="67">
        <f>'Carbon avoided'!X12</f>
        <v>920.16769981787741</v>
      </c>
      <c r="X111" s="67">
        <f>'Carbon avoided'!Y12</f>
        <v>943.17189231332429</v>
      </c>
      <c r="Y111" s="67">
        <f>'Carbon avoided'!Z12</f>
        <v>966.75118962115732</v>
      </c>
      <c r="Z111" s="67">
        <f>'Carbon avoided'!AA12</f>
        <v>990.9199693616863</v>
      </c>
      <c r="AA111" s="67">
        <f>'Carbon avoided'!AB12</f>
        <v>1015.6929685957284</v>
      </c>
      <c r="AB111" s="67">
        <f>'Carbon avoided'!AC12</f>
        <v>1041.0852928106215</v>
      </c>
      <c r="AC111" s="66">
        <f>SUM(C111:AB111)</f>
        <v>19660.88100523554</v>
      </c>
      <c r="AD111" s="3" t="s">
        <v>12</v>
      </c>
    </row>
    <row r="112" spans="1:32" ht="12.75" customHeight="1" x14ac:dyDescent="0.25">
      <c r="A112" s="59" t="s">
        <v>175</v>
      </c>
      <c r="B112" s="59"/>
      <c r="C112" s="59"/>
      <c r="D112" s="67">
        <f>Interventions!$H$10</f>
        <v>3240</v>
      </c>
      <c r="E112" s="67">
        <f>Interventions!$H$10</f>
        <v>3240</v>
      </c>
      <c r="F112" s="67">
        <f>Interventions!$H$10</f>
        <v>3240</v>
      </c>
      <c r="G112" s="67">
        <f>Interventions!$H$10</f>
        <v>3240</v>
      </c>
      <c r="H112" s="67">
        <f>Interventions!$H$10</f>
        <v>3240</v>
      </c>
      <c r="I112" s="67">
        <f>Interventions!$H$10</f>
        <v>3240</v>
      </c>
      <c r="J112" s="67">
        <f>Interventions!$H$10</f>
        <v>3240</v>
      </c>
      <c r="K112" s="67">
        <f>Interventions!$H$10</f>
        <v>3240</v>
      </c>
      <c r="L112" s="67">
        <f>Interventions!$H$10</f>
        <v>3240</v>
      </c>
      <c r="M112" s="67">
        <f>Interventions!$H$10</f>
        <v>3240</v>
      </c>
      <c r="N112" s="67">
        <f>Interventions!$H$10</f>
        <v>3240</v>
      </c>
      <c r="O112" s="67">
        <f>Interventions!$H$10</f>
        <v>3240</v>
      </c>
      <c r="P112" s="67">
        <f>Interventions!$H$10</f>
        <v>3240</v>
      </c>
      <c r="Q112" s="67">
        <f>Interventions!$H$10</f>
        <v>3240</v>
      </c>
      <c r="R112" s="67">
        <f>Interventions!$H$10</f>
        <v>3240</v>
      </c>
      <c r="S112" s="67">
        <f>Interventions!$H$10</f>
        <v>3240</v>
      </c>
      <c r="T112" s="67">
        <f>Interventions!$H$10</f>
        <v>3240</v>
      </c>
      <c r="U112" s="67">
        <f>Interventions!$H$10</f>
        <v>3240</v>
      </c>
      <c r="V112" s="67">
        <f>Interventions!$H$10</f>
        <v>3240</v>
      </c>
      <c r="W112" s="67">
        <f>Interventions!$H$10</f>
        <v>3240</v>
      </c>
      <c r="X112" s="67">
        <f>Interventions!$H$10</f>
        <v>3240</v>
      </c>
      <c r="Y112" s="67">
        <f>Interventions!$H$10</f>
        <v>3240</v>
      </c>
      <c r="Z112" s="67">
        <f>Interventions!$H$10</f>
        <v>3240</v>
      </c>
      <c r="AA112" s="67">
        <f>Interventions!$H$10</f>
        <v>3240</v>
      </c>
      <c r="AB112" s="67">
        <f>Interventions!$H$10</f>
        <v>3240</v>
      </c>
      <c r="AC112" s="66">
        <f>SUM(C112:AB112)</f>
        <v>81000</v>
      </c>
      <c r="AD112" s="3" t="s">
        <v>12</v>
      </c>
    </row>
    <row r="113" spans="1:30" x14ac:dyDescent="0.25">
      <c r="A113" s="309" t="s">
        <v>80</v>
      </c>
      <c r="B113" s="310"/>
      <c r="C113" s="68">
        <f t="shared" ref="C113:R113" si="110">SUM(C111:C112)</f>
        <v>0</v>
      </c>
      <c r="D113" s="68">
        <f t="shared" si="110"/>
        <v>3815.5904</v>
      </c>
      <c r="E113" s="68">
        <f t="shared" si="110"/>
        <v>3829.9801600000001</v>
      </c>
      <c r="F113" s="68">
        <f t="shared" si="110"/>
        <v>3844.729664</v>
      </c>
      <c r="G113" s="68">
        <f t="shared" si="110"/>
        <v>3859.8479056000001</v>
      </c>
      <c r="H113" s="68">
        <f t="shared" si="110"/>
        <v>3875.3441032400001</v>
      </c>
      <c r="I113" s="68">
        <f t="shared" si="110"/>
        <v>3891.2277058209997</v>
      </c>
      <c r="J113" s="68">
        <f t="shared" si="110"/>
        <v>3907.5083984665248</v>
      </c>
      <c r="K113" s="68">
        <f t="shared" si="110"/>
        <v>3924.1961084281879</v>
      </c>
      <c r="L113" s="68">
        <f t="shared" si="110"/>
        <v>3941.3010111388926</v>
      </c>
      <c r="M113" s="68">
        <f t="shared" si="110"/>
        <v>3958.8335364173645</v>
      </c>
      <c r="N113" s="68">
        <f t="shared" si="110"/>
        <v>3976.8043748277987</v>
      </c>
      <c r="O113" s="68">
        <f t="shared" si="110"/>
        <v>3995.2244841984939</v>
      </c>
      <c r="P113" s="68">
        <f t="shared" si="110"/>
        <v>4014.1050963034559</v>
      </c>
      <c r="Q113" s="68">
        <f t="shared" si="110"/>
        <v>4033.457723711042</v>
      </c>
      <c r="R113" s="68">
        <f t="shared" si="110"/>
        <v>4053.2941668038184</v>
      </c>
      <c r="S113" s="68">
        <f t="shared" ref="S113:W113" si="111">SUM(S111:S112)</f>
        <v>4073.6265209739136</v>
      </c>
      <c r="T113" s="68">
        <f t="shared" si="111"/>
        <v>4094.4671839982611</v>
      </c>
      <c r="U113" s="68">
        <f t="shared" si="111"/>
        <v>4115.828863598218</v>
      </c>
      <c r="V113" s="68">
        <f t="shared" si="111"/>
        <v>4137.7245851881735</v>
      </c>
      <c r="W113" s="68">
        <f t="shared" si="111"/>
        <v>4160.1676998178773</v>
      </c>
      <c r="X113" s="68">
        <f t="shared" ref="X113:AB113" si="112">SUM(X111:X112)</f>
        <v>4183.171892313324</v>
      </c>
      <c r="Y113" s="68">
        <f t="shared" si="112"/>
        <v>4206.7511896211572</v>
      </c>
      <c r="Z113" s="68">
        <f t="shared" si="112"/>
        <v>4230.9199693616865</v>
      </c>
      <c r="AA113" s="68">
        <f t="shared" si="112"/>
        <v>4255.6929685957284</v>
      </c>
      <c r="AB113" s="68">
        <f t="shared" si="112"/>
        <v>4281.0852928106215</v>
      </c>
      <c r="AC113" s="68">
        <f>SUM(AC111:AC112)</f>
        <v>100660.88100523554</v>
      </c>
      <c r="AD113" s="6" t="s">
        <v>12</v>
      </c>
    </row>
    <row r="114" spans="1:30" x14ac:dyDescent="0.25">
      <c r="A114" s="307" t="s">
        <v>150</v>
      </c>
      <c r="B114" s="308"/>
      <c r="C114" s="239"/>
      <c r="D114" s="63"/>
      <c r="E114" s="63"/>
      <c r="F114" s="63"/>
      <c r="G114" s="63"/>
      <c r="H114" s="63"/>
      <c r="I114" s="63"/>
      <c r="J114" s="64"/>
      <c r="K114" s="64"/>
      <c r="L114" s="64"/>
      <c r="M114" s="64"/>
      <c r="N114" s="64"/>
      <c r="O114" s="64"/>
      <c r="P114" s="64"/>
      <c r="Q114" s="64"/>
      <c r="R114" s="64"/>
      <c r="S114" s="64"/>
      <c r="T114" s="64"/>
      <c r="U114" s="64"/>
      <c r="V114" s="64"/>
      <c r="W114" s="64"/>
      <c r="X114" s="64"/>
      <c r="Y114" s="64"/>
      <c r="Z114" s="64"/>
      <c r="AA114" s="64"/>
      <c r="AB114" s="64"/>
      <c r="AC114" s="64"/>
      <c r="AD114" s="64"/>
    </row>
    <row r="115" spans="1:30" x14ac:dyDescent="0.25">
      <c r="A115" s="226"/>
      <c r="B115" s="59"/>
      <c r="C115" s="59"/>
      <c r="D115" s="67"/>
      <c r="E115" s="67"/>
      <c r="F115" s="67"/>
      <c r="G115" s="67"/>
      <c r="H115" s="67"/>
      <c r="I115" s="67"/>
      <c r="J115" s="67"/>
      <c r="K115" s="67"/>
      <c r="L115" s="67"/>
      <c r="M115" s="67"/>
      <c r="N115" s="67"/>
      <c r="O115" s="67"/>
      <c r="P115" s="67"/>
      <c r="Q115" s="67"/>
      <c r="R115" s="67"/>
      <c r="S115" s="67"/>
      <c r="T115" s="67"/>
      <c r="U115" s="67"/>
      <c r="V115" s="67"/>
      <c r="W115" s="67"/>
      <c r="X115" s="67"/>
      <c r="Y115" s="67"/>
      <c r="Z115" s="67"/>
      <c r="AA115" s="67"/>
      <c r="AB115" s="67"/>
      <c r="AC115" s="66"/>
      <c r="AD115" s="3"/>
    </row>
    <row r="116" spans="1:30" x14ac:dyDescent="0.25">
      <c r="A116" s="240"/>
      <c r="B116" s="59"/>
      <c r="C116" s="59"/>
      <c r="D116" s="67"/>
      <c r="E116" s="67"/>
      <c r="F116" s="67"/>
      <c r="G116" s="67"/>
      <c r="H116" s="67"/>
      <c r="I116" s="67"/>
      <c r="J116" s="67"/>
      <c r="K116" s="67"/>
      <c r="L116" s="67"/>
      <c r="M116" s="67"/>
      <c r="N116" s="67"/>
      <c r="O116" s="67"/>
      <c r="P116" s="67"/>
      <c r="Q116" s="67"/>
      <c r="R116" s="67"/>
      <c r="S116" s="67"/>
      <c r="T116" s="67"/>
      <c r="U116" s="67"/>
      <c r="V116" s="67"/>
      <c r="W116" s="67"/>
      <c r="X116" s="67"/>
      <c r="Y116" s="67"/>
      <c r="Z116" s="67"/>
      <c r="AA116" s="67"/>
      <c r="AB116" s="67"/>
      <c r="AC116" s="66"/>
      <c r="AD116" s="3"/>
    </row>
    <row r="117" spans="1:30" ht="13.5" customHeight="1" x14ac:dyDescent="0.25">
      <c r="A117" s="240"/>
      <c r="B117" s="59"/>
      <c r="C117" s="59"/>
      <c r="D117" s="67"/>
      <c r="E117" s="67"/>
      <c r="F117" s="67"/>
      <c r="G117" s="67"/>
      <c r="H117" s="67"/>
      <c r="I117" s="67"/>
      <c r="J117" s="67"/>
      <c r="K117" s="67"/>
      <c r="L117" s="67"/>
      <c r="M117" s="67"/>
      <c r="N117" s="67"/>
      <c r="O117" s="67"/>
      <c r="P117" s="67"/>
      <c r="Q117" s="67"/>
      <c r="R117" s="67"/>
      <c r="S117" s="67"/>
      <c r="T117" s="67"/>
      <c r="U117" s="67"/>
      <c r="V117" s="67"/>
      <c r="W117" s="67"/>
      <c r="X117" s="67"/>
      <c r="Y117" s="67"/>
      <c r="Z117" s="67"/>
      <c r="AA117" s="67"/>
      <c r="AB117" s="67"/>
      <c r="AC117" s="66"/>
      <c r="AD117" s="3"/>
    </row>
    <row r="118" spans="1:30" x14ac:dyDescent="0.25">
      <c r="A118" s="59" t="s">
        <v>36</v>
      </c>
      <c r="B118" s="59" t="s">
        <v>36</v>
      </c>
      <c r="C118" s="59"/>
      <c r="D118" s="67">
        <f>Interventions!$E$14</f>
        <v>3243.5360000000001</v>
      </c>
      <c r="E118" s="67">
        <f>Interventions!$E$14</f>
        <v>3243.5360000000001</v>
      </c>
      <c r="F118" s="67">
        <f>Interventions!$E$14</f>
        <v>3243.5360000000001</v>
      </c>
      <c r="G118" s="67">
        <f>Interventions!$E$14</f>
        <v>3243.5360000000001</v>
      </c>
      <c r="H118" s="67">
        <f>Interventions!$E$14</f>
        <v>3243.5360000000001</v>
      </c>
      <c r="I118" s="67">
        <f>Interventions!$E$14</f>
        <v>3243.5360000000001</v>
      </c>
      <c r="J118" s="67">
        <f>Interventions!$E$14</f>
        <v>3243.5360000000001</v>
      </c>
      <c r="K118" s="67">
        <f>Interventions!$E$14</f>
        <v>3243.5360000000001</v>
      </c>
      <c r="L118" s="67">
        <f>Interventions!$E$14</f>
        <v>3243.5360000000001</v>
      </c>
      <c r="M118" s="67">
        <f>Interventions!$E$14</f>
        <v>3243.5360000000001</v>
      </c>
      <c r="N118" s="67">
        <f>Interventions!$E$14</f>
        <v>3243.5360000000001</v>
      </c>
      <c r="O118" s="67">
        <f>Interventions!$E$14</f>
        <v>3243.5360000000001</v>
      </c>
      <c r="P118" s="67">
        <f>Interventions!$E$14</f>
        <v>3243.5360000000001</v>
      </c>
      <c r="Q118" s="67">
        <f>Interventions!$E$14</f>
        <v>3243.5360000000001</v>
      </c>
      <c r="R118" s="67">
        <f>Interventions!$E$14</f>
        <v>3243.5360000000001</v>
      </c>
      <c r="S118" s="67">
        <f>Interventions!$E$14</f>
        <v>3243.5360000000001</v>
      </c>
      <c r="T118" s="67">
        <f>Interventions!$E$14</f>
        <v>3243.5360000000001</v>
      </c>
      <c r="U118" s="67">
        <f>Interventions!$E$14</f>
        <v>3243.5360000000001</v>
      </c>
      <c r="V118" s="67">
        <f>Interventions!$E$14</f>
        <v>3243.5360000000001</v>
      </c>
      <c r="W118" s="67">
        <f>Interventions!$E$14</f>
        <v>3243.5360000000001</v>
      </c>
      <c r="X118" s="67">
        <f>Interventions!$E$14</f>
        <v>3243.5360000000001</v>
      </c>
      <c r="Y118" s="67">
        <f>Interventions!$E$14</f>
        <v>3243.5360000000001</v>
      </c>
      <c r="Z118" s="67">
        <f>Interventions!$E$14</f>
        <v>3243.5360000000001</v>
      </c>
      <c r="AA118" s="67">
        <f>Interventions!$E$14</f>
        <v>3243.5360000000001</v>
      </c>
      <c r="AB118" s="67">
        <f>Interventions!$E$14</f>
        <v>3243.5360000000001</v>
      </c>
      <c r="AC118" s="66">
        <f>SUM(D118:AB118)</f>
        <v>81088.399999999965</v>
      </c>
      <c r="AD118" s="3" t="s">
        <v>12</v>
      </c>
    </row>
    <row r="119" spans="1:30" x14ac:dyDescent="0.25">
      <c r="A119" s="309" t="s">
        <v>80</v>
      </c>
      <c r="B119" s="310"/>
      <c r="C119" s="81">
        <f>SUM(C115:C115)</f>
        <v>0</v>
      </c>
      <c r="D119" s="81">
        <f>SUM(D115:D118)</f>
        <v>3243.5360000000001</v>
      </c>
      <c r="E119" s="81">
        <f t="shared" ref="E119" si="113">SUM(E115:E118)</f>
        <v>3243.5360000000001</v>
      </c>
      <c r="F119" s="81">
        <f t="shared" ref="F119" si="114">SUM(F115:F118)</f>
        <v>3243.5360000000001</v>
      </c>
      <c r="G119" s="81">
        <f t="shared" ref="G119" si="115">SUM(G115:G118)</f>
        <v>3243.5360000000001</v>
      </c>
      <c r="H119" s="81">
        <f t="shared" ref="H119" si="116">SUM(H115:H118)</f>
        <v>3243.5360000000001</v>
      </c>
      <c r="I119" s="81">
        <f t="shared" ref="I119" si="117">SUM(I115:I118)</f>
        <v>3243.5360000000001</v>
      </c>
      <c r="J119" s="81">
        <f t="shared" ref="J119" si="118">SUM(J115:J118)</f>
        <v>3243.5360000000001</v>
      </c>
      <c r="K119" s="81">
        <f t="shared" ref="K119" si="119">SUM(K115:K118)</f>
        <v>3243.5360000000001</v>
      </c>
      <c r="L119" s="81">
        <f t="shared" ref="L119" si="120">SUM(L115:L118)</f>
        <v>3243.5360000000001</v>
      </c>
      <c r="M119" s="81">
        <f t="shared" ref="M119" si="121">SUM(M115:M118)</f>
        <v>3243.5360000000001</v>
      </c>
      <c r="N119" s="81">
        <f t="shared" ref="N119" si="122">SUM(N115:N118)</f>
        <v>3243.5360000000001</v>
      </c>
      <c r="O119" s="81">
        <f t="shared" ref="O119" si="123">SUM(O115:O118)</f>
        <v>3243.5360000000001</v>
      </c>
      <c r="P119" s="81">
        <f t="shared" ref="P119" si="124">SUM(P115:P118)</f>
        <v>3243.5360000000001</v>
      </c>
      <c r="Q119" s="81">
        <f t="shared" ref="Q119" si="125">SUM(Q115:Q118)</f>
        <v>3243.5360000000001</v>
      </c>
      <c r="R119" s="81">
        <f t="shared" ref="R119" si="126">SUM(R115:R118)</f>
        <v>3243.5360000000001</v>
      </c>
      <c r="S119" s="81">
        <f t="shared" ref="S119" si="127">SUM(S115:S118)</f>
        <v>3243.5360000000001</v>
      </c>
      <c r="T119" s="81">
        <f t="shared" ref="T119" si="128">SUM(T115:T118)</f>
        <v>3243.5360000000001</v>
      </c>
      <c r="U119" s="81">
        <f t="shared" ref="U119" si="129">SUM(U115:U118)</f>
        <v>3243.5360000000001</v>
      </c>
      <c r="V119" s="81">
        <f t="shared" ref="V119" si="130">SUM(V115:V118)</f>
        <v>3243.5360000000001</v>
      </c>
      <c r="W119" s="81">
        <f t="shared" ref="W119" si="131">SUM(W115:W118)</f>
        <v>3243.5360000000001</v>
      </c>
      <c r="X119" s="81">
        <f t="shared" ref="X119" si="132">SUM(X115:X118)</f>
        <v>3243.5360000000001</v>
      </c>
      <c r="Y119" s="81">
        <f t="shared" ref="Y119" si="133">SUM(Y115:Y118)</f>
        <v>3243.5360000000001</v>
      </c>
      <c r="Z119" s="81">
        <f t="shared" ref="Z119" si="134">SUM(Z115:Z118)</f>
        <v>3243.5360000000001</v>
      </c>
      <c r="AA119" s="81">
        <f t="shared" ref="AA119" si="135">SUM(AA115:AA118)</f>
        <v>3243.5360000000001</v>
      </c>
      <c r="AB119" s="81">
        <f t="shared" ref="AB119" si="136">SUM(AB115:AB118)</f>
        <v>3243.5360000000001</v>
      </c>
      <c r="AC119" s="81">
        <f t="shared" ref="AC119" si="137">SUM(AC115:AC118)</f>
        <v>81088.399999999965</v>
      </c>
      <c r="AD119" s="6" t="s">
        <v>12</v>
      </c>
    </row>
    <row r="120" spans="1:30" x14ac:dyDescent="0.25">
      <c r="A120" s="132"/>
      <c r="B120" s="133" t="s">
        <v>81</v>
      </c>
      <c r="C120" s="134">
        <f t="shared" ref="C120:R120" si="138">(C119+C113)-C109</f>
        <v>-27361</v>
      </c>
      <c r="D120" s="134">
        <f t="shared" si="138"/>
        <v>4323.0263999999997</v>
      </c>
      <c r="E120" s="134">
        <f t="shared" si="138"/>
        <v>4337.4161599999998</v>
      </c>
      <c r="F120" s="134">
        <f t="shared" si="138"/>
        <v>4352.1656640000001</v>
      </c>
      <c r="G120" s="134">
        <f t="shared" si="138"/>
        <v>4367.2839055999993</v>
      </c>
      <c r="H120" s="134">
        <f t="shared" si="138"/>
        <v>4382.7801032400002</v>
      </c>
      <c r="I120" s="134">
        <f t="shared" si="138"/>
        <v>4398.6637058209999</v>
      </c>
      <c r="J120" s="134">
        <f t="shared" si="138"/>
        <v>4414.9443984665249</v>
      </c>
      <c r="K120" s="134">
        <f t="shared" si="138"/>
        <v>4431.6321084281881</v>
      </c>
      <c r="L120" s="134">
        <f t="shared" si="138"/>
        <v>4448.7370111388918</v>
      </c>
      <c r="M120" s="134">
        <f t="shared" si="138"/>
        <v>4466.2695364173642</v>
      </c>
      <c r="N120" s="134">
        <f t="shared" si="138"/>
        <v>4484.2403748277984</v>
      </c>
      <c r="O120" s="134">
        <f t="shared" si="138"/>
        <v>4502.6604841984936</v>
      </c>
      <c r="P120" s="134">
        <f t="shared" si="138"/>
        <v>4521.5410963034556</v>
      </c>
      <c r="Q120" s="134">
        <f t="shared" si="138"/>
        <v>4540.8937237110422</v>
      </c>
      <c r="R120" s="134">
        <f t="shared" si="138"/>
        <v>4560.7301668038181</v>
      </c>
      <c r="S120" s="134">
        <f t="shared" ref="S120:W120" si="139">(S119+S113)-S109</f>
        <v>4581.0625209739137</v>
      </c>
      <c r="T120" s="134">
        <f t="shared" si="139"/>
        <v>4601.9031839982608</v>
      </c>
      <c r="U120" s="134">
        <f t="shared" si="139"/>
        <v>4623.2648635982177</v>
      </c>
      <c r="V120" s="134">
        <f t="shared" si="139"/>
        <v>4645.1605851881732</v>
      </c>
      <c r="W120" s="134">
        <f t="shared" si="139"/>
        <v>4667.603699817877</v>
      </c>
      <c r="X120" s="134">
        <f t="shared" ref="X120:AB120" si="140">(X119+X113)-X109</f>
        <v>4690.6078923133236</v>
      </c>
      <c r="Y120" s="134">
        <f t="shared" si="140"/>
        <v>4714.1871896211569</v>
      </c>
      <c r="Z120" s="134">
        <f t="shared" si="140"/>
        <v>4738.3559693616862</v>
      </c>
      <c r="AA120" s="134">
        <f t="shared" si="140"/>
        <v>4763.1289685957281</v>
      </c>
      <c r="AB120" s="134">
        <f t="shared" si="140"/>
        <v>4788.5212928106212</v>
      </c>
      <c r="AC120" s="134">
        <f>(AC119+AC113)-AC109</f>
        <v>85985.78100523552</v>
      </c>
      <c r="AD120" s="135" t="s">
        <v>12</v>
      </c>
    </row>
    <row r="121" spans="1:30" x14ac:dyDescent="0.25">
      <c r="A121" s="132"/>
      <c r="B121" s="133" t="s">
        <v>82</v>
      </c>
      <c r="C121" s="134">
        <f t="shared" ref="C121:R121" si="141">(C119)-C109</f>
        <v>-27361</v>
      </c>
      <c r="D121" s="134">
        <f t="shared" si="141"/>
        <v>507.43599999999969</v>
      </c>
      <c r="E121" s="134">
        <f t="shared" si="141"/>
        <v>507.43599999999969</v>
      </c>
      <c r="F121" s="134">
        <f t="shared" si="141"/>
        <v>507.43599999999969</v>
      </c>
      <c r="G121" s="134">
        <f t="shared" si="141"/>
        <v>507.43599999999969</v>
      </c>
      <c r="H121" s="134">
        <f t="shared" si="141"/>
        <v>507.43599999999969</v>
      </c>
      <c r="I121" s="134">
        <f t="shared" si="141"/>
        <v>507.43599999999969</v>
      </c>
      <c r="J121" s="134">
        <f t="shared" si="141"/>
        <v>507.43599999999969</v>
      </c>
      <c r="K121" s="134">
        <f t="shared" si="141"/>
        <v>507.43599999999969</v>
      </c>
      <c r="L121" s="134">
        <f t="shared" si="141"/>
        <v>507.43599999999969</v>
      </c>
      <c r="M121" s="134">
        <f t="shared" si="141"/>
        <v>507.43599999999969</v>
      </c>
      <c r="N121" s="134">
        <f t="shared" si="141"/>
        <v>507.43599999999969</v>
      </c>
      <c r="O121" s="134">
        <f t="shared" si="141"/>
        <v>507.43599999999969</v>
      </c>
      <c r="P121" s="134">
        <f t="shared" si="141"/>
        <v>507.43599999999969</v>
      </c>
      <c r="Q121" s="134">
        <f t="shared" si="141"/>
        <v>507.43599999999969</v>
      </c>
      <c r="R121" s="134">
        <f t="shared" si="141"/>
        <v>507.43599999999969</v>
      </c>
      <c r="S121" s="134">
        <f t="shared" ref="S121:W121" si="142">(S119)-S109</f>
        <v>507.43599999999969</v>
      </c>
      <c r="T121" s="134">
        <f t="shared" si="142"/>
        <v>507.43599999999969</v>
      </c>
      <c r="U121" s="134">
        <f t="shared" si="142"/>
        <v>507.43599999999969</v>
      </c>
      <c r="V121" s="134">
        <f t="shared" si="142"/>
        <v>507.43599999999969</v>
      </c>
      <c r="W121" s="134">
        <f t="shared" si="142"/>
        <v>507.43599999999969</v>
      </c>
      <c r="X121" s="134">
        <f t="shared" ref="X121:AB121" si="143">(X119)-X109</f>
        <v>507.43599999999969</v>
      </c>
      <c r="Y121" s="134">
        <f t="shared" si="143"/>
        <v>507.43599999999969</v>
      </c>
      <c r="Z121" s="134">
        <f t="shared" si="143"/>
        <v>507.43599999999969</v>
      </c>
      <c r="AA121" s="134">
        <f t="shared" si="143"/>
        <v>507.43599999999969</v>
      </c>
      <c r="AB121" s="134">
        <f t="shared" si="143"/>
        <v>507.43599999999969</v>
      </c>
      <c r="AC121" s="134">
        <f>(AC119)-AC109</f>
        <v>-14675.10000000002</v>
      </c>
      <c r="AD121" s="135" t="s">
        <v>12</v>
      </c>
    </row>
    <row r="122" spans="1:30" ht="13.5" customHeight="1" x14ac:dyDescent="0.25">
      <c r="A122" s="69" t="s">
        <v>83</v>
      </c>
      <c r="B122" s="70">
        <f>XIRR(C121:AB121, C$38:AB$38, 0.1)</f>
        <v>-5.2049860358238234E-2</v>
      </c>
      <c r="D122" s="82"/>
      <c r="E122" s="71"/>
      <c r="F122" s="71"/>
      <c r="G122" s="71"/>
      <c r="H122" s="71"/>
      <c r="I122" s="71"/>
      <c r="J122" s="72"/>
    </row>
    <row r="123" spans="1:30" ht="13.5" customHeight="1" x14ac:dyDescent="0.25">
      <c r="A123" s="96" t="s">
        <v>85</v>
      </c>
      <c r="B123" s="73">
        <f>XIRR(C120:AB120, C$38:AB$38, 0.1)</f>
        <v>0.1571242392063141</v>
      </c>
      <c r="D123" s="82"/>
      <c r="E123" s="71"/>
      <c r="F123" s="71"/>
      <c r="G123" s="71"/>
      <c r="H123" s="71"/>
      <c r="I123" s="71"/>
      <c r="J123" s="72"/>
    </row>
    <row r="124" spans="1:30" x14ac:dyDescent="0.25">
      <c r="A124" s="97" t="s">
        <v>86</v>
      </c>
      <c r="B124" s="84">
        <f>XNPV(A$100,C119:AB119,C$104:AB$104)/XNPV(A$100,C109:AB109,C$104:AB$104)</f>
        <v>0.7227165379084971</v>
      </c>
      <c r="E124" s="85"/>
      <c r="F124" s="85"/>
      <c r="G124" s="85"/>
      <c r="H124" s="85"/>
      <c r="I124" s="85"/>
    </row>
    <row r="125" spans="1:30" x14ac:dyDescent="0.25">
      <c r="A125" s="96" t="s">
        <v>87</v>
      </c>
      <c r="B125" s="86">
        <f>(XNPV(A$100,C119:AB119,C$104:AB$104)+XNPV(A$100,C113:AB113,C$104:AB$104))/XNPV(A$100,C109:AB109,C$104:AB$104)</f>
        <v>1.611324949843183</v>
      </c>
      <c r="E125" s="85"/>
      <c r="F125" s="85"/>
      <c r="G125" s="85"/>
      <c r="H125" s="85"/>
      <c r="I125" s="85"/>
    </row>
    <row r="126" spans="1:30" x14ac:dyDescent="0.25">
      <c r="A126" s="98" t="s">
        <v>84</v>
      </c>
      <c r="B126" s="74">
        <f>XNPV(A$100,C121:AB121,C$104:AB$104)</f>
        <v>-19435.815971935597</v>
      </c>
      <c r="E126" s="85"/>
      <c r="F126" s="85"/>
      <c r="G126" s="85"/>
      <c r="H126" s="85"/>
      <c r="I126" s="85"/>
    </row>
    <row r="127" spans="1:30" x14ac:dyDescent="0.25">
      <c r="A127" s="96" t="s">
        <v>88</v>
      </c>
      <c r="B127" s="76">
        <f>XNPV(A$100,C120:AB120,C$104:AB$104)</f>
        <v>42850.010363344183</v>
      </c>
      <c r="E127" s="85"/>
      <c r="F127" s="85"/>
      <c r="G127" s="85"/>
      <c r="H127" s="85"/>
      <c r="I127" s="85"/>
    </row>
    <row r="128" spans="1:30" x14ac:dyDescent="0.25">
      <c r="A128" s="83" t="s">
        <v>76</v>
      </c>
      <c r="B128" s="74" t="s">
        <v>127</v>
      </c>
      <c r="C128" s="75">
        <f>C119/C109</f>
        <v>0</v>
      </c>
      <c r="D128" s="87">
        <f>SUM($C$119:D119)/SUM($C$109:D109)</f>
        <v>0.1077690541613644</v>
      </c>
      <c r="E128" s="87">
        <f>SUM($C$119:E119)/SUM($C$109:E109)</f>
        <v>0.19757659929583474</v>
      </c>
      <c r="F128" s="87">
        <f>SUM($C$119:F119)/SUM($C$109:F109)</f>
        <v>0.27356759902500194</v>
      </c>
      <c r="G128" s="87">
        <f>SUM($C$119:G119)/SUM($C$109:G109)</f>
        <v>0.33870274165000241</v>
      </c>
      <c r="H128" s="87">
        <f>SUM($C$119:H119)/SUM($C$109:H109)</f>
        <v>0.39515319859166947</v>
      </c>
      <c r="I128" s="87">
        <f>SUM($C$119:I119)/SUM($C$109:I109)</f>
        <v>0.44454734841562821</v>
      </c>
      <c r="J128" s="87">
        <f>SUM($C$119:J119)/SUM($C$109:J109)</f>
        <v>0.48813042178970939</v>
      </c>
      <c r="K128" s="87">
        <f>SUM($C$119:K119)/SUM($C$109:K109)</f>
        <v>0.5268709314555593</v>
      </c>
      <c r="L128" s="87">
        <f>SUM($C$119:L119)/SUM($C$109:L109)</f>
        <v>0.56153349273553033</v>
      </c>
      <c r="M128" s="87">
        <f>SUM($C$119:M119)/SUM($C$109:M109)</f>
        <v>0.59272979788750424</v>
      </c>
      <c r="N128" s="87">
        <f>SUM($C$119:N119)/SUM($C$109:N109)</f>
        <v>0.62095502635833788</v>
      </c>
      <c r="O128" s="87">
        <f>SUM($C$119:O119)/SUM($C$109:O109)</f>
        <v>0.64661432496818649</v>
      </c>
      <c r="P128" s="87">
        <f>SUM($C$119:P119)/SUM($C$109:P109)</f>
        <v>0.67004238022065699</v>
      </c>
      <c r="Q128" s="87">
        <f>SUM($C$119:Q119)/SUM($C$109:Q109)</f>
        <v>0.69151809753542171</v>
      </c>
      <c r="R128" s="87">
        <f>SUM($C$119:R119)/SUM($C$109:R109)</f>
        <v>0.71127575746500504</v>
      </c>
      <c r="S128" s="87">
        <f>SUM($C$119:S119)/SUM($C$109:S109)</f>
        <v>0.72951359740000521</v>
      </c>
      <c r="T128" s="87">
        <f>SUM($C$119:T119)/SUM($C$109:T109)</f>
        <v>0.74640048622870891</v>
      </c>
      <c r="U128" s="87">
        <f>SUM($C$119:U119)/SUM($C$109:U109)</f>
        <v>0.76208116871250531</v>
      </c>
      <c r="V128" s="87">
        <f>SUM($C$119:V119)/SUM($C$109:V109)</f>
        <v>0.77668042481810873</v>
      </c>
      <c r="W128" s="87">
        <f>SUM($C$119:W119)/SUM($C$109:W109)</f>
        <v>0.79030639718333873</v>
      </c>
      <c r="X128" s="87">
        <f>SUM($C$119:X119)/SUM($C$109:X109)</f>
        <v>0.80305327455726339</v>
      </c>
      <c r="Y128" s="87">
        <f>SUM($C$119:Y119)/SUM($C$109:Y109)</f>
        <v>0.81500347209531776</v>
      </c>
      <c r="Z128" s="87">
        <f>SUM($C$119:Z119)/SUM($C$109:Z109)</f>
        <v>0.82622941523712645</v>
      </c>
      <c r="AA128" s="87">
        <f>SUM($C$119:AA119)/SUM($C$109:AA109)</f>
        <v>0.83679500878235813</v>
      </c>
      <c r="AB128" s="87">
        <f>SUM($C$119:AB119)/SUM($C$109:AB109)</f>
        <v>0.84675685412500512</v>
      </c>
    </row>
    <row r="129" spans="1:32" x14ac:dyDescent="0.25">
      <c r="A129" s="96" t="s">
        <v>89</v>
      </c>
      <c r="B129" s="76">
        <f>IF(J129,$J$103-$C$103)</f>
        <v>7</v>
      </c>
      <c r="C129" s="75">
        <f>(C119+C113)/C109</f>
        <v>0</v>
      </c>
      <c r="D129" s="87">
        <f>(SUM($C$119:D119)+SUM($C$113:D113))/SUM($C$109:D109)</f>
        <v>0.23454506912626136</v>
      </c>
      <c r="E129" s="87">
        <f>(SUM($C$119:E119)+SUM($C$113:E113))/SUM($C$109:E109)</f>
        <v>0.43043756197994715</v>
      </c>
      <c r="F129" s="87">
        <f>(SUM($C$119:F119)+SUM($C$113:F113))/SUM($C$109:F109)</f>
        <v>0.59660741774507797</v>
      </c>
      <c r="G129" s="87">
        <f>(SUM($C$119:G119)+SUM($C$113:G113))/SUM($C$109:G109)</f>
        <v>0.73943339919698015</v>
      </c>
      <c r="H129" s="87">
        <f>(SUM($C$119:H119)+SUM($C$113:H113))/SUM($C$109:H109)</f>
        <v>0.86359349031687449</v>
      </c>
      <c r="I129" s="87">
        <f>(SUM($C$119:I119)+SUM($C$113:I113))/SUM($C$109:I109)</f>
        <v>0.97259639492939332</v>
      </c>
      <c r="J129" s="87">
        <f>(SUM($C$119:J119)+SUM($C$113:J113))/SUM($C$109:J109)</f>
        <v>1.0691254477095464</v>
      </c>
      <c r="K129" s="87">
        <f>(SUM($C$119:K119)+SUM($C$113:K113))/SUM($C$109:K109)</f>
        <v>1.1552678883072767</v>
      </c>
      <c r="L129" s="87">
        <f>(SUM($C$119:L119)+SUM($C$113:L113))/SUM($C$109:L109)</f>
        <v>1.2326717332333308</v>
      </c>
      <c r="M129" s="87">
        <f>(SUM($C$119:M119)+SUM($C$113:M113))/SUM($C$109:M109)</f>
        <v>1.302655586292752</v>
      </c>
      <c r="N129" s="87">
        <f>(SUM($C$119:N119)+SUM($C$113:N113))/SUM($C$109:N109)</f>
        <v>1.3662870747194873</v>
      </c>
      <c r="O129" s="87">
        <f>(SUM($C$119:O119)+SUM($C$113:O113))/SUM($C$109:O109)</f>
        <v>1.4244398937462128</v>
      </c>
      <c r="P129" s="87">
        <f>(SUM($C$119:P119)+SUM($C$113:P113))/SUM($C$109:P109)</f>
        <v>1.4778359700882047</v>
      </c>
      <c r="Q129" s="87">
        <f>(SUM($C$119:Q119)+SUM($C$113:Q113))/SUM($C$109:Q109)</f>
        <v>1.5270770846605386</v>
      </c>
      <c r="R129" s="87">
        <f>(SUM($C$119:R119)+SUM($C$113:R113))/SUM($C$109:R109)</f>
        <v>1.5726689059457855</v>
      </c>
      <c r="S129" s="87">
        <f>(SUM($C$119:S119)+SUM($C$113:S113))/SUM($C$109:S109)</f>
        <v>1.6150394773010786</v>
      </c>
      <c r="T129" s="87">
        <f>(SUM($C$119:T119)+SUM($C$113:T113))/SUM($C$109:T109)</f>
        <v>1.6545535960745528</v>
      </c>
      <c r="U129" s="87">
        <f>(SUM($C$119:U119)+SUM($C$113:U113))/SUM($C$109:U109)</f>
        <v>1.6915241115812256</v>
      </c>
      <c r="V129" s="87">
        <f>(SUM($C$119:V119)+SUM($C$113:V113))/SUM($C$109:V109)</f>
        <v>1.7262208856642809</v>
      </c>
      <c r="W129" s="87">
        <f>(SUM($C$119:W119)+SUM($C$113:W113))/SUM($C$109:W109)</f>
        <v>1.7588779612408538</v>
      </c>
      <c r="X129" s="87">
        <f>(SUM($C$119:X119)+SUM($C$113:X113))/SUM($C$109:X109)</f>
        <v>1.7896993434833228</v>
      </c>
      <c r="Y129" s="87">
        <f>(SUM($C$119:Y119)+SUM($C$113:Y113))/SUM($C$109:Y109)</f>
        <v>1.8188636971244132</v>
      </c>
      <c r="Z129" s="87">
        <f>(SUM($C$119:Z119)+SUM($C$113:Z113))/SUM($C$109:Z109)</f>
        <v>1.8465281898015546</v>
      </c>
      <c r="AA129" s="87">
        <f>(SUM($C$119:AA119)+SUM($C$113:AA113))/SUM($C$109:AA109)</f>
        <v>1.8728316572582357</v>
      </c>
      <c r="AB129" s="87">
        <f>(SUM($C$119:AB119)+SUM($C$113:AB113))/SUM($C$109:AB109)</f>
        <v>1.8978972260332529</v>
      </c>
    </row>
    <row r="133" spans="1:32" ht="26.25" x14ac:dyDescent="0.4">
      <c r="A133" s="107">
        <v>0.04</v>
      </c>
      <c r="B133" s="107" t="s">
        <v>79</v>
      </c>
    </row>
    <row r="134" spans="1:32" ht="23.25" customHeight="1" x14ac:dyDescent="0.25">
      <c r="A134" s="313" t="s">
        <v>142</v>
      </c>
      <c r="B134" s="314"/>
      <c r="C134" s="314"/>
      <c r="D134" s="314"/>
      <c r="E134" s="314"/>
      <c r="F134" s="314"/>
      <c r="G134" s="314"/>
      <c r="H134" s="314"/>
      <c r="I134" s="314"/>
      <c r="J134" s="314"/>
      <c r="K134" s="314"/>
      <c r="L134" s="314"/>
      <c r="M134" s="314"/>
      <c r="N134" s="314"/>
      <c r="O134" s="314"/>
      <c r="P134" s="314"/>
      <c r="Q134" s="314"/>
      <c r="R134" s="314"/>
      <c r="S134" s="314"/>
      <c r="T134" s="314"/>
      <c r="U134" s="314"/>
      <c r="V134" s="314"/>
      <c r="W134" s="314"/>
      <c r="X134" s="314"/>
      <c r="Y134" s="314"/>
      <c r="Z134" s="314"/>
      <c r="AA134" s="314"/>
      <c r="AB134" s="314"/>
      <c r="AC134" s="314"/>
      <c r="AD134" s="315"/>
    </row>
    <row r="135" spans="1:32" x14ac:dyDescent="0.25">
      <c r="A135" s="78"/>
      <c r="B135" s="78"/>
      <c r="C135" s="60" t="s">
        <v>8</v>
      </c>
      <c r="D135" s="60"/>
      <c r="E135" s="60"/>
      <c r="F135" s="60"/>
      <c r="G135" s="60"/>
      <c r="H135" s="60"/>
      <c r="I135" s="60"/>
      <c r="J135" s="60"/>
      <c r="K135" s="60"/>
      <c r="L135" s="60"/>
      <c r="M135" s="60"/>
      <c r="N135" s="60"/>
      <c r="O135" s="60"/>
      <c r="P135" s="60"/>
      <c r="Q135" s="60"/>
      <c r="R135" s="60"/>
      <c r="S135" s="60"/>
      <c r="T135" s="60"/>
      <c r="U135" s="60"/>
      <c r="V135" s="60"/>
      <c r="W135" s="60"/>
      <c r="X135" s="60"/>
      <c r="Y135" s="60"/>
      <c r="Z135" s="60"/>
      <c r="AA135" s="60"/>
      <c r="AB135" s="60"/>
      <c r="AC135" s="60"/>
      <c r="AD135" s="61" t="s">
        <v>9</v>
      </c>
    </row>
    <row r="136" spans="1:32" ht="15.75" customHeight="1" x14ac:dyDescent="0.25">
      <c r="A136" s="311" t="s">
        <v>131</v>
      </c>
      <c r="B136" s="312"/>
      <c r="C136" s="224"/>
      <c r="D136" s="1">
        <v>1</v>
      </c>
      <c r="E136" s="1">
        <v>2</v>
      </c>
      <c r="F136" s="1">
        <v>3</v>
      </c>
      <c r="G136" s="1">
        <v>4</v>
      </c>
      <c r="H136" s="1">
        <v>5</v>
      </c>
      <c r="I136" s="1">
        <v>6</v>
      </c>
      <c r="J136" s="1">
        <v>7</v>
      </c>
      <c r="K136" s="1">
        <v>8</v>
      </c>
      <c r="L136" s="1">
        <v>9</v>
      </c>
      <c r="M136" s="1">
        <v>10</v>
      </c>
      <c r="N136" s="1">
        <v>11</v>
      </c>
      <c r="O136" s="1">
        <v>12</v>
      </c>
      <c r="P136" s="1">
        <v>13</v>
      </c>
      <c r="Q136" s="1">
        <v>14</v>
      </c>
      <c r="R136" s="1">
        <v>15</v>
      </c>
      <c r="S136" s="1">
        <v>16</v>
      </c>
      <c r="T136" s="1">
        <v>17</v>
      </c>
      <c r="U136" s="1">
        <v>18</v>
      </c>
      <c r="V136" s="1">
        <v>19</v>
      </c>
      <c r="W136" s="1">
        <v>20</v>
      </c>
      <c r="X136" s="1">
        <v>21</v>
      </c>
      <c r="Y136" s="1">
        <v>22</v>
      </c>
      <c r="Z136" s="1">
        <v>23</v>
      </c>
      <c r="AA136" s="1">
        <v>24</v>
      </c>
      <c r="AB136" s="1">
        <v>25</v>
      </c>
      <c r="AC136" s="62" t="s">
        <v>78</v>
      </c>
      <c r="AD136" s="7"/>
    </row>
    <row r="137" spans="1:32" ht="16.5" customHeight="1" x14ac:dyDescent="0.25">
      <c r="A137" s="89"/>
      <c r="B137" s="90"/>
      <c r="C137" s="99">
        <v>44197</v>
      </c>
      <c r="D137" s="99">
        <v>44562</v>
      </c>
      <c r="E137" s="99">
        <v>44927</v>
      </c>
      <c r="F137" s="99">
        <v>45292</v>
      </c>
      <c r="G137" s="99">
        <v>45658</v>
      </c>
      <c r="H137" s="99">
        <v>46023</v>
      </c>
      <c r="I137" s="99">
        <v>46388</v>
      </c>
      <c r="J137" s="99">
        <v>46753</v>
      </c>
      <c r="K137" s="99">
        <v>47119</v>
      </c>
      <c r="L137" s="99">
        <v>47484</v>
      </c>
      <c r="M137" s="99">
        <v>47849</v>
      </c>
      <c r="N137" s="99">
        <v>48214</v>
      </c>
      <c r="O137" s="99">
        <v>48580</v>
      </c>
      <c r="P137" s="99">
        <v>48945</v>
      </c>
      <c r="Q137" s="99">
        <v>49310</v>
      </c>
      <c r="R137" s="99">
        <v>49675</v>
      </c>
      <c r="S137" s="99">
        <v>50041</v>
      </c>
      <c r="T137" s="99">
        <v>50406</v>
      </c>
      <c r="U137" s="99">
        <v>50771</v>
      </c>
      <c r="V137" s="99">
        <v>51136</v>
      </c>
      <c r="W137" s="99">
        <v>51502</v>
      </c>
      <c r="X137" s="99">
        <v>51867</v>
      </c>
      <c r="Y137" s="99">
        <v>52232</v>
      </c>
      <c r="Z137" s="99">
        <v>52597</v>
      </c>
      <c r="AA137" s="99">
        <v>52963</v>
      </c>
      <c r="AB137" s="99">
        <v>53328</v>
      </c>
      <c r="AC137" s="91"/>
      <c r="AD137" s="92"/>
    </row>
    <row r="138" spans="1:32" s="106" customFormat="1" ht="16.5" customHeight="1" x14ac:dyDescent="0.25">
      <c r="C138" s="101"/>
      <c r="D138" s="102"/>
      <c r="E138" s="102"/>
      <c r="F138" s="102"/>
      <c r="G138" s="102"/>
      <c r="H138" s="102"/>
      <c r="I138" s="102"/>
      <c r="J138" s="102"/>
      <c r="K138" s="102"/>
      <c r="L138" s="102"/>
      <c r="M138" s="102"/>
      <c r="N138" s="102"/>
      <c r="O138" s="102"/>
      <c r="P138" s="102"/>
      <c r="Q138" s="102"/>
      <c r="R138" s="102"/>
      <c r="S138" s="102"/>
      <c r="T138" s="102"/>
      <c r="U138" s="102"/>
      <c r="V138" s="102"/>
      <c r="W138" s="102"/>
      <c r="X138" s="102"/>
      <c r="Y138" s="102"/>
      <c r="Z138" s="102"/>
      <c r="AA138" s="102"/>
      <c r="AB138" s="102"/>
      <c r="AC138" s="103"/>
      <c r="AD138" s="104"/>
      <c r="AE138" s="105"/>
      <c r="AF138" s="105"/>
    </row>
    <row r="139" spans="1:32" x14ac:dyDescent="0.25">
      <c r="A139" s="307" t="s">
        <v>10</v>
      </c>
      <c r="B139" s="308"/>
      <c r="C139" s="225"/>
      <c r="D139" s="63"/>
      <c r="E139" s="63"/>
      <c r="F139" s="63"/>
      <c r="G139" s="63"/>
      <c r="H139" s="63"/>
      <c r="I139" s="63"/>
      <c r="J139" s="64"/>
      <c r="K139" s="64"/>
      <c r="L139" s="64"/>
      <c r="M139" s="64"/>
      <c r="N139" s="64"/>
      <c r="O139" s="64"/>
      <c r="P139" s="64"/>
      <c r="Q139" s="64"/>
      <c r="R139" s="64"/>
      <c r="S139" s="64"/>
      <c r="T139" s="64"/>
      <c r="U139" s="64"/>
      <c r="V139" s="64"/>
      <c r="W139" s="64"/>
      <c r="X139" s="64"/>
      <c r="Y139" s="64"/>
      <c r="Z139" s="64"/>
      <c r="AA139" s="64"/>
      <c r="AB139" s="64"/>
      <c r="AC139" s="64"/>
      <c r="AD139" s="64"/>
    </row>
    <row r="140" spans="1:32" x14ac:dyDescent="0.25">
      <c r="A140" s="226" t="s">
        <v>11</v>
      </c>
      <c r="B140" s="59"/>
      <c r="C140" s="88">
        <f>Interventions!$I$6</f>
        <v>27361</v>
      </c>
      <c r="D140" s="65"/>
      <c r="E140" s="65"/>
      <c r="F140" s="65"/>
      <c r="G140" s="65"/>
      <c r="H140" s="65"/>
      <c r="I140" s="65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66">
        <f>SUM(C140:AB140)</f>
        <v>27361</v>
      </c>
      <c r="AD140" s="3" t="s">
        <v>12</v>
      </c>
    </row>
    <row r="141" spans="1:32" x14ac:dyDescent="0.25">
      <c r="A141" s="59" t="s">
        <v>137</v>
      </c>
      <c r="B141" s="226"/>
      <c r="C141" s="93"/>
      <c r="D141" s="67">
        <f>Interventions!$I$7</f>
        <v>2736.1000000000004</v>
      </c>
      <c r="E141" s="67">
        <f>Interventions!$I$7</f>
        <v>2736.1000000000004</v>
      </c>
      <c r="F141" s="67">
        <f>Interventions!$I$7</f>
        <v>2736.1000000000004</v>
      </c>
      <c r="G141" s="67">
        <f>Interventions!$I$7</f>
        <v>2736.1000000000004</v>
      </c>
      <c r="H141" s="67">
        <f>Interventions!$I$7</f>
        <v>2736.1000000000004</v>
      </c>
      <c r="I141" s="67">
        <f>Interventions!$I$7</f>
        <v>2736.1000000000004</v>
      </c>
      <c r="J141" s="67">
        <f>Interventions!$I$7</f>
        <v>2736.1000000000004</v>
      </c>
      <c r="K141" s="67">
        <f>Interventions!$I$7</f>
        <v>2736.1000000000004</v>
      </c>
      <c r="L141" s="67">
        <f>Interventions!$I$7</f>
        <v>2736.1000000000004</v>
      </c>
      <c r="M141" s="67">
        <f>Interventions!$I$7</f>
        <v>2736.1000000000004</v>
      </c>
      <c r="N141" s="67">
        <f>Interventions!$I$7</f>
        <v>2736.1000000000004</v>
      </c>
      <c r="O141" s="67">
        <f>Interventions!$I$7</f>
        <v>2736.1000000000004</v>
      </c>
      <c r="P141" s="67">
        <f>Interventions!$I$7</f>
        <v>2736.1000000000004</v>
      </c>
      <c r="Q141" s="67">
        <f>Interventions!$I$7</f>
        <v>2736.1000000000004</v>
      </c>
      <c r="R141" s="67">
        <f>Interventions!$I$7</f>
        <v>2736.1000000000004</v>
      </c>
      <c r="S141" s="67">
        <f>Interventions!$I$7</f>
        <v>2736.1000000000004</v>
      </c>
      <c r="T141" s="67">
        <f>Interventions!$I$7</f>
        <v>2736.1000000000004</v>
      </c>
      <c r="U141" s="67">
        <f>Interventions!$I$7</f>
        <v>2736.1000000000004</v>
      </c>
      <c r="V141" s="67">
        <f>Interventions!$I$7</f>
        <v>2736.1000000000004</v>
      </c>
      <c r="W141" s="67">
        <f>Interventions!$I$7</f>
        <v>2736.1000000000004</v>
      </c>
      <c r="X141" s="67">
        <f>Interventions!$I$7</f>
        <v>2736.1000000000004</v>
      </c>
      <c r="Y141" s="67">
        <f>Interventions!$I$7</f>
        <v>2736.1000000000004</v>
      </c>
      <c r="Z141" s="67">
        <f>Interventions!$I$7</f>
        <v>2736.1000000000004</v>
      </c>
      <c r="AA141" s="67">
        <f>Interventions!$I$7</f>
        <v>2736.1000000000004</v>
      </c>
      <c r="AB141" s="67">
        <f>Interventions!$I$7</f>
        <v>2736.1000000000004</v>
      </c>
      <c r="AC141" s="66">
        <f>SUM(C141:AB141)</f>
        <v>68402.499999999985</v>
      </c>
      <c r="AD141" s="3" t="s">
        <v>12</v>
      </c>
    </row>
    <row r="142" spans="1:32" x14ac:dyDescent="0.25">
      <c r="A142" s="309" t="s">
        <v>80</v>
      </c>
      <c r="B142" s="310"/>
      <c r="C142" s="94">
        <f t="shared" ref="C142:W142" si="144">SUM(C140:C141)</f>
        <v>27361</v>
      </c>
      <c r="D142" s="94">
        <f t="shared" si="144"/>
        <v>2736.1000000000004</v>
      </c>
      <c r="E142" s="94">
        <f t="shared" si="144"/>
        <v>2736.1000000000004</v>
      </c>
      <c r="F142" s="94">
        <f t="shared" si="144"/>
        <v>2736.1000000000004</v>
      </c>
      <c r="G142" s="94">
        <f t="shared" si="144"/>
        <v>2736.1000000000004</v>
      </c>
      <c r="H142" s="94">
        <f t="shared" si="144"/>
        <v>2736.1000000000004</v>
      </c>
      <c r="I142" s="94">
        <f t="shared" si="144"/>
        <v>2736.1000000000004</v>
      </c>
      <c r="J142" s="94">
        <f t="shared" si="144"/>
        <v>2736.1000000000004</v>
      </c>
      <c r="K142" s="94">
        <f t="shared" si="144"/>
        <v>2736.1000000000004</v>
      </c>
      <c r="L142" s="94">
        <f t="shared" si="144"/>
        <v>2736.1000000000004</v>
      </c>
      <c r="M142" s="94">
        <f t="shared" si="144"/>
        <v>2736.1000000000004</v>
      </c>
      <c r="N142" s="94">
        <f t="shared" si="144"/>
        <v>2736.1000000000004</v>
      </c>
      <c r="O142" s="94">
        <f t="shared" si="144"/>
        <v>2736.1000000000004</v>
      </c>
      <c r="P142" s="94">
        <f t="shared" si="144"/>
        <v>2736.1000000000004</v>
      </c>
      <c r="Q142" s="94">
        <f t="shared" si="144"/>
        <v>2736.1000000000004</v>
      </c>
      <c r="R142" s="94">
        <f t="shared" si="144"/>
        <v>2736.1000000000004</v>
      </c>
      <c r="S142" s="94">
        <f t="shared" si="144"/>
        <v>2736.1000000000004</v>
      </c>
      <c r="T142" s="94">
        <f t="shared" si="144"/>
        <v>2736.1000000000004</v>
      </c>
      <c r="U142" s="94">
        <f t="shared" si="144"/>
        <v>2736.1000000000004</v>
      </c>
      <c r="V142" s="94">
        <f t="shared" si="144"/>
        <v>2736.1000000000004</v>
      </c>
      <c r="W142" s="94">
        <f t="shared" si="144"/>
        <v>2736.1000000000004</v>
      </c>
      <c r="X142" s="94">
        <f t="shared" ref="X142:AB142" si="145">SUM(X140:X141)</f>
        <v>2736.1000000000004</v>
      </c>
      <c r="Y142" s="94">
        <f t="shared" si="145"/>
        <v>2736.1000000000004</v>
      </c>
      <c r="Z142" s="94">
        <f t="shared" si="145"/>
        <v>2736.1000000000004</v>
      </c>
      <c r="AA142" s="94">
        <f t="shared" si="145"/>
        <v>2736.1000000000004</v>
      </c>
      <c r="AB142" s="94">
        <f t="shared" si="145"/>
        <v>2736.1000000000004</v>
      </c>
      <c r="AC142" s="95">
        <f>SUM(AC140:AC141)</f>
        <v>95763.499999999985</v>
      </c>
      <c r="AD142" s="6" t="s">
        <v>12</v>
      </c>
    </row>
    <row r="143" spans="1:32" x14ac:dyDescent="0.25">
      <c r="A143" s="307" t="s">
        <v>155</v>
      </c>
      <c r="B143" s="308"/>
      <c r="C143" s="239"/>
      <c r="D143" s="63"/>
      <c r="E143" s="63"/>
      <c r="F143" s="63"/>
      <c r="G143" s="63"/>
      <c r="H143" s="63"/>
      <c r="I143" s="63"/>
      <c r="J143" s="64"/>
      <c r="K143" s="64"/>
      <c r="L143" s="64"/>
      <c r="M143" s="64"/>
      <c r="N143" s="64"/>
      <c r="O143" s="64"/>
      <c r="P143" s="64"/>
      <c r="Q143" s="64"/>
      <c r="R143" s="64"/>
      <c r="S143" s="64"/>
      <c r="T143" s="64"/>
      <c r="U143" s="64"/>
      <c r="V143" s="64"/>
      <c r="W143" s="64"/>
      <c r="X143" s="64"/>
      <c r="Y143" s="64"/>
      <c r="Z143" s="64"/>
      <c r="AA143" s="64"/>
      <c r="AB143" s="64"/>
      <c r="AC143" s="64"/>
      <c r="AD143" s="64"/>
    </row>
    <row r="144" spans="1:32" x14ac:dyDescent="0.25">
      <c r="A144" s="59" t="s">
        <v>171</v>
      </c>
      <c r="B144" s="59"/>
      <c r="C144" s="59"/>
      <c r="D144" s="67">
        <f>'Carbon avoided'!E12</f>
        <v>575.59040000000005</v>
      </c>
      <c r="E144" s="67">
        <f>'Carbon avoided'!F12</f>
        <v>589.98016000000007</v>
      </c>
      <c r="F144" s="67">
        <f>'Carbon avoided'!G12</f>
        <v>604.72966399999996</v>
      </c>
      <c r="G144" s="67">
        <f>'Carbon avoided'!H12</f>
        <v>619.84790559999999</v>
      </c>
      <c r="H144" s="67">
        <f>'Carbon avoided'!I12</f>
        <v>635.34410323999998</v>
      </c>
      <c r="I144" s="67">
        <f>'Carbon avoided'!J12</f>
        <v>651.22770582099986</v>
      </c>
      <c r="J144" s="67">
        <f>'Carbon avoided'!K12</f>
        <v>667.5083984665248</v>
      </c>
      <c r="K144" s="67">
        <f>'Carbon avoided'!L12</f>
        <v>684.19610842818781</v>
      </c>
      <c r="L144" s="67">
        <f>'Carbon avoided'!M12</f>
        <v>701.30101113889248</v>
      </c>
      <c r="M144" s="67">
        <f>'Carbon avoided'!N12</f>
        <v>718.83353641736471</v>
      </c>
      <c r="N144" s="67">
        <f>'Carbon avoided'!O12</f>
        <v>736.80437482779871</v>
      </c>
      <c r="O144" s="67">
        <f>'Carbon avoided'!P12</f>
        <v>755.22448419849366</v>
      </c>
      <c r="P144" s="67">
        <f>'Carbon avoided'!Q12</f>
        <v>774.10509630345587</v>
      </c>
      <c r="Q144" s="67">
        <f>'Carbon avoided'!R12</f>
        <v>793.45772371104215</v>
      </c>
      <c r="R144" s="67">
        <f>'Carbon avoided'!S12</f>
        <v>813.29416680381814</v>
      </c>
      <c r="S144" s="67">
        <f>'Carbon avoided'!T12</f>
        <v>833.62652097391356</v>
      </c>
      <c r="T144" s="67">
        <f>'Carbon avoided'!U12</f>
        <v>854.46718399826136</v>
      </c>
      <c r="U144" s="67">
        <f>'Carbon avoided'!V12</f>
        <v>875.82886359821782</v>
      </c>
      <c r="V144" s="67">
        <f>'Carbon avoided'!W12</f>
        <v>897.72458518817314</v>
      </c>
      <c r="W144" s="67">
        <f>'Carbon avoided'!X12</f>
        <v>920.16769981787741</v>
      </c>
      <c r="X144" s="67">
        <f>'Carbon avoided'!Y12</f>
        <v>943.17189231332429</v>
      </c>
      <c r="Y144" s="67">
        <f>'Carbon avoided'!Z12</f>
        <v>966.75118962115732</v>
      </c>
      <c r="Z144" s="67">
        <f>'Carbon avoided'!AA12</f>
        <v>990.9199693616863</v>
      </c>
      <c r="AA144" s="67">
        <f>'Carbon avoided'!AB12</f>
        <v>1015.6929685957284</v>
      </c>
      <c r="AB144" s="67">
        <f>'Carbon avoided'!AC12</f>
        <v>1041.0852928106215</v>
      </c>
      <c r="AC144" s="66">
        <f>SUM(C144:AB144)</f>
        <v>19660.88100523554</v>
      </c>
      <c r="AD144" s="3" t="s">
        <v>12</v>
      </c>
    </row>
    <row r="145" spans="1:30" ht="12.75" customHeight="1" x14ac:dyDescent="0.25">
      <c r="A145" s="59" t="s">
        <v>175</v>
      </c>
      <c r="B145" s="59"/>
      <c r="C145" s="59"/>
      <c r="D145" s="67">
        <f>Interventions!$I$10</f>
        <v>3240</v>
      </c>
      <c r="E145" s="67">
        <f>Interventions!$I$10</f>
        <v>3240</v>
      </c>
      <c r="F145" s="67">
        <f>Interventions!$I$10</f>
        <v>3240</v>
      </c>
      <c r="G145" s="67">
        <f>Interventions!$I$10</f>
        <v>3240</v>
      </c>
      <c r="H145" s="67">
        <f>Interventions!$I$10</f>
        <v>3240</v>
      </c>
      <c r="I145" s="67">
        <f>Interventions!$I$10</f>
        <v>3240</v>
      </c>
      <c r="J145" s="67">
        <f>Interventions!$I$10</f>
        <v>3240</v>
      </c>
      <c r="K145" s="67">
        <f>Interventions!$I$10</f>
        <v>3240</v>
      </c>
      <c r="L145" s="67">
        <f>Interventions!$I$10</f>
        <v>3240</v>
      </c>
      <c r="M145" s="67">
        <f>Interventions!$I$10</f>
        <v>3240</v>
      </c>
      <c r="N145" s="67">
        <f>Interventions!$I$10</f>
        <v>3240</v>
      </c>
      <c r="O145" s="67">
        <f>Interventions!$I$10</f>
        <v>3240</v>
      </c>
      <c r="P145" s="67">
        <f>Interventions!$I$10</f>
        <v>3240</v>
      </c>
      <c r="Q145" s="67">
        <f>Interventions!$I$10</f>
        <v>3240</v>
      </c>
      <c r="R145" s="67">
        <f>Interventions!$I$10</f>
        <v>3240</v>
      </c>
      <c r="S145" s="67">
        <f>Interventions!$I$10</f>
        <v>3240</v>
      </c>
      <c r="T145" s="67">
        <f>Interventions!$I$10</f>
        <v>3240</v>
      </c>
      <c r="U145" s="67">
        <f>Interventions!$I$10</f>
        <v>3240</v>
      </c>
      <c r="V145" s="67">
        <f>Interventions!$I$10</f>
        <v>3240</v>
      </c>
      <c r="W145" s="67">
        <f>Interventions!$I$10</f>
        <v>3240</v>
      </c>
      <c r="X145" s="67">
        <f>Interventions!$I$10</f>
        <v>3240</v>
      </c>
      <c r="Y145" s="67">
        <f>Interventions!$I$10</f>
        <v>3240</v>
      </c>
      <c r="Z145" s="67">
        <f>Interventions!$I$10</f>
        <v>3240</v>
      </c>
      <c r="AA145" s="67">
        <f>Interventions!$I$10</f>
        <v>3240</v>
      </c>
      <c r="AB145" s="67">
        <f>Interventions!$I$10</f>
        <v>3240</v>
      </c>
      <c r="AC145" s="66">
        <f>SUM(C145:AB145)</f>
        <v>81000</v>
      </c>
      <c r="AD145" s="3" t="s">
        <v>12</v>
      </c>
    </row>
    <row r="146" spans="1:30" x14ac:dyDescent="0.25">
      <c r="A146" s="309" t="s">
        <v>80</v>
      </c>
      <c r="B146" s="310"/>
      <c r="C146" s="68">
        <f t="shared" ref="C146:R146" si="146">SUM(C144:C145)</f>
        <v>0</v>
      </c>
      <c r="D146" s="68">
        <f t="shared" si="146"/>
        <v>3815.5904</v>
      </c>
      <c r="E146" s="68">
        <f t="shared" si="146"/>
        <v>3829.9801600000001</v>
      </c>
      <c r="F146" s="68">
        <f t="shared" si="146"/>
        <v>3844.729664</v>
      </c>
      <c r="G146" s="68">
        <f t="shared" si="146"/>
        <v>3859.8479056000001</v>
      </c>
      <c r="H146" s="68">
        <f t="shared" si="146"/>
        <v>3875.3441032400001</v>
      </c>
      <c r="I146" s="68">
        <f t="shared" si="146"/>
        <v>3891.2277058209997</v>
      </c>
      <c r="J146" s="68">
        <f t="shared" si="146"/>
        <v>3907.5083984665248</v>
      </c>
      <c r="K146" s="68">
        <f t="shared" si="146"/>
        <v>3924.1961084281879</v>
      </c>
      <c r="L146" s="68">
        <f t="shared" si="146"/>
        <v>3941.3010111388926</v>
      </c>
      <c r="M146" s="68">
        <f t="shared" si="146"/>
        <v>3958.8335364173645</v>
      </c>
      <c r="N146" s="68">
        <f t="shared" si="146"/>
        <v>3976.8043748277987</v>
      </c>
      <c r="O146" s="68">
        <f t="shared" si="146"/>
        <v>3995.2244841984939</v>
      </c>
      <c r="P146" s="68">
        <f t="shared" si="146"/>
        <v>4014.1050963034559</v>
      </c>
      <c r="Q146" s="68">
        <f t="shared" si="146"/>
        <v>4033.457723711042</v>
      </c>
      <c r="R146" s="68">
        <f t="shared" si="146"/>
        <v>4053.2941668038184</v>
      </c>
      <c r="S146" s="68">
        <f t="shared" ref="S146:W146" si="147">SUM(S144:S145)</f>
        <v>4073.6265209739136</v>
      </c>
      <c r="T146" s="68">
        <f t="shared" si="147"/>
        <v>4094.4671839982611</v>
      </c>
      <c r="U146" s="68">
        <f t="shared" si="147"/>
        <v>4115.828863598218</v>
      </c>
      <c r="V146" s="68">
        <f t="shared" si="147"/>
        <v>4137.7245851881735</v>
      </c>
      <c r="W146" s="68">
        <f t="shared" si="147"/>
        <v>4160.1676998178773</v>
      </c>
      <c r="X146" s="68">
        <f t="shared" ref="X146:AB146" si="148">SUM(X144:X145)</f>
        <v>4183.171892313324</v>
      </c>
      <c r="Y146" s="68">
        <f t="shared" si="148"/>
        <v>4206.7511896211572</v>
      </c>
      <c r="Z146" s="68">
        <f t="shared" si="148"/>
        <v>4230.9199693616865</v>
      </c>
      <c r="AA146" s="68">
        <f t="shared" si="148"/>
        <v>4255.6929685957284</v>
      </c>
      <c r="AB146" s="68">
        <f t="shared" si="148"/>
        <v>4281.0852928106215</v>
      </c>
      <c r="AC146" s="68">
        <f>SUM(AC144:AC145)</f>
        <v>100660.88100523554</v>
      </c>
      <c r="AD146" s="6" t="s">
        <v>12</v>
      </c>
    </row>
    <row r="147" spans="1:30" x14ac:dyDescent="0.25">
      <c r="A147" s="307" t="s">
        <v>150</v>
      </c>
      <c r="B147" s="308"/>
      <c r="C147" s="239"/>
      <c r="D147" s="63"/>
      <c r="E147" s="63"/>
      <c r="F147" s="63"/>
      <c r="G147" s="63"/>
      <c r="H147" s="63"/>
      <c r="I147" s="63"/>
      <c r="J147" s="64"/>
      <c r="K147" s="64"/>
      <c r="L147" s="64"/>
      <c r="M147" s="64"/>
      <c r="N147" s="64"/>
      <c r="O147" s="64"/>
      <c r="P147" s="64"/>
      <c r="Q147" s="64"/>
      <c r="R147" s="64"/>
      <c r="S147" s="64"/>
      <c r="T147" s="64"/>
      <c r="U147" s="64"/>
      <c r="V147" s="64"/>
      <c r="W147" s="64"/>
      <c r="X147" s="64"/>
      <c r="Y147" s="64"/>
      <c r="Z147" s="64"/>
      <c r="AA147" s="64"/>
      <c r="AB147" s="64"/>
      <c r="AC147" s="64"/>
      <c r="AD147" s="64"/>
    </row>
    <row r="148" spans="1:30" x14ac:dyDescent="0.25">
      <c r="A148" s="226"/>
      <c r="B148" s="59"/>
      <c r="C148" s="59"/>
      <c r="D148" s="67"/>
      <c r="E148" s="67"/>
      <c r="F148" s="67"/>
      <c r="G148" s="67"/>
      <c r="H148" s="67"/>
      <c r="I148" s="67"/>
      <c r="J148" s="67"/>
      <c r="K148" s="67"/>
      <c r="L148" s="67"/>
      <c r="M148" s="67"/>
      <c r="N148" s="67"/>
      <c r="O148" s="67"/>
      <c r="P148" s="67"/>
      <c r="Q148" s="67"/>
      <c r="R148" s="67"/>
      <c r="S148" s="67"/>
      <c r="T148" s="67"/>
      <c r="U148" s="67"/>
      <c r="V148" s="67"/>
      <c r="W148" s="67"/>
      <c r="X148" s="67"/>
      <c r="Y148" s="67"/>
      <c r="Z148" s="67"/>
      <c r="AA148" s="67"/>
      <c r="AB148" s="67"/>
      <c r="AC148" s="66"/>
      <c r="AD148" s="3"/>
    </row>
    <row r="149" spans="1:30" x14ac:dyDescent="0.25">
      <c r="A149" s="240"/>
      <c r="B149" s="59"/>
      <c r="C149" s="59"/>
      <c r="D149" s="67"/>
      <c r="E149" s="67"/>
      <c r="F149" s="67"/>
      <c r="G149" s="67"/>
      <c r="H149" s="67"/>
      <c r="I149" s="67"/>
      <c r="J149" s="67"/>
      <c r="K149" s="67"/>
      <c r="L149" s="67"/>
      <c r="M149" s="67"/>
      <c r="N149" s="67"/>
      <c r="O149" s="67"/>
      <c r="P149" s="67"/>
      <c r="Q149" s="67"/>
      <c r="R149" s="67"/>
      <c r="S149" s="67"/>
      <c r="T149" s="67"/>
      <c r="U149" s="67"/>
      <c r="V149" s="67"/>
      <c r="W149" s="67"/>
      <c r="X149" s="67"/>
      <c r="Y149" s="67"/>
      <c r="Z149" s="67"/>
      <c r="AA149" s="67"/>
      <c r="AB149" s="67"/>
      <c r="AC149" s="66"/>
      <c r="AD149" s="3"/>
    </row>
    <row r="150" spans="1:30" ht="13.5" customHeight="1" x14ac:dyDescent="0.25">
      <c r="A150" s="240"/>
      <c r="B150" s="59"/>
      <c r="C150" s="59"/>
      <c r="D150" s="67"/>
      <c r="E150" s="67"/>
      <c r="F150" s="67"/>
      <c r="G150" s="67"/>
      <c r="H150" s="67"/>
      <c r="I150" s="67"/>
      <c r="J150" s="67"/>
      <c r="K150" s="67"/>
      <c r="L150" s="67"/>
      <c r="M150" s="67"/>
      <c r="N150" s="67"/>
      <c r="O150" s="67"/>
      <c r="P150" s="67"/>
      <c r="Q150" s="67"/>
      <c r="R150" s="67"/>
      <c r="S150" s="67"/>
      <c r="T150" s="67"/>
      <c r="U150" s="67"/>
      <c r="V150" s="67"/>
      <c r="W150" s="67"/>
      <c r="X150" s="67"/>
      <c r="Y150" s="67"/>
      <c r="Z150" s="67"/>
      <c r="AA150" s="67"/>
      <c r="AB150" s="67"/>
      <c r="AC150" s="66"/>
      <c r="AD150" s="3"/>
    </row>
    <row r="151" spans="1:30" x14ac:dyDescent="0.25">
      <c r="A151" s="59" t="s">
        <v>36</v>
      </c>
      <c r="B151" s="59" t="s">
        <v>36</v>
      </c>
      <c r="C151" s="59"/>
      <c r="D151" s="67">
        <f>Interventions!$E$14</f>
        <v>3243.5360000000001</v>
      </c>
      <c r="E151" s="67">
        <f>Interventions!$E$14</f>
        <v>3243.5360000000001</v>
      </c>
      <c r="F151" s="67">
        <f>Interventions!$E$14</f>
        <v>3243.5360000000001</v>
      </c>
      <c r="G151" s="67">
        <f>Interventions!$E$14</f>
        <v>3243.5360000000001</v>
      </c>
      <c r="H151" s="67">
        <f>Interventions!$E$14</f>
        <v>3243.5360000000001</v>
      </c>
      <c r="I151" s="67">
        <f>Interventions!$E$14</f>
        <v>3243.5360000000001</v>
      </c>
      <c r="J151" s="67">
        <f>Interventions!$E$14</f>
        <v>3243.5360000000001</v>
      </c>
      <c r="K151" s="67">
        <f>Interventions!$E$14</f>
        <v>3243.5360000000001</v>
      </c>
      <c r="L151" s="67">
        <f>Interventions!$E$14</f>
        <v>3243.5360000000001</v>
      </c>
      <c r="M151" s="67">
        <f>Interventions!$E$14</f>
        <v>3243.5360000000001</v>
      </c>
      <c r="N151" s="67">
        <f>Interventions!$E$14</f>
        <v>3243.5360000000001</v>
      </c>
      <c r="O151" s="67">
        <f>Interventions!$E$14</f>
        <v>3243.5360000000001</v>
      </c>
      <c r="P151" s="67">
        <f>Interventions!$E$14</f>
        <v>3243.5360000000001</v>
      </c>
      <c r="Q151" s="67">
        <f>Interventions!$E$14</f>
        <v>3243.5360000000001</v>
      </c>
      <c r="R151" s="67">
        <f>Interventions!$E$14</f>
        <v>3243.5360000000001</v>
      </c>
      <c r="S151" s="67">
        <f>Interventions!$E$14</f>
        <v>3243.5360000000001</v>
      </c>
      <c r="T151" s="67">
        <f>Interventions!$E$14</f>
        <v>3243.5360000000001</v>
      </c>
      <c r="U151" s="67">
        <f>Interventions!$E$14</f>
        <v>3243.5360000000001</v>
      </c>
      <c r="V151" s="67">
        <f>Interventions!$E$14</f>
        <v>3243.5360000000001</v>
      </c>
      <c r="W151" s="67">
        <f>Interventions!$E$14</f>
        <v>3243.5360000000001</v>
      </c>
      <c r="X151" s="67">
        <f>Interventions!$E$14</f>
        <v>3243.5360000000001</v>
      </c>
      <c r="Y151" s="67">
        <f>Interventions!$E$14</f>
        <v>3243.5360000000001</v>
      </c>
      <c r="Z151" s="67">
        <f>Interventions!$E$14</f>
        <v>3243.5360000000001</v>
      </c>
      <c r="AA151" s="67">
        <f>Interventions!$E$14</f>
        <v>3243.5360000000001</v>
      </c>
      <c r="AB151" s="67">
        <f>Interventions!$E$14</f>
        <v>3243.5360000000001</v>
      </c>
      <c r="AC151" s="66">
        <f>SUM(D151:AB151)</f>
        <v>81088.399999999965</v>
      </c>
      <c r="AD151" s="3" t="s">
        <v>12</v>
      </c>
    </row>
    <row r="152" spans="1:30" x14ac:dyDescent="0.25">
      <c r="A152" s="309" t="s">
        <v>80</v>
      </c>
      <c r="B152" s="310"/>
      <c r="C152" s="81">
        <f>SUM(C148:C148)</f>
        <v>0</v>
      </c>
      <c r="D152" s="81">
        <f>SUM(D148:D151)</f>
        <v>3243.5360000000001</v>
      </c>
      <c r="E152" s="81">
        <f t="shared" ref="E152:AC152" si="149">SUM(E148:E151)</f>
        <v>3243.5360000000001</v>
      </c>
      <c r="F152" s="81">
        <f t="shared" si="149"/>
        <v>3243.5360000000001</v>
      </c>
      <c r="G152" s="81">
        <f t="shared" si="149"/>
        <v>3243.5360000000001</v>
      </c>
      <c r="H152" s="81">
        <f t="shared" si="149"/>
        <v>3243.5360000000001</v>
      </c>
      <c r="I152" s="81">
        <f t="shared" si="149"/>
        <v>3243.5360000000001</v>
      </c>
      <c r="J152" s="81">
        <f t="shared" si="149"/>
        <v>3243.5360000000001</v>
      </c>
      <c r="K152" s="81">
        <f t="shared" si="149"/>
        <v>3243.5360000000001</v>
      </c>
      <c r="L152" s="81">
        <f t="shared" si="149"/>
        <v>3243.5360000000001</v>
      </c>
      <c r="M152" s="81">
        <f t="shared" si="149"/>
        <v>3243.5360000000001</v>
      </c>
      <c r="N152" s="81">
        <f t="shared" si="149"/>
        <v>3243.5360000000001</v>
      </c>
      <c r="O152" s="81">
        <f t="shared" si="149"/>
        <v>3243.5360000000001</v>
      </c>
      <c r="P152" s="81">
        <f t="shared" si="149"/>
        <v>3243.5360000000001</v>
      </c>
      <c r="Q152" s="81">
        <f t="shared" si="149"/>
        <v>3243.5360000000001</v>
      </c>
      <c r="R152" s="81">
        <f t="shared" si="149"/>
        <v>3243.5360000000001</v>
      </c>
      <c r="S152" s="81">
        <f t="shared" si="149"/>
        <v>3243.5360000000001</v>
      </c>
      <c r="T152" s="81">
        <f t="shared" si="149"/>
        <v>3243.5360000000001</v>
      </c>
      <c r="U152" s="81">
        <f t="shared" si="149"/>
        <v>3243.5360000000001</v>
      </c>
      <c r="V152" s="81">
        <f t="shared" si="149"/>
        <v>3243.5360000000001</v>
      </c>
      <c r="W152" s="81">
        <f t="shared" si="149"/>
        <v>3243.5360000000001</v>
      </c>
      <c r="X152" s="81">
        <f t="shared" si="149"/>
        <v>3243.5360000000001</v>
      </c>
      <c r="Y152" s="81">
        <f t="shared" si="149"/>
        <v>3243.5360000000001</v>
      </c>
      <c r="Z152" s="81">
        <f t="shared" si="149"/>
        <v>3243.5360000000001</v>
      </c>
      <c r="AA152" s="81">
        <f t="shared" si="149"/>
        <v>3243.5360000000001</v>
      </c>
      <c r="AB152" s="81">
        <f t="shared" si="149"/>
        <v>3243.5360000000001</v>
      </c>
      <c r="AC152" s="81">
        <f t="shared" si="149"/>
        <v>81088.399999999965</v>
      </c>
      <c r="AD152" s="6" t="s">
        <v>12</v>
      </c>
    </row>
    <row r="153" spans="1:30" x14ac:dyDescent="0.25">
      <c r="A153" s="132"/>
      <c r="B153" s="133" t="s">
        <v>81</v>
      </c>
      <c r="C153" s="134">
        <f t="shared" ref="C153:R153" si="150">(C152+C146)-C142</f>
        <v>-27361</v>
      </c>
      <c r="D153" s="134">
        <f t="shared" si="150"/>
        <v>4323.0263999999997</v>
      </c>
      <c r="E153" s="134">
        <f t="shared" si="150"/>
        <v>4337.4161599999998</v>
      </c>
      <c r="F153" s="134">
        <f t="shared" si="150"/>
        <v>4352.1656640000001</v>
      </c>
      <c r="G153" s="134">
        <f t="shared" si="150"/>
        <v>4367.2839055999993</v>
      </c>
      <c r="H153" s="134">
        <f t="shared" si="150"/>
        <v>4382.7801032400002</v>
      </c>
      <c r="I153" s="134">
        <f t="shared" si="150"/>
        <v>4398.6637058209999</v>
      </c>
      <c r="J153" s="134">
        <f t="shared" si="150"/>
        <v>4414.9443984665249</v>
      </c>
      <c r="K153" s="134">
        <f t="shared" si="150"/>
        <v>4431.6321084281881</v>
      </c>
      <c r="L153" s="134">
        <f t="shared" si="150"/>
        <v>4448.7370111388918</v>
      </c>
      <c r="M153" s="134">
        <f t="shared" si="150"/>
        <v>4466.2695364173642</v>
      </c>
      <c r="N153" s="134">
        <f t="shared" si="150"/>
        <v>4484.2403748277984</v>
      </c>
      <c r="O153" s="134">
        <f t="shared" si="150"/>
        <v>4502.6604841984936</v>
      </c>
      <c r="P153" s="134">
        <f t="shared" si="150"/>
        <v>4521.5410963034556</v>
      </c>
      <c r="Q153" s="134">
        <f t="shared" si="150"/>
        <v>4540.8937237110422</v>
      </c>
      <c r="R153" s="134">
        <f t="shared" si="150"/>
        <v>4560.7301668038181</v>
      </c>
      <c r="S153" s="134">
        <f t="shared" ref="S153:W153" si="151">(S152+S146)-S142</f>
        <v>4581.0625209739137</v>
      </c>
      <c r="T153" s="134">
        <f t="shared" si="151"/>
        <v>4601.9031839982608</v>
      </c>
      <c r="U153" s="134">
        <f t="shared" si="151"/>
        <v>4623.2648635982177</v>
      </c>
      <c r="V153" s="134">
        <f t="shared" si="151"/>
        <v>4645.1605851881732</v>
      </c>
      <c r="W153" s="134">
        <f t="shared" si="151"/>
        <v>4667.603699817877</v>
      </c>
      <c r="X153" s="134">
        <f t="shared" ref="X153:AB153" si="152">(X152+X146)-X142</f>
        <v>4690.6078923133236</v>
      </c>
      <c r="Y153" s="134">
        <f t="shared" si="152"/>
        <v>4714.1871896211569</v>
      </c>
      <c r="Z153" s="134">
        <f t="shared" si="152"/>
        <v>4738.3559693616862</v>
      </c>
      <c r="AA153" s="134">
        <f t="shared" si="152"/>
        <v>4763.1289685957281</v>
      </c>
      <c r="AB153" s="134">
        <f t="shared" si="152"/>
        <v>4788.5212928106212</v>
      </c>
      <c r="AC153" s="134">
        <f>(AC152+AC146)-AC142</f>
        <v>85985.78100523552</v>
      </c>
      <c r="AD153" s="135" t="s">
        <v>12</v>
      </c>
    </row>
    <row r="154" spans="1:30" x14ac:dyDescent="0.25">
      <c r="A154" s="132"/>
      <c r="B154" s="133" t="s">
        <v>82</v>
      </c>
      <c r="C154" s="134">
        <f t="shared" ref="C154:R154" si="153">(C152)-C142</f>
        <v>-27361</v>
      </c>
      <c r="D154" s="134">
        <f t="shared" si="153"/>
        <v>507.43599999999969</v>
      </c>
      <c r="E154" s="134">
        <f t="shared" si="153"/>
        <v>507.43599999999969</v>
      </c>
      <c r="F154" s="134">
        <f t="shared" si="153"/>
        <v>507.43599999999969</v>
      </c>
      <c r="G154" s="134">
        <f t="shared" si="153"/>
        <v>507.43599999999969</v>
      </c>
      <c r="H154" s="134">
        <f t="shared" si="153"/>
        <v>507.43599999999969</v>
      </c>
      <c r="I154" s="134">
        <f t="shared" si="153"/>
        <v>507.43599999999969</v>
      </c>
      <c r="J154" s="134">
        <f t="shared" si="153"/>
        <v>507.43599999999969</v>
      </c>
      <c r="K154" s="134">
        <f t="shared" si="153"/>
        <v>507.43599999999969</v>
      </c>
      <c r="L154" s="134">
        <f t="shared" si="153"/>
        <v>507.43599999999969</v>
      </c>
      <c r="M154" s="134">
        <f t="shared" si="153"/>
        <v>507.43599999999969</v>
      </c>
      <c r="N154" s="134">
        <f t="shared" si="153"/>
        <v>507.43599999999969</v>
      </c>
      <c r="O154" s="134">
        <f t="shared" si="153"/>
        <v>507.43599999999969</v>
      </c>
      <c r="P154" s="134">
        <f t="shared" si="153"/>
        <v>507.43599999999969</v>
      </c>
      <c r="Q154" s="134">
        <f t="shared" si="153"/>
        <v>507.43599999999969</v>
      </c>
      <c r="R154" s="134">
        <f t="shared" si="153"/>
        <v>507.43599999999969</v>
      </c>
      <c r="S154" s="134">
        <f t="shared" ref="S154:W154" si="154">(S152)-S142</f>
        <v>507.43599999999969</v>
      </c>
      <c r="T154" s="134">
        <f t="shared" si="154"/>
        <v>507.43599999999969</v>
      </c>
      <c r="U154" s="134">
        <f t="shared" si="154"/>
        <v>507.43599999999969</v>
      </c>
      <c r="V154" s="134">
        <f t="shared" si="154"/>
        <v>507.43599999999969</v>
      </c>
      <c r="W154" s="134">
        <f t="shared" si="154"/>
        <v>507.43599999999969</v>
      </c>
      <c r="X154" s="134">
        <f t="shared" ref="X154:AB154" si="155">(X152)-X142</f>
        <v>507.43599999999969</v>
      </c>
      <c r="Y154" s="134">
        <f t="shared" si="155"/>
        <v>507.43599999999969</v>
      </c>
      <c r="Z154" s="134">
        <f t="shared" si="155"/>
        <v>507.43599999999969</v>
      </c>
      <c r="AA154" s="134">
        <f t="shared" si="155"/>
        <v>507.43599999999969</v>
      </c>
      <c r="AB154" s="134">
        <f t="shared" si="155"/>
        <v>507.43599999999969</v>
      </c>
      <c r="AC154" s="134">
        <f>(AC152)-AC142</f>
        <v>-14675.10000000002</v>
      </c>
      <c r="AD154" s="135" t="s">
        <v>12</v>
      </c>
    </row>
    <row r="155" spans="1:30" ht="13.5" customHeight="1" x14ac:dyDescent="0.25">
      <c r="A155" s="69" t="s">
        <v>83</v>
      </c>
      <c r="B155" s="70">
        <f>XIRR(C154:AB154, C$38:AB$38, 0.1)</f>
        <v>-5.2049860358238234E-2</v>
      </c>
      <c r="D155" s="82"/>
      <c r="E155" s="71"/>
      <c r="F155" s="71"/>
      <c r="G155" s="71"/>
      <c r="H155" s="71"/>
      <c r="I155" s="71"/>
      <c r="J155" s="72"/>
    </row>
    <row r="156" spans="1:30" ht="13.5" customHeight="1" x14ac:dyDescent="0.25">
      <c r="A156" s="96" t="s">
        <v>85</v>
      </c>
      <c r="B156" s="73">
        <f>XIRR(C153:AB153, C$38:AB$38, 0.1)</f>
        <v>0.1571242392063141</v>
      </c>
      <c r="D156" s="82"/>
      <c r="E156" s="71"/>
      <c r="F156" s="71"/>
      <c r="G156" s="71"/>
      <c r="H156" s="71"/>
      <c r="I156" s="71"/>
      <c r="J156" s="72"/>
    </row>
    <row r="157" spans="1:30" x14ac:dyDescent="0.25">
      <c r="A157" s="97" t="s">
        <v>86</v>
      </c>
      <c r="B157" s="84">
        <f>XNPV(A$133,C152:AB152,C$137:AB$137)/XNPV(A$133,C142:AB142,C$137:AB$137)</f>
        <v>0.7227165379084971</v>
      </c>
      <c r="E157" s="85"/>
      <c r="F157" s="85"/>
      <c r="G157" s="85"/>
      <c r="H157" s="85"/>
      <c r="I157" s="85"/>
    </row>
    <row r="158" spans="1:30" x14ac:dyDescent="0.25">
      <c r="A158" s="96" t="s">
        <v>87</v>
      </c>
      <c r="B158" s="86">
        <f>(XNPV(A$133,C152:AB152,C$137:AB$137)+XNPV(A$133,C146:AB146,C$137:AB$137))/XNPV(A$133,C142:AB142,C$137:AB$137)</f>
        <v>1.611324949843183</v>
      </c>
      <c r="E158" s="85"/>
      <c r="F158" s="85"/>
      <c r="G158" s="85"/>
      <c r="H158" s="85"/>
      <c r="I158" s="85"/>
    </row>
    <row r="159" spans="1:30" x14ac:dyDescent="0.25">
      <c r="A159" s="98" t="s">
        <v>84</v>
      </c>
      <c r="B159" s="74">
        <f>XNPV(A$133,C154:AB154,C$137:AB$137)</f>
        <v>-19435.815971935597</v>
      </c>
      <c r="E159" s="85"/>
      <c r="F159" s="85"/>
      <c r="G159" s="85"/>
      <c r="H159" s="85"/>
      <c r="I159" s="85"/>
    </row>
    <row r="160" spans="1:30" x14ac:dyDescent="0.25">
      <c r="A160" s="96" t="s">
        <v>88</v>
      </c>
      <c r="B160" s="76">
        <f>XNPV(A$133,C153:AB153,C$137:AB$137)</f>
        <v>42850.010363344183</v>
      </c>
      <c r="E160" s="85"/>
      <c r="F160" s="85"/>
      <c r="G160" s="85"/>
      <c r="H160" s="85"/>
      <c r="I160" s="85"/>
    </row>
    <row r="161" spans="1:28" x14ac:dyDescent="0.25">
      <c r="A161" s="83" t="s">
        <v>76</v>
      </c>
      <c r="B161" s="74" t="s">
        <v>127</v>
      </c>
      <c r="C161" s="75">
        <f>C152/C142</f>
        <v>0</v>
      </c>
      <c r="D161" s="87">
        <f>SUM($C$152:D152)/SUM($C$142:D142)</f>
        <v>0.1077690541613644</v>
      </c>
      <c r="E161" s="87">
        <f>SUM($C$152:E152)/SUM($C$142:E142)</f>
        <v>0.19757659929583474</v>
      </c>
      <c r="F161" s="87">
        <f>SUM($C$152:F152)/SUM($C$142:F142)</f>
        <v>0.27356759902500194</v>
      </c>
      <c r="G161" s="87">
        <f>SUM($C$152:G152)/SUM($C$142:G142)</f>
        <v>0.33870274165000241</v>
      </c>
      <c r="H161" s="87">
        <f>SUM($C$152:H152)/SUM($C$142:H142)</f>
        <v>0.39515319859166947</v>
      </c>
      <c r="I161" s="87">
        <f>SUM($C$152:I152)/SUM($C$142:I142)</f>
        <v>0.44454734841562821</v>
      </c>
      <c r="J161" s="87">
        <f>SUM($C$152:J152)/SUM($C$142:J142)</f>
        <v>0.48813042178970939</v>
      </c>
      <c r="K161" s="87">
        <f>SUM($C$152:K152)/SUM($C$142:K142)</f>
        <v>0.5268709314555593</v>
      </c>
      <c r="L161" s="87">
        <f>SUM($C$152:L152)/SUM($C$142:L142)</f>
        <v>0.56153349273553033</v>
      </c>
      <c r="M161" s="87">
        <f>SUM($C$152:M152)/SUM($C$142:M142)</f>
        <v>0.59272979788750424</v>
      </c>
      <c r="N161" s="87">
        <f>SUM($C$152:N152)/SUM($C$142:N142)</f>
        <v>0.62095502635833788</v>
      </c>
      <c r="O161" s="87">
        <f>SUM($C$152:O152)/SUM($C$142:O142)</f>
        <v>0.64661432496818649</v>
      </c>
      <c r="P161" s="87">
        <f>SUM($C$152:P152)/SUM($C$142:P142)</f>
        <v>0.67004238022065699</v>
      </c>
      <c r="Q161" s="87">
        <f>SUM($C$152:Q152)/SUM($C$142:Q142)</f>
        <v>0.69151809753542171</v>
      </c>
      <c r="R161" s="87">
        <f>SUM($C$152:R152)/SUM($C$142:R142)</f>
        <v>0.71127575746500504</v>
      </c>
      <c r="S161" s="87">
        <f>SUM($C$152:S152)/SUM($C$142:S142)</f>
        <v>0.72951359740000521</v>
      </c>
      <c r="T161" s="87">
        <f>SUM($C$152:T152)/SUM($C$142:T142)</f>
        <v>0.74640048622870891</v>
      </c>
      <c r="U161" s="87">
        <f>SUM($C$152:U152)/SUM($C$142:U142)</f>
        <v>0.76208116871250531</v>
      </c>
      <c r="V161" s="87">
        <f>SUM($C$152:V152)/SUM($C$142:V142)</f>
        <v>0.77668042481810873</v>
      </c>
      <c r="W161" s="87">
        <f>SUM($C$152:W152)/SUM($C$142:W142)</f>
        <v>0.79030639718333873</v>
      </c>
      <c r="X161" s="87">
        <f>SUM($C$152:X152)/SUM($C$142:X142)</f>
        <v>0.80305327455726339</v>
      </c>
      <c r="Y161" s="87">
        <f>SUM($C$152:Y152)/SUM($C$142:Y142)</f>
        <v>0.81500347209531776</v>
      </c>
      <c r="Z161" s="87">
        <f>SUM($C$152:Z152)/SUM($C$142:Z142)</f>
        <v>0.82622941523712645</v>
      </c>
      <c r="AA161" s="87">
        <f>SUM($C$152:AA152)/SUM($C$142:AA142)</f>
        <v>0.83679500878235813</v>
      </c>
      <c r="AB161" s="87">
        <f>SUM($C$152:AB152)/SUM($C$142:AB142)</f>
        <v>0.84675685412500512</v>
      </c>
    </row>
    <row r="162" spans="1:28" x14ac:dyDescent="0.25">
      <c r="A162" s="96" t="s">
        <v>89</v>
      </c>
      <c r="B162" s="76">
        <f>IF(J162,$J$136-$C$136)</f>
        <v>7</v>
      </c>
      <c r="C162" s="75">
        <f>(C152+C146)/C142</f>
        <v>0</v>
      </c>
      <c r="D162" s="87">
        <f>(SUM($C$152:D152)+SUM($C$146:D146))/SUM($C$142:D142)</f>
        <v>0.23454506912626136</v>
      </c>
      <c r="E162" s="87">
        <f>(SUM($C$152:E152)+SUM($C$146:E146))/SUM($C$142:E142)</f>
        <v>0.43043756197994715</v>
      </c>
      <c r="F162" s="87">
        <f>(SUM($C$152:F152)+SUM($C$146:F146))/SUM($C$142:F142)</f>
        <v>0.59660741774507797</v>
      </c>
      <c r="G162" s="87">
        <f>(SUM($C$152:G152)+SUM($C$146:G146))/SUM($C$142:G142)</f>
        <v>0.73943339919698015</v>
      </c>
      <c r="H162" s="87">
        <f>(SUM($C$152:H152)+SUM($C$146:H146))/SUM($C$142:H142)</f>
        <v>0.86359349031687449</v>
      </c>
      <c r="I162" s="87">
        <f>(SUM($C$152:I152)+SUM($C$146:I146))/SUM($C$142:I142)</f>
        <v>0.97259639492939332</v>
      </c>
      <c r="J162" s="87">
        <f>(SUM($C$152:J152)+SUM($C$146:J146))/SUM($C$142:J142)</f>
        <v>1.0691254477095464</v>
      </c>
      <c r="K162" s="87">
        <f>(SUM($C$152:K152)+SUM($C$146:K146))/SUM($C$142:K142)</f>
        <v>1.1552678883072767</v>
      </c>
      <c r="L162" s="87">
        <f>(SUM($C$152:L152)+SUM($C$146:L146))/SUM($C$142:L142)</f>
        <v>1.2326717332333308</v>
      </c>
      <c r="M162" s="87">
        <f>(SUM($C$152:M152)+SUM($C$146:M146))/SUM($C$142:M142)</f>
        <v>1.302655586292752</v>
      </c>
      <c r="N162" s="87">
        <f>(SUM($C$152:N152)+SUM($C$146:N146))/SUM($C$142:N142)</f>
        <v>1.3662870747194873</v>
      </c>
      <c r="O162" s="87">
        <f>(SUM($C$152:O152)+SUM($C$146:O146))/SUM($C$142:O142)</f>
        <v>1.4244398937462128</v>
      </c>
      <c r="P162" s="87">
        <f>(SUM($C$152:P152)+SUM($C$146:P146))/SUM($C$142:P142)</f>
        <v>1.4778359700882047</v>
      </c>
      <c r="Q162" s="87">
        <f>(SUM($C$152:Q152)+SUM($C$146:Q146))/SUM($C$142:Q142)</f>
        <v>1.5270770846605386</v>
      </c>
      <c r="R162" s="87">
        <f>(SUM($C$152:R152)+SUM($C$146:R146))/SUM($C$142:R142)</f>
        <v>1.5726689059457855</v>
      </c>
      <c r="S162" s="87">
        <f>(SUM($C$152:S152)+SUM($C$146:S146))/SUM($C$142:S142)</f>
        <v>1.6150394773010786</v>
      </c>
      <c r="T162" s="87">
        <f>(SUM($C$152:T152)+SUM($C$146:T146))/SUM($C$142:T142)</f>
        <v>1.6545535960745528</v>
      </c>
      <c r="U162" s="87">
        <f>(SUM($C$152:U152)+SUM($C$146:U146))/SUM($C$142:U142)</f>
        <v>1.6915241115812256</v>
      </c>
      <c r="V162" s="87">
        <f>(SUM($C$152:V152)+SUM($C$146:V146))/SUM($C$142:V142)</f>
        <v>1.7262208856642809</v>
      </c>
      <c r="W162" s="87">
        <f>(SUM($C$152:W152)+SUM($C$146:W146))/SUM($C$142:W142)</f>
        <v>1.7588779612408538</v>
      </c>
      <c r="X162" s="87">
        <f>(SUM($C$152:X152)+SUM($C$146:X146))/SUM($C$142:X142)</f>
        <v>1.7896993434833228</v>
      </c>
      <c r="Y162" s="87">
        <f>(SUM($C$152:Y152)+SUM($C$146:Y146))/SUM($C$142:Y142)</f>
        <v>1.8188636971244132</v>
      </c>
      <c r="Z162" s="87">
        <f>(SUM($C$152:Z152)+SUM($C$146:Z146))/SUM($C$142:Z142)</f>
        <v>1.8465281898015546</v>
      </c>
      <c r="AA162" s="87">
        <f>(SUM($C$152:AA152)+SUM($C$146:AA146))/SUM($C$142:AA142)</f>
        <v>1.8728316572582357</v>
      </c>
      <c r="AB162" s="87">
        <f>(SUM($C$152:AB152)+SUM($C$146:AB146))/SUM($C$142:AB142)</f>
        <v>1.8978972260332529</v>
      </c>
    </row>
  </sheetData>
  <mergeCells count="40">
    <mergeCell ref="A14:B14"/>
    <mergeCell ref="A15:B15"/>
    <mergeCell ref="A20:B20"/>
    <mergeCell ref="A2:AD2"/>
    <mergeCell ref="A4:B4"/>
    <mergeCell ref="A7:B7"/>
    <mergeCell ref="A10:B10"/>
    <mergeCell ref="A11:B11"/>
    <mergeCell ref="A35:AD35"/>
    <mergeCell ref="A37:B37"/>
    <mergeCell ref="A40:B40"/>
    <mergeCell ref="A43:B43"/>
    <mergeCell ref="A44:B44"/>
    <mergeCell ref="A47:B47"/>
    <mergeCell ref="A48:B48"/>
    <mergeCell ref="A53:B53"/>
    <mergeCell ref="A68:AD68"/>
    <mergeCell ref="A70:B70"/>
    <mergeCell ref="A73:B73"/>
    <mergeCell ref="A76:B76"/>
    <mergeCell ref="A77:B77"/>
    <mergeCell ref="A80:B80"/>
    <mergeCell ref="A81:B81"/>
    <mergeCell ref="A86:B86"/>
    <mergeCell ref="A101:AD101"/>
    <mergeCell ref="A103:B103"/>
    <mergeCell ref="A106:B106"/>
    <mergeCell ref="A109:B109"/>
    <mergeCell ref="A110:B110"/>
    <mergeCell ref="A113:B113"/>
    <mergeCell ref="A114:B114"/>
    <mergeCell ref="A119:B119"/>
    <mergeCell ref="A134:AD134"/>
    <mergeCell ref="A147:B147"/>
    <mergeCell ref="A152:B152"/>
    <mergeCell ref="A136:B136"/>
    <mergeCell ref="A139:B139"/>
    <mergeCell ref="A142:B142"/>
    <mergeCell ref="A143:B143"/>
    <mergeCell ref="A146:B14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20"/>
  <sheetViews>
    <sheetView zoomScale="59" zoomScaleNormal="59" workbookViewId="0">
      <selection activeCell="E18" sqref="E18"/>
    </sheetView>
  </sheetViews>
  <sheetFormatPr defaultRowHeight="15" outlineLevelRow="1" x14ac:dyDescent="0.25"/>
  <cols>
    <col min="2" max="2" width="41.5703125" style="235" customWidth="1"/>
    <col min="3" max="3" width="33.5703125" style="235" customWidth="1"/>
    <col min="4" max="4" width="14.140625" style="229" customWidth="1"/>
    <col min="5" max="5" width="15.7109375" style="229" customWidth="1"/>
    <col min="6" max="6" width="20.7109375" style="229" customWidth="1"/>
    <col min="7" max="9" width="15.7109375" style="229" customWidth="1"/>
    <col min="11" max="11" width="22.42578125" customWidth="1"/>
  </cols>
  <sheetData>
    <row r="1" spans="1:13" ht="45" customHeight="1" x14ac:dyDescent="0.25">
      <c r="A1" s="153" t="s">
        <v>122</v>
      </c>
      <c r="B1" s="230"/>
      <c r="C1" s="231"/>
      <c r="D1" s="232"/>
      <c r="E1" s="232" t="s">
        <v>0</v>
      </c>
      <c r="F1" s="232" t="s">
        <v>123</v>
      </c>
      <c r="G1" s="232" t="s">
        <v>124</v>
      </c>
      <c r="H1" s="232" t="s">
        <v>14</v>
      </c>
      <c r="I1" s="232" t="s">
        <v>125</v>
      </c>
    </row>
    <row r="2" spans="1:13" ht="23.25" customHeight="1" x14ac:dyDescent="0.25">
      <c r="A2" s="153"/>
      <c r="B2" s="230"/>
      <c r="C2" s="231"/>
      <c r="D2" s="233" t="s">
        <v>13</v>
      </c>
      <c r="E2" s="232"/>
      <c r="F2" s="232"/>
      <c r="G2" s="232"/>
      <c r="H2" s="232"/>
      <c r="I2" s="232"/>
    </row>
    <row r="3" spans="1:13" ht="18.75" collapsed="1" x14ac:dyDescent="0.3">
      <c r="A3" s="227">
        <v>1</v>
      </c>
      <c r="B3" s="318" t="s">
        <v>131</v>
      </c>
      <c r="C3" s="318"/>
    </row>
    <row r="4" spans="1:13" ht="18.75" outlineLevel="1" x14ac:dyDescent="0.3">
      <c r="A4" s="227"/>
      <c r="B4" s="319" t="s">
        <v>10</v>
      </c>
      <c r="C4" s="319"/>
      <c r="K4" t="s">
        <v>133</v>
      </c>
      <c r="L4" s="266">
        <v>0.1</v>
      </c>
    </row>
    <row r="5" spans="1:13" ht="18.75" outlineLevel="1" x14ac:dyDescent="0.3">
      <c r="A5" s="227"/>
      <c r="B5" s="237" t="s">
        <v>126</v>
      </c>
    </row>
    <row r="6" spans="1:13" ht="18.75" outlineLevel="1" x14ac:dyDescent="0.3">
      <c r="A6" s="227"/>
      <c r="B6" s="235" t="s">
        <v>11</v>
      </c>
      <c r="D6" s="234" t="s">
        <v>12</v>
      </c>
      <c r="E6" s="236">
        <f>27361</f>
        <v>27361</v>
      </c>
      <c r="F6" s="236">
        <f>27361</f>
        <v>27361</v>
      </c>
      <c r="G6" s="236">
        <f>27361</f>
        <v>27361</v>
      </c>
      <c r="H6" s="236">
        <f>27361</f>
        <v>27361</v>
      </c>
      <c r="I6" s="236">
        <f>27361</f>
        <v>27361</v>
      </c>
    </row>
    <row r="7" spans="1:13" ht="18.75" outlineLevel="1" x14ac:dyDescent="0.3">
      <c r="A7" s="227"/>
      <c r="B7" s="235" t="s">
        <v>132</v>
      </c>
      <c r="D7" s="234" t="s">
        <v>12</v>
      </c>
      <c r="E7" s="236">
        <f>E6*$L$4</f>
        <v>2736.1000000000004</v>
      </c>
      <c r="F7" s="236">
        <f t="shared" ref="F7:I7" si="0">F6*$L$4</f>
        <v>2736.1000000000004</v>
      </c>
      <c r="G7" s="236">
        <f t="shared" si="0"/>
        <v>2736.1000000000004</v>
      </c>
      <c r="H7" s="236">
        <f t="shared" si="0"/>
        <v>2736.1000000000004</v>
      </c>
      <c r="I7" s="236">
        <f t="shared" si="0"/>
        <v>2736.1000000000004</v>
      </c>
    </row>
    <row r="8" spans="1:13" ht="18.75" outlineLevel="1" x14ac:dyDescent="0.3">
      <c r="A8" s="227"/>
      <c r="D8" s="234"/>
      <c r="E8" s="236"/>
      <c r="F8" s="236"/>
      <c r="G8" s="236"/>
      <c r="H8" s="236"/>
      <c r="I8" s="236"/>
    </row>
    <row r="9" spans="1:13" ht="18.75" outlineLevel="1" x14ac:dyDescent="0.3">
      <c r="A9" s="227"/>
      <c r="B9" s="237" t="s">
        <v>152</v>
      </c>
      <c r="D9" s="236"/>
      <c r="E9" s="236"/>
      <c r="F9" s="236"/>
      <c r="G9" s="236"/>
      <c r="H9" s="236"/>
      <c r="I9" s="236"/>
      <c r="K9" t="s">
        <v>156</v>
      </c>
      <c r="L9">
        <v>27</v>
      </c>
      <c r="M9" t="s">
        <v>157</v>
      </c>
    </row>
    <row r="10" spans="1:13" ht="18.75" outlineLevel="1" x14ac:dyDescent="0.3">
      <c r="A10" s="227"/>
      <c r="B10" s="237"/>
      <c r="D10" s="234" t="s">
        <v>12</v>
      </c>
      <c r="E10" s="236">
        <f>$L$9*$L$10*$L$11</f>
        <v>3240</v>
      </c>
      <c r="F10" s="236">
        <f t="shared" ref="F10:I10" si="1">$L$9*$L$10*$L$11</f>
        <v>3240</v>
      </c>
      <c r="G10" s="236">
        <f t="shared" si="1"/>
        <v>3240</v>
      </c>
      <c r="H10" s="236">
        <f t="shared" si="1"/>
        <v>3240</v>
      </c>
      <c r="I10" s="236">
        <f t="shared" si="1"/>
        <v>3240</v>
      </c>
      <c r="K10" t="s">
        <v>159</v>
      </c>
      <c r="L10">
        <v>12</v>
      </c>
    </row>
    <row r="11" spans="1:13" ht="18.75" outlineLevel="1" x14ac:dyDescent="0.3">
      <c r="A11" s="227"/>
      <c r="D11" s="234"/>
      <c r="E11" s="236"/>
      <c r="F11" s="236"/>
      <c r="G11" s="236"/>
      <c r="H11" s="236"/>
      <c r="I11" s="236"/>
      <c r="K11" t="s">
        <v>158</v>
      </c>
      <c r="L11">
        <v>10</v>
      </c>
    </row>
    <row r="12" spans="1:13" ht="18.75" outlineLevel="1" x14ac:dyDescent="0.3">
      <c r="A12" s="227"/>
      <c r="B12" s="237" t="s">
        <v>150</v>
      </c>
    </row>
    <row r="13" spans="1:13" ht="18.75" outlineLevel="1" x14ac:dyDescent="0.3">
      <c r="A13" s="227"/>
      <c r="B13" s="235" t="s">
        <v>173</v>
      </c>
      <c r="D13" s="234" t="s">
        <v>174</v>
      </c>
      <c r="E13" s="255">
        <f>$L$13*$L$16</f>
        <v>9344</v>
      </c>
      <c r="F13" s="255">
        <f t="shared" ref="F13:I13" si="2">$L$13*$L$16</f>
        <v>9344</v>
      </c>
      <c r="G13" s="255">
        <f t="shared" si="2"/>
        <v>9344</v>
      </c>
      <c r="H13" s="255">
        <f t="shared" si="2"/>
        <v>9344</v>
      </c>
      <c r="I13" s="255">
        <f t="shared" si="2"/>
        <v>9344</v>
      </c>
      <c r="K13" t="s">
        <v>134</v>
      </c>
      <c r="L13">
        <v>11680</v>
      </c>
    </row>
    <row r="14" spans="1:13" ht="18.75" outlineLevel="1" x14ac:dyDescent="0.3">
      <c r="A14" s="227"/>
      <c r="B14" s="228" t="s">
        <v>36</v>
      </c>
      <c r="D14" s="234" t="s">
        <v>174</v>
      </c>
      <c r="E14" s="297">
        <f>$L$13*$L$14</f>
        <v>3243.5360000000001</v>
      </c>
      <c r="F14" s="297">
        <f t="shared" ref="F14:H14" si="3">$L$13*$L$14</f>
        <v>3243.5360000000001</v>
      </c>
      <c r="G14" s="297">
        <f t="shared" si="3"/>
        <v>3243.5360000000001</v>
      </c>
      <c r="H14" s="297">
        <f t="shared" si="3"/>
        <v>3243.5360000000001</v>
      </c>
      <c r="I14" s="297">
        <f>$L$13*$L$14</f>
        <v>3243.5360000000001</v>
      </c>
      <c r="K14" t="s">
        <v>180</v>
      </c>
      <c r="L14">
        <v>0.2777</v>
      </c>
    </row>
    <row r="15" spans="1:13" ht="18.75" customHeight="1" x14ac:dyDescent="0.25">
      <c r="E15" s="78"/>
      <c r="F15" s="78"/>
      <c r="G15" s="78"/>
      <c r="H15" s="78"/>
      <c r="I15" s="78"/>
      <c r="K15" t="s">
        <v>179</v>
      </c>
      <c r="L15">
        <v>1.232E-3</v>
      </c>
    </row>
    <row r="16" spans="1:13" ht="18.75" customHeight="1" x14ac:dyDescent="0.25">
      <c r="E16" s="78"/>
      <c r="F16" s="78"/>
      <c r="G16" s="78"/>
      <c r="H16" s="78"/>
      <c r="I16" s="78"/>
      <c r="K16" t="s">
        <v>181</v>
      </c>
      <c r="L16">
        <v>0.8</v>
      </c>
    </row>
    <row r="17" spans="5:9" ht="18.75" customHeight="1" x14ac:dyDescent="0.25">
      <c r="E17" s="78"/>
      <c r="F17" s="78"/>
      <c r="G17" s="78"/>
      <c r="H17" s="78"/>
      <c r="I17" s="78"/>
    </row>
    <row r="18" spans="5:9" ht="18.75" customHeight="1" x14ac:dyDescent="0.25"/>
    <row r="19" spans="5:9" ht="18.75" customHeight="1" x14ac:dyDescent="0.25"/>
    <row r="20" spans="5:9" ht="18.75" customHeight="1" x14ac:dyDescent="0.25"/>
  </sheetData>
  <mergeCells count="2">
    <mergeCell ref="B3:C3"/>
    <mergeCell ref="B4:C4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F92243-E769-4892-927C-81423448B817}">
  <dimension ref="A1:AE61"/>
  <sheetViews>
    <sheetView workbookViewId="0">
      <pane ySplit="1" topLeftCell="A23" activePane="bottomLeft" state="frozen"/>
      <selection pane="bottomLeft" sqref="A1:XFD1048576"/>
    </sheetView>
  </sheetViews>
  <sheetFormatPr defaultRowHeight="15" x14ac:dyDescent="0.25"/>
  <cols>
    <col min="1" max="1" width="20.28515625" customWidth="1"/>
    <col min="2" max="2" width="16.28515625" customWidth="1"/>
    <col min="3" max="3" width="13.5703125" style="4" customWidth="1"/>
    <col min="6" max="6" width="9.5703125" bestFit="1" customWidth="1"/>
    <col min="7" max="7" width="11.7109375" bestFit="1" customWidth="1"/>
    <col min="8" max="30" width="9.5703125" bestFit="1" customWidth="1"/>
    <col min="31" max="31" width="9.140625" style="4"/>
  </cols>
  <sheetData>
    <row r="1" spans="1:31" ht="15.75" customHeight="1" x14ac:dyDescent="0.25">
      <c r="A1" s="321" t="s">
        <v>131</v>
      </c>
      <c r="B1" s="321"/>
      <c r="C1" s="248"/>
      <c r="E1" s="246">
        <v>44197</v>
      </c>
      <c r="F1" s="246">
        <v>44562</v>
      </c>
      <c r="G1" s="246">
        <v>44927</v>
      </c>
      <c r="H1" s="246">
        <v>45292</v>
      </c>
      <c r="I1" s="246">
        <v>45658</v>
      </c>
      <c r="J1" s="246">
        <v>46023</v>
      </c>
      <c r="K1" s="246">
        <v>46388</v>
      </c>
      <c r="L1" s="246">
        <v>46753</v>
      </c>
      <c r="M1" s="246">
        <v>47119</v>
      </c>
      <c r="N1" s="246">
        <v>47484</v>
      </c>
      <c r="O1" s="246">
        <v>47849</v>
      </c>
      <c r="P1" s="246">
        <v>48214</v>
      </c>
      <c r="Q1" s="246">
        <v>48580</v>
      </c>
      <c r="R1" s="246">
        <v>48945</v>
      </c>
      <c r="S1" s="246">
        <v>49310</v>
      </c>
      <c r="T1" s="246">
        <v>49675</v>
      </c>
      <c r="U1" s="246">
        <v>50041</v>
      </c>
      <c r="V1" s="246">
        <v>50406</v>
      </c>
      <c r="W1" s="246">
        <v>50771</v>
      </c>
      <c r="X1" s="246">
        <v>51136</v>
      </c>
      <c r="Y1" s="246">
        <v>51502</v>
      </c>
      <c r="Z1" s="246">
        <v>51867</v>
      </c>
      <c r="AA1" s="246">
        <v>52232</v>
      </c>
      <c r="AB1" s="246">
        <v>52597</v>
      </c>
      <c r="AC1" s="246">
        <v>52963</v>
      </c>
      <c r="AD1" s="246">
        <v>53328</v>
      </c>
      <c r="AE1" s="243"/>
    </row>
    <row r="2" spans="1:31" ht="14.25" customHeight="1" x14ac:dyDescent="0.25"/>
    <row r="3" spans="1:31" x14ac:dyDescent="0.25">
      <c r="A3" s="320" t="s">
        <v>149</v>
      </c>
      <c r="B3" s="320"/>
      <c r="C3" s="320"/>
      <c r="D3" s="245">
        <v>1.45</v>
      </c>
    </row>
    <row r="4" spans="1:31" x14ac:dyDescent="0.25">
      <c r="A4" s="247" t="s">
        <v>0</v>
      </c>
    </row>
    <row r="5" spans="1:31" x14ac:dyDescent="0.25">
      <c r="A5" s="4" t="s">
        <v>128</v>
      </c>
      <c r="E5" s="54">
        <f>'Minigrids - 1 item'!C10</f>
        <v>27361</v>
      </c>
      <c r="F5" s="54">
        <f>'Minigrids - 1 item'!D10</f>
        <v>2736.1000000000004</v>
      </c>
      <c r="G5" s="54">
        <f>'Minigrids - 1 item'!E10</f>
        <v>2736.1000000000004</v>
      </c>
      <c r="H5" s="54">
        <f>'Minigrids - 1 item'!F10</f>
        <v>2736.1000000000004</v>
      </c>
      <c r="I5" s="54">
        <f>'Minigrids - 1 item'!G10</f>
        <v>2736.1000000000004</v>
      </c>
      <c r="J5" s="54">
        <f>'Minigrids - 1 item'!H10</f>
        <v>2736.1000000000004</v>
      </c>
      <c r="K5" s="54">
        <f>'Minigrids - 1 item'!I10</f>
        <v>2736.1000000000004</v>
      </c>
      <c r="L5" s="54">
        <f>'Minigrids - 1 item'!J10</f>
        <v>2736.1000000000004</v>
      </c>
      <c r="M5" s="54">
        <f>'Minigrids - 1 item'!K10</f>
        <v>2736.1000000000004</v>
      </c>
      <c r="N5" s="54">
        <f>'Minigrids - 1 item'!L10</f>
        <v>2736.1000000000004</v>
      </c>
      <c r="O5" s="54">
        <f>'Minigrids - 1 item'!M10</f>
        <v>2736.1000000000004</v>
      </c>
      <c r="P5" s="54">
        <f>'Minigrids - 1 item'!N10</f>
        <v>2736.1000000000004</v>
      </c>
      <c r="Q5" s="54">
        <f>'Minigrids - 1 item'!O10</f>
        <v>2736.1000000000004</v>
      </c>
      <c r="R5" s="54">
        <f>'Minigrids - 1 item'!P10</f>
        <v>2736.1000000000004</v>
      </c>
      <c r="S5" s="54">
        <f>'Minigrids - 1 item'!Q10</f>
        <v>2736.1000000000004</v>
      </c>
      <c r="T5" s="54">
        <f>'Minigrids - 1 item'!R10</f>
        <v>2736.1000000000004</v>
      </c>
      <c r="U5" s="54">
        <f>'Minigrids - 1 item'!S10</f>
        <v>2736.1000000000004</v>
      </c>
      <c r="V5" s="54">
        <f>'Minigrids - 1 item'!T10</f>
        <v>2736.1000000000004</v>
      </c>
      <c r="W5" s="54">
        <f>'Minigrids - 1 item'!U10</f>
        <v>2736.1000000000004</v>
      </c>
      <c r="X5" s="54">
        <f>'Minigrids - 1 item'!V10</f>
        <v>2736.1000000000004</v>
      </c>
      <c r="Y5" s="54">
        <f>'Minigrids - 1 item'!W10</f>
        <v>2736.1000000000004</v>
      </c>
      <c r="Z5" s="54">
        <f>'Minigrids - 1 item'!X10</f>
        <v>2736.1000000000004</v>
      </c>
      <c r="AA5" s="54">
        <f>'Minigrids - 1 item'!Y10</f>
        <v>2736.1000000000004</v>
      </c>
      <c r="AB5" s="54">
        <f>'Minigrids - 1 item'!Z10</f>
        <v>2736.1000000000004</v>
      </c>
      <c r="AC5" s="54">
        <f>'Minigrids - 1 item'!AA10</f>
        <v>2736.1000000000004</v>
      </c>
      <c r="AD5" s="54">
        <f>'Minigrids - 1 item'!AB10</f>
        <v>2736.1000000000004</v>
      </c>
      <c r="AE5" s="4" t="s">
        <v>12</v>
      </c>
    </row>
    <row r="6" spans="1:31" x14ac:dyDescent="0.25">
      <c r="A6" s="4" t="s">
        <v>129</v>
      </c>
      <c r="E6" s="244">
        <f>'Minigrids - 1 item'!C20*$D$3</f>
        <v>0</v>
      </c>
      <c r="F6" s="244">
        <f>'Minigrids - 1 item'!D20*$D$3</f>
        <v>4703.1271999999999</v>
      </c>
      <c r="G6" s="244">
        <f>'Minigrids - 1 item'!E20*$D$3</f>
        <v>4703.1271999999999</v>
      </c>
      <c r="H6" s="244">
        <f>'Minigrids - 1 item'!F20*$D$3</f>
        <v>4703.1271999999999</v>
      </c>
      <c r="I6" s="244">
        <f>'Minigrids - 1 item'!G20*$D$3</f>
        <v>4703.1271999999999</v>
      </c>
      <c r="J6" s="244">
        <f>'Minigrids - 1 item'!H20*$D$3</f>
        <v>4703.1271999999999</v>
      </c>
      <c r="K6" s="244">
        <f>'Minigrids - 1 item'!I20*$D$3</f>
        <v>4703.1271999999999</v>
      </c>
      <c r="L6" s="244">
        <f>'Minigrids - 1 item'!J20*$D$3</f>
        <v>4703.1271999999999</v>
      </c>
      <c r="M6" s="244">
        <f>'Minigrids - 1 item'!K20*$D$3</f>
        <v>4703.1271999999999</v>
      </c>
      <c r="N6" s="244">
        <f>'Minigrids - 1 item'!L20*$D$3</f>
        <v>4703.1271999999999</v>
      </c>
      <c r="O6" s="244">
        <f>'Minigrids - 1 item'!M20*$D$3</f>
        <v>4703.1271999999999</v>
      </c>
      <c r="P6" s="244">
        <f>'Minigrids - 1 item'!N20*$D$3</f>
        <v>4703.1271999999999</v>
      </c>
      <c r="Q6" s="244">
        <f>'Minigrids - 1 item'!O20*$D$3</f>
        <v>4703.1271999999999</v>
      </c>
      <c r="R6" s="244">
        <f>'Minigrids - 1 item'!P20*$D$3</f>
        <v>4703.1271999999999</v>
      </c>
      <c r="S6" s="244">
        <f>'Minigrids - 1 item'!Q20*$D$3</f>
        <v>4703.1271999999999</v>
      </c>
      <c r="T6" s="244">
        <f>'Minigrids - 1 item'!R20*$D$3</f>
        <v>4703.1271999999999</v>
      </c>
      <c r="U6" s="244">
        <f>'Minigrids - 1 item'!S20*$D$3</f>
        <v>4703.1271999999999</v>
      </c>
      <c r="V6" s="244">
        <f>'Minigrids - 1 item'!T20*$D$3</f>
        <v>4703.1271999999999</v>
      </c>
      <c r="W6" s="244">
        <f>'Minigrids - 1 item'!U20*$D$3</f>
        <v>4703.1271999999999</v>
      </c>
      <c r="X6" s="244">
        <f>'Minigrids - 1 item'!V20*$D$3</f>
        <v>4703.1271999999999</v>
      </c>
      <c r="Y6" s="244">
        <f>'Minigrids - 1 item'!W20*$D$3</f>
        <v>4703.1271999999999</v>
      </c>
      <c r="Z6" s="244">
        <f>'Minigrids - 1 item'!X20*$D$3</f>
        <v>4703.1271999999999</v>
      </c>
      <c r="AA6" s="244">
        <f>'Minigrids - 1 item'!Y20*$D$3</f>
        <v>4703.1271999999999</v>
      </c>
      <c r="AB6" s="244">
        <f>'Minigrids - 1 item'!Z20*$D$3</f>
        <v>4703.1271999999999</v>
      </c>
      <c r="AC6" s="244">
        <f>'Minigrids - 1 item'!AA20*$D$3</f>
        <v>4703.1271999999999</v>
      </c>
      <c r="AD6" s="244">
        <f>'Minigrids - 1 item'!AB20*$D$3</f>
        <v>4703.1271999999999</v>
      </c>
      <c r="AE6" s="4" t="s">
        <v>12</v>
      </c>
    </row>
    <row r="7" spans="1:31" x14ac:dyDescent="0.25">
      <c r="A7" s="4" t="s">
        <v>130</v>
      </c>
      <c r="E7" s="244">
        <f>E6-E5</f>
        <v>-27361</v>
      </c>
      <c r="F7" s="244">
        <f>F6-F5</f>
        <v>1967.0271999999995</v>
      </c>
      <c r="G7" s="244">
        <f t="shared" ref="G7:X7" si="0">G6-G5</f>
        <v>1967.0271999999995</v>
      </c>
      <c r="H7" s="244">
        <f t="shared" si="0"/>
        <v>1967.0271999999995</v>
      </c>
      <c r="I7" s="244">
        <f t="shared" si="0"/>
        <v>1967.0271999999995</v>
      </c>
      <c r="J7" s="244">
        <f t="shared" si="0"/>
        <v>1967.0271999999995</v>
      </c>
      <c r="K7" s="244">
        <f t="shared" si="0"/>
        <v>1967.0271999999995</v>
      </c>
      <c r="L7" s="244">
        <f t="shared" si="0"/>
        <v>1967.0271999999995</v>
      </c>
      <c r="M7" s="244">
        <f t="shared" si="0"/>
        <v>1967.0271999999995</v>
      </c>
      <c r="N7" s="244">
        <f t="shared" si="0"/>
        <v>1967.0271999999995</v>
      </c>
      <c r="O7" s="244">
        <f t="shared" si="0"/>
        <v>1967.0271999999995</v>
      </c>
      <c r="P7" s="244">
        <f t="shared" si="0"/>
        <v>1967.0271999999995</v>
      </c>
      <c r="Q7" s="244">
        <f t="shared" si="0"/>
        <v>1967.0271999999995</v>
      </c>
      <c r="R7" s="244">
        <f t="shared" si="0"/>
        <v>1967.0271999999995</v>
      </c>
      <c r="S7" s="244">
        <f t="shared" si="0"/>
        <v>1967.0271999999995</v>
      </c>
      <c r="T7" s="244">
        <f t="shared" si="0"/>
        <v>1967.0271999999995</v>
      </c>
      <c r="U7" s="244">
        <f t="shared" si="0"/>
        <v>1967.0271999999995</v>
      </c>
      <c r="V7" s="244">
        <f t="shared" si="0"/>
        <v>1967.0271999999995</v>
      </c>
      <c r="W7" s="244">
        <f t="shared" si="0"/>
        <v>1967.0271999999995</v>
      </c>
      <c r="X7" s="244">
        <f t="shared" si="0"/>
        <v>1967.0271999999995</v>
      </c>
      <c r="Y7" s="244">
        <f t="shared" ref="Y7:AD7" si="1">Y6-Y5</f>
        <v>1967.0271999999995</v>
      </c>
      <c r="Z7" s="244">
        <f t="shared" si="1"/>
        <v>1967.0271999999995</v>
      </c>
      <c r="AA7" s="244">
        <f t="shared" si="1"/>
        <v>1967.0271999999995</v>
      </c>
      <c r="AB7" s="244">
        <f t="shared" si="1"/>
        <v>1967.0271999999995</v>
      </c>
      <c r="AC7" s="244">
        <f t="shared" si="1"/>
        <v>1967.0271999999995</v>
      </c>
      <c r="AD7" s="244">
        <f t="shared" si="1"/>
        <v>1967.0271999999995</v>
      </c>
      <c r="AE7" s="4" t="s">
        <v>12</v>
      </c>
    </row>
    <row r="9" spans="1:31" x14ac:dyDescent="0.25">
      <c r="A9" s="4" t="s">
        <v>84</v>
      </c>
      <c r="C9" s="12">
        <f>XNPV(B$11,E7:AD7,$E$1:$AD$1)</f>
        <v>353.81455155617391</v>
      </c>
    </row>
    <row r="10" spans="1:31" x14ac:dyDescent="0.25">
      <c r="A10" s="4" t="s">
        <v>83</v>
      </c>
      <c r="C10" s="249">
        <f>XIRR(E7:AD7,$E$1:$AD$1,0.1)</f>
        <v>5.1285788416862488E-2</v>
      </c>
    </row>
    <row r="11" spans="1:31" x14ac:dyDescent="0.25">
      <c r="A11" s="4" t="s">
        <v>79</v>
      </c>
      <c r="B11">
        <v>0.05</v>
      </c>
    </row>
    <row r="12" spans="1:31" x14ac:dyDescent="0.25">
      <c r="A12" s="4"/>
    </row>
    <row r="13" spans="1:31" x14ac:dyDescent="0.25">
      <c r="A13" s="320" t="s">
        <v>149</v>
      </c>
      <c r="B13" s="320"/>
      <c r="C13" s="320"/>
      <c r="D13" s="245">
        <v>1.74</v>
      </c>
    </row>
    <row r="14" spans="1:31" x14ac:dyDescent="0.25">
      <c r="A14" s="247" t="s">
        <v>123</v>
      </c>
    </row>
    <row r="15" spans="1:31" x14ac:dyDescent="0.25">
      <c r="A15" s="4" t="s">
        <v>128</v>
      </c>
      <c r="E15" s="54">
        <f>'Minigrids - 1 item'!C43</f>
        <v>27361</v>
      </c>
      <c r="F15" s="54">
        <f>'Minigrids - 1 item'!D43</f>
        <v>2736.1000000000004</v>
      </c>
      <c r="G15" s="54">
        <f>'Minigrids - 1 item'!E43</f>
        <v>2736.1000000000004</v>
      </c>
      <c r="H15" s="54">
        <f>'Minigrids - 1 item'!F43</f>
        <v>2736.1000000000004</v>
      </c>
      <c r="I15" s="54">
        <f>'Minigrids - 1 item'!G43</f>
        <v>2736.1000000000004</v>
      </c>
      <c r="J15" s="54">
        <f>'Minigrids - 1 item'!H43</f>
        <v>2736.1000000000004</v>
      </c>
      <c r="K15" s="54">
        <f>'Minigrids - 1 item'!I43</f>
        <v>2736.1000000000004</v>
      </c>
      <c r="L15" s="54">
        <f>'Minigrids - 1 item'!J43</f>
        <v>2736.1000000000004</v>
      </c>
      <c r="M15" s="54">
        <f>'Minigrids - 1 item'!K43</f>
        <v>2736.1000000000004</v>
      </c>
      <c r="N15" s="54">
        <f>'Minigrids - 1 item'!L43</f>
        <v>2736.1000000000004</v>
      </c>
      <c r="O15" s="54">
        <f>'Minigrids - 1 item'!M43</f>
        <v>2736.1000000000004</v>
      </c>
      <c r="P15" s="54">
        <f>'Minigrids - 1 item'!N43</f>
        <v>2736.1000000000004</v>
      </c>
      <c r="Q15" s="54">
        <f>'Minigrids - 1 item'!O43</f>
        <v>2736.1000000000004</v>
      </c>
      <c r="R15" s="54">
        <f>'Minigrids - 1 item'!P43</f>
        <v>2736.1000000000004</v>
      </c>
      <c r="S15" s="54">
        <f>'Minigrids - 1 item'!Q43</f>
        <v>2736.1000000000004</v>
      </c>
      <c r="T15" s="54">
        <f>'Minigrids - 1 item'!R43</f>
        <v>2736.1000000000004</v>
      </c>
      <c r="U15" s="54">
        <f>'Minigrids - 1 item'!S43</f>
        <v>2736.1000000000004</v>
      </c>
      <c r="V15" s="54">
        <f>'Minigrids - 1 item'!T43</f>
        <v>2736.1000000000004</v>
      </c>
      <c r="W15" s="54">
        <f>'Minigrids - 1 item'!U43</f>
        <v>2736.1000000000004</v>
      </c>
      <c r="X15" s="54">
        <f>'Minigrids - 1 item'!V43</f>
        <v>2736.1000000000004</v>
      </c>
      <c r="Y15" s="54">
        <f>'Minigrids - 1 item'!W43</f>
        <v>2736.1000000000004</v>
      </c>
      <c r="Z15" s="54">
        <f>'Minigrids - 1 item'!X43</f>
        <v>2736.1000000000004</v>
      </c>
      <c r="AA15" s="54">
        <f>'Minigrids - 1 item'!Y43</f>
        <v>2736.1000000000004</v>
      </c>
      <c r="AB15" s="54">
        <f>'Minigrids - 1 item'!Z43</f>
        <v>2736.1000000000004</v>
      </c>
      <c r="AC15" s="54">
        <f>'Minigrids - 1 item'!AA43</f>
        <v>2736.1000000000004</v>
      </c>
      <c r="AD15" s="54">
        <f>'Minigrids - 1 item'!AB43</f>
        <v>2736.1000000000004</v>
      </c>
      <c r="AE15" s="4" t="s">
        <v>12</v>
      </c>
    </row>
    <row r="16" spans="1:31" x14ac:dyDescent="0.25">
      <c r="A16" s="4" t="s">
        <v>129</v>
      </c>
      <c r="E16" s="57">
        <f>'Minigrids - 1 item'!C53*$D$13</f>
        <v>0</v>
      </c>
      <c r="F16" s="57">
        <f>'Minigrids - 1 item'!D53*$D$13</f>
        <v>5643.7526399999997</v>
      </c>
      <c r="G16" s="57">
        <f>'Minigrids - 1 item'!E53*$D$13</f>
        <v>5643.7526399999997</v>
      </c>
      <c r="H16" s="57">
        <f>'Minigrids - 1 item'!F53*$D$13</f>
        <v>5643.7526399999997</v>
      </c>
      <c r="I16" s="57">
        <f>'Minigrids - 1 item'!G53*$D$13</f>
        <v>5643.7526399999997</v>
      </c>
      <c r="J16" s="57">
        <f>'Minigrids - 1 item'!H53*$D$13</f>
        <v>5643.7526399999997</v>
      </c>
      <c r="K16" s="57">
        <f>'Minigrids - 1 item'!I53*$D$13</f>
        <v>5643.7526399999997</v>
      </c>
      <c r="L16" s="57">
        <f>'Minigrids - 1 item'!J53*$D$13</f>
        <v>5643.7526399999997</v>
      </c>
      <c r="M16" s="57">
        <f>'Minigrids - 1 item'!K53*$D$13</f>
        <v>5643.7526399999997</v>
      </c>
      <c r="N16" s="57">
        <f>'Minigrids - 1 item'!L53*$D$13</f>
        <v>5643.7526399999997</v>
      </c>
      <c r="O16" s="57">
        <f>'Minigrids - 1 item'!M53*$D$13</f>
        <v>5643.7526399999997</v>
      </c>
      <c r="P16" s="57">
        <f>'Minigrids - 1 item'!N53*$D$13</f>
        <v>5643.7526399999997</v>
      </c>
      <c r="Q16" s="57">
        <f>'Minigrids - 1 item'!O53*$D$13</f>
        <v>5643.7526399999997</v>
      </c>
      <c r="R16" s="57">
        <f>'Minigrids - 1 item'!P53*$D$13</f>
        <v>5643.7526399999997</v>
      </c>
      <c r="S16" s="57">
        <f>'Minigrids - 1 item'!Q53*$D$13</f>
        <v>5643.7526399999997</v>
      </c>
      <c r="T16" s="57">
        <f>'Minigrids - 1 item'!R53*$D$13</f>
        <v>5643.7526399999997</v>
      </c>
      <c r="U16" s="57">
        <f>'Minigrids - 1 item'!S53*$D$13</f>
        <v>5643.7526399999997</v>
      </c>
      <c r="V16" s="57">
        <f>'Minigrids - 1 item'!T53*$D$13</f>
        <v>5643.7526399999997</v>
      </c>
      <c r="W16" s="57">
        <f>'Minigrids - 1 item'!U53*$D$13</f>
        <v>5643.7526399999997</v>
      </c>
      <c r="X16" s="57">
        <f>'Minigrids - 1 item'!V53*$D$13</f>
        <v>5643.7526399999997</v>
      </c>
      <c r="Y16" s="57">
        <f>'Minigrids - 1 item'!W53*$D$13</f>
        <v>5643.7526399999997</v>
      </c>
      <c r="Z16" s="57">
        <f>'Minigrids - 1 item'!X53*$D$13</f>
        <v>5643.7526399999997</v>
      </c>
      <c r="AA16" s="57">
        <f>'Minigrids - 1 item'!Y53*$D$13</f>
        <v>5643.7526399999997</v>
      </c>
      <c r="AB16" s="57">
        <f>'Minigrids - 1 item'!Z53*$D$13</f>
        <v>5643.7526399999997</v>
      </c>
      <c r="AC16" s="57">
        <f>'Minigrids - 1 item'!AA53*$D$13</f>
        <v>5643.7526399999997</v>
      </c>
      <c r="AD16" s="57">
        <f>'Minigrids - 1 item'!AB53*$D$13</f>
        <v>5643.7526399999997</v>
      </c>
      <c r="AE16" s="4" t="s">
        <v>12</v>
      </c>
    </row>
    <row r="17" spans="1:31" x14ac:dyDescent="0.25">
      <c r="A17" s="4" t="s">
        <v>130</v>
      </c>
      <c r="E17" s="57">
        <f>E16-E15</f>
        <v>-27361</v>
      </c>
      <c r="F17" s="57">
        <f t="shared" ref="F17:X17" si="2">F16-F15</f>
        <v>2907.6526399999993</v>
      </c>
      <c r="G17" s="57">
        <f t="shared" si="2"/>
        <v>2907.6526399999993</v>
      </c>
      <c r="H17" s="57">
        <f t="shared" si="2"/>
        <v>2907.6526399999993</v>
      </c>
      <c r="I17" s="57">
        <f t="shared" si="2"/>
        <v>2907.6526399999993</v>
      </c>
      <c r="J17" s="57">
        <f t="shared" si="2"/>
        <v>2907.6526399999993</v>
      </c>
      <c r="K17" s="57">
        <f t="shared" si="2"/>
        <v>2907.6526399999993</v>
      </c>
      <c r="L17" s="57">
        <f t="shared" si="2"/>
        <v>2907.6526399999993</v>
      </c>
      <c r="M17" s="57">
        <f t="shared" si="2"/>
        <v>2907.6526399999993</v>
      </c>
      <c r="N17" s="57">
        <f t="shared" si="2"/>
        <v>2907.6526399999993</v>
      </c>
      <c r="O17" s="57">
        <f t="shared" si="2"/>
        <v>2907.6526399999993</v>
      </c>
      <c r="P17" s="57">
        <f t="shared" si="2"/>
        <v>2907.6526399999993</v>
      </c>
      <c r="Q17" s="57">
        <f t="shared" si="2"/>
        <v>2907.6526399999993</v>
      </c>
      <c r="R17" s="57">
        <f t="shared" si="2"/>
        <v>2907.6526399999993</v>
      </c>
      <c r="S17" s="57">
        <f t="shared" si="2"/>
        <v>2907.6526399999993</v>
      </c>
      <c r="T17" s="57">
        <f t="shared" si="2"/>
        <v>2907.6526399999993</v>
      </c>
      <c r="U17" s="57">
        <f t="shared" si="2"/>
        <v>2907.6526399999993</v>
      </c>
      <c r="V17" s="57">
        <f t="shared" si="2"/>
        <v>2907.6526399999993</v>
      </c>
      <c r="W17" s="57">
        <f t="shared" si="2"/>
        <v>2907.6526399999993</v>
      </c>
      <c r="X17" s="57">
        <f t="shared" si="2"/>
        <v>2907.6526399999993</v>
      </c>
      <c r="Y17" s="57">
        <f t="shared" ref="Y17:AD17" si="3">Y16-Y15</f>
        <v>2907.6526399999993</v>
      </c>
      <c r="Z17" s="57">
        <f t="shared" si="3"/>
        <v>2907.6526399999993</v>
      </c>
      <c r="AA17" s="57">
        <f t="shared" si="3"/>
        <v>2907.6526399999993</v>
      </c>
      <c r="AB17" s="57">
        <f t="shared" si="3"/>
        <v>2907.6526399999993</v>
      </c>
      <c r="AC17" s="57">
        <f t="shared" si="3"/>
        <v>2907.6526399999993</v>
      </c>
      <c r="AD17" s="57">
        <f t="shared" si="3"/>
        <v>2907.6526399999993</v>
      </c>
      <c r="AE17" s="4" t="s">
        <v>12</v>
      </c>
    </row>
    <row r="19" spans="1:31" x14ac:dyDescent="0.25">
      <c r="A19" s="4" t="s">
        <v>84</v>
      </c>
      <c r="C19" s="12">
        <f>XNPV(B$21,E17:AD17,$E$1:$AD$1)</f>
        <v>68.041671670924813</v>
      </c>
    </row>
    <row r="20" spans="1:31" x14ac:dyDescent="0.25">
      <c r="A20" s="4" t="s">
        <v>83</v>
      </c>
      <c r="C20" s="249">
        <f>XIRR(E17:AD17,$E$1:$AD$1,0.1)</f>
        <v>9.5314869284629816E-2</v>
      </c>
    </row>
    <row r="21" spans="1:31" x14ac:dyDescent="0.25">
      <c r="A21" s="4" t="s">
        <v>79</v>
      </c>
      <c r="B21">
        <v>9.5000000000000001E-2</v>
      </c>
    </row>
    <row r="22" spans="1:31" x14ac:dyDescent="0.25">
      <c r="A22" s="4"/>
    </row>
    <row r="23" spans="1:31" x14ac:dyDescent="0.25">
      <c r="A23" s="320" t="s">
        <v>149</v>
      </c>
      <c r="B23" s="320"/>
      <c r="C23" s="320"/>
      <c r="D23" s="245">
        <v>1.39</v>
      </c>
    </row>
    <row r="24" spans="1:31" x14ac:dyDescent="0.25">
      <c r="A24" s="247" t="s">
        <v>124</v>
      </c>
    </row>
    <row r="25" spans="1:31" x14ac:dyDescent="0.25">
      <c r="A25" s="4" t="s">
        <v>128</v>
      </c>
      <c r="E25" s="54">
        <f>'Minigrids - 1 item'!C76</f>
        <v>27361</v>
      </c>
      <c r="F25" s="54">
        <f>'Minigrids - 1 item'!D76</f>
        <v>2736.1000000000004</v>
      </c>
      <c r="G25" s="54">
        <f>'Minigrids - 1 item'!E76</f>
        <v>2736.1000000000004</v>
      </c>
      <c r="H25" s="54">
        <f>'Minigrids - 1 item'!F76</f>
        <v>2736.1000000000004</v>
      </c>
      <c r="I25" s="54">
        <f>'Minigrids - 1 item'!G76</f>
        <v>2736.1000000000004</v>
      </c>
      <c r="J25" s="54">
        <f>'Minigrids - 1 item'!H76</f>
        <v>2736.1000000000004</v>
      </c>
      <c r="K25" s="54">
        <f>'Minigrids - 1 item'!I76</f>
        <v>2736.1000000000004</v>
      </c>
      <c r="L25" s="54">
        <f>'Minigrids - 1 item'!J76</f>
        <v>2736.1000000000004</v>
      </c>
      <c r="M25" s="54">
        <f>'Minigrids - 1 item'!K76</f>
        <v>2736.1000000000004</v>
      </c>
      <c r="N25" s="54">
        <f>'Minigrids - 1 item'!L76</f>
        <v>2736.1000000000004</v>
      </c>
      <c r="O25" s="54">
        <f>'Minigrids - 1 item'!M76</f>
        <v>2736.1000000000004</v>
      </c>
      <c r="P25" s="54">
        <f>'Minigrids - 1 item'!N76</f>
        <v>2736.1000000000004</v>
      </c>
      <c r="Q25" s="54">
        <f>'Minigrids - 1 item'!O76</f>
        <v>2736.1000000000004</v>
      </c>
      <c r="R25" s="54">
        <f>'Minigrids - 1 item'!P76</f>
        <v>2736.1000000000004</v>
      </c>
      <c r="S25" s="54">
        <f>'Minigrids - 1 item'!Q76</f>
        <v>2736.1000000000004</v>
      </c>
      <c r="T25" s="54">
        <f>'Minigrids - 1 item'!R76</f>
        <v>2736.1000000000004</v>
      </c>
      <c r="U25" s="54">
        <f>'Minigrids - 1 item'!S76</f>
        <v>2736.1000000000004</v>
      </c>
      <c r="V25" s="54">
        <f>'Minigrids - 1 item'!T76</f>
        <v>2736.1000000000004</v>
      </c>
      <c r="W25" s="54">
        <f>'Minigrids - 1 item'!U76</f>
        <v>2736.1000000000004</v>
      </c>
      <c r="X25" s="54">
        <f>'Minigrids - 1 item'!V76</f>
        <v>2736.1000000000004</v>
      </c>
      <c r="Y25" s="54">
        <f>'Minigrids - 1 item'!W76</f>
        <v>2736.1000000000004</v>
      </c>
      <c r="Z25" s="54">
        <f>'Minigrids - 1 item'!X76</f>
        <v>2736.1000000000004</v>
      </c>
      <c r="AA25" s="54">
        <f>'Minigrids - 1 item'!Y76</f>
        <v>2736.1000000000004</v>
      </c>
      <c r="AB25" s="54">
        <f>'Minigrids - 1 item'!Z76</f>
        <v>2736.1000000000004</v>
      </c>
      <c r="AC25" s="54">
        <f>'Minigrids - 1 item'!AA76</f>
        <v>2736.1000000000004</v>
      </c>
      <c r="AD25" s="54">
        <f>'Minigrids - 1 item'!AB76</f>
        <v>2736.1000000000004</v>
      </c>
      <c r="AE25" s="4" t="s">
        <v>12</v>
      </c>
    </row>
    <row r="26" spans="1:31" x14ac:dyDescent="0.25">
      <c r="A26" s="4" t="s">
        <v>129</v>
      </c>
      <c r="E26" s="57">
        <f>'Minigrids - 1 item'!C86*$D$23</f>
        <v>0</v>
      </c>
      <c r="F26" s="57">
        <f>'Minigrids - 1 item'!D86*$D$23</f>
        <v>4508.5150399999993</v>
      </c>
      <c r="G26" s="57">
        <f>'Minigrids - 1 item'!E86*$D$23</f>
        <v>4508.5150399999993</v>
      </c>
      <c r="H26" s="57">
        <f>'Minigrids - 1 item'!F86*$D$23</f>
        <v>4508.5150399999993</v>
      </c>
      <c r="I26" s="57">
        <f>'Minigrids - 1 item'!G86*$D$23</f>
        <v>4508.5150399999993</v>
      </c>
      <c r="J26" s="57">
        <f>'Minigrids - 1 item'!H86*$D$23</f>
        <v>4508.5150399999993</v>
      </c>
      <c r="K26" s="57">
        <f>'Minigrids - 1 item'!I86*$D$23</f>
        <v>4508.5150399999993</v>
      </c>
      <c r="L26" s="57">
        <f>'Minigrids - 1 item'!J86*$D$23</f>
        <v>4508.5150399999993</v>
      </c>
      <c r="M26" s="57">
        <f>'Minigrids - 1 item'!K86*$D$23</f>
        <v>4508.5150399999993</v>
      </c>
      <c r="N26" s="57">
        <f>'Minigrids - 1 item'!L86*$D$23</f>
        <v>4508.5150399999993</v>
      </c>
      <c r="O26" s="57">
        <f>'Minigrids - 1 item'!M86*$D$23</f>
        <v>4508.5150399999993</v>
      </c>
      <c r="P26" s="57">
        <f>'Minigrids - 1 item'!N86*$D$23</f>
        <v>4508.5150399999993</v>
      </c>
      <c r="Q26" s="57">
        <f>'Minigrids - 1 item'!O86*$D$23</f>
        <v>4508.5150399999993</v>
      </c>
      <c r="R26" s="57">
        <f>'Minigrids - 1 item'!P86*$D$23</f>
        <v>4508.5150399999993</v>
      </c>
      <c r="S26" s="57">
        <f>'Minigrids - 1 item'!Q86*$D$23</f>
        <v>4508.5150399999993</v>
      </c>
      <c r="T26" s="57">
        <f>'Minigrids - 1 item'!R86*$D$23</f>
        <v>4508.5150399999993</v>
      </c>
      <c r="U26" s="57">
        <f>'Minigrids - 1 item'!S86*$D$23</f>
        <v>4508.5150399999993</v>
      </c>
      <c r="V26" s="57">
        <f>'Minigrids - 1 item'!T86*$D$23</f>
        <v>4508.5150399999993</v>
      </c>
      <c r="W26" s="57">
        <f>'Minigrids - 1 item'!U86*$D$23</f>
        <v>4508.5150399999993</v>
      </c>
      <c r="X26" s="57">
        <f>'Minigrids - 1 item'!V86*$D$23</f>
        <v>4508.5150399999993</v>
      </c>
      <c r="Y26" s="57">
        <f>'Minigrids - 1 item'!W86*$D$23</f>
        <v>4508.5150399999993</v>
      </c>
      <c r="Z26" s="57">
        <f>'Minigrids - 1 item'!X86*$D$23</f>
        <v>4508.5150399999993</v>
      </c>
      <c r="AA26" s="57">
        <f>'Minigrids - 1 item'!Y86*$D$23</f>
        <v>4508.5150399999993</v>
      </c>
      <c r="AB26" s="57">
        <f>'Minigrids - 1 item'!Z86*$D$23</f>
        <v>4508.5150399999993</v>
      </c>
      <c r="AC26" s="57">
        <f>'Minigrids - 1 item'!AA86*$D$23</f>
        <v>4508.5150399999993</v>
      </c>
      <c r="AD26" s="57">
        <f>'Minigrids - 1 item'!AB86*$D$23</f>
        <v>4508.5150399999993</v>
      </c>
      <c r="AE26" s="4" t="s">
        <v>12</v>
      </c>
    </row>
    <row r="27" spans="1:31" x14ac:dyDescent="0.25">
      <c r="A27" s="4" t="s">
        <v>130</v>
      </c>
      <c r="E27" s="57">
        <f>E26-E25</f>
        <v>-27361</v>
      </c>
      <c r="F27" s="57">
        <f t="shared" ref="F27:X27" si="4">F26-F25</f>
        <v>1772.415039999999</v>
      </c>
      <c r="G27" s="57">
        <f t="shared" si="4"/>
        <v>1772.415039999999</v>
      </c>
      <c r="H27" s="57">
        <f t="shared" si="4"/>
        <v>1772.415039999999</v>
      </c>
      <c r="I27" s="57">
        <f t="shared" si="4"/>
        <v>1772.415039999999</v>
      </c>
      <c r="J27" s="57">
        <f t="shared" si="4"/>
        <v>1772.415039999999</v>
      </c>
      <c r="K27" s="57">
        <f t="shared" si="4"/>
        <v>1772.415039999999</v>
      </c>
      <c r="L27" s="57">
        <f t="shared" si="4"/>
        <v>1772.415039999999</v>
      </c>
      <c r="M27" s="57">
        <f t="shared" si="4"/>
        <v>1772.415039999999</v>
      </c>
      <c r="N27" s="57">
        <f t="shared" si="4"/>
        <v>1772.415039999999</v>
      </c>
      <c r="O27" s="57">
        <f t="shared" si="4"/>
        <v>1772.415039999999</v>
      </c>
      <c r="P27" s="57">
        <f t="shared" si="4"/>
        <v>1772.415039999999</v>
      </c>
      <c r="Q27" s="57">
        <f t="shared" si="4"/>
        <v>1772.415039999999</v>
      </c>
      <c r="R27" s="57">
        <f t="shared" si="4"/>
        <v>1772.415039999999</v>
      </c>
      <c r="S27" s="57">
        <f t="shared" si="4"/>
        <v>1772.415039999999</v>
      </c>
      <c r="T27" s="57">
        <f t="shared" si="4"/>
        <v>1772.415039999999</v>
      </c>
      <c r="U27" s="57">
        <f t="shared" si="4"/>
        <v>1772.415039999999</v>
      </c>
      <c r="V27" s="57">
        <f t="shared" si="4"/>
        <v>1772.415039999999</v>
      </c>
      <c r="W27" s="57">
        <f t="shared" si="4"/>
        <v>1772.415039999999</v>
      </c>
      <c r="X27" s="57">
        <f t="shared" si="4"/>
        <v>1772.415039999999</v>
      </c>
      <c r="Y27" s="57">
        <f t="shared" ref="Y27:AD27" si="5">Y26-Y25</f>
        <v>1772.415039999999</v>
      </c>
      <c r="Z27" s="57">
        <f t="shared" si="5"/>
        <v>1772.415039999999</v>
      </c>
      <c r="AA27" s="57">
        <f t="shared" si="5"/>
        <v>1772.415039999999</v>
      </c>
      <c r="AB27" s="57">
        <f t="shared" si="5"/>
        <v>1772.415039999999</v>
      </c>
      <c r="AC27" s="57">
        <f t="shared" si="5"/>
        <v>1772.415039999999</v>
      </c>
      <c r="AD27" s="57">
        <f t="shared" si="5"/>
        <v>1772.415039999999</v>
      </c>
      <c r="AE27" s="4" t="s">
        <v>12</v>
      </c>
    </row>
    <row r="29" spans="1:31" x14ac:dyDescent="0.25">
      <c r="A29" s="4" t="s">
        <v>84</v>
      </c>
      <c r="C29" s="12">
        <f>XNPV(B$31,E27:AD27,$E$1:$AD$1)</f>
        <v>320.74777924534953</v>
      </c>
    </row>
    <row r="30" spans="1:31" x14ac:dyDescent="0.25">
      <c r="A30" s="4" t="s">
        <v>83</v>
      </c>
      <c r="C30" s="249">
        <f>XIRR(E27:AD27,$E$1:$AD$1,0.1)</f>
        <v>4.1105356812477123E-2</v>
      </c>
    </row>
    <row r="31" spans="1:31" x14ac:dyDescent="0.25">
      <c r="A31" s="4" t="s">
        <v>79</v>
      </c>
      <c r="B31">
        <v>0.04</v>
      </c>
    </row>
    <row r="32" spans="1:31" x14ac:dyDescent="0.25">
      <c r="A32" s="4"/>
    </row>
    <row r="33" spans="1:31" x14ac:dyDescent="0.25">
      <c r="A33" s="320" t="s">
        <v>149</v>
      </c>
      <c r="B33" s="320"/>
      <c r="C33" s="320"/>
      <c r="D33" s="245">
        <v>1.39</v>
      </c>
    </row>
    <row r="34" spans="1:31" x14ac:dyDescent="0.25">
      <c r="A34" s="247" t="s">
        <v>14</v>
      </c>
    </row>
    <row r="35" spans="1:31" x14ac:dyDescent="0.25">
      <c r="A35" s="4" t="s">
        <v>128</v>
      </c>
      <c r="E35" s="54">
        <f>'Minigrids - 1 item'!C109</f>
        <v>27361</v>
      </c>
      <c r="F35" s="54">
        <f>'Minigrids - 1 item'!D109</f>
        <v>2736.1000000000004</v>
      </c>
      <c r="G35" s="54">
        <f>'Minigrids - 1 item'!E109</f>
        <v>2736.1000000000004</v>
      </c>
      <c r="H35" s="54">
        <f>'Minigrids - 1 item'!F109</f>
        <v>2736.1000000000004</v>
      </c>
      <c r="I35" s="54">
        <f>'Minigrids - 1 item'!G109</f>
        <v>2736.1000000000004</v>
      </c>
      <c r="J35" s="54">
        <f>'Minigrids - 1 item'!H109</f>
        <v>2736.1000000000004</v>
      </c>
      <c r="K35" s="54">
        <f>'Minigrids - 1 item'!I109</f>
        <v>2736.1000000000004</v>
      </c>
      <c r="L35" s="54">
        <f>'Minigrids - 1 item'!J109</f>
        <v>2736.1000000000004</v>
      </c>
      <c r="M35" s="54">
        <f>'Minigrids - 1 item'!K109</f>
        <v>2736.1000000000004</v>
      </c>
      <c r="N35" s="54">
        <f>'Minigrids - 1 item'!L109</f>
        <v>2736.1000000000004</v>
      </c>
      <c r="O35" s="54">
        <f>'Minigrids - 1 item'!M109</f>
        <v>2736.1000000000004</v>
      </c>
      <c r="P35" s="54">
        <f>'Minigrids - 1 item'!N109</f>
        <v>2736.1000000000004</v>
      </c>
      <c r="Q35" s="54">
        <f>'Minigrids - 1 item'!O109</f>
        <v>2736.1000000000004</v>
      </c>
      <c r="R35" s="54">
        <f>'Minigrids - 1 item'!P109</f>
        <v>2736.1000000000004</v>
      </c>
      <c r="S35" s="54">
        <f>'Minigrids - 1 item'!Q109</f>
        <v>2736.1000000000004</v>
      </c>
      <c r="T35" s="54">
        <f>'Minigrids - 1 item'!R109</f>
        <v>2736.1000000000004</v>
      </c>
      <c r="U35" s="54">
        <f>'Minigrids - 1 item'!S109</f>
        <v>2736.1000000000004</v>
      </c>
      <c r="V35" s="54">
        <f>'Minigrids - 1 item'!T109</f>
        <v>2736.1000000000004</v>
      </c>
      <c r="W35" s="54">
        <f>'Minigrids - 1 item'!U109</f>
        <v>2736.1000000000004</v>
      </c>
      <c r="X35" s="54">
        <f>'Minigrids - 1 item'!V109</f>
        <v>2736.1000000000004</v>
      </c>
      <c r="Y35" s="54">
        <f>'Minigrids - 1 item'!W109</f>
        <v>2736.1000000000004</v>
      </c>
      <c r="Z35" s="54">
        <f>'Minigrids - 1 item'!X109</f>
        <v>2736.1000000000004</v>
      </c>
      <c r="AA35" s="54">
        <f>'Minigrids - 1 item'!Y109</f>
        <v>2736.1000000000004</v>
      </c>
      <c r="AB35" s="54">
        <f>'Minigrids - 1 item'!Z109</f>
        <v>2736.1000000000004</v>
      </c>
      <c r="AC35" s="54">
        <f>'Minigrids - 1 item'!AA109</f>
        <v>2736.1000000000004</v>
      </c>
      <c r="AD35" s="54">
        <f>'Minigrids - 1 item'!AB109</f>
        <v>2736.1000000000004</v>
      </c>
      <c r="AE35" s="4" t="s">
        <v>12</v>
      </c>
    </row>
    <row r="36" spans="1:31" x14ac:dyDescent="0.25">
      <c r="A36" s="4" t="s">
        <v>129</v>
      </c>
      <c r="E36" s="57">
        <f>'Minigrids - 1 item'!C119*$D$33</f>
        <v>0</v>
      </c>
      <c r="F36" s="57">
        <f>'Minigrids - 1 item'!D119*$D$33</f>
        <v>4508.5150399999993</v>
      </c>
      <c r="G36" s="57">
        <f>'Minigrids - 1 item'!E119*$D$33</f>
        <v>4508.5150399999993</v>
      </c>
      <c r="H36" s="57">
        <f>'Minigrids - 1 item'!F119*$D$33</f>
        <v>4508.5150399999993</v>
      </c>
      <c r="I36" s="57">
        <f>'Minigrids - 1 item'!G119*$D$33</f>
        <v>4508.5150399999993</v>
      </c>
      <c r="J36" s="57">
        <f>'Minigrids - 1 item'!H119*$D$33</f>
        <v>4508.5150399999993</v>
      </c>
      <c r="K36" s="57">
        <f>'Minigrids - 1 item'!I119*$D$33</f>
        <v>4508.5150399999993</v>
      </c>
      <c r="L36" s="57">
        <f>'Minigrids - 1 item'!J119*$D$33</f>
        <v>4508.5150399999993</v>
      </c>
      <c r="M36" s="57">
        <f>'Minigrids - 1 item'!K119*$D$33</f>
        <v>4508.5150399999993</v>
      </c>
      <c r="N36" s="57">
        <f>'Minigrids - 1 item'!L119*$D$33</f>
        <v>4508.5150399999993</v>
      </c>
      <c r="O36" s="57">
        <f>'Minigrids - 1 item'!M119*$D$33</f>
        <v>4508.5150399999993</v>
      </c>
      <c r="P36" s="57">
        <f>'Minigrids - 1 item'!N119*$D$33</f>
        <v>4508.5150399999993</v>
      </c>
      <c r="Q36" s="57">
        <f>'Minigrids - 1 item'!O119*$D$33</f>
        <v>4508.5150399999993</v>
      </c>
      <c r="R36" s="57">
        <f>'Minigrids - 1 item'!P119*$D$33</f>
        <v>4508.5150399999993</v>
      </c>
      <c r="S36" s="57">
        <f>'Minigrids - 1 item'!Q119*$D$33</f>
        <v>4508.5150399999993</v>
      </c>
      <c r="T36" s="57">
        <f>'Minigrids - 1 item'!R119*$D$33</f>
        <v>4508.5150399999993</v>
      </c>
      <c r="U36" s="57">
        <f>'Minigrids - 1 item'!S119*$D$33</f>
        <v>4508.5150399999993</v>
      </c>
      <c r="V36" s="57">
        <f>'Minigrids - 1 item'!T119*$D$33</f>
        <v>4508.5150399999993</v>
      </c>
      <c r="W36" s="57">
        <f>'Minigrids - 1 item'!U119*$D$33</f>
        <v>4508.5150399999993</v>
      </c>
      <c r="X36" s="57">
        <f>'Minigrids - 1 item'!V119*$D$33</f>
        <v>4508.5150399999993</v>
      </c>
      <c r="Y36" s="57">
        <f>'Minigrids - 1 item'!W119*$D$33</f>
        <v>4508.5150399999993</v>
      </c>
      <c r="Z36" s="57">
        <f>'Minigrids - 1 item'!X119*$D$33</f>
        <v>4508.5150399999993</v>
      </c>
      <c r="AA36" s="57">
        <f>'Minigrids - 1 item'!Y119*$D$33</f>
        <v>4508.5150399999993</v>
      </c>
      <c r="AB36" s="57">
        <f>'Minigrids - 1 item'!Z119*$D$33</f>
        <v>4508.5150399999993</v>
      </c>
      <c r="AC36" s="57">
        <f>'Minigrids - 1 item'!AA119*$D$33</f>
        <v>4508.5150399999993</v>
      </c>
      <c r="AD36" s="57">
        <f>'Minigrids - 1 item'!AB119*$D$33</f>
        <v>4508.5150399999993</v>
      </c>
      <c r="AE36" s="4" t="s">
        <v>12</v>
      </c>
    </row>
    <row r="37" spans="1:31" x14ac:dyDescent="0.25">
      <c r="A37" s="4" t="s">
        <v>130</v>
      </c>
      <c r="E37" s="57">
        <f>E36-E35</f>
        <v>-27361</v>
      </c>
      <c r="F37" s="57">
        <f t="shared" ref="F37:X37" si="6">F36-F35</f>
        <v>1772.415039999999</v>
      </c>
      <c r="G37" s="57">
        <f t="shared" si="6"/>
        <v>1772.415039999999</v>
      </c>
      <c r="H37" s="57">
        <f t="shared" si="6"/>
        <v>1772.415039999999</v>
      </c>
      <c r="I37" s="57">
        <f t="shared" si="6"/>
        <v>1772.415039999999</v>
      </c>
      <c r="J37" s="57">
        <f t="shared" si="6"/>
        <v>1772.415039999999</v>
      </c>
      <c r="K37" s="57">
        <f t="shared" si="6"/>
        <v>1772.415039999999</v>
      </c>
      <c r="L37" s="57">
        <f t="shared" si="6"/>
        <v>1772.415039999999</v>
      </c>
      <c r="M37" s="57">
        <f t="shared" si="6"/>
        <v>1772.415039999999</v>
      </c>
      <c r="N37" s="57">
        <f t="shared" si="6"/>
        <v>1772.415039999999</v>
      </c>
      <c r="O37" s="57">
        <f t="shared" si="6"/>
        <v>1772.415039999999</v>
      </c>
      <c r="P37" s="57">
        <f t="shared" si="6"/>
        <v>1772.415039999999</v>
      </c>
      <c r="Q37" s="57">
        <f t="shared" si="6"/>
        <v>1772.415039999999</v>
      </c>
      <c r="R37" s="57">
        <f t="shared" si="6"/>
        <v>1772.415039999999</v>
      </c>
      <c r="S37" s="57">
        <f t="shared" si="6"/>
        <v>1772.415039999999</v>
      </c>
      <c r="T37" s="57">
        <f t="shared" si="6"/>
        <v>1772.415039999999</v>
      </c>
      <c r="U37" s="57">
        <f t="shared" si="6"/>
        <v>1772.415039999999</v>
      </c>
      <c r="V37" s="57">
        <f t="shared" si="6"/>
        <v>1772.415039999999</v>
      </c>
      <c r="W37" s="57">
        <f t="shared" si="6"/>
        <v>1772.415039999999</v>
      </c>
      <c r="X37" s="57">
        <f t="shared" si="6"/>
        <v>1772.415039999999</v>
      </c>
      <c r="Y37" s="57">
        <f t="shared" ref="Y37:AD37" si="7">Y36-Y35</f>
        <v>1772.415039999999</v>
      </c>
      <c r="Z37" s="57">
        <f t="shared" si="7"/>
        <v>1772.415039999999</v>
      </c>
      <c r="AA37" s="57">
        <f t="shared" si="7"/>
        <v>1772.415039999999</v>
      </c>
      <c r="AB37" s="57">
        <f t="shared" si="7"/>
        <v>1772.415039999999</v>
      </c>
      <c r="AC37" s="57">
        <f t="shared" si="7"/>
        <v>1772.415039999999</v>
      </c>
      <c r="AD37" s="57">
        <f t="shared" si="7"/>
        <v>1772.415039999999</v>
      </c>
      <c r="AE37" s="4" t="s">
        <v>12</v>
      </c>
    </row>
    <row r="39" spans="1:31" x14ac:dyDescent="0.25">
      <c r="A39" s="4" t="s">
        <v>84</v>
      </c>
      <c r="C39" s="12">
        <f>XNPV(B$41,E37:AD37,$E$1:$AD$1)</f>
        <v>320.74777924534953</v>
      </c>
    </row>
    <row r="40" spans="1:31" x14ac:dyDescent="0.25">
      <c r="A40" s="4" t="s">
        <v>83</v>
      </c>
      <c r="C40" s="249">
        <f>XIRR(E37:AD37,$E$1:$AD$1,0.1)</f>
        <v>4.1105356812477123E-2</v>
      </c>
    </row>
    <row r="41" spans="1:31" x14ac:dyDescent="0.25">
      <c r="A41" s="4" t="s">
        <v>79</v>
      </c>
      <c r="B41">
        <v>0.04</v>
      </c>
    </row>
    <row r="42" spans="1:31" x14ac:dyDescent="0.25">
      <c r="A42" s="4"/>
    </row>
    <row r="43" spans="1:31" x14ac:dyDescent="0.25">
      <c r="A43" s="320" t="s">
        <v>149</v>
      </c>
      <c r="B43" s="320"/>
      <c r="C43" s="320"/>
      <c r="D43" s="245">
        <v>1.39</v>
      </c>
    </row>
    <row r="44" spans="1:31" x14ac:dyDescent="0.25">
      <c r="A44" s="247" t="s">
        <v>125</v>
      </c>
    </row>
    <row r="45" spans="1:31" x14ac:dyDescent="0.25">
      <c r="A45" s="4" t="s">
        <v>128</v>
      </c>
      <c r="E45" s="54">
        <f>'Minigrids - 1 item'!C142</f>
        <v>27361</v>
      </c>
      <c r="F45" s="54">
        <f>'Minigrids - 1 item'!D142</f>
        <v>2736.1000000000004</v>
      </c>
      <c r="G45" s="54">
        <f>'Minigrids - 1 item'!E142</f>
        <v>2736.1000000000004</v>
      </c>
      <c r="H45" s="54">
        <f>'Minigrids - 1 item'!F142</f>
        <v>2736.1000000000004</v>
      </c>
      <c r="I45" s="54">
        <f>'Minigrids - 1 item'!G142</f>
        <v>2736.1000000000004</v>
      </c>
      <c r="J45" s="54">
        <f>'Minigrids - 1 item'!H142</f>
        <v>2736.1000000000004</v>
      </c>
      <c r="K45" s="54">
        <f>'Minigrids - 1 item'!I142</f>
        <v>2736.1000000000004</v>
      </c>
      <c r="L45" s="54">
        <f>'Minigrids - 1 item'!J142</f>
        <v>2736.1000000000004</v>
      </c>
      <c r="M45" s="54">
        <f>'Minigrids - 1 item'!K142</f>
        <v>2736.1000000000004</v>
      </c>
      <c r="N45" s="54">
        <f>'Minigrids - 1 item'!L142</f>
        <v>2736.1000000000004</v>
      </c>
      <c r="O45" s="54">
        <f>'Minigrids - 1 item'!M142</f>
        <v>2736.1000000000004</v>
      </c>
      <c r="P45" s="54">
        <f>'Minigrids - 1 item'!N142</f>
        <v>2736.1000000000004</v>
      </c>
      <c r="Q45" s="54">
        <f>'Minigrids - 1 item'!O142</f>
        <v>2736.1000000000004</v>
      </c>
      <c r="R45" s="54">
        <f>'Minigrids - 1 item'!P142</f>
        <v>2736.1000000000004</v>
      </c>
      <c r="S45" s="54">
        <f>'Minigrids - 1 item'!Q142</f>
        <v>2736.1000000000004</v>
      </c>
      <c r="T45" s="54">
        <f>'Minigrids - 1 item'!R142</f>
        <v>2736.1000000000004</v>
      </c>
      <c r="U45" s="54">
        <f>'Minigrids - 1 item'!S142</f>
        <v>2736.1000000000004</v>
      </c>
      <c r="V45" s="54">
        <f>'Minigrids - 1 item'!T142</f>
        <v>2736.1000000000004</v>
      </c>
      <c r="W45" s="54">
        <f>'Minigrids - 1 item'!U142</f>
        <v>2736.1000000000004</v>
      </c>
      <c r="X45" s="54">
        <f>'Minigrids - 1 item'!V142</f>
        <v>2736.1000000000004</v>
      </c>
      <c r="Y45" s="54">
        <f>'Minigrids - 1 item'!W142</f>
        <v>2736.1000000000004</v>
      </c>
      <c r="Z45" s="54">
        <f>'Minigrids - 1 item'!X142</f>
        <v>2736.1000000000004</v>
      </c>
      <c r="AA45" s="54">
        <f>'Minigrids - 1 item'!Y142</f>
        <v>2736.1000000000004</v>
      </c>
      <c r="AB45" s="54">
        <f>'Minigrids - 1 item'!Z142</f>
        <v>2736.1000000000004</v>
      </c>
      <c r="AC45" s="54">
        <f>'Minigrids - 1 item'!AA142</f>
        <v>2736.1000000000004</v>
      </c>
      <c r="AD45" s="54">
        <f>'Minigrids - 1 item'!AB142</f>
        <v>2736.1000000000004</v>
      </c>
      <c r="AE45" s="4" t="s">
        <v>12</v>
      </c>
    </row>
    <row r="46" spans="1:31" x14ac:dyDescent="0.25">
      <c r="A46" s="4" t="s">
        <v>129</v>
      </c>
      <c r="E46" s="57">
        <f>'Minigrids - 1 item'!C152*$D$43</f>
        <v>0</v>
      </c>
      <c r="F46" s="57">
        <f>'Minigrids - 1 item'!D152*$D$43</f>
        <v>4508.5150399999993</v>
      </c>
      <c r="G46" s="57">
        <f>'Minigrids - 1 item'!E152*$D$43</f>
        <v>4508.5150399999993</v>
      </c>
      <c r="H46" s="57">
        <f>'Minigrids - 1 item'!F152*$D$43</f>
        <v>4508.5150399999993</v>
      </c>
      <c r="I46" s="57">
        <f>'Minigrids - 1 item'!G152*$D$43</f>
        <v>4508.5150399999993</v>
      </c>
      <c r="J46" s="57">
        <f>'Minigrids - 1 item'!H152*$D$43</f>
        <v>4508.5150399999993</v>
      </c>
      <c r="K46" s="57">
        <f>'Minigrids - 1 item'!I152*$D$43</f>
        <v>4508.5150399999993</v>
      </c>
      <c r="L46" s="57">
        <f>'Minigrids - 1 item'!J152*$D$43</f>
        <v>4508.5150399999993</v>
      </c>
      <c r="M46" s="57">
        <f>'Minigrids - 1 item'!K152*$D$43</f>
        <v>4508.5150399999993</v>
      </c>
      <c r="N46" s="57">
        <f>'Minigrids - 1 item'!L152*$D$43</f>
        <v>4508.5150399999993</v>
      </c>
      <c r="O46" s="57">
        <f>'Minigrids - 1 item'!M152*$D$43</f>
        <v>4508.5150399999993</v>
      </c>
      <c r="P46" s="57">
        <f>'Minigrids - 1 item'!N152*$D$43</f>
        <v>4508.5150399999993</v>
      </c>
      <c r="Q46" s="57">
        <f>'Minigrids - 1 item'!O152*$D$43</f>
        <v>4508.5150399999993</v>
      </c>
      <c r="R46" s="57">
        <f>'Minigrids - 1 item'!P152*$D$43</f>
        <v>4508.5150399999993</v>
      </c>
      <c r="S46" s="57">
        <f>'Minigrids - 1 item'!Q152*$D$43</f>
        <v>4508.5150399999993</v>
      </c>
      <c r="T46" s="57">
        <f>'Minigrids - 1 item'!R152*$D$43</f>
        <v>4508.5150399999993</v>
      </c>
      <c r="U46" s="57">
        <f>'Minigrids - 1 item'!S152*$D$43</f>
        <v>4508.5150399999993</v>
      </c>
      <c r="V46" s="57">
        <f>'Minigrids - 1 item'!T152*$D$43</f>
        <v>4508.5150399999993</v>
      </c>
      <c r="W46" s="57">
        <f>'Minigrids - 1 item'!U152*$D$43</f>
        <v>4508.5150399999993</v>
      </c>
      <c r="X46" s="57">
        <f>'Minigrids - 1 item'!V152*$D$43</f>
        <v>4508.5150399999993</v>
      </c>
      <c r="Y46" s="57">
        <f>'Minigrids - 1 item'!W152*$D$43</f>
        <v>4508.5150399999993</v>
      </c>
      <c r="Z46" s="57">
        <f>'Minigrids - 1 item'!X152*$D$43</f>
        <v>4508.5150399999993</v>
      </c>
      <c r="AA46" s="57">
        <f>'Minigrids - 1 item'!Y152*$D$43</f>
        <v>4508.5150399999993</v>
      </c>
      <c r="AB46" s="57">
        <f>'Minigrids - 1 item'!Z152*$D$43</f>
        <v>4508.5150399999993</v>
      </c>
      <c r="AC46" s="57">
        <f>'Minigrids - 1 item'!AA152*$D$43</f>
        <v>4508.5150399999993</v>
      </c>
      <c r="AD46" s="57">
        <f>'Minigrids - 1 item'!AB152*$D$43</f>
        <v>4508.5150399999993</v>
      </c>
      <c r="AE46" s="4" t="s">
        <v>12</v>
      </c>
    </row>
    <row r="47" spans="1:31" x14ac:dyDescent="0.25">
      <c r="A47" s="4" t="s">
        <v>130</v>
      </c>
      <c r="E47" s="57">
        <f>E46-E45</f>
        <v>-27361</v>
      </c>
      <c r="F47" s="57">
        <f t="shared" ref="F47:X47" si="8">F46-F45</f>
        <v>1772.415039999999</v>
      </c>
      <c r="G47" s="57">
        <f t="shared" si="8"/>
        <v>1772.415039999999</v>
      </c>
      <c r="H47" s="57">
        <f t="shared" si="8"/>
        <v>1772.415039999999</v>
      </c>
      <c r="I47" s="57">
        <f t="shared" si="8"/>
        <v>1772.415039999999</v>
      </c>
      <c r="J47" s="57">
        <f t="shared" si="8"/>
        <v>1772.415039999999</v>
      </c>
      <c r="K47" s="57">
        <f t="shared" si="8"/>
        <v>1772.415039999999</v>
      </c>
      <c r="L47" s="57">
        <f t="shared" si="8"/>
        <v>1772.415039999999</v>
      </c>
      <c r="M47" s="57">
        <f t="shared" si="8"/>
        <v>1772.415039999999</v>
      </c>
      <c r="N47" s="57">
        <f t="shared" si="8"/>
        <v>1772.415039999999</v>
      </c>
      <c r="O47" s="57">
        <f t="shared" si="8"/>
        <v>1772.415039999999</v>
      </c>
      <c r="P47" s="57">
        <f t="shared" si="8"/>
        <v>1772.415039999999</v>
      </c>
      <c r="Q47" s="57">
        <f t="shared" si="8"/>
        <v>1772.415039999999</v>
      </c>
      <c r="R47" s="57">
        <f t="shared" si="8"/>
        <v>1772.415039999999</v>
      </c>
      <c r="S47" s="57">
        <f t="shared" si="8"/>
        <v>1772.415039999999</v>
      </c>
      <c r="T47" s="57">
        <f t="shared" si="8"/>
        <v>1772.415039999999</v>
      </c>
      <c r="U47" s="57">
        <f t="shared" si="8"/>
        <v>1772.415039999999</v>
      </c>
      <c r="V47" s="57">
        <f t="shared" si="8"/>
        <v>1772.415039999999</v>
      </c>
      <c r="W47" s="57">
        <f t="shared" si="8"/>
        <v>1772.415039999999</v>
      </c>
      <c r="X47" s="57">
        <f t="shared" si="8"/>
        <v>1772.415039999999</v>
      </c>
      <c r="Y47" s="57">
        <f t="shared" ref="Y47:AD47" si="9">Y46-Y45</f>
        <v>1772.415039999999</v>
      </c>
      <c r="Z47" s="57">
        <f t="shared" si="9"/>
        <v>1772.415039999999</v>
      </c>
      <c r="AA47" s="57">
        <f t="shared" si="9"/>
        <v>1772.415039999999</v>
      </c>
      <c r="AB47" s="57">
        <f t="shared" si="9"/>
        <v>1772.415039999999</v>
      </c>
      <c r="AC47" s="57">
        <f t="shared" si="9"/>
        <v>1772.415039999999</v>
      </c>
      <c r="AD47" s="57">
        <f t="shared" si="9"/>
        <v>1772.415039999999</v>
      </c>
      <c r="AE47" s="4" t="s">
        <v>12</v>
      </c>
    </row>
    <row r="49" spans="1:3" x14ac:dyDescent="0.25">
      <c r="A49" s="4" t="s">
        <v>84</v>
      </c>
      <c r="C49" s="12">
        <f>XNPV(B$51,E47:AD47,$E$1:$AD$1)</f>
        <v>320.74777924534953</v>
      </c>
    </row>
    <row r="50" spans="1:3" x14ac:dyDescent="0.25">
      <c r="A50" s="4" t="s">
        <v>83</v>
      </c>
      <c r="C50" s="249">
        <f>XIRR(E47:AD47,$E$1:$AD$1,0.1)</f>
        <v>4.1105356812477123E-2</v>
      </c>
    </row>
    <row r="51" spans="1:3" x14ac:dyDescent="0.25">
      <c r="A51" s="4" t="s">
        <v>79</v>
      </c>
      <c r="B51">
        <v>0.04</v>
      </c>
    </row>
    <row r="55" spans="1:3" x14ac:dyDescent="0.25">
      <c r="B55" s="242" t="s">
        <v>83</v>
      </c>
      <c r="C55" s="242" t="s">
        <v>84</v>
      </c>
    </row>
    <row r="56" spans="1:3" x14ac:dyDescent="0.25">
      <c r="A56" s="247" t="s">
        <v>0</v>
      </c>
      <c r="B56" s="250">
        <f>C10</f>
        <v>5.1285788416862488E-2</v>
      </c>
      <c r="C56" s="52">
        <f>C9</f>
        <v>353.81455155617391</v>
      </c>
    </row>
    <row r="57" spans="1:3" x14ac:dyDescent="0.25">
      <c r="A57" s="247" t="s">
        <v>123</v>
      </c>
      <c r="B57" s="270">
        <f>C20</f>
        <v>9.5314869284629816E-2</v>
      </c>
      <c r="C57" s="52">
        <f>C19</f>
        <v>68.041671670924813</v>
      </c>
    </row>
    <row r="58" spans="1:3" x14ac:dyDescent="0.25">
      <c r="A58" s="247" t="s">
        <v>124</v>
      </c>
      <c r="B58" s="250">
        <f>C30</f>
        <v>4.1105356812477123E-2</v>
      </c>
      <c r="C58" s="52">
        <f>C29</f>
        <v>320.74777924534953</v>
      </c>
    </row>
    <row r="59" spans="1:3" x14ac:dyDescent="0.25">
      <c r="A59" s="247" t="s">
        <v>14</v>
      </c>
      <c r="B59" s="250">
        <f>C40</f>
        <v>4.1105356812477123E-2</v>
      </c>
      <c r="C59" s="52">
        <f>C39</f>
        <v>320.74777924534953</v>
      </c>
    </row>
    <row r="60" spans="1:3" x14ac:dyDescent="0.25">
      <c r="A60" s="247" t="s">
        <v>125</v>
      </c>
      <c r="B60" s="250">
        <f>C50</f>
        <v>4.1105356812477123E-2</v>
      </c>
      <c r="C60" s="52">
        <f>C49</f>
        <v>320.74777924534953</v>
      </c>
    </row>
    <row r="61" spans="1:3" x14ac:dyDescent="0.25">
      <c r="C61" s="251"/>
    </row>
  </sheetData>
  <mergeCells count="6">
    <mergeCell ref="A43:C43"/>
    <mergeCell ref="A3:C3"/>
    <mergeCell ref="A1:B1"/>
    <mergeCell ref="A13:C13"/>
    <mergeCell ref="A23:C23"/>
    <mergeCell ref="A33:C3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Summary of Results</vt:lpstr>
      <vt:lpstr>Minigrids - BF</vt:lpstr>
      <vt:lpstr>Minigrids - GH</vt:lpstr>
      <vt:lpstr>Minigrids - CIV</vt:lpstr>
      <vt:lpstr>Minigrids - ML</vt:lpstr>
      <vt:lpstr>Minigrids - SN</vt:lpstr>
      <vt:lpstr>Minigrids - 1 item</vt:lpstr>
      <vt:lpstr>Interventions</vt:lpstr>
      <vt:lpstr>Minigrids - Parity</vt:lpstr>
      <vt:lpstr>Minigrids -20% revenues</vt:lpstr>
      <vt:lpstr>Carbon avoided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Marco Guzzetti</cp:lastModifiedBy>
  <dcterms:created xsi:type="dcterms:W3CDTF">2015-06-05T18:17:20Z</dcterms:created>
  <dcterms:modified xsi:type="dcterms:W3CDTF">2021-11-09T11:15:08Z</dcterms:modified>
</cp:coreProperties>
</file>