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acer\Dropbox\MESI\2021\IFAD\IFADOctober\Minigrids\November\Investor\Minigrids Parity\"/>
    </mc:Choice>
  </mc:AlternateContent>
  <xr:revisionPtr revIDLastSave="0" documentId="13_ncr:1_{B6C96D21-68B6-4DD0-8DAC-420FE58FEDEB}" xr6:coauthVersionLast="47" xr6:coauthVersionMax="47" xr10:uidLastSave="{00000000-0000-0000-0000-000000000000}"/>
  <bookViews>
    <workbookView xWindow="-120" yWindow="-120" windowWidth="20730" windowHeight="11160" firstSheet="3" activeTab="7" xr2:uid="{3B738C3B-5D9C-48C7-8547-50B2D911D36F}"/>
  </bookViews>
  <sheets>
    <sheet name="Summary of Results" sheetId="30" r:id="rId1"/>
    <sheet name="Minigrids - BF" sheetId="2" r:id="rId2"/>
    <sheet name="Minigrids - GH" sheetId="32" r:id="rId3"/>
    <sheet name="Minigrids - CIV" sheetId="33" r:id="rId4"/>
    <sheet name="Minigrids - ML" sheetId="34" r:id="rId5"/>
    <sheet name="Minigrids - SN" sheetId="35" r:id="rId6"/>
    <sheet name="Minigrids - 1 item" sheetId="31" r:id="rId7"/>
    <sheet name="Interventions" sheetId="1" r:id="rId8"/>
    <sheet name="Minigrids - Parity" sheetId="36" r:id="rId9"/>
    <sheet name="Minigrids -20% revenues" sheetId="37" r:id="rId10"/>
    <sheet name="Carbon avoided" sheetId="3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36" l="1"/>
  <c r="C66" i="2"/>
  <c r="C66" i="32"/>
  <c r="C64" i="32"/>
  <c r="C66" i="33"/>
  <c r="C65" i="33"/>
  <c r="C64" i="33"/>
  <c r="C66" i="34"/>
  <c r="C64" i="34"/>
  <c r="C66" i="35"/>
  <c r="C64" i="35"/>
  <c r="C65" i="35" l="1"/>
  <c r="C65" i="34"/>
  <c r="C64" i="2"/>
  <c r="B162" i="31"/>
  <c r="B161" i="31"/>
  <c r="B129" i="31"/>
  <c r="B128" i="31"/>
  <c r="B96" i="31"/>
  <c r="B95" i="31"/>
  <c r="B62" i="31"/>
  <c r="B63" i="31"/>
  <c r="B30" i="31"/>
  <c r="B29" i="31"/>
  <c r="E151" i="31"/>
  <c r="F151" i="31"/>
  <c r="G151" i="31"/>
  <c r="H151" i="31"/>
  <c r="I151" i="31"/>
  <c r="J151" i="31"/>
  <c r="K151" i="31"/>
  <c r="L151" i="31"/>
  <c r="M151" i="31"/>
  <c r="N151" i="31"/>
  <c r="O151" i="31"/>
  <c r="P151" i="31"/>
  <c r="Q151" i="31"/>
  <c r="R151" i="31"/>
  <c r="S151" i="31"/>
  <c r="T151" i="31"/>
  <c r="U151" i="31"/>
  <c r="V151" i="31"/>
  <c r="W151" i="31"/>
  <c r="X151" i="31"/>
  <c r="Y151" i="31"/>
  <c r="Z151" i="31"/>
  <c r="AA151" i="31"/>
  <c r="AB151" i="31"/>
  <c r="D151" i="31"/>
  <c r="E118" i="31"/>
  <c r="F118" i="31"/>
  <c r="G118" i="31"/>
  <c r="H118" i="31"/>
  <c r="I118" i="31"/>
  <c r="J118" i="31"/>
  <c r="K118" i="31"/>
  <c r="L118" i="31"/>
  <c r="M118" i="31"/>
  <c r="N118" i="31"/>
  <c r="O118" i="31"/>
  <c r="P118" i="31"/>
  <c r="Q118" i="31"/>
  <c r="R118" i="31"/>
  <c r="S118" i="31"/>
  <c r="T118" i="31"/>
  <c r="U118" i="31"/>
  <c r="V118" i="31"/>
  <c r="W118" i="31"/>
  <c r="X118" i="31"/>
  <c r="Y118" i="31"/>
  <c r="Z118" i="31"/>
  <c r="AA118" i="31"/>
  <c r="AB118" i="31"/>
  <c r="D118" i="31"/>
  <c r="E85" i="31"/>
  <c r="F85" i="31"/>
  <c r="G85" i="31"/>
  <c r="H85" i="31"/>
  <c r="I85" i="31"/>
  <c r="J85" i="31"/>
  <c r="K85" i="31"/>
  <c r="L85" i="31"/>
  <c r="M85" i="31"/>
  <c r="N85" i="31"/>
  <c r="O85" i="31"/>
  <c r="P85" i="31"/>
  <c r="Q85" i="31"/>
  <c r="R85" i="31"/>
  <c r="S85" i="31"/>
  <c r="T85" i="31"/>
  <c r="U85" i="31"/>
  <c r="V85" i="31"/>
  <c r="W85" i="31"/>
  <c r="X85" i="31"/>
  <c r="Y85" i="31"/>
  <c r="Z85" i="31"/>
  <c r="AA85" i="31"/>
  <c r="AB85" i="31"/>
  <c r="D85" i="31"/>
  <c r="E52" i="31"/>
  <c r="F52" i="31"/>
  <c r="G52" i="31"/>
  <c r="H52" i="31"/>
  <c r="I52" i="31"/>
  <c r="J52" i="31"/>
  <c r="K52" i="31"/>
  <c r="L52" i="31"/>
  <c r="M52" i="31"/>
  <c r="N52" i="31"/>
  <c r="O52" i="31"/>
  <c r="P52" i="31"/>
  <c r="Q52" i="31"/>
  <c r="R52" i="31"/>
  <c r="S52" i="31"/>
  <c r="T52" i="31"/>
  <c r="U52" i="31"/>
  <c r="V52" i="31"/>
  <c r="W52" i="31"/>
  <c r="X52" i="31"/>
  <c r="Y52" i="31"/>
  <c r="Z52" i="31"/>
  <c r="AA52" i="31"/>
  <c r="AB52" i="31"/>
  <c r="D52" i="31"/>
  <c r="I14" i="1"/>
  <c r="H14" i="1"/>
  <c r="G14" i="1"/>
  <c r="F14" i="1"/>
  <c r="P18" i="1"/>
  <c r="P17" i="1"/>
  <c r="P16" i="1"/>
  <c r="P15" i="1"/>
  <c r="P14" i="1"/>
  <c r="I13" i="1"/>
  <c r="H13" i="1"/>
  <c r="G13" i="1"/>
  <c r="F13" i="1"/>
  <c r="E13" i="1"/>
  <c r="F9" i="38"/>
  <c r="G9" i="38"/>
  <c r="H9" i="38"/>
  <c r="I9" i="38"/>
  <c r="J9" i="38"/>
  <c r="K9" i="38"/>
  <c r="L9" i="38"/>
  <c r="M9" i="38"/>
  <c r="N9" i="38"/>
  <c r="O9" i="38"/>
  <c r="P9" i="38"/>
  <c r="Q9" i="38"/>
  <c r="R9" i="38"/>
  <c r="S9" i="38"/>
  <c r="T9" i="38"/>
  <c r="U9" i="38"/>
  <c r="V9" i="38"/>
  <c r="W9" i="38"/>
  <c r="X9" i="38"/>
  <c r="Y9" i="38"/>
  <c r="Z9" i="38"/>
  <c r="AA9" i="38"/>
  <c r="AB9" i="38"/>
  <c r="AC9" i="38"/>
  <c r="E9" i="38"/>
  <c r="C34" i="2"/>
  <c r="C34" i="32"/>
  <c r="C34" i="33"/>
  <c r="C34" i="34"/>
  <c r="C20" i="31"/>
  <c r="C53" i="31"/>
  <c r="C86" i="31"/>
  <c r="C119" i="31"/>
  <c r="C152" i="31"/>
  <c r="E14" i="1" l="1"/>
  <c r="Y5" i="38"/>
  <c r="Z5" i="38" s="1"/>
  <c r="Y12" i="38"/>
  <c r="X111" i="31" s="1"/>
  <c r="X144" i="31" l="1"/>
  <c r="X12" i="31"/>
  <c r="X78" i="31"/>
  <c r="X45" i="31"/>
  <c r="AA5" i="38"/>
  <c r="Z12" i="38"/>
  <c r="E5" i="38"/>
  <c r="F5" i="38" s="1"/>
  <c r="Y12" i="31" l="1"/>
  <c r="Y144" i="31"/>
  <c r="Y45" i="31"/>
  <c r="Y111" i="31"/>
  <c r="Y78" i="31"/>
  <c r="AA12" i="38"/>
  <c r="AB5" i="38"/>
  <c r="E12" i="38"/>
  <c r="G5" i="38"/>
  <c r="F12" i="38"/>
  <c r="D144" i="31" l="1"/>
  <c r="D78" i="31"/>
  <c r="D12" i="31"/>
  <c r="D111" i="31"/>
  <c r="D45" i="31"/>
  <c r="E144" i="31"/>
  <c r="E78" i="31"/>
  <c r="E12" i="31"/>
  <c r="E111" i="31"/>
  <c r="E45" i="31"/>
  <c r="Z12" i="31"/>
  <c r="Z45" i="31"/>
  <c r="Z78" i="31"/>
  <c r="Z144" i="31"/>
  <c r="Z111" i="31"/>
  <c r="AC5" i="38"/>
  <c r="AC12" i="38" s="1"/>
  <c r="AB12" i="38"/>
  <c r="H5" i="38"/>
  <c r="G12" i="38"/>
  <c r="AB12" i="31" l="1"/>
  <c r="AB111" i="31"/>
  <c r="AB144" i="31"/>
  <c r="AB78" i="31"/>
  <c r="AB45" i="31"/>
  <c r="F45" i="31"/>
  <c r="F12" i="31"/>
  <c r="F111" i="31"/>
  <c r="F144" i="31"/>
  <c r="F78" i="31"/>
  <c r="AA12" i="31"/>
  <c r="AA78" i="31"/>
  <c r="AA45" i="31"/>
  <c r="AA111" i="31"/>
  <c r="AA144" i="31"/>
  <c r="H12" i="38"/>
  <c r="I5" i="38"/>
  <c r="G78" i="31" l="1"/>
  <c r="G45" i="31"/>
  <c r="G12" i="31"/>
  <c r="G111" i="31"/>
  <c r="G144" i="31"/>
  <c r="I12" i="38"/>
  <c r="J5" i="38"/>
  <c r="H111" i="31" l="1"/>
  <c r="H78" i="31"/>
  <c r="H45" i="31"/>
  <c r="H12" i="31"/>
  <c r="H144" i="31"/>
  <c r="K5" i="38"/>
  <c r="J12" i="38"/>
  <c r="I144" i="31" l="1"/>
  <c r="I45" i="31"/>
  <c r="I111" i="31"/>
  <c r="I78" i="31"/>
  <c r="I12" i="31"/>
  <c r="L5" i="38"/>
  <c r="K12" i="38"/>
  <c r="J45" i="31" l="1"/>
  <c r="J12" i="31"/>
  <c r="J78" i="31"/>
  <c r="J144" i="31"/>
  <c r="J111" i="31"/>
  <c r="L12" i="38"/>
  <c r="M5" i="38"/>
  <c r="K78" i="31" l="1"/>
  <c r="K144" i="31"/>
  <c r="K111" i="31"/>
  <c r="K45" i="31"/>
  <c r="K12" i="31"/>
  <c r="M12" i="38"/>
  <c r="N5" i="38"/>
  <c r="L111" i="31" l="1"/>
  <c r="L45" i="31"/>
  <c r="L78" i="31"/>
  <c r="L12" i="31"/>
  <c r="L144" i="31"/>
  <c r="O5" i="38"/>
  <c r="N12" i="38"/>
  <c r="M144" i="31" l="1"/>
  <c r="M78" i="31"/>
  <c r="M12" i="31"/>
  <c r="M111" i="31"/>
  <c r="M45" i="31"/>
  <c r="P5" i="38"/>
  <c r="O12" i="38"/>
  <c r="N45" i="31" l="1"/>
  <c r="N12" i="31"/>
  <c r="N111" i="31"/>
  <c r="N78" i="31"/>
  <c r="N144" i="31"/>
  <c r="P12" i="38"/>
  <c r="Q5" i="38"/>
  <c r="O78" i="31" l="1"/>
  <c r="O12" i="31"/>
  <c r="O111" i="31"/>
  <c r="O45" i="31"/>
  <c r="O144" i="31"/>
  <c r="R5" i="38"/>
  <c r="Q12" i="38"/>
  <c r="P111" i="31" l="1"/>
  <c r="P78" i="31"/>
  <c r="P45" i="31"/>
  <c r="P12" i="31"/>
  <c r="P144" i="31"/>
  <c r="S5" i="38"/>
  <c r="R12" i="38"/>
  <c r="Q144" i="31" l="1"/>
  <c r="Q45" i="31"/>
  <c r="Q111" i="31"/>
  <c r="Q78" i="31"/>
  <c r="Q12" i="31"/>
  <c r="T5" i="38"/>
  <c r="S12" i="38"/>
  <c r="R45" i="31" l="1"/>
  <c r="R12" i="31"/>
  <c r="R78" i="31"/>
  <c r="R144" i="31"/>
  <c r="R111" i="31"/>
  <c r="T12" i="38"/>
  <c r="U5" i="38"/>
  <c r="S78" i="31" l="1"/>
  <c r="S45" i="31"/>
  <c r="S12" i="31"/>
  <c r="S111" i="31"/>
  <c r="S144" i="31"/>
  <c r="U12" i="38"/>
  <c r="V5" i="38"/>
  <c r="T111" i="31" l="1"/>
  <c r="T144" i="31"/>
  <c r="T78" i="31"/>
  <c r="T45" i="31"/>
  <c r="T12" i="31"/>
  <c r="W5" i="38"/>
  <c r="V12" i="38"/>
  <c r="U144" i="31" l="1"/>
  <c r="U78" i="31"/>
  <c r="U12" i="31"/>
  <c r="U111" i="31"/>
  <c r="U45" i="31"/>
  <c r="X5" i="38"/>
  <c r="W12" i="38"/>
  <c r="V45" i="31" l="1"/>
  <c r="V12" i="31"/>
  <c r="V111" i="31"/>
  <c r="V144" i="31"/>
  <c r="V78" i="31"/>
  <c r="X12" i="38"/>
  <c r="W78" i="31" l="1"/>
  <c r="AC78" i="31" s="1"/>
  <c r="W12" i="31"/>
  <c r="AC12" i="31" s="1"/>
  <c r="W45" i="31"/>
  <c r="AC45" i="31" s="1"/>
  <c r="W144" i="31"/>
  <c r="AC144" i="31" s="1"/>
  <c r="W111" i="31"/>
  <c r="AC111" i="31" s="1"/>
  <c r="E48" i="37"/>
  <c r="E38" i="37"/>
  <c r="E28" i="37"/>
  <c r="E18" i="37"/>
  <c r="E8" i="37"/>
  <c r="C7" i="30"/>
  <c r="C6" i="30"/>
  <c r="C5" i="30"/>
  <c r="C4" i="30"/>
  <c r="C3" i="30"/>
  <c r="C3" i="33"/>
  <c r="C3" i="32"/>
  <c r="C3" i="35"/>
  <c r="C3" i="34"/>
  <c r="C3" i="2"/>
  <c r="E145" i="31" l="1"/>
  <c r="F145" i="31"/>
  <c r="G145" i="31"/>
  <c r="H145" i="31"/>
  <c r="I145" i="31"/>
  <c r="J145" i="31"/>
  <c r="K145" i="31"/>
  <c r="L145" i="31"/>
  <c r="M145" i="31"/>
  <c r="N145" i="31"/>
  <c r="O145" i="31"/>
  <c r="P145" i="31"/>
  <c r="Q145" i="31"/>
  <c r="R145" i="31"/>
  <c r="S145" i="31"/>
  <c r="T145" i="31"/>
  <c r="U145" i="31"/>
  <c r="V145" i="31"/>
  <c r="W145" i="31"/>
  <c r="X145" i="31"/>
  <c r="Y145" i="31"/>
  <c r="Z145" i="31"/>
  <c r="AA145" i="31"/>
  <c r="AB145" i="31"/>
  <c r="D145" i="31"/>
  <c r="E112" i="31"/>
  <c r="F112" i="31"/>
  <c r="G112" i="31"/>
  <c r="H112" i="31"/>
  <c r="I112" i="31"/>
  <c r="J112" i="31"/>
  <c r="K112" i="31"/>
  <c r="L112" i="31"/>
  <c r="M112" i="31"/>
  <c r="N112" i="31"/>
  <c r="O112" i="31"/>
  <c r="P112" i="31"/>
  <c r="Q112" i="31"/>
  <c r="R112" i="31"/>
  <c r="S112" i="31"/>
  <c r="T112" i="31"/>
  <c r="U112" i="31"/>
  <c r="V112" i="31"/>
  <c r="W112" i="31"/>
  <c r="X112" i="31"/>
  <c r="Y112" i="31"/>
  <c r="Z112" i="31"/>
  <c r="AA112" i="31"/>
  <c r="AB112" i="31"/>
  <c r="D112" i="31"/>
  <c r="E79" i="31"/>
  <c r="F79" i="31"/>
  <c r="G79" i="31"/>
  <c r="H79" i="31"/>
  <c r="I79" i="31"/>
  <c r="J79" i="31"/>
  <c r="K79" i="31"/>
  <c r="L79" i="31"/>
  <c r="M79" i="31"/>
  <c r="N79" i="31"/>
  <c r="O79" i="31"/>
  <c r="P79" i="31"/>
  <c r="Q79" i="31"/>
  <c r="R79" i="31"/>
  <c r="S79" i="31"/>
  <c r="T79" i="31"/>
  <c r="U79" i="31"/>
  <c r="V79" i="31"/>
  <c r="W79" i="31"/>
  <c r="X79" i="31"/>
  <c r="Y79" i="31"/>
  <c r="Z79" i="31"/>
  <c r="AA79" i="31"/>
  <c r="AB79" i="31"/>
  <c r="D79" i="31"/>
  <c r="E46" i="31"/>
  <c r="F46" i="31"/>
  <c r="G46" i="31"/>
  <c r="H46" i="31"/>
  <c r="I46" i="31"/>
  <c r="J46" i="31"/>
  <c r="K46" i="31"/>
  <c r="L46" i="31"/>
  <c r="M46" i="31"/>
  <c r="N46" i="31"/>
  <c r="O46" i="31"/>
  <c r="P46" i="31"/>
  <c r="Q46" i="31"/>
  <c r="R46" i="31"/>
  <c r="S46" i="31"/>
  <c r="T46" i="31"/>
  <c r="U46" i="31"/>
  <c r="V46" i="31"/>
  <c r="W46" i="31"/>
  <c r="X46" i="31"/>
  <c r="Y46" i="31"/>
  <c r="Z46" i="31"/>
  <c r="AA46" i="31"/>
  <c r="AB46" i="31"/>
  <c r="D46" i="31"/>
  <c r="AC46" i="31" l="1"/>
  <c r="AC145" i="31"/>
  <c r="AC79" i="31"/>
  <c r="AC112" i="31"/>
  <c r="E13" i="31"/>
  <c r="F13" i="31"/>
  <c r="G13" i="31"/>
  <c r="H13" i="31"/>
  <c r="I13" i="31"/>
  <c r="J13" i="31"/>
  <c r="K13" i="31"/>
  <c r="L13" i="31"/>
  <c r="M13" i="31"/>
  <c r="N13" i="31"/>
  <c r="O13" i="31"/>
  <c r="P13" i="31"/>
  <c r="Q13" i="31"/>
  <c r="R13" i="31"/>
  <c r="S13" i="31"/>
  <c r="T13" i="31"/>
  <c r="U13" i="31"/>
  <c r="V13" i="31"/>
  <c r="W13" i="31"/>
  <c r="X13" i="31"/>
  <c r="Y13" i="31"/>
  <c r="Z13" i="31"/>
  <c r="AA13" i="31"/>
  <c r="AB13" i="31"/>
  <c r="D13" i="31"/>
  <c r="F10" i="1"/>
  <c r="G10" i="1"/>
  <c r="H10" i="1"/>
  <c r="I10" i="1"/>
  <c r="E10" i="1"/>
  <c r="C95" i="33"/>
  <c r="I91" i="33"/>
  <c r="J90" i="33"/>
  <c r="H88" i="33"/>
  <c r="I87" i="33"/>
  <c r="J87" i="33" s="1"/>
  <c r="G85" i="33"/>
  <c r="H84" i="33"/>
  <c r="H85" i="33" s="1"/>
  <c r="F82" i="33"/>
  <c r="A82" i="33"/>
  <c r="A85" i="33" s="1"/>
  <c r="A88" i="33" s="1"/>
  <c r="A91" i="33" s="1"/>
  <c r="G81" i="33"/>
  <c r="E79" i="33"/>
  <c r="A79" i="33"/>
  <c r="F78" i="33"/>
  <c r="F79" i="33" s="1"/>
  <c r="D76" i="33"/>
  <c r="F75" i="33"/>
  <c r="E75" i="33"/>
  <c r="E76" i="33" s="1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Q72" i="33"/>
  <c r="P72" i="33"/>
  <c r="O72" i="33"/>
  <c r="N72" i="33"/>
  <c r="M72" i="33"/>
  <c r="L72" i="33"/>
  <c r="K72" i="33"/>
  <c r="J72" i="33"/>
  <c r="I72" i="33"/>
  <c r="C71" i="33"/>
  <c r="C97" i="33" s="1"/>
  <c r="D70" i="33"/>
  <c r="C70" i="33"/>
  <c r="C94" i="33"/>
  <c r="C30" i="33"/>
  <c r="C40" i="33" s="1"/>
  <c r="C25" i="33"/>
  <c r="C16" i="33"/>
  <c r="C15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O8" i="33"/>
  <c r="N8" i="33"/>
  <c r="M8" i="33"/>
  <c r="L8" i="33"/>
  <c r="K8" i="33"/>
  <c r="J8" i="33"/>
  <c r="I8" i="33"/>
  <c r="H8" i="33"/>
  <c r="G8" i="33"/>
  <c r="F8" i="33"/>
  <c r="E8" i="33"/>
  <c r="D8" i="33"/>
  <c r="C8" i="33"/>
  <c r="C46" i="33" s="1"/>
  <c r="C96" i="33" l="1"/>
  <c r="C98" i="33" s="1"/>
  <c r="C100" i="33" s="1"/>
  <c r="AC13" i="31"/>
  <c r="C42" i="33"/>
  <c r="C24" i="33"/>
  <c r="C72" i="33" s="1"/>
  <c r="E70" i="33"/>
  <c r="C45" i="33"/>
  <c r="C57" i="33" s="1"/>
  <c r="F76" i="33"/>
  <c r="F70" i="33" s="1"/>
  <c r="G75" i="33"/>
  <c r="I88" i="33"/>
  <c r="F77" i="33"/>
  <c r="G77" i="33"/>
  <c r="E77" i="33"/>
  <c r="D77" i="33"/>
  <c r="D71" i="33" s="1"/>
  <c r="D97" i="33" s="1"/>
  <c r="C43" i="33"/>
  <c r="K87" i="33"/>
  <c r="C47" i="33"/>
  <c r="C101" i="33"/>
  <c r="C102" i="33" s="1"/>
  <c r="C53" i="33"/>
  <c r="H81" i="33"/>
  <c r="G82" i="33"/>
  <c r="G78" i="33"/>
  <c r="I84" i="33"/>
  <c r="J91" i="33"/>
  <c r="K90" i="33"/>
  <c r="L87" i="33" l="1"/>
  <c r="H75" i="33"/>
  <c r="G76" i="33"/>
  <c r="H77" i="33" s="1"/>
  <c r="L90" i="33"/>
  <c r="H78" i="33"/>
  <c r="C112" i="33"/>
  <c r="C110" i="33"/>
  <c r="C108" i="33"/>
  <c r="C103" i="33"/>
  <c r="C104" i="33" s="1"/>
  <c r="C48" i="33"/>
  <c r="C55" i="33"/>
  <c r="J84" i="33"/>
  <c r="I81" i="33"/>
  <c r="H76" i="33" l="1"/>
  <c r="I75" i="33"/>
  <c r="I78" i="33"/>
  <c r="M90" i="33"/>
  <c r="M87" i="33"/>
  <c r="J81" i="33"/>
  <c r="K84" i="33"/>
  <c r="L84" i="33" l="1"/>
  <c r="N87" i="33"/>
  <c r="K81" i="33"/>
  <c r="J78" i="33"/>
  <c r="I77" i="33"/>
  <c r="N90" i="33"/>
  <c r="I76" i="33"/>
  <c r="J75" i="33"/>
  <c r="J76" i="33" l="1"/>
  <c r="K77" i="33" s="1"/>
  <c r="K75" i="33"/>
  <c r="K78" i="33"/>
  <c r="O87" i="33"/>
  <c r="M84" i="33"/>
  <c r="L81" i="33"/>
  <c r="J77" i="33"/>
  <c r="O90" i="33"/>
  <c r="N84" i="33" l="1"/>
  <c r="P90" i="33"/>
  <c r="M81" i="33"/>
  <c r="K76" i="33"/>
  <c r="L77" i="33" s="1"/>
  <c r="L75" i="33"/>
  <c r="L78" i="33"/>
  <c r="P87" i="33"/>
  <c r="Q87" i="33" l="1"/>
  <c r="M75" i="33"/>
  <c r="L76" i="33"/>
  <c r="M77" i="33" s="1"/>
  <c r="N81" i="33"/>
  <c r="O84" i="33"/>
  <c r="M78" i="33"/>
  <c r="Q90" i="33"/>
  <c r="R90" i="33" l="1"/>
  <c r="N78" i="33"/>
  <c r="R87" i="33"/>
  <c r="M76" i="33"/>
  <c r="N75" i="33"/>
  <c r="P84" i="33"/>
  <c r="O81" i="33"/>
  <c r="O75" i="33" l="1"/>
  <c r="N76" i="33"/>
  <c r="S87" i="33"/>
  <c r="S90" i="33"/>
  <c r="Q84" i="33"/>
  <c r="N77" i="33"/>
  <c r="P81" i="33"/>
  <c r="O78" i="33"/>
  <c r="O77" i="33" l="1"/>
  <c r="R84" i="33"/>
  <c r="T90" i="33"/>
  <c r="P75" i="33"/>
  <c r="O76" i="33"/>
  <c r="Q81" i="33"/>
  <c r="P78" i="33"/>
  <c r="T87" i="33"/>
  <c r="U90" i="33" l="1"/>
  <c r="U87" i="33"/>
  <c r="Q78" i="33"/>
  <c r="P77" i="33"/>
  <c r="S84" i="33"/>
  <c r="R81" i="33"/>
  <c r="P76" i="33"/>
  <c r="Q75" i="33"/>
  <c r="Q76" i="33" l="1"/>
  <c r="R75" i="33"/>
  <c r="R78" i="33"/>
  <c r="V90" i="33"/>
  <c r="Q77" i="33"/>
  <c r="S81" i="33"/>
  <c r="T84" i="33"/>
  <c r="V87" i="33"/>
  <c r="T81" i="33" l="1"/>
  <c r="U84" i="33"/>
  <c r="S78" i="33"/>
  <c r="W90" i="33"/>
  <c r="R77" i="33"/>
  <c r="W87" i="33"/>
  <c r="S75" i="33"/>
  <c r="R76" i="33"/>
  <c r="U81" i="33" l="1"/>
  <c r="X90" i="33"/>
  <c r="T75" i="33"/>
  <c r="S76" i="33"/>
  <c r="X87" i="33"/>
  <c r="T78" i="33"/>
  <c r="S77" i="33"/>
  <c r="V84" i="33"/>
  <c r="T76" i="33" l="1"/>
  <c r="U75" i="33"/>
  <c r="Y90" i="33"/>
  <c r="W84" i="33"/>
  <c r="V81" i="33"/>
  <c r="U78" i="33"/>
  <c r="Y87" i="33"/>
  <c r="T77" i="33"/>
  <c r="Z87" i="33" l="1"/>
  <c r="U77" i="33"/>
  <c r="W81" i="33"/>
  <c r="V78" i="33"/>
  <c r="Z90" i="33"/>
  <c r="X84" i="33"/>
  <c r="U76" i="33"/>
  <c r="V75" i="33"/>
  <c r="AA90" i="33" l="1"/>
  <c r="Y84" i="33"/>
  <c r="X81" i="33"/>
  <c r="AA87" i="33"/>
  <c r="V76" i="33"/>
  <c r="W75" i="33"/>
  <c r="V77" i="33"/>
  <c r="W78" i="33"/>
  <c r="Z84" i="33" l="1"/>
  <c r="AB90" i="33"/>
  <c r="X75" i="33"/>
  <c r="W76" i="33"/>
  <c r="X78" i="33"/>
  <c r="W77" i="33"/>
  <c r="AB87" i="33"/>
  <c r="Y81" i="33"/>
  <c r="AC87" i="33" l="1"/>
  <c r="Y78" i="33"/>
  <c r="X76" i="33"/>
  <c r="Y75" i="33"/>
  <c r="AC90" i="33"/>
  <c r="Z81" i="33"/>
  <c r="AA84" i="33"/>
  <c r="X77" i="33"/>
  <c r="AB84" i="33" l="1"/>
  <c r="AA81" i="33"/>
  <c r="Z78" i="33"/>
  <c r="Y77" i="33"/>
  <c r="AD87" i="33"/>
  <c r="AD90" i="33"/>
  <c r="Y76" i="33"/>
  <c r="Z75" i="33"/>
  <c r="AE90" i="33" l="1"/>
  <c r="AC84" i="33"/>
  <c r="Z76" i="33"/>
  <c r="AA75" i="33"/>
  <c r="AE87" i="33"/>
  <c r="AA78" i="33"/>
  <c r="Z77" i="33"/>
  <c r="AB81" i="33"/>
  <c r="AA76" i="33" l="1"/>
  <c r="AB75" i="33"/>
  <c r="AF90" i="33"/>
  <c r="AA77" i="33"/>
  <c r="AC81" i="33"/>
  <c r="AB78" i="33"/>
  <c r="AD84" i="33"/>
  <c r="AF87" i="33"/>
  <c r="AG87" i="33" l="1"/>
  <c r="AE84" i="33"/>
  <c r="AD81" i="33"/>
  <c r="AG90" i="33"/>
  <c r="AC78" i="33"/>
  <c r="AC75" i="33"/>
  <c r="AB76" i="33"/>
  <c r="AB77" i="33"/>
  <c r="AE81" i="33" l="1"/>
  <c r="AH87" i="33"/>
  <c r="AC76" i="33"/>
  <c r="AD75" i="33"/>
  <c r="AC77" i="33"/>
  <c r="AD78" i="33"/>
  <c r="AH90" i="33"/>
  <c r="AF84" i="33"/>
  <c r="AE78" i="33" l="1"/>
  <c r="AF81" i="33"/>
  <c r="AE75" i="33"/>
  <c r="AD76" i="33"/>
  <c r="AG84" i="33"/>
  <c r="AD77" i="33"/>
  <c r="AF78" i="33" l="1"/>
  <c r="AG81" i="33"/>
  <c r="AE77" i="33"/>
  <c r="AH84" i="33"/>
  <c r="AF75" i="33"/>
  <c r="AE76" i="33"/>
  <c r="AF77" i="33" l="1"/>
  <c r="AG78" i="33"/>
  <c r="AF76" i="33"/>
  <c r="AG75" i="33"/>
  <c r="AH81" i="33"/>
  <c r="AG77" i="33" l="1"/>
  <c r="AH78" i="33"/>
  <c r="AG76" i="33"/>
  <c r="AH75" i="33"/>
  <c r="AH76" i="33" l="1"/>
  <c r="AH77" i="33"/>
  <c r="C95" i="32" l="1"/>
  <c r="I91" i="32"/>
  <c r="J90" i="32"/>
  <c r="H88" i="32"/>
  <c r="K87" i="32"/>
  <c r="L87" i="32" s="1"/>
  <c r="J87" i="32"/>
  <c r="I87" i="32"/>
  <c r="I88" i="32" s="1"/>
  <c r="H85" i="32"/>
  <c r="G85" i="32"/>
  <c r="J84" i="32"/>
  <c r="I84" i="32"/>
  <c r="H84" i="32"/>
  <c r="F82" i="32"/>
  <c r="A82" i="32"/>
  <c r="A85" i="32" s="1"/>
  <c r="A88" i="32" s="1"/>
  <c r="A91" i="32" s="1"/>
  <c r="H81" i="32"/>
  <c r="G81" i="32"/>
  <c r="G82" i="32" s="1"/>
  <c r="F79" i="32"/>
  <c r="E79" i="32"/>
  <c r="A79" i="32"/>
  <c r="F78" i="32"/>
  <c r="G78" i="32" s="1"/>
  <c r="E76" i="32"/>
  <c r="D76" i="32"/>
  <c r="D70" i="32" s="1"/>
  <c r="H75" i="32"/>
  <c r="G75" i="32"/>
  <c r="E75" i="32"/>
  <c r="F75" i="32" s="1"/>
  <c r="AH72" i="32"/>
  <c r="AG72" i="32"/>
  <c r="AF72" i="32"/>
  <c r="AE72" i="32"/>
  <c r="AD72" i="32"/>
  <c r="AC72" i="32"/>
  <c r="AB72" i="32"/>
  <c r="AA72" i="32"/>
  <c r="Z72" i="32"/>
  <c r="Y72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C71" i="32"/>
  <c r="C97" i="32" s="1"/>
  <c r="C70" i="32"/>
  <c r="C30" i="32"/>
  <c r="C25" i="32"/>
  <c r="C24" i="32" s="1"/>
  <c r="C72" i="32" s="1"/>
  <c r="C16" i="32"/>
  <c r="C15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C8" i="32"/>
  <c r="C95" i="35"/>
  <c r="I91" i="35"/>
  <c r="J90" i="35"/>
  <c r="H88" i="35"/>
  <c r="L87" i="35"/>
  <c r="M87" i="35" s="1"/>
  <c r="J87" i="35"/>
  <c r="K87" i="35" s="1"/>
  <c r="I87" i="35"/>
  <c r="I88" i="35" s="1"/>
  <c r="H85" i="35"/>
  <c r="G85" i="35"/>
  <c r="I84" i="35"/>
  <c r="H84" i="35"/>
  <c r="G82" i="35"/>
  <c r="F82" i="35"/>
  <c r="A82" i="35"/>
  <c r="A85" i="35" s="1"/>
  <c r="A88" i="35" s="1"/>
  <c r="A91" i="35" s="1"/>
  <c r="J81" i="35"/>
  <c r="I81" i="35"/>
  <c r="G81" i="35"/>
  <c r="H81" i="35" s="1"/>
  <c r="F79" i="35"/>
  <c r="E79" i="35"/>
  <c r="A79" i="35"/>
  <c r="F78" i="35"/>
  <c r="G78" i="35" s="1"/>
  <c r="E76" i="35"/>
  <c r="D76" i="35"/>
  <c r="D70" i="35" s="1"/>
  <c r="E75" i="35"/>
  <c r="F75" i="35" s="1"/>
  <c r="AH72" i="35"/>
  <c r="AG72" i="35"/>
  <c r="AF72" i="35"/>
  <c r="AE72" i="35"/>
  <c r="AD72" i="35"/>
  <c r="AC72" i="35"/>
  <c r="AB72" i="35"/>
  <c r="AA72" i="35"/>
  <c r="Z72" i="35"/>
  <c r="Y72" i="35"/>
  <c r="X72" i="35"/>
  <c r="W72" i="35"/>
  <c r="V72" i="35"/>
  <c r="U72" i="35"/>
  <c r="T72" i="35"/>
  <c r="S72" i="35"/>
  <c r="R72" i="35"/>
  <c r="Q72" i="35"/>
  <c r="P72" i="35"/>
  <c r="O72" i="35"/>
  <c r="N72" i="35"/>
  <c r="M72" i="35"/>
  <c r="L72" i="35"/>
  <c r="K72" i="35"/>
  <c r="J72" i="35"/>
  <c r="I72" i="35"/>
  <c r="C71" i="35"/>
  <c r="C97" i="35" s="1"/>
  <c r="C70" i="35"/>
  <c r="C34" i="35"/>
  <c r="C94" i="35" s="1"/>
  <c r="C30" i="35"/>
  <c r="C47" i="35" s="1"/>
  <c r="C25" i="35"/>
  <c r="C45" i="35" s="1"/>
  <c r="C16" i="35"/>
  <c r="C15" i="35"/>
  <c r="AH10" i="35"/>
  <c r="AG10" i="35"/>
  <c r="AF10" i="35"/>
  <c r="AE10" i="35"/>
  <c r="AD10" i="35"/>
  <c r="AC10" i="35"/>
  <c r="AB10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O10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AH8" i="35"/>
  <c r="AG8" i="35"/>
  <c r="AF8" i="35"/>
  <c r="AE8" i="35"/>
  <c r="AD8" i="35"/>
  <c r="AC8" i="35"/>
  <c r="AB8" i="35"/>
  <c r="AA8" i="35"/>
  <c r="Z8" i="35"/>
  <c r="Y8" i="35"/>
  <c r="X8" i="35"/>
  <c r="W8" i="35"/>
  <c r="V8" i="35"/>
  <c r="U8" i="35"/>
  <c r="T8" i="35"/>
  <c r="S8" i="35"/>
  <c r="R8" i="35"/>
  <c r="Q8" i="35"/>
  <c r="P8" i="35"/>
  <c r="O8" i="35"/>
  <c r="N8" i="35"/>
  <c r="M8" i="35"/>
  <c r="L8" i="35"/>
  <c r="K8" i="35"/>
  <c r="J8" i="35"/>
  <c r="I8" i="35"/>
  <c r="H8" i="35"/>
  <c r="G8" i="35"/>
  <c r="F8" i="35"/>
  <c r="E8" i="35"/>
  <c r="D8" i="35"/>
  <c r="C8" i="35"/>
  <c r="C46" i="35" s="1"/>
  <c r="C95" i="34"/>
  <c r="I91" i="34"/>
  <c r="L90" i="34"/>
  <c r="M90" i="34" s="1"/>
  <c r="K90" i="34"/>
  <c r="J90" i="34"/>
  <c r="J91" i="34" s="1"/>
  <c r="H88" i="34"/>
  <c r="K87" i="34"/>
  <c r="J87" i="34"/>
  <c r="I87" i="34"/>
  <c r="I88" i="34" s="1"/>
  <c r="G85" i="34"/>
  <c r="H84" i="34"/>
  <c r="H85" i="34" s="1"/>
  <c r="F82" i="34"/>
  <c r="G81" i="34"/>
  <c r="G82" i="34" s="1"/>
  <c r="E79" i="34"/>
  <c r="A79" i="34"/>
  <c r="A82" i="34" s="1"/>
  <c r="A85" i="34" s="1"/>
  <c r="A88" i="34" s="1"/>
  <c r="A91" i="34" s="1"/>
  <c r="F78" i="34"/>
  <c r="F79" i="34" s="1"/>
  <c r="D76" i="34"/>
  <c r="D70" i="34" s="1"/>
  <c r="G75" i="34"/>
  <c r="F75" i="34"/>
  <c r="E75" i="34"/>
  <c r="E76" i="34" s="1"/>
  <c r="AH72" i="34"/>
  <c r="AG72" i="34"/>
  <c r="AF72" i="34"/>
  <c r="AE72" i="34"/>
  <c r="AD72" i="34"/>
  <c r="AC72" i="34"/>
  <c r="AB72" i="34"/>
  <c r="AA72" i="34"/>
  <c r="Z72" i="34"/>
  <c r="Y72" i="34"/>
  <c r="X72" i="34"/>
  <c r="W72" i="34"/>
  <c r="V72" i="34"/>
  <c r="U72" i="34"/>
  <c r="T72" i="34"/>
  <c r="S72" i="34"/>
  <c r="R72" i="34"/>
  <c r="Q72" i="34"/>
  <c r="P72" i="34"/>
  <c r="O72" i="34"/>
  <c r="N72" i="34"/>
  <c r="M72" i="34"/>
  <c r="L72" i="34"/>
  <c r="K72" i="34"/>
  <c r="J72" i="34"/>
  <c r="I72" i="34"/>
  <c r="C71" i="34"/>
  <c r="C97" i="34" s="1"/>
  <c r="C70" i="34"/>
  <c r="C94" i="34"/>
  <c r="C96" i="34" s="1"/>
  <c r="C98" i="34" s="1"/>
  <c r="C100" i="34" s="1"/>
  <c r="C30" i="34"/>
  <c r="C40" i="34" s="1"/>
  <c r="C25" i="34"/>
  <c r="C24" i="34"/>
  <c r="C72" i="34" s="1"/>
  <c r="C16" i="34"/>
  <c r="C15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O10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O8" i="34"/>
  <c r="N8" i="34"/>
  <c r="M8" i="34"/>
  <c r="L8" i="34"/>
  <c r="K8" i="34"/>
  <c r="J8" i="34"/>
  <c r="I8" i="34"/>
  <c r="H8" i="34"/>
  <c r="G8" i="34"/>
  <c r="F8" i="34"/>
  <c r="E8" i="34"/>
  <c r="D8" i="34"/>
  <c r="C8" i="34"/>
  <c r="C40" i="35" l="1"/>
  <c r="C24" i="35"/>
  <c r="C72" i="35" s="1"/>
  <c r="C42" i="34"/>
  <c r="C96" i="35"/>
  <c r="C98" i="35" s="1"/>
  <c r="C100" i="35" s="1"/>
  <c r="E70" i="32"/>
  <c r="C45" i="32"/>
  <c r="C47" i="32"/>
  <c r="C40" i="32"/>
  <c r="C42" i="32" s="1"/>
  <c r="C53" i="32"/>
  <c r="C94" i="32"/>
  <c r="C96" i="32" s="1"/>
  <c r="C98" i="32" s="1"/>
  <c r="C100" i="32" s="1"/>
  <c r="C46" i="32"/>
  <c r="C43" i="32"/>
  <c r="D77" i="32"/>
  <c r="D71" i="32" s="1"/>
  <c r="D97" i="32" s="1"/>
  <c r="F77" i="32"/>
  <c r="E77" i="32"/>
  <c r="M87" i="32"/>
  <c r="I75" i="32"/>
  <c r="H78" i="32"/>
  <c r="J91" i="32"/>
  <c r="K90" i="32"/>
  <c r="I81" i="32"/>
  <c r="K84" i="32"/>
  <c r="F76" i="32"/>
  <c r="F70" i="32" s="1"/>
  <c r="G76" i="32"/>
  <c r="E70" i="35"/>
  <c r="C45" i="34"/>
  <c r="E70" i="34"/>
  <c r="E77" i="35"/>
  <c r="D77" i="35"/>
  <c r="D71" i="35" s="1"/>
  <c r="D97" i="35" s="1"/>
  <c r="F77" i="35"/>
  <c r="C43" i="35"/>
  <c r="C55" i="35"/>
  <c r="C48" i="35"/>
  <c r="K81" i="35"/>
  <c r="G75" i="35"/>
  <c r="F76" i="35"/>
  <c r="F70" i="35" s="1"/>
  <c r="C53" i="35"/>
  <c r="H78" i="35"/>
  <c r="C57" i="35"/>
  <c r="C101" i="35"/>
  <c r="C102" i="35" s="1"/>
  <c r="J84" i="35"/>
  <c r="K90" i="35"/>
  <c r="J91" i="35"/>
  <c r="N87" i="35"/>
  <c r="C47" i="34"/>
  <c r="F76" i="34"/>
  <c r="F70" i="34" s="1"/>
  <c r="F77" i="34"/>
  <c r="E77" i="34"/>
  <c r="D77" i="34"/>
  <c r="D71" i="34" s="1"/>
  <c r="D97" i="34" s="1"/>
  <c r="C43" i="34"/>
  <c r="C46" i="34"/>
  <c r="C53" i="34"/>
  <c r="C101" i="34"/>
  <c r="C102" i="34" s="1"/>
  <c r="G76" i="34"/>
  <c r="H75" i="34"/>
  <c r="G78" i="34"/>
  <c r="I84" i="34"/>
  <c r="L87" i="34"/>
  <c r="N90" i="34"/>
  <c r="H81" i="34"/>
  <c r="C42" i="35" l="1"/>
  <c r="G77" i="34"/>
  <c r="C57" i="32"/>
  <c r="J75" i="32"/>
  <c r="C48" i="32"/>
  <c r="C55" i="32"/>
  <c r="J81" i="32"/>
  <c r="I78" i="32"/>
  <c r="N87" i="32"/>
  <c r="G77" i="32"/>
  <c r="H77" i="32"/>
  <c r="L84" i="32"/>
  <c r="L90" i="32"/>
  <c r="H76" i="32"/>
  <c r="C101" i="32"/>
  <c r="C102" i="32" s="1"/>
  <c r="C112" i="35"/>
  <c r="C110" i="35"/>
  <c r="C108" i="35"/>
  <c r="C103" i="35"/>
  <c r="C104" i="35" s="1"/>
  <c r="O87" i="35"/>
  <c r="G76" i="35"/>
  <c r="H75" i="35"/>
  <c r="G77" i="35"/>
  <c r="H77" i="35"/>
  <c r="K84" i="35"/>
  <c r="I78" i="35"/>
  <c r="L81" i="35"/>
  <c r="L90" i="35"/>
  <c r="O90" i="34"/>
  <c r="H78" i="34"/>
  <c r="C57" i="34"/>
  <c r="H77" i="34"/>
  <c r="M87" i="34"/>
  <c r="H76" i="34"/>
  <c r="I75" i="34"/>
  <c r="C112" i="34"/>
  <c r="C110" i="34"/>
  <c r="C108" i="34"/>
  <c r="C103" i="34"/>
  <c r="C104" i="34" s="1"/>
  <c r="C48" i="34"/>
  <c r="C55" i="34"/>
  <c r="I81" i="34"/>
  <c r="J84" i="34"/>
  <c r="C110" i="32" l="1"/>
  <c r="C108" i="32"/>
  <c r="C103" i="32"/>
  <c r="C104" i="32" s="1"/>
  <c r="C112" i="32"/>
  <c r="I76" i="32"/>
  <c r="J77" i="32"/>
  <c r="K75" i="32"/>
  <c r="M90" i="32"/>
  <c r="K81" i="32"/>
  <c r="I77" i="32"/>
  <c r="M84" i="32"/>
  <c r="O87" i="32"/>
  <c r="J78" i="32"/>
  <c r="J78" i="35"/>
  <c r="M90" i="35"/>
  <c r="L84" i="35"/>
  <c r="M81" i="35"/>
  <c r="P87" i="35"/>
  <c r="H76" i="35"/>
  <c r="I75" i="35"/>
  <c r="J81" i="34"/>
  <c r="K84" i="34"/>
  <c r="I77" i="34"/>
  <c r="P90" i="34"/>
  <c r="N87" i="34"/>
  <c r="I78" i="34"/>
  <c r="I76" i="34"/>
  <c r="J75" i="34"/>
  <c r="L75" i="32" l="1"/>
  <c r="K78" i="32"/>
  <c r="N84" i="32"/>
  <c r="L81" i="32"/>
  <c r="N90" i="32"/>
  <c r="P87" i="32"/>
  <c r="J76" i="32"/>
  <c r="I77" i="35"/>
  <c r="K78" i="35"/>
  <c r="J75" i="35"/>
  <c r="I76" i="35"/>
  <c r="Q87" i="35"/>
  <c r="N81" i="35"/>
  <c r="M84" i="35"/>
  <c r="N90" i="35"/>
  <c r="J77" i="34"/>
  <c r="Q90" i="34"/>
  <c r="L84" i="34"/>
  <c r="K81" i="34"/>
  <c r="J76" i="34"/>
  <c r="K75" i="34"/>
  <c r="J78" i="34"/>
  <c r="O87" i="34"/>
  <c r="O90" i="32" l="1"/>
  <c r="K77" i="32"/>
  <c r="Q87" i="32"/>
  <c r="O84" i="32"/>
  <c r="M75" i="32"/>
  <c r="M81" i="32"/>
  <c r="L78" i="32"/>
  <c r="K76" i="32"/>
  <c r="L76" i="32" s="1"/>
  <c r="O90" i="35"/>
  <c r="O81" i="35"/>
  <c r="K75" i="35"/>
  <c r="J76" i="35"/>
  <c r="R87" i="35"/>
  <c r="L78" i="35"/>
  <c r="N84" i="35"/>
  <c r="J77" i="35"/>
  <c r="P87" i="34"/>
  <c r="K77" i="34"/>
  <c r="K76" i="34"/>
  <c r="L77" i="34" s="1"/>
  <c r="L75" i="34"/>
  <c r="R90" i="34"/>
  <c r="M84" i="34"/>
  <c r="K78" i="34"/>
  <c r="L81" i="34"/>
  <c r="L77" i="32" l="1"/>
  <c r="N75" i="32"/>
  <c r="M76" i="32"/>
  <c r="N77" i="32" s="1"/>
  <c r="P90" i="32"/>
  <c r="N81" i="32"/>
  <c r="M77" i="32"/>
  <c r="M78" i="32"/>
  <c r="P84" i="32"/>
  <c r="R87" i="32"/>
  <c r="M78" i="35"/>
  <c r="K76" i="35"/>
  <c r="L77" i="35" s="1"/>
  <c r="L75" i="35"/>
  <c r="P90" i="35"/>
  <c r="S87" i="35"/>
  <c r="P81" i="35"/>
  <c r="O84" i="35"/>
  <c r="K77" i="35"/>
  <c r="M81" i="34"/>
  <c r="N84" i="34"/>
  <c r="L76" i="34"/>
  <c r="M75" i="34"/>
  <c r="L78" i="34"/>
  <c r="S90" i="34"/>
  <c r="Q87" i="34"/>
  <c r="N76" i="32" l="1"/>
  <c r="O75" i="32"/>
  <c r="S87" i="32"/>
  <c r="O81" i="32"/>
  <c r="Q90" i="32"/>
  <c r="N78" i="32"/>
  <c r="Q84" i="32"/>
  <c r="L76" i="35"/>
  <c r="M77" i="35" s="1"/>
  <c r="M75" i="35"/>
  <c r="T87" i="35"/>
  <c r="P84" i="35"/>
  <c r="Q81" i="35"/>
  <c r="Q90" i="35"/>
  <c r="N78" i="35"/>
  <c r="M76" i="34"/>
  <c r="N75" i="34"/>
  <c r="M78" i="34"/>
  <c r="M77" i="34"/>
  <c r="T90" i="34"/>
  <c r="R87" i="34"/>
  <c r="O84" i="34"/>
  <c r="N81" i="34"/>
  <c r="O77" i="32" l="1"/>
  <c r="R90" i="32"/>
  <c r="R84" i="32"/>
  <c r="O78" i="32"/>
  <c r="P81" i="32"/>
  <c r="T87" i="32"/>
  <c r="O76" i="32"/>
  <c r="P75" i="32"/>
  <c r="N75" i="35"/>
  <c r="M76" i="35"/>
  <c r="Q84" i="35"/>
  <c r="U87" i="35"/>
  <c r="O78" i="35"/>
  <c r="R81" i="35"/>
  <c r="R90" i="35"/>
  <c r="N76" i="34"/>
  <c r="O77" i="34" s="1"/>
  <c r="O75" i="34"/>
  <c r="U90" i="34"/>
  <c r="P84" i="34"/>
  <c r="S87" i="34"/>
  <c r="N77" i="34"/>
  <c r="O81" i="34"/>
  <c r="N78" i="34"/>
  <c r="P78" i="32" l="1"/>
  <c r="S84" i="32"/>
  <c r="U87" i="32"/>
  <c r="Q75" i="32"/>
  <c r="P76" i="32"/>
  <c r="Q81" i="32"/>
  <c r="S90" i="32"/>
  <c r="P77" i="32"/>
  <c r="V87" i="35"/>
  <c r="S81" i="35"/>
  <c r="O75" i="35"/>
  <c r="N76" i="35"/>
  <c r="S90" i="35"/>
  <c r="R84" i="35"/>
  <c r="P78" i="35"/>
  <c r="N77" i="35"/>
  <c r="T87" i="34"/>
  <c r="Q84" i="34"/>
  <c r="O76" i="34"/>
  <c r="P75" i="34"/>
  <c r="O78" i="34"/>
  <c r="P81" i="34"/>
  <c r="V90" i="34"/>
  <c r="T90" i="32" l="1"/>
  <c r="Q77" i="32"/>
  <c r="Q78" i="32"/>
  <c r="R75" i="32"/>
  <c r="Q76" i="32"/>
  <c r="V87" i="32"/>
  <c r="R81" i="32"/>
  <c r="T84" i="32"/>
  <c r="W87" i="35"/>
  <c r="Q78" i="35"/>
  <c r="O77" i="35"/>
  <c r="T81" i="35"/>
  <c r="S84" i="35"/>
  <c r="O76" i="35"/>
  <c r="P75" i="35"/>
  <c r="T90" i="35"/>
  <c r="P78" i="34"/>
  <c r="U87" i="34"/>
  <c r="W90" i="34"/>
  <c r="P76" i="34"/>
  <c r="Q75" i="34"/>
  <c r="Q81" i="34"/>
  <c r="P77" i="34"/>
  <c r="R84" i="34"/>
  <c r="R78" i="32" l="1"/>
  <c r="W87" i="32"/>
  <c r="U90" i="32"/>
  <c r="U84" i="32"/>
  <c r="S81" i="32"/>
  <c r="R77" i="32"/>
  <c r="R76" i="32"/>
  <c r="S75" i="32"/>
  <c r="P76" i="35"/>
  <c r="Q75" i="35"/>
  <c r="T84" i="35"/>
  <c r="U81" i="35"/>
  <c r="U90" i="35"/>
  <c r="P77" i="35"/>
  <c r="X87" i="35"/>
  <c r="R78" i="35"/>
  <c r="S84" i="34"/>
  <c r="Q76" i="34"/>
  <c r="R75" i="34"/>
  <c r="Q78" i="34"/>
  <c r="R81" i="34"/>
  <c r="Q77" i="34"/>
  <c r="X90" i="34"/>
  <c r="V87" i="34"/>
  <c r="S77" i="32" l="1"/>
  <c r="S78" i="32"/>
  <c r="S76" i="32"/>
  <c r="T75" i="32"/>
  <c r="V90" i="32"/>
  <c r="X87" i="32"/>
  <c r="T81" i="32"/>
  <c r="V84" i="32"/>
  <c r="S78" i="35"/>
  <c r="Q77" i="35"/>
  <c r="V81" i="35"/>
  <c r="V90" i="35"/>
  <c r="Y87" i="35"/>
  <c r="U84" i="35"/>
  <c r="R75" i="35"/>
  <c r="Q76" i="35"/>
  <c r="R76" i="34"/>
  <c r="S75" i="34"/>
  <c r="T84" i="34"/>
  <c r="R78" i="34"/>
  <c r="R77" i="34"/>
  <c r="Y90" i="34"/>
  <c r="S81" i="34"/>
  <c r="W87" i="34"/>
  <c r="Y87" i="32" l="1"/>
  <c r="T78" i="32"/>
  <c r="W84" i="32"/>
  <c r="W90" i="32"/>
  <c r="U75" i="32"/>
  <c r="T76" i="32"/>
  <c r="U81" i="32"/>
  <c r="T77" i="32"/>
  <c r="W81" i="35"/>
  <c r="R77" i="35"/>
  <c r="V84" i="35"/>
  <c r="Z87" i="35"/>
  <c r="S75" i="35"/>
  <c r="R76" i="35"/>
  <c r="T78" i="35"/>
  <c r="W90" i="35"/>
  <c r="X87" i="34"/>
  <c r="S77" i="34"/>
  <c r="T81" i="34"/>
  <c r="Z90" i="34"/>
  <c r="U84" i="34"/>
  <c r="S78" i="34"/>
  <c r="S76" i="34"/>
  <c r="T75" i="34"/>
  <c r="Z87" i="32" l="1"/>
  <c r="V81" i="32"/>
  <c r="X90" i="32"/>
  <c r="V75" i="32"/>
  <c r="U76" i="32"/>
  <c r="U77" i="32"/>
  <c r="X84" i="32"/>
  <c r="U78" i="32"/>
  <c r="S77" i="35"/>
  <c r="S76" i="35"/>
  <c r="T75" i="35"/>
  <c r="AA87" i="35"/>
  <c r="X81" i="35"/>
  <c r="X90" i="35"/>
  <c r="U78" i="35"/>
  <c r="W84" i="35"/>
  <c r="V84" i="34"/>
  <c r="T76" i="34"/>
  <c r="U75" i="34"/>
  <c r="T77" i="34"/>
  <c r="T78" i="34"/>
  <c r="AA90" i="34"/>
  <c r="Y87" i="34"/>
  <c r="U81" i="34"/>
  <c r="Y90" i="32" l="1"/>
  <c r="Y84" i="32"/>
  <c r="AA87" i="32"/>
  <c r="V78" i="32"/>
  <c r="V77" i="32"/>
  <c r="V76" i="32"/>
  <c r="W75" i="32"/>
  <c r="W81" i="32"/>
  <c r="Y81" i="35"/>
  <c r="Y90" i="35"/>
  <c r="T76" i="35"/>
  <c r="U75" i="35"/>
  <c r="X84" i="35"/>
  <c r="AB87" i="35"/>
  <c r="T77" i="35"/>
  <c r="V78" i="35"/>
  <c r="AB90" i="34"/>
  <c r="V81" i="34"/>
  <c r="Z87" i="34"/>
  <c r="U76" i="34"/>
  <c r="V75" i="34"/>
  <c r="W84" i="34"/>
  <c r="U78" i="34"/>
  <c r="U77" i="34"/>
  <c r="X81" i="32" l="1"/>
  <c r="W76" i="32"/>
  <c r="X75" i="32"/>
  <c r="W78" i="32"/>
  <c r="Z84" i="32"/>
  <c r="W77" i="32"/>
  <c r="AB87" i="32"/>
  <c r="Z90" i="32"/>
  <c r="U77" i="35"/>
  <c r="W78" i="35"/>
  <c r="Y84" i="35"/>
  <c r="Z81" i="35"/>
  <c r="V75" i="35"/>
  <c r="U76" i="35"/>
  <c r="AC87" i="35"/>
  <c r="Z90" i="35"/>
  <c r="V78" i="34"/>
  <c r="V77" i="34"/>
  <c r="W81" i="34"/>
  <c r="AC90" i="34"/>
  <c r="V76" i="34"/>
  <c r="W75" i="34"/>
  <c r="X84" i="34"/>
  <c r="AA87" i="34"/>
  <c r="AC87" i="32" l="1"/>
  <c r="X77" i="32"/>
  <c r="X78" i="32"/>
  <c r="Y81" i="32"/>
  <c r="AA90" i="32"/>
  <c r="AA84" i="32"/>
  <c r="Y75" i="32"/>
  <c r="X76" i="32"/>
  <c r="AA90" i="35"/>
  <c r="V77" i="35"/>
  <c r="AD87" i="35"/>
  <c r="W75" i="35"/>
  <c r="V76" i="35"/>
  <c r="X78" i="35"/>
  <c r="Z84" i="35"/>
  <c r="AA81" i="35"/>
  <c r="W77" i="34"/>
  <c r="AB87" i="34"/>
  <c r="W76" i="34"/>
  <c r="X75" i="34"/>
  <c r="AD90" i="34"/>
  <c r="Y84" i="34"/>
  <c r="X81" i="34"/>
  <c r="W78" i="34"/>
  <c r="Y78" i="32" l="1"/>
  <c r="Y77" i="32"/>
  <c r="AB84" i="32"/>
  <c r="AB90" i="32"/>
  <c r="AD87" i="32"/>
  <c r="Z75" i="32"/>
  <c r="Y76" i="32"/>
  <c r="Z81" i="32"/>
  <c r="W77" i="35"/>
  <c r="W76" i="35"/>
  <c r="X75" i="35"/>
  <c r="AA84" i="35"/>
  <c r="Y78" i="35"/>
  <c r="AE87" i="35"/>
  <c r="AB81" i="35"/>
  <c r="AB90" i="35"/>
  <c r="AE90" i="34"/>
  <c r="X77" i="34"/>
  <c r="X78" i="34"/>
  <c r="Z84" i="34"/>
  <c r="AC87" i="34"/>
  <c r="Y81" i="34"/>
  <c r="X76" i="34"/>
  <c r="Y75" i="34"/>
  <c r="Z76" i="32" l="1"/>
  <c r="AA75" i="32"/>
  <c r="AE87" i="32"/>
  <c r="Z78" i="32"/>
  <c r="AC90" i="32"/>
  <c r="AA81" i="32"/>
  <c r="Z77" i="32"/>
  <c r="AC84" i="32"/>
  <c r="AC90" i="35"/>
  <c r="AC81" i="35"/>
  <c r="AF87" i="35"/>
  <c r="AB84" i="35"/>
  <c r="X76" i="35"/>
  <c r="Y75" i="35"/>
  <c r="Z78" i="35"/>
  <c r="X77" i="35"/>
  <c r="Z81" i="34"/>
  <c r="AD87" i="34"/>
  <c r="Y78" i="34"/>
  <c r="AF90" i="34"/>
  <c r="Y77" i="34"/>
  <c r="Y76" i="34"/>
  <c r="Z75" i="34"/>
  <c r="AA84" i="34"/>
  <c r="AD84" i="32" l="1"/>
  <c r="AF87" i="32"/>
  <c r="AA77" i="32"/>
  <c r="AB81" i="32"/>
  <c r="AA78" i="32"/>
  <c r="AD90" i="32"/>
  <c r="AA76" i="32"/>
  <c r="AB75" i="32"/>
  <c r="AG87" i="35"/>
  <c r="AD90" i="35"/>
  <c r="AA78" i="35"/>
  <c r="Z75" i="35"/>
  <c r="Y76" i="35"/>
  <c r="Y77" i="35"/>
  <c r="AC84" i="35"/>
  <c r="AD81" i="35"/>
  <c r="AB84" i="34"/>
  <c r="Z76" i="34"/>
  <c r="AA75" i="34"/>
  <c r="AA81" i="34"/>
  <c r="Z77" i="34"/>
  <c r="Z78" i="34"/>
  <c r="AE87" i="34"/>
  <c r="AG90" i="34"/>
  <c r="AE90" i="32" l="1"/>
  <c r="AE84" i="32"/>
  <c r="AC75" i="32"/>
  <c r="AB76" i="32"/>
  <c r="AB78" i="32"/>
  <c r="AB77" i="32"/>
  <c r="AC81" i="32"/>
  <c r="AG87" i="32"/>
  <c r="AA75" i="35"/>
  <c r="Z76" i="35"/>
  <c r="AD84" i="35"/>
  <c r="AE81" i="35"/>
  <c r="Z77" i="35"/>
  <c r="AB78" i="35"/>
  <c r="AE90" i="35"/>
  <c r="AH87" i="35"/>
  <c r="AB81" i="34"/>
  <c r="AC84" i="34"/>
  <c r="AH90" i="34"/>
  <c r="AF87" i="34"/>
  <c r="AA78" i="34"/>
  <c r="AA76" i="34"/>
  <c r="AB75" i="34"/>
  <c r="AA77" i="34"/>
  <c r="AC77" i="32" l="1"/>
  <c r="AH87" i="32"/>
  <c r="AF90" i="32"/>
  <c r="AC78" i="32"/>
  <c r="AD75" i="32"/>
  <c r="AC76" i="32"/>
  <c r="AF84" i="32"/>
  <c r="AD81" i="32"/>
  <c r="AF81" i="35"/>
  <c r="AE84" i="35"/>
  <c r="AA77" i="35"/>
  <c r="AA76" i="35"/>
  <c r="AB75" i="35"/>
  <c r="AF90" i="35"/>
  <c r="AC78" i="35"/>
  <c r="AG87" i="34"/>
  <c r="AC81" i="34"/>
  <c r="AB76" i="34"/>
  <c r="AC75" i="34"/>
  <c r="AB78" i="34"/>
  <c r="AD84" i="34"/>
  <c r="AB77" i="34"/>
  <c r="AD77" i="32" l="1"/>
  <c r="AE81" i="32"/>
  <c r="AD76" i="32"/>
  <c r="AE75" i="32"/>
  <c r="AD78" i="32"/>
  <c r="AG84" i="32"/>
  <c r="AG90" i="32"/>
  <c r="AG90" i="35"/>
  <c r="AB76" i="35"/>
  <c r="AC75" i="35"/>
  <c r="AB77" i="35"/>
  <c r="AD78" i="35"/>
  <c r="AF84" i="35"/>
  <c r="AG81" i="35"/>
  <c r="AD81" i="34"/>
  <c r="AE84" i="34"/>
  <c r="AC76" i="34"/>
  <c r="AD75" i="34"/>
  <c r="AC77" i="34"/>
  <c r="AH87" i="34"/>
  <c r="AC78" i="34"/>
  <c r="AH84" i="32" l="1"/>
  <c r="AE78" i="32"/>
  <c r="AE76" i="32"/>
  <c r="AF75" i="32"/>
  <c r="AF81" i="32"/>
  <c r="AH90" i="32"/>
  <c r="AE77" i="32"/>
  <c r="AH81" i="35"/>
  <c r="AE78" i="35"/>
  <c r="AD75" i="35"/>
  <c r="AC76" i="35"/>
  <c r="AG84" i="35"/>
  <c r="AC77" i="35"/>
  <c r="AH90" i="35"/>
  <c r="AD76" i="34"/>
  <c r="AE75" i="34"/>
  <c r="AD77" i="34"/>
  <c r="AE81" i="34"/>
  <c r="AD78" i="34"/>
  <c r="AF84" i="34"/>
  <c r="AG81" i="32" l="1"/>
  <c r="AF77" i="32"/>
  <c r="AF78" i="32"/>
  <c r="AG75" i="32"/>
  <c r="AF76" i="32"/>
  <c r="AD77" i="35"/>
  <c r="AF78" i="35"/>
  <c r="AH84" i="35"/>
  <c r="AE75" i="35"/>
  <c r="AD76" i="35"/>
  <c r="AE78" i="34"/>
  <c r="AE76" i="34"/>
  <c r="AF75" i="34"/>
  <c r="AF81" i="34"/>
  <c r="AE77" i="34"/>
  <c r="AG84" i="34"/>
  <c r="AG77" i="32" l="1"/>
  <c r="AH75" i="32"/>
  <c r="AG76" i="32"/>
  <c r="AG78" i="32"/>
  <c r="AH81" i="32"/>
  <c r="AE77" i="35"/>
  <c r="AE76" i="35"/>
  <c r="AF75" i="35"/>
  <c r="AG78" i="35"/>
  <c r="AG81" i="34"/>
  <c r="AF76" i="34"/>
  <c r="AG75" i="34"/>
  <c r="AF77" i="34"/>
  <c r="AH84" i="34"/>
  <c r="AF78" i="34"/>
  <c r="AH76" i="32" l="1"/>
  <c r="AH77" i="32"/>
  <c r="AH78" i="32"/>
  <c r="AF76" i="35"/>
  <c r="AG75" i="35"/>
  <c r="AF77" i="35"/>
  <c r="AH78" i="35"/>
  <c r="AG78" i="34"/>
  <c r="AG76" i="34"/>
  <c r="AH75" i="34"/>
  <c r="AH76" i="34" s="1"/>
  <c r="AH81" i="34"/>
  <c r="AG77" i="34"/>
  <c r="AH75" i="35" l="1"/>
  <c r="AG76" i="35"/>
  <c r="AG77" i="35"/>
  <c r="AH77" i="34"/>
  <c r="AH78" i="34"/>
  <c r="AH76" i="35" l="1"/>
  <c r="AH77" i="35"/>
  <c r="E46" i="36" l="1"/>
  <c r="E36" i="36"/>
  <c r="E26" i="36"/>
  <c r="E16" i="36"/>
  <c r="AB90" i="2"/>
  <c r="AB87" i="2"/>
  <c r="AB84" i="2"/>
  <c r="AB81" i="2"/>
  <c r="AB78" i="2"/>
  <c r="AB75" i="2"/>
  <c r="AA72" i="2"/>
  <c r="AA10" i="2"/>
  <c r="AA8" i="2"/>
  <c r="AD8" i="2" l="1"/>
  <c r="AE8" i="2"/>
  <c r="AF8" i="2"/>
  <c r="AG8" i="2"/>
  <c r="AH8" i="2"/>
  <c r="AD10" i="2"/>
  <c r="AE10" i="2"/>
  <c r="AF10" i="2"/>
  <c r="AG10" i="2"/>
  <c r="AH10" i="2"/>
  <c r="AD72" i="2"/>
  <c r="AE72" i="2"/>
  <c r="AF72" i="2"/>
  <c r="AG72" i="2"/>
  <c r="AH72" i="2"/>
  <c r="C25" i="2"/>
  <c r="X146" i="31"/>
  <c r="Y146" i="31"/>
  <c r="Z146" i="31"/>
  <c r="AA146" i="31"/>
  <c r="AB146" i="31"/>
  <c r="X113" i="31"/>
  <c r="Y113" i="31"/>
  <c r="Z113" i="31"/>
  <c r="AA113" i="31"/>
  <c r="AB113" i="31"/>
  <c r="X80" i="31"/>
  <c r="Y80" i="31"/>
  <c r="Z80" i="31"/>
  <c r="AA80" i="31"/>
  <c r="AB80" i="31"/>
  <c r="X14" i="31"/>
  <c r="Y14" i="31"/>
  <c r="Z14" i="31"/>
  <c r="AA14" i="31"/>
  <c r="AB14" i="31"/>
  <c r="AC47" i="31"/>
  <c r="Y47" i="31"/>
  <c r="Z47" i="31"/>
  <c r="X47" i="31"/>
  <c r="AA47" i="31"/>
  <c r="AB47" i="31"/>
  <c r="F6" i="1" l="1"/>
  <c r="G6" i="1"/>
  <c r="H6" i="1"/>
  <c r="I6" i="1"/>
  <c r="E6" i="1"/>
  <c r="Z152" i="31" l="1"/>
  <c r="V152" i="31"/>
  <c r="R152" i="31"/>
  <c r="N152" i="31"/>
  <c r="J152" i="31"/>
  <c r="F152" i="31"/>
  <c r="AA119" i="31"/>
  <c r="W119" i="31"/>
  <c r="S119" i="31"/>
  <c r="O119" i="31"/>
  <c r="K119" i="31"/>
  <c r="G119" i="31"/>
  <c r="Y152" i="31"/>
  <c r="U152" i="31"/>
  <c r="Q152" i="31"/>
  <c r="M152" i="31"/>
  <c r="I152" i="31"/>
  <c r="Z119" i="31"/>
  <c r="V119" i="31"/>
  <c r="R119" i="31"/>
  <c r="N119" i="31"/>
  <c r="AB152" i="31"/>
  <c r="X152" i="31"/>
  <c r="T152" i="31"/>
  <c r="P152" i="31"/>
  <c r="L152" i="31"/>
  <c r="H152" i="31"/>
  <c r="D152" i="31"/>
  <c r="Y119" i="31"/>
  <c r="U119" i="31"/>
  <c r="Q119" i="31"/>
  <c r="M119" i="31"/>
  <c r="I119" i="31"/>
  <c r="O152" i="31"/>
  <c r="X119" i="31"/>
  <c r="J119" i="31"/>
  <c r="AB86" i="31"/>
  <c r="X86" i="31"/>
  <c r="T86" i="31"/>
  <c r="P86" i="31"/>
  <c r="L86" i="31"/>
  <c r="H86" i="31"/>
  <c r="D86" i="31"/>
  <c r="Y53" i="31"/>
  <c r="U53" i="31"/>
  <c r="Q53" i="31"/>
  <c r="M53" i="31"/>
  <c r="I53" i="31"/>
  <c r="D53" i="31"/>
  <c r="W152" i="31"/>
  <c r="P119" i="31"/>
  <c r="F119" i="31"/>
  <c r="V86" i="31"/>
  <c r="R86" i="31"/>
  <c r="J86" i="31"/>
  <c r="AA53" i="31"/>
  <c r="S53" i="31"/>
  <c r="K53" i="31"/>
  <c r="G53" i="31"/>
  <c r="AB119" i="31"/>
  <c r="D119" i="31"/>
  <c r="U86" i="31"/>
  <c r="M86" i="31"/>
  <c r="V53" i="31"/>
  <c r="N53" i="31"/>
  <c r="F53" i="31"/>
  <c r="AA152" i="31"/>
  <c r="K152" i="31"/>
  <c r="T119" i="31"/>
  <c r="H119" i="31"/>
  <c r="AA86" i="31"/>
  <c r="W86" i="31"/>
  <c r="S86" i="31"/>
  <c r="O86" i="31"/>
  <c r="K86" i="31"/>
  <c r="G86" i="31"/>
  <c r="AB53" i="31"/>
  <c r="X53" i="31"/>
  <c r="T53" i="31"/>
  <c r="P53" i="31"/>
  <c r="L53" i="31"/>
  <c r="H53" i="31"/>
  <c r="G152" i="31"/>
  <c r="Z86" i="31"/>
  <c r="N86" i="31"/>
  <c r="F86" i="31"/>
  <c r="W53" i="31"/>
  <c r="O53" i="31"/>
  <c r="S152" i="31"/>
  <c r="L119" i="31"/>
  <c r="Y86" i="31"/>
  <c r="Q86" i="31"/>
  <c r="I86" i="31"/>
  <c r="Z53" i="31"/>
  <c r="R53" i="31"/>
  <c r="J53" i="31"/>
  <c r="H7" i="1"/>
  <c r="AE27" i="34"/>
  <c r="AA27" i="34"/>
  <c r="W27" i="34"/>
  <c r="S27" i="34"/>
  <c r="O27" i="34"/>
  <c r="K27" i="34"/>
  <c r="AF27" i="34"/>
  <c r="X27" i="34"/>
  <c r="P27" i="34"/>
  <c r="AH27" i="34"/>
  <c r="AD27" i="34"/>
  <c r="Z27" i="34"/>
  <c r="V27" i="34"/>
  <c r="R27" i="34"/>
  <c r="N27" i="34"/>
  <c r="J27" i="34"/>
  <c r="AG27" i="34"/>
  <c r="AC27" i="34"/>
  <c r="Y27" i="34"/>
  <c r="U27" i="34"/>
  <c r="Q27" i="34"/>
  <c r="M27" i="34"/>
  <c r="I27" i="34"/>
  <c r="AB27" i="34"/>
  <c r="T27" i="34"/>
  <c r="L27" i="34"/>
  <c r="G7" i="1"/>
  <c r="AE27" i="33" s="1"/>
  <c r="E7" i="1"/>
  <c r="E3" i="2" s="1"/>
  <c r="C27" i="2" s="1"/>
  <c r="C28" i="2" s="1"/>
  <c r="D31" i="2" s="1"/>
  <c r="E3" i="33"/>
  <c r="C27" i="33" s="1"/>
  <c r="C28" i="33" s="1"/>
  <c r="E3" i="34"/>
  <c r="C27" i="34" s="1"/>
  <c r="C28" i="34" s="1"/>
  <c r="E3" i="32"/>
  <c r="C27" i="32" s="1"/>
  <c r="C28" i="32" s="1"/>
  <c r="E3" i="35"/>
  <c r="C27" i="35" s="1"/>
  <c r="C28" i="35" s="1"/>
  <c r="AA27" i="2"/>
  <c r="AF27" i="2"/>
  <c r="AH27" i="2"/>
  <c r="AG27" i="2"/>
  <c r="AD27" i="2"/>
  <c r="AE27" i="2"/>
  <c r="F7" i="1"/>
  <c r="W27" i="32" s="1"/>
  <c r="AG27" i="32"/>
  <c r="I7" i="1"/>
  <c r="AE27" i="35" s="1"/>
  <c r="S27" i="35"/>
  <c r="AB27" i="35"/>
  <c r="AH27" i="35"/>
  <c r="R27" i="35"/>
  <c r="AC27" i="35"/>
  <c r="M27" i="35"/>
  <c r="X19" i="31"/>
  <c r="X20" i="31" s="1"/>
  <c r="AB19" i="31"/>
  <c r="AB20" i="31" s="1"/>
  <c r="Y19" i="31"/>
  <c r="Y20" i="31" s="1"/>
  <c r="Z19" i="31"/>
  <c r="Z20" i="31" s="1"/>
  <c r="AA19" i="31"/>
  <c r="AA20" i="31" s="1"/>
  <c r="Z108" i="31"/>
  <c r="Z109" i="31" s="1"/>
  <c r="AA108" i="31"/>
  <c r="AA109" i="31" s="1"/>
  <c r="Y108" i="31"/>
  <c r="Y109" i="31" s="1"/>
  <c r="X108" i="31"/>
  <c r="X109" i="31" s="1"/>
  <c r="AB108" i="31"/>
  <c r="AB109" i="31" s="1"/>
  <c r="Z9" i="31"/>
  <c r="Z10" i="31" s="1"/>
  <c r="Y9" i="31"/>
  <c r="Y10" i="31" s="1"/>
  <c r="AA9" i="31"/>
  <c r="AA10" i="31" s="1"/>
  <c r="X9" i="31"/>
  <c r="X10" i="31" s="1"/>
  <c r="AB9" i="31"/>
  <c r="AB10" i="31" s="1"/>
  <c r="AA42" i="31"/>
  <c r="AA43" i="31" s="1"/>
  <c r="X141" i="31"/>
  <c r="X142" i="31" s="1"/>
  <c r="AC85" i="31" l="1"/>
  <c r="AC86" i="31" s="1"/>
  <c r="E86" i="31"/>
  <c r="AC52" i="31"/>
  <c r="AC53" i="31" s="1"/>
  <c r="E53" i="31"/>
  <c r="AC118" i="31"/>
  <c r="AC119" i="31" s="1"/>
  <c r="E119" i="31"/>
  <c r="AC151" i="31"/>
  <c r="AC152" i="31" s="1"/>
  <c r="E152" i="31"/>
  <c r="AC16" i="36"/>
  <c r="AC17" i="36" s="1"/>
  <c r="AC18" i="37"/>
  <c r="AD36" i="36"/>
  <c r="AD38" i="37"/>
  <c r="AB5" i="36"/>
  <c r="AB7" i="37"/>
  <c r="AC35" i="36"/>
  <c r="AC37" i="37"/>
  <c r="AB16" i="36"/>
  <c r="AB18" i="37"/>
  <c r="AB6" i="36"/>
  <c r="AB7" i="36" s="1"/>
  <c r="AB8" i="37"/>
  <c r="AB9" i="37" s="1"/>
  <c r="AC26" i="36"/>
  <c r="AC28" i="37"/>
  <c r="Z26" i="36"/>
  <c r="Z28" i="37"/>
  <c r="Z36" i="36"/>
  <c r="Z38" i="37"/>
  <c r="Z46" i="36"/>
  <c r="Z47" i="36" s="1"/>
  <c r="Z48" i="37"/>
  <c r="D32" i="34"/>
  <c r="D31" i="34"/>
  <c r="AA5" i="36"/>
  <c r="AA7" i="37"/>
  <c r="AC6" i="36"/>
  <c r="AC8" i="37"/>
  <c r="AD26" i="36"/>
  <c r="AD28" i="37"/>
  <c r="AD5" i="36"/>
  <c r="AD7" i="37"/>
  <c r="Z5" i="36"/>
  <c r="Z7" i="37"/>
  <c r="AD35" i="36"/>
  <c r="AD37" i="37"/>
  <c r="AB35" i="36"/>
  <c r="AB37" i="37"/>
  <c r="AA16" i="36"/>
  <c r="AA18" i="37"/>
  <c r="AA6" i="36"/>
  <c r="AA7" i="36" s="1"/>
  <c r="AA8" i="37"/>
  <c r="AA9" i="37" s="1"/>
  <c r="AB26" i="36"/>
  <c r="AB28" i="37"/>
  <c r="AB36" i="36"/>
  <c r="AB37" i="36" s="1"/>
  <c r="AB38" i="37"/>
  <c r="AB39" i="37" s="1"/>
  <c r="AC36" i="36"/>
  <c r="AC38" i="37"/>
  <c r="AC46" i="36"/>
  <c r="AC48" i="37"/>
  <c r="D32" i="33"/>
  <c r="D31" i="33"/>
  <c r="AC15" i="36"/>
  <c r="AC17" i="37"/>
  <c r="AA35" i="36"/>
  <c r="AA37" i="37"/>
  <c r="Z6" i="36"/>
  <c r="Z7" i="36" s="1"/>
  <c r="Z8" i="37"/>
  <c r="Z9" i="37" s="1"/>
  <c r="AD46" i="36"/>
  <c r="AD48" i="37"/>
  <c r="D32" i="32"/>
  <c r="D31" i="32"/>
  <c r="Z45" i="36"/>
  <c r="Z47" i="37"/>
  <c r="AC5" i="36"/>
  <c r="AC7" i="36" s="1"/>
  <c r="AC7" i="37"/>
  <c r="Z35" i="36"/>
  <c r="Z37" i="37"/>
  <c r="AD16" i="36"/>
  <c r="AD18" i="37"/>
  <c r="Z16" i="36"/>
  <c r="Z18" i="37"/>
  <c r="AD6" i="36"/>
  <c r="AD7" i="36" s="1"/>
  <c r="AD8" i="37"/>
  <c r="AD9" i="37" s="1"/>
  <c r="AA26" i="36"/>
  <c r="AA28" i="37"/>
  <c r="AA36" i="36"/>
  <c r="AA37" i="36" s="1"/>
  <c r="AA38" i="37"/>
  <c r="AA39" i="37" s="1"/>
  <c r="AA46" i="36"/>
  <c r="AA48" i="37"/>
  <c r="AB46" i="36"/>
  <c r="AB48" i="37"/>
  <c r="D32" i="35"/>
  <c r="D31" i="35"/>
  <c r="D32" i="2"/>
  <c r="D38" i="2"/>
  <c r="D34" i="2" s="1"/>
  <c r="AA141" i="31"/>
  <c r="AA142" i="31" s="1"/>
  <c r="Q27" i="35"/>
  <c r="AG27" i="35"/>
  <c r="V27" i="35"/>
  <c r="P27" i="35"/>
  <c r="AF27" i="35"/>
  <c r="W27" i="35"/>
  <c r="L27" i="32"/>
  <c r="V27" i="32"/>
  <c r="Y141" i="31"/>
  <c r="Y142" i="31" s="1"/>
  <c r="AB42" i="31"/>
  <c r="AB43" i="31" s="1"/>
  <c r="AB55" i="31" s="1"/>
  <c r="Z42" i="31"/>
  <c r="Z43" i="31" s="1"/>
  <c r="Z54" i="31" s="1"/>
  <c r="L27" i="35"/>
  <c r="U27" i="35"/>
  <c r="J27" i="35"/>
  <c r="Z27" i="35"/>
  <c r="T27" i="35"/>
  <c r="K27" i="35"/>
  <c r="AA27" i="35"/>
  <c r="X27" i="32"/>
  <c r="P27" i="32"/>
  <c r="Z141" i="31"/>
  <c r="Z142" i="31" s="1"/>
  <c r="Z153" i="31" s="1"/>
  <c r="Y42" i="31"/>
  <c r="Y43" i="31" s="1"/>
  <c r="AB141" i="31"/>
  <c r="AB142" i="31" s="1"/>
  <c r="X42" i="31"/>
  <c r="X43" i="31" s="1"/>
  <c r="I27" i="35"/>
  <c r="Y27" i="35"/>
  <c r="N27" i="35"/>
  <c r="AD27" i="35"/>
  <c r="X27" i="35"/>
  <c r="O27" i="35"/>
  <c r="Q27" i="32"/>
  <c r="S27" i="32"/>
  <c r="X75" i="31"/>
  <c r="X76" i="31" s="1"/>
  <c r="J27" i="33"/>
  <c r="T27" i="32"/>
  <c r="Y27" i="32"/>
  <c r="AD27" i="32"/>
  <c r="AA27" i="32"/>
  <c r="Z27" i="33"/>
  <c r="X27" i="33"/>
  <c r="AB27" i="33"/>
  <c r="I27" i="32"/>
  <c r="N27" i="32"/>
  <c r="K27" i="32"/>
  <c r="U27" i="33"/>
  <c r="S27" i="33"/>
  <c r="D38" i="33"/>
  <c r="D34" i="33" s="1"/>
  <c r="D26" i="33"/>
  <c r="Z75" i="31"/>
  <c r="Z76" i="31" s="1"/>
  <c r="M27" i="32"/>
  <c r="AC27" i="32"/>
  <c r="R27" i="32"/>
  <c r="AH27" i="32"/>
  <c r="O27" i="32"/>
  <c r="AE27" i="32"/>
  <c r="D38" i="35"/>
  <c r="D34" i="35" s="1"/>
  <c r="D26" i="35"/>
  <c r="D26" i="2"/>
  <c r="D25" i="2" s="1"/>
  <c r="AF27" i="33"/>
  <c r="Y27" i="33"/>
  <c r="N27" i="33"/>
  <c r="AD27" i="33"/>
  <c r="I27" i="33"/>
  <c r="W27" i="33"/>
  <c r="AA75" i="31"/>
  <c r="AA76" i="31" s="1"/>
  <c r="AA88" i="31" s="1"/>
  <c r="Y75" i="31"/>
  <c r="Y76" i="31" s="1"/>
  <c r="Z37" i="36"/>
  <c r="D38" i="32"/>
  <c r="D34" i="32" s="1"/>
  <c r="D26" i="32"/>
  <c r="L27" i="33"/>
  <c r="M27" i="33"/>
  <c r="AC27" i="33"/>
  <c r="R27" i="33"/>
  <c r="AH27" i="33"/>
  <c r="K27" i="33"/>
  <c r="AA27" i="33"/>
  <c r="AB75" i="31"/>
  <c r="AB76" i="31" s="1"/>
  <c r="AF27" i="32"/>
  <c r="U27" i="32"/>
  <c r="J27" i="32"/>
  <c r="Z27" i="32"/>
  <c r="AB27" i="32"/>
  <c r="D38" i="34"/>
  <c r="D34" i="34" s="1"/>
  <c r="D26" i="34"/>
  <c r="T27" i="33"/>
  <c r="Q27" i="33"/>
  <c r="AG27" i="33"/>
  <c r="V27" i="33"/>
  <c r="P27" i="33"/>
  <c r="O27" i="33"/>
  <c r="AB154" i="31"/>
  <c r="AA153" i="31"/>
  <c r="AA154" i="31"/>
  <c r="AA21" i="31"/>
  <c r="AA22" i="31"/>
  <c r="AB120" i="31"/>
  <c r="AB121" i="31"/>
  <c r="Z121" i="31"/>
  <c r="Z120" i="31"/>
  <c r="Z55" i="31"/>
  <c r="Y21" i="31"/>
  <c r="Y22" i="31"/>
  <c r="X87" i="31"/>
  <c r="X120" i="31"/>
  <c r="X121" i="31"/>
  <c r="X55" i="31"/>
  <c r="X54" i="31"/>
  <c r="AB22" i="31"/>
  <c r="AB21" i="31"/>
  <c r="Z22" i="31"/>
  <c r="Z21" i="31"/>
  <c r="Y121" i="31"/>
  <c r="Y120" i="31"/>
  <c r="X153" i="31"/>
  <c r="X154" i="31"/>
  <c r="AA55" i="31"/>
  <c r="AA54" i="31"/>
  <c r="X22" i="31"/>
  <c r="X21" i="31"/>
  <c r="AA87" i="31"/>
  <c r="AA120" i="31"/>
  <c r="AA121" i="31"/>
  <c r="Z49" i="37" l="1"/>
  <c r="AD39" i="37"/>
  <c r="AC37" i="36"/>
  <c r="AD37" i="36"/>
  <c r="AB45" i="36"/>
  <c r="AB47" i="36" s="1"/>
  <c r="AB47" i="37"/>
  <c r="Z25" i="36"/>
  <c r="Z27" i="36" s="1"/>
  <c r="Z27" i="37"/>
  <c r="AA45" i="36"/>
  <c r="AA47" i="36" s="1"/>
  <c r="AA47" i="37"/>
  <c r="AB49" i="37"/>
  <c r="Z29" i="37"/>
  <c r="Z154" i="31"/>
  <c r="AD25" i="36"/>
  <c r="AD27" i="36" s="1"/>
  <c r="AD27" i="37"/>
  <c r="AD29" i="37" s="1"/>
  <c r="Z15" i="36"/>
  <c r="Z17" i="36" s="1"/>
  <c r="Z17" i="37"/>
  <c r="Z19" i="37" s="1"/>
  <c r="AC45" i="36"/>
  <c r="AC47" i="36" s="1"/>
  <c r="AC47" i="37"/>
  <c r="AC49" i="37" s="1"/>
  <c r="D30" i="32"/>
  <c r="D47" i="32" s="1"/>
  <c r="Y153" i="31"/>
  <c r="AA25" i="36"/>
  <c r="AA27" i="36" s="1"/>
  <c r="AA27" i="37"/>
  <c r="AA29" i="37" s="1"/>
  <c r="AD45" i="36"/>
  <c r="AD47" i="36" s="1"/>
  <c r="AD47" i="37"/>
  <c r="AB15" i="36"/>
  <c r="AB17" i="36" s="1"/>
  <c r="AB17" i="37"/>
  <c r="AB19" i="37" s="1"/>
  <c r="AA49" i="37"/>
  <c r="AD49" i="37"/>
  <c r="AC39" i="37"/>
  <c r="AC9" i="37"/>
  <c r="Z39" i="37"/>
  <c r="AC19" i="37"/>
  <c r="AB25" i="36"/>
  <c r="AB27" i="36" s="1"/>
  <c r="AB27" i="37"/>
  <c r="AB29" i="37" s="1"/>
  <c r="X88" i="31"/>
  <c r="Y154" i="31"/>
  <c r="AB153" i="31"/>
  <c r="AC25" i="36"/>
  <c r="AC27" i="36" s="1"/>
  <c r="AC27" i="37"/>
  <c r="AC29" i="37" s="1"/>
  <c r="AA15" i="36"/>
  <c r="AA17" i="36" s="1"/>
  <c r="AA17" i="37"/>
  <c r="AA19" i="37" s="1"/>
  <c r="AD15" i="36"/>
  <c r="AD17" i="36" s="1"/>
  <c r="AD17" i="37"/>
  <c r="AD19" i="37" s="1"/>
  <c r="D30" i="35"/>
  <c r="D47" i="35" s="1"/>
  <c r="D30" i="33"/>
  <c r="D47" i="33" s="1"/>
  <c r="D30" i="34"/>
  <c r="D47" i="34" s="1"/>
  <c r="Y87" i="31"/>
  <c r="Y55" i="31"/>
  <c r="Y54" i="31"/>
  <c r="AB54" i="31"/>
  <c r="Z87" i="31"/>
  <c r="AB88" i="31"/>
  <c r="Y88" i="31"/>
  <c r="Z88" i="31"/>
  <c r="AB87" i="31"/>
  <c r="D95" i="33"/>
  <c r="D25" i="33"/>
  <c r="D95" i="32"/>
  <c r="D25" i="32"/>
  <c r="D94" i="33"/>
  <c r="C67" i="33"/>
  <c r="D46" i="33"/>
  <c r="D25" i="34"/>
  <c r="D95" i="34"/>
  <c r="D40" i="32"/>
  <c r="D94" i="32"/>
  <c r="D46" i="32"/>
  <c r="C67" i="32"/>
  <c r="D95" i="35"/>
  <c r="D25" i="35"/>
  <c r="D46" i="34"/>
  <c r="D94" i="34"/>
  <c r="C67" i="34"/>
  <c r="D46" i="35"/>
  <c r="D94" i="35"/>
  <c r="C67" i="35"/>
  <c r="D96" i="35" l="1"/>
  <c r="D98" i="35" s="1"/>
  <c r="D100" i="35" s="1"/>
  <c r="D101" i="35" s="1"/>
  <c r="D102" i="35" s="1"/>
  <c r="D110" i="35" s="1"/>
  <c r="D40" i="35"/>
  <c r="D40" i="34"/>
  <c r="D40" i="33"/>
  <c r="C65" i="32"/>
  <c r="D96" i="33"/>
  <c r="D98" i="33" s="1"/>
  <c r="D100" i="33" s="1"/>
  <c r="D101" i="33" s="1"/>
  <c r="D102" i="33" s="1"/>
  <c r="D110" i="33" s="1"/>
  <c r="D96" i="32"/>
  <c r="D98" i="32" s="1"/>
  <c r="D100" i="32" s="1"/>
  <c r="D101" i="32" s="1"/>
  <c r="D102" i="32" s="1"/>
  <c r="D110" i="32" s="1"/>
  <c r="D27" i="35"/>
  <c r="D28" i="35" s="1"/>
  <c r="D45" i="35"/>
  <c r="D48" i="35" s="1"/>
  <c r="D24" i="35"/>
  <c r="D27" i="32"/>
  <c r="D28" i="32" s="1"/>
  <c r="D45" i="32"/>
  <c r="D48" i="32" s="1"/>
  <c r="D24" i="32"/>
  <c r="D42" i="32" s="1"/>
  <c r="D96" i="34"/>
  <c r="D98" i="34" s="1"/>
  <c r="D100" i="34" s="1"/>
  <c r="D101" i="34" s="1"/>
  <c r="D102" i="34" s="1"/>
  <c r="D27" i="34"/>
  <c r="D28" i="34" s="1"/>
  <c r="D45" i="34"/>
  <c r="D57" i="34" s="1"/>
  <c r="D24" i="34"/>
  <c r="D27" i="33"/>
  <c r="D28" i="33" s="1"/>
  <c r="D45" i="33"/>
  <c r="D55" i="33" s="1"/>
  <c r="D24" i="33"/>
  <c r="D108" i="35"/>
  <c r="D112" i="35"/>
  <c r="S141" i="31"/>
  <c r="T141" i="31"/>
  <c r="U141" i="31"/>
  <c r="V141" i="31"/>
  <c r="W141" i="31"/>
  <c r="S108" i="31"/>
  <c r="T108" i="31"/>
  <c r="U108" i="31"/>
  <c r="V108" i="31"/>
  <c r="W108" i="31"/>
  <c r="S75" i="31"/>
  <c r="T75" i="31"/>
  <c r="U75" i="31"/>
  <c r="V75" i="31"/>
  <c r="W75" i="31"/>
  <c r="S42" i="31"/>
  <c r="T42" i="31"/>
  <c r="U42" i="31"/>
  <c r="V42" i="31"/>
  <c r="W42" i="31"/>
  <c r="S9" i="31"/>
  <c r="T9" i="31"/>
  <c r="U9" i="31"/>
  <c r="V9" i="31"/>
  <c r="W9" i="31"/>
  <c r="C30" i="2"/>
  <c r="D42" i="33" l="1"/>
  <c r="D42" i="34"/>
  <c r="D112" i="33"/>
  <c r="D108" i="33"/>
  <c r="D57" i="32"/>
  <c r="E32" i="32"/>
  <c r="E31" i="32"/>
  <c r="E32" i="35"/>
  <c r="E31" i="35"/>
  <c r="E32" i="33"/>
  <c r="E31" i="33"/>
  <c r="E32" i="34"/>
  <c r="E31" i="34"/>
  <c r="D112" i="32"/>
  <c r="D108" i="32"/>
  <c r="D55" i="34"/>
  <c r="D57" i="35"/>
  <c r="D55" i="32"/>
  <c r="D55" i="35"/>
  <c r="E26" i="33"/>
  <c r="E38" i="33"/>
  <c r="E34" i="33" s="1"/>
  <c r="D48" i="34"/>
  <c r="E38" i="34"/>
  <c r="E34" i="34" s="1"/>
  <c r="E26" i="34"/>
  <c r="D72" i="32"/>
  <c r="D43" i="32"/>
  <c r="D53" i="32"/>
  <c r="D72" i="35"/>
  <c r="D53" i="35"/>
  <c r="D43" i="35"/>
  <c r="D48" i="33"/>
  <c r="E38" i="35"/>
  <c r="E34" i="35" s="1"/>
  <c r="E26" i="35"/>
  <c r="D72" i="33"/>
  <c r="D43" i="33"/>
  <c r="D53" i="33"/>
  <c r="D72" i="34"/>
  <c r="D103" i="34" s="1"/>
  <c r="D104" i="34" s="1"/>
  <c r="D53" i="34"/>
  <c r="D43" i="34"/>
  <c r="D112" i="34"/>
  <c r="D110" i="34"/>
  <c r="D108" i="34"/>
  <c r="E26" i="32"/>
  <c r="E38" i="32"/>
  <c r="E34" i="32" s="1"/>
  <c r="D57" i="33"/>
  <c r="D42" i="35"/>
  <c r="V142" i="31"/>
  <c r="V109" i="31"/>
  <c r="T10" i="31"/>
  <c r="U10" i="31"/>
  <c r="V10" i="31"/>
  <c r="V76" i="31"/>
  <c r="S76" i="31"/>
  <c r="W43" i="31"/>
  <c r="S43" i="31"/>
  <c r="T43" i="31"/>
  <c r="U43" i="31"/>
  <c r="V43" i="31"/>
  <c r="U109" i="31"/>
  <c r="W142" i="31"/>
  <c r="S142" i="31"/>
  <c r="T142" i="31"/>
  <c r="W76" i="31"/>
  <c r="T76" i="31"/>
  <c r="T109" i="31"/>
  <c r="U76" i="31"/>
  <c r="W109" i="31"/>
  <c r="S109" i="31"/>
  <c r="W10" i="31"/>
  <c r="S10" i="31"/>
  <c r="U142" i="31"/>
  <c r="U35" i="36" l="1"/>
  <c r="U37" i="37"/>
  <c r="Y45" i="36"/>
  <c r="Y47" i="37"/>
  <c r="W45" i="36"/>
  <c r="W47" i="37"/>
  <c r="Y35" i="36"/>
  <c r="Y37" i="37"/>
  <c r="Y25" i="36"/>
  <c r="Y27" i="37"/>
  <c r="W35" i="36"/>
  <c r="W37" i="37"/>
  <c r="U15" i="36"/>
  <c r="U17" i="37"/>
  <c r="X5" i="36"/>
  <c r="X7" i="37"/>
  <c r="X45" i="36"/>
  <c r="X47" i="37"/>
  <c r="U36" i="36"/>
  <c r="U38" i="37"/>
  <c r="U39" i="37" s="1"/>
  <c r="E30" i="34"/>
  <c r="E47" i="34" s="1"/>
  <c r="E30" i="35"/>
  <c r="E47" i="35" s="1"/>
  <c r="V25" i="36"/>
  <c r="V27" i="37"/>
  <c r="W25" i="36"/>
  <c r="W27" i="37"/>
  <c r="V45" i="36"/>
  <c r="V47" i="37"/>
  <c r="X15" i="36"/>
  <c r="X17" i="37"/>
  <c r="Y15" i="36"/>
  <c r="Y17" i="37"/>
  <c r="W5" i="36"/>
  <c r="W7" i="37"/>
  <c r="V36" i="36"/>
  <c r="V38" i="37"/>
  <c r="Y36" i="36"/>
  <c r="Y38" i="37"/>
  <c r="X25" i="36"/>
  <c r="X27" i="37"/>
  <c r="U5" i="36"/>
  <c r="U7" i="37"/>
  <c r="Y5" i="36"/>
  <c r="Y7" i="37"/>
  <c r="V35" i="36"/>
  <c r="V37" i="37"/>
  <c r="U45" i="36"/>
  <c r="U47" i="37"/>
  <c r="W15" i="36"/>
  <c r="W17" i="37"/>
  <c r="U25" i="36"/>
  <c r="U27" i="37"/>
  <c r="V5" i="36"/>
  <c r="V7" i="37"/>
  <c r="W36" i="36"/>
  <c r="W38" i="37"/>
  <c r="W39" i="37" s="1"/>
  <c r="E30" i="33"/>
  <c r="E47" i="33" s="1"/>
  <c r="E30" i="32"/>
  <c r="E47" i="32" s="1"/>
  <c r="V15" i="36"/>
  <c r="V17" i="37"/>
  <c r="X35" i="36"/>
  <c r="X37" i="37"/>
  <c r="X36" i="36"/>
  <c r="X38" i="37"/>
  <c r="X39" i="37" s="1"/>
  <c r="D65" i="33"/>
  <c r="D65" i="32"/>
  <c r="D65" i="34"/>
  <c r="E95" i="35"/>
  <c r="E25" i="35"/>
  <c r="E25" i="34"/>
  <c r="E95" i="34"/>
  <c r="E40" i="33"/>
  <c r="E94" i="33"/>
  <c r="E46" i="33"/>
  <c r="D67" i="33"/>
  <c r="Y37" i="36"/>
  <c r="E94" i="32"/>
  <c r="E46" i="32"/>
  <c r="D67" i="32"/>
  <c r="F80" i="34"/>
  <c r="G79" i="34"/>
  <c r="H80" i="34" s="1"/>
  <c r="E80" i="34"/>
  <c r="E71" i="34" s="1"/>
  <c r="E97" i="34" s="1"/>
  <c r="G80" i="34"/>
  <c r="E40" i="35"/>
  <c r="E94" i="35"/>
  <c r="E46" i="35"/>
  <c r="D67" i="35"/>
  <c r="E94" i="34"/>
  <c r="E40" i="34"/>
  <c r="E46" i="34"/>
  <c r="D67" i="34"/>
  <c r="E95" i="33"/>
  <c r="E25" i="33"/>
  <c r="E80" i="33"/>
  <c r="E71" i="33" s="1"/>
  <c r="E97" i="33" s="1"/>
  <c r="G79" i="33"/>
  <c r="G70" i="33" s="1"/>
  <c r="G80" i="33"/>
  <c r="F80" i="33"/>
  <c r="D103" i="33"/>
  <c r="D104" i="33" s="1"/>
  <c r="E25" i="32"/>
  <c r="E95" i="32"/>
  <c r="G79" i="32"/>
  <c r="G70" i="32" s="1"/>
  <c r="F80" i="32"/>
  <c r="E80" i="32"/>
  <c r="E71" i="32" s="1"/>
  <c r="E97" i="32" s="1"/>
  <c r="G80" i="32"/>
  <c r="D103" i="32"/>
  <c r="D104" i="32" s="1"/>
  <c r="F80" i="35"/>
  <c r="E80" i="35"/>
  <c r="E71" i="35" s="1"/>
  <c r="E97" i="35" s="1"/>
  <c r="G79" i="35"/>
  <c r="H80" i="35" s="1"/>
  <c r="G80" i="35"/>
  <c r="D103" i="35"/>
  <c r="D104" i="35" s="1"/>
  <c r="T121" i="31"/>
  <c r="V121" i="31"/>
  <c r="U121" i="31"/>
  <c r="S121" i="31"/>
  <c r="W121" i="31"/>
  <c r="V39" i="37" l="1"/>
  <c r="H80" i="33"/>
  <c r="Y39" i="37"/>
  <c r="E40" i="32"/>
  <c r="D65" i="35"/>
  <c r="E96" i="35"/>
  <c r="E98" i="35" s="1"/>
  <c r="E100" i="35" s="1"/>
  <c r="E101" i="35" s="1"/>
  <c r="E102" i="35" s="1"/>
  <c r="H80" i="32"/>
  <c r="H79" i="33"/>
  <c r="I80" i="33" s="1"/>
  <c r="E27" i="33"/>
  <c r="E28" i="33" s="1"/>
  <c r="E45" i="33"/>
  <c r="E57" i="33" s="1"/>
  <c r="E24" i="33"/>
  <c r="E96" i="32"/>
  <c r="E98" i="32" s="1"/>
  <c r="E100" i="32" s="1"/>
  <c r="E101" i="32" s="1"/>
  <c r="E102" i="32" s="1"/>
  <c r="E27" i="34"/>
  <c r="E28" i="34" s="1"/>
  <c r="E24" i="34"/>
  <c r="E45" i="34"/>
  <c r="E48" i="34" s="1"/>
  <c r="E96" i="33"/>
  <c r="E98" i="33" s="1"/>
  <c r="E100" i="33" s="1"/>
  <c r="E101" i="33" s="1"/>
  <c r="E102" i="33" s="1"/>
  <c r="E27" i="35"/>
  <c r="E28" i="35" s="1"/>
  <c r="E45" i="35"/>
  <c r="E57" i="35" s="1"/>
  <c r="E24" i="35"/>
  <c r="H79" i="35"/>
  <c r="G70" i="35"/>
  <c r="H79" i="32"/>
  <c r="E27" i="32"/>
  <c r="E28" i="32" s="1"/>
  <c r="E24" i="32"/>
  <c r="E45" i="32"/>
  <c r="E48" i="32" s="1"/>
  <c r="E96" i="34"/>
  <c r="E98" i="34" s="1"/>
  <c r="E100" i="34" s="1"/>
  <c r="E101" i="34" s="1"/>
  <c r="E102" i="34" s="1"/>
  <c r="H79" i="34"/>
  <c r="G70" i="34"/>
  <c r="U37" i="36"/>
  <c r="W37" i="36"/>
  <c r="X37" i="36"/>
  <c r="V37" i="36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8" i="31"/>
  <c r="F32" i="35" l="1"/>
  <c r="F31" i="35"/>
  <c r="F32" i="34"/>
  <c r="F31" i="34"/>
  <c r="F32" i="33"/>
  <c r="F31" i="33"/>
  <c r="AC9" i="31"/>
  <c r="F32" i="32"/>
  <c r="F31" i="32"/>
  <c r="AC8" i="31"/>
  <c r="C15" i="30"/>
  <c r="E55" i="35"/>
  <c r="E55" i="33"/>
  <c r="I79" i="33"/>
  <c r="J80" i="33" s="1"/>
  <c r="E48" i="33"/>
  <c r="E55" i="34"/>
  <c r="E42" i="33"/>
  <c r="E72" i="33"/>
  <c r="E53" i="33"/>
  <c r="E43" i="33"/>
  <c r="E108" i="35"/>
  <c r="E112" i="35"/>
  <c r="E110" i="35"/>
  <c r="F38" i="32"/>
  <c r="F34" i="32" s="1"/>
  <c r="F26" i="32"/>
  <c r="I80" i="35"/>
  <c r="I79" i="35"/>
  <c r="J80" i="35" s="1"/>
  <c r="E108" i="33"/>
  <c r="E110" i="33"/>
  <c r="E103" i="33"/>
  <c r="E104" i="33" s="1"/>
  <c r="E112" i="33"/>
  <c r="E48" i="35"/>
  <c r="F26" i="34"/>
  <c r="F38" i="34"/>
  <c r="F34" i="34" s="1"/>
  <c r="E57" i="34"/>
  <c r="E57" i="32"/>
  <c r="E108" i="32"/>
  <c r="E110" i="32"/>
  <c r="E112" i="32"/>
  <c r="F38" i="33"/>
  <c r="F34" i="33" s="1"/>
  <c r="F26" i="33"/>
  <c r="E55" i="32"/>
  <c r="I80" i="34"/>
  <c r="E72" i="32"/>
  <c r="E103" i="32" s="1"/>
  <c r="E104" i="32" s="1"/>
  <c r="E43" i="32"/>
  <c r="E53" i="32"/>
  <c r="F38" i="35"/>
  <c r="F34" i="35" s="1"/>
  <c r="F26" i="35"/>
  <c r="E42" i="34"/>
  <c r="E72" i="34"/>
  <c r="E103" i="34" s="1"/>
  <c r="E104" i="34" s="1"/>
  <c r="E43" i="34"/>
  <c r="E53" i="34"/>
  <c r="E42" i="32"/>
  <c r="E112" i="34"/>
  <c r="E110" i="34"/>
  <c r="E108" i="34"/>
  <c r="I79" i="32"/>
  <c r="J80" i="32" s="1"/>
  <c r="E42" i="35"/>
  <c r="E72" i="35"/>
  <c r="E43" i="35"/>
  <c r="E53" i="35"/>
  <c r="I80" i="32"/>
  <c r="J79" i="33"/>
  <c r="K80" i="33" s="1"/>
  <c r="I79" i="34"/>
  <c r="J79" i="34" s="1"/>
  <c r="K79" i="34" s="1"/>
  <c r="D10" i="31"/>
  <c r="R141" i="31"/>
  <c r="Q141" i="31"/>
  <c r="P141" i="31"/>
  <c r="O141" i="31"/>
  <c r="N141" i="31"/>
  <c r="M141" i="31"/>
  <c r="L141" i="31"/>
  <c r="K141" i="31"/>
  <c r="J141" i="31"/>
  <c r="I141" i="31"/>
  <c r="H141" i="31"/>
  <c r="G141" i="31"/>
  <c r="F141" i="31"/>
  <c r="E141" i="31"/>
  <c r="D141" i="31"/>
  <c r="C140" i="31"/>
  <c r="R108" i="31"/>
  <c r="Q108" i="31"/>
  <c r="P108" i="31"/>
  <c r="O108" i="31"/>
  <c r="N108" i="31"/>
  <c r="M108" i="31"/>
  <c r="L108" i="31"/>
  <c r="K108" i="31"/>
  <c r="J108" i="31"/>
  <c r="I108" i="31"/>
  <c r="H108" i="31"/>
  <c r="G108" i="31"/>
  <c r="F108" i="31"/>
  <c r="E108" i="31"/>
  <c r="D108" i="31"/>
  <c r="C107" i="31"/>
  <c r="R75" i="31"/>
  <c r="Q75" i="31"/>
  <c r="P75" i="31"/>
  <c r="O75" i="31"/>
  <c r="N75" i="31"/>
  <c r="M75" i="31"/>
  <c r="L75" i="31"/>
  <c r="K75" i="31"/>
  <c r="J75" i="31"/>
  <c r="I75" i="31"/>
  <c r="H75" i="31"/>
  <c r="G75" i="31"/>
  <c r="F75" i="31"/>
  <c r="E75" i="31"/>
  <c r="D75" i="31"/>
  <c r="C74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C41" i="31"/>
  <c r="C146" i="31"/>
  <c r="C113" i="31"/>
  <c r="C80" i="31"/>
  <c r="C47" i="31"/>
  <c r="AC42" i="31" l="1"/>
  <c r="AC108" i="31"/>
  <c r="AC141" i="31"/>
  <c r="F30" i="32"/>
  <c r="F47" i="32" s="1"/>
  <c r="F30" i="33"/>
  <c r="F47" i="33" s="1"/>
  <c r="F30" i="34"/>
  <c r="F47" i="34" s="1"/>
  <c r="AC41" i="31"/>
  <c r="AC43" i="31" s="1"/>
  <c r="C16" i="30"/>
  <c r="AC74" i="31"/>
  <c r="C17" i="30"/>
  <c r="AC107" i="31"/>
  <c r="C18" i="30"/>
  <c r="AC140" i="31"/>
  <c r="C19" i="30"/>
  <c r="F5" i="36"/>
  <c r="F7" i="37"/>
  <c r="F30" i="35"/>
  <c r="F47" i="35" s="1"/>
  <c r="E65" i="32"/>
  <c r="J79" i="35"/>
  <c r="K80" i="35" s="1"/>
  <c r="J79" i="32"/>
  <c r="K79" i="32" s="1"/>
  <c r="L79" i="32" s="1"/>
  <c r="F94" i="35"/>
  <c r="F46" i="35"/>
  <c r="F40" i="35"/>
  <c r="E67" i="35"/>
  <c r="F95" i="34"/>
  <c r="F25" i="34"/>
  <c r="K79" i="33"/>
  <c r="F83" i="35"/>
  <c r="F71" i="35" s="1"/>
  <c r="F97" i="35" s="1"/>
  <c r="H83" i="35"/>
  <c r="H82" i="35"/>
  <c r="H70" i="35" s="1"/>
  <c r="G83" i="35"/>
  <c r="L79" i="34"/>
  <c r="F94" i="33"/>
  <c r="F46" i="33"/>
  <c r="F40" i="33"/>
  <c r="E67" i="33"/>
  <c r="F25" i="32"/>
  <c r="F95" i="32"/>
  <c r="E103" i="35"/>
  <c r="E104" i="35" s="1"/>
  <c r="K80" i="32"/>
  <c r="F95" i="33"/>
  <c r="F25" i="33"/>
  <c r="J80" i="34"/>
  <c r="L80" i="34"/>
  <c r="G83" i="34"/>
  <c r="H83" i="34"/>
  <c r="F83" i="34"/>
  <c r="F71" i="34" s="1"/>
  <c r="F97" i="34" s="1"/>
  <c r="H82" i="34"/>
  <c r="H70" i="34" s="1"/>
  <c r="F95" i="35"/>
  <c r="F25" i="35"/>
  <c r="H83" i="32"/>
  <c r="F83" i="32"/>
  <c r="F71" i="32" s="1"/>
  <c r="F97" i="32" s="1"/>
  <c r="H82" i="32"/>
  <c r="G83" i="32"/>
  <c r="K80" i="34"/>
  <c r="F40" i="32"/>
  <c r="F94" i="32"/>
  <c r="F46" i="32"/>
  <c r="E67" i="32"/>
  <c r="F46" i="34"/>
  <c r="F40" i="34"/>
  <c r="F94" i="34"/>
  <c r="E67" i="34"/>
  <c r="F83" i="33"/>
  <c r="F71" i="33" s="1"/>
  <c r="F97" i="33" s="1"/>
  <c r="H83" i="33"/>
  <c r="H82" i="33"/>
  <c r="I83" i="33" s="1"/>
  <c r="G83" i="33"/>
  <c r="AC75" i="31"/>
  <c r="F38" i="37"/>
  <c r="D113" i="31"/>
  <c r="C43" i="31"/>
  <c r="C76" i="31"/>
  <c r="D80" i="31"/>
  <c r="O142" i="31"/>
  <c r="H142" i="31"/>
  <c r="D146" i="31"/>
  <c r="I109" i="31"/>
  <c r="M109" i="31"/>
  <c r="N109" i="31"/>
  <c r="R109" i="31"/>
  <c r="O109" i="31"/>
  <c r="H109" i="31"/>
  <c r="G76" i="31"/>
  <c r="D47" i="31"/>
  <c r="K43" i="31"/>
  <c r="H43" i="31"/>
  <c r="P43" i="31"/>
  <c r="I43" i="31"/>
  <c r="Q43" i="31"/>
  <c r="J43" i="31"/>
  <c r="R43" i="31"/>
  <c r="G43" i="31"/>
  <c r="O43" i="31"/>
  <c r="L43" i="31"/>
  <c r="E43" i="31"/>
  <c r="M43" i="31"/>
  <c r="F43" i="31"/>
  <c r="N43" i="31"/>
  <c r="M76" i="31"/>
  <c r="N76" i="31"/>
  <c r="E142" i="31"/>
  <c r="M142" i="31"/>
  <c r="R142" i="31"/>
  <c r="C142" i="31"/>
  <c r="D43" i="31"/>
  <c r="H76" i="31"/>
  <c r="D142" i="31"/>
  <c r="L142" i="31"/>
  <c r="P142" i="31"/>
  <c r="I142" i="31"/>
  <c r="Q142" i="31"/>
  <c r="N142" i="31"/>
  <c r="E76" i="31"/>
  <c r="I76" i="31"/>
  <c r="Q76" i="31"/>
  <c r="J76" i="31"/>
  <c r="R76" i="31"/>
  <c r="K76" i="31"/>
  <c r="O76" i="31"/>
  <c r="L76" i="31"/>
  <c r="P76" i="31"/>
  <c r="C109" i="31"/>
  <c r="D109" i="31"/>
  <c r="L109" i="31"/>
  <c r="P109" i="31"/>
  <c r="Q109" i="31"/>
  <c r="J109" i="31"/>
  <c r="K109" i="31"/>
  <c r="J142" i="31"/>
  <c r="K142" i="31"/>
  <c r="F76" i="31"/>
  <c r="D76" i="31"/>
  <c r="F109" i="31"/>
  <c r="G142" i="31"/>
  <c r="F142" i="31"/>
  <c r="E109" i="31"/>
  <c r="G109" i="31"/>
  <c r="E65" i="35" l="1"/>
  <c r="E65" i="33"/>
  <c r="N35" i="36"/>
  <c r="N37" i="37"/>
  <c r="P45" i="36"/>
  <c r="P47" i="37"/>
  <c r="O15" i="36"/>
  <c r="O17" i="37"/>
  <c r="K15" i="36"/>
  <c r="K17" i="37"/>
  <c r="M36" i="36"/>
  <c r="M38" i="37"/>
  <c r="L35" i="36"/>
  <c r="L37" i="37"/>
  <c r="Q25" i="36"/>
  <c r="Q27" i="37"/>
  <c r="S45" i="36"/>
  <c r="S47" i="37"/>
  <c r="O25" i="36"/>
  <c r="O27" i="37"/>
  <c r="G15" i="36"/>
  <c r="G17" i="37"/>
  <c r="R15" i="36"/>
  <c r="R17" i="37"/>
  <c r="P35" i="36"/>
  <c r="P37" i="37"/>
  <c r="J45" i="36"/>
  <c r="J47" i="37"/>
  <c r="L36" i="36"/>
  <c r="L38" i="37"/>
  <c r="L39" i="37" s="1"/>
  <c r="I45" i="36"/>
  <c r="I47" i="37"/>
  <c r="M45" i="36"/>
  <c r="M47" i="37"/>
  <c r="S35" i="36"/>
  <c r="S37" i="37"/>
  <c r="E35" i="36"/>
  <c r="E37" i="36" s="1"/>
  <c r="E37" i="37"/>
  <c r="E39" i="37" s="1"/>
  <c r="M25" i="36"/>
  <c r="M27" i="37"/>
  <c r="K25" i="36"/>
  <c r="K27" i="37"/>
  <c r="K45" i="36"/>
  <c r="K47" i="37"/>
  <c r="J25" i="36"/>
  <c r="J27" i="37"/>
  <c r="O45" i="36"/>
  <c r="O47" i="37"/>
  <c r="P15" i="36"/>
  <c r="P17" i="37"/>
  <c r="N15" i="36"/>
  <c r="N17" i="37"/>
  <c r="L15" i="36"/>
  <c r="L17" i="37"/>
  <c r="J15" i="36"/>
  <c r="J17" i="37"/>
  <c r="J35" i="36"/>
  <c r="J37" i="37"/>
  <c r="O35" i="36"/>
  <c r="O37" i="37"/>
  <c r="Q45" i="36"/>
  <c r="Q47" i="37"/>
  <c r="H36" i="36"/>
  <c r="H38" i="37"/>
  <c r="K36" i="36"/>
  <c r="K38" i="37"/>
  <c r="R36" i="36"/>
  <c r="R38" i="37"/>
  <c r="E65" i="34"/>
  <c r="G35" i="36"/>
  <c r="G37" i="37"/>
  <c r="N25" i="36"/>
  <c r="N27" i="37"/>
  <c r="E45" i="36"/>
  <c r="E47" i="36" s="1"/>
  <c r="E47" i="37"/>
  <c r="E49" i="37" s="1"/>
  <c r="P25" i="36"/>
  <c r="P27" i="37"/>
  <c r="E25" i="36"/>
  <c r="E27" i="37"/>
  <c r="E29" i="37" s="1"/>
  <c r="S36" i="36"/>
  <c r="S38" i="37"/>
  <c r="H45" i="36"/>
  <c r="H47" i="37"/>
  <c r="F35" i="36"/>
  <c r="F37" i="37"/>
  <c r="F39" i="37" s="1"/>
  <c r="S25" i="36"/>
  <c r="S27" i="37"/>
  <c r="T45" i="36"/>
  <c r="T47" i="37"/>
  <c r="T15" i="36"/>
  <c r="T17" i="37"/>
  <c r="I35" i="36"/>
  <c r="I37" i="37"/>
  <c r="H35" i="36"/>
  <c r="H37" i="37"/>
  <c r="L45" i="36"/>
  <c r="L47" i="37"/>
  <c r="R35" i="36"/>
  <c r="R37" i="37"/>
  <c r="R25" i="36"/>
  <c r="R27" i="37"/>
  <c r="T25" i="36"/>
  <c r="T27" i="37"/>
  <c r="G25" i="36"/>
  <c r="G27" i="37"/>
  <c r="R45" i="36"/>
  <c r="R47" i="37"/>
  <c r="F15" i="36"/>
  <c r="F17" i="37"/>
  <c r="G45" i="36"/>
  <c r="G47" i="37"/>
  <c r="H15" i="36"/>
  <c r="H17" i="37"/>
  <c r="Q15" i="36"/>
  <c r="Q17" i="37"/>
  <c r="S15" i="36"/>
  <c r="S17" i="37"/>
  <c r="M15" i="36"/>
  <c r="M17" i="37"/>
  <c r="Q35" i="36"/>
  <c r="Q37" i="37"/>
  <c r="K35" i="36"/>
  <c r="K37" i="37"/>
  <c r="T36" i="36"/>
  <c r="T38" i="37"/>
  <c r="J36" i="36"/>
  <c r="J38" i="37"/>
  <c r="G36" i="36"/>
  <c r="G38" i="37"/>
  <c r="G39" i="37" s="1"/>
  <c r="Q36" i="36"/>
  <c r="Q38" i="37"/>
  <c r="F25" i="36"/>
  <c r="F27" i="37"/>
  <c r="N45" i="36"/>
  <c r="N47" i="37"/>
  <c r="T35" i="36"/>
  <c r="T37" i="37"/>
  <c r="N36" i="36"/>
  <c r="N38" i="37"/>
  <c r="N39" i="37" s="1"/>
  <c r="M35" i="36"/>
  <c r="M37" i="37"/>
  <c r="L25" i="36"/>
  <c r="L27" i="37"/>
  <c r="I15" i="36"/>
  <c r="I17" i="37"/>
  <c r="P36" i="36"/>
  <c r="P38" i="37"/>
  <c r="H25" i="36"/>
  <c r="H27" i="37"/>
  <c r="F45" i="36"/>
  <c r="F47" i="37"/>
  <c r="I25" i="36"/>
  <c r="I27" i="37"/>
  <c r="E15" i="36"/>
  <c r="E17" i="36" s="1"/>
  <c r="E17" i="37"/>
  <c r="E19" i="37" s="1"/>
  <c r="O36" i="36"/>
  <c r="O38" i="37"/>
  <c r="O39" i="37" s="1"/>
  <c r="I36" i="36"/>
  <c r="I38" i="37"/>
  <c r="K79" i="35"/>
  <c r="L80" i="35" s="1"/>
  <c r="F96" i="34"/>
  <c r="F98" i="34" s="1"/>
  <c r="F100" i="34" s="1"/>
  <c r="F101" i="34" s="1"/>
  <c r="F102" i="34" s="1"/>
  <c r="I82" i="32"/>
  <c r="J82" i="32" s="1"/>
  <c r="I82" i="33"/>
  <c r="J83" i="33" s="1"/>
  <c r="F96" i="32"/>
  <c r="F98" i="32" s="1"/>
  <c r="F100" i="32" s="1"/>
  <c r="F101" i="32" s="1"/>
  <c r="F102" i="32" s="1"/>
  <c r="F108" i="32" s="1"/>
  <c r="I83" i="35"/>
  <c r="L80" i="32"/>
  <c r="I83" i="34"/>
  <c r="I82" i="35"/>
  <c r="J82" i="35" s="1"/>
  <c r="K83" i="35" s="1"/>
  <c r="AA128" i="31"/>
  <c r="X128" i="31"/>
  <c r="AB128" i="31"/>
  <c r="Y128" i="31"/>
  <c r="F36" i="36"/>
  <c r="Z128" i="31"/>
  <c r="H70" i="33"/>
  <c r="H70" i="32"/>
  <c r="I83" i="32"/>
  <c r="L80" i="33"/>
  <c r="L79" i="33"/>
  <c r="F27" i="35"/>
  <c r="F28" i="35" s="1"/>
  <c r="F24" i="35"/>
  <c r="F42" i="35" s="1"/>
  <c r="F45" i="35"/>
  <c r="F55" i="35" s="1"/>
  <c r="I82" i="34"/>
  <c r="M80" i="32"/>
  <c r="F27" i="33"/>
  <c r="F28" i="33" s="1"/>
  <c r="F24" i="33"/>
  <c r="F42" i="33" s="1"/>
  <c r="F45" i="33"/>
  <c r="F57" i="33" s="1"/>
  <c r="F27" i="32"/>
  <c r="F28" i="32" s="1"/>
  <c r="F24" i="32"/>
  <c r="F42" i="32" s="1"/>
  <c r="F45" i="32"/>
  <c r="F57" i="32" s="1"/>
  <c r="F96" i="33"/>
  <c r="F98" i="33" s="1"/>
  <c r="F100" i="33" s="1"/>
  <c r="F101" i="33" s="1"/>
  <c r="F102" i="33" s="1"/>
  <c r="F96" i="35"/>
  <c r="F98" i="35" s="1"/>
  <c r="F100" i="35" s="1"/>
  <c r="F101" i="35" s="1"/>
  <c r="F102" i="35" s="1"/>
  <c r="L79" i="35"/>
  <c r="M79" i="32"/>
  <c r="N80" i="32" s="1"/>
  <c r="M80" i="34"/>
  <c r="M79" i="34"/>
  <c r="M80" i="33"/>
  <c r="M79" i="33"/>
  <c r="F27" i="34"/>
  <c r="F28" i="34" s="1"/>
  <c r="F45" i="34"/>
  <c r="F57" i="34" s="1"/>
  <c r="F24" i="34"/>
  <c r="B124" i="31"/>
  <c r="E27" i="36"/>
  <c r="P128" i="31"/>
  <c r="M128" i="31"/>
  <c r="Q128" i="31"/>
  <c r="U128" i="31"/>
  <c r="J128" i="31"/>
  <c r="N128" i="31"/>
  <c r="V128" i="31"/>
  <c r="K128" i="31"/>
  <c r="R128" i="31"/>
  <c r="O128" i="31"/>
  <c r="S128" i="31"/>
  <c r="W128" i="31"/>
  <c r="L128" i="31"/>
  <c r="T128" i="31"/>
  <c r="I128" i="31"/>
  <c r="AC109" i="31"/>
  <c r="AC142" i="31"/>
  <c r="AC76" i="31"/>
  <c r="S39" i="37" l="1"/>
  <c r="I39" i="37"/>
  <c r="P39" i="37"/>
  <c r="J39" i="37"/>
  <c r="F112" i="34"/>
  <c r="F110" i="34"/>
  <c r="G32" i="34"/>
  <c r="G31" i="34"/>
  <c r="T39" i="37"/>
  <c r="K39" i="37"/>
  <c r="G32" i="33"/>
  <c r="G31" i="33"/>
  <c r="Q39" i="37"/>
  <c r="R39" i="37"/>
  <c r="H39" i="37"/>
  <c r="M39" i="37"/>
  <c r="G32" i="32"/>
  <c r="G31" i="32"/>
  <c r="G32" i="35"/>
  <c r="G31" i="35"/>
  <c r="J83" i="32"/>
  <c r="F108" i="34"/>
  <c r="F48" i="35"/>
  <c r="F57" i="35"/>
  <c r="J82" i="33"/>
  <c r="K82" i="33" s="1"/>
  <c r="K83" i="32"/>
  <c r="K82" i="32"/>
  <c r="F110" i="32"/>
  <c r="F112" i="32"/>
  <c r="F48" i="33"/>
  <c r="F55" i="34"/>
  <c r="J83" i="35"/>
  <c r="K82" i="35"/>
  <c r="F48" i="34"/>
  <c r="G26" i="34"/>
  <c r="G38" i="34"/>
  <c r="G34" i="34" s="1"/>
  <c r="N79" i="32"/>
  <c r="O79" i="32" s="1"/>
  <c r="F48" i="32"/>
  <c r="F108" i="33"/>
  <c r="F110" i="33"/>
  <c r="F112" i="33"/>
  <c r="G26" i="32"/>
  <c r="G38" i="32"/>
  <c r="G34" i="32" s="1"/>
  <c r="F72" i="35"/>
  <c r="F43" i="35"/>
  <c r="F53" i="35"/>
  <c r="L82" i="32"/>
  <c r="M82" i="32" s="1"/>
  <c r="F55" i="33"/>
  <c r="F42" i="34"/>
  <c r="F72" i="34"/>
  <c r="F53" i="34"/>
  <c r="F43" i="34"/>
  <c r="F72" i="33"/>
  <c r="F43" i="33"/>
  <c r="F53" i="33"/>
  <c r="J83" i="34"/>
  <c r="J82" i="34"/>
  <c r="K83" i="34" s="1"/>
  <c r="N79" i="33"/>
  <c r="O80" i="33" s="1"/>
  <c r="F55" i="32"/>
  <c r="F110" i="35"/>
  <c r="F108" i="35"/>
  <c r="F112" i="35"/>
  <c r="F72" i="32"/>
  <c r="F53" i="32"/>
  <c r="F43" i="32"/>
  <c r="G26" i="33"/>
  <c r="G38" i="33"/>
  <c r="G34" i="33" s="1"/>
  <c r="N80" i="33"/>
  <c r="N80" i="34"/>
  <c r="N79" i="34"/>
  <c r="M80" i="35"/>
  <c r="M79" i="35"/>
  <c r="G26" i="35"/>
  <c r="G38" i="35"/>
  <c r="G34" i="35" s="1"/>
  <c r="L83" i="32"/>
  <c r="R37" i="36"/>
  <c r="M37" i="36"/>
  <c r="T37" i="36"/>
  <c r="F37" i="36"/>
  <c r="G37" i="36"/>
  <c r="N37" i="36"/>
  <c r="O37" i="36"/>
  <c r="K37" i="36"/>
  <c r="I37" i="36"/>
  <c r="H37" i="36"/>
  <c r="J37" i="36"/>
  <c r="Q37" i="36"/>
  <c r="P37" i="36"/>
  <c r="L37" i="36"/>
  <c r="S37" i="36"/>
  <c r="C24" i="2"/>
  <c r="K83" i="33" l="1"/>
  <c r="G30" i="32"/>
  <c r="G47" i="32" s="1"/>
  <c r="C41" i="37"/>
  <c r="C61" i="37" s="1"/>
  <c r="C42" i="37"/>
  <c r="B61" i="37" s="1"/>
  <c r="G30" i="34"/>
  <c r="G47" i="34" s="1"/>
  <c r="G30" i="35"/>
  <c r="G47" i="35" s="1"/>
  <c r="G30" i="33"/>
  <c r="G47" i="33" s="1"/>
  <c r="F65" i="33"/>
  <c r="F65" i="35"/>
  <c r="K82" i="34"/>
  <c r="L82" i="34" s="1"/>
  <c r="M83" i="34" s="1"/>
  <c r="L83" i="35"/>
  <c r="L82" i="35"/>
  <c r="M82" i="35" s="1"/>
  <c r="G25" i="35"/>
  <c r="G95" i="35"/>
  <c r="L82" i="33"/>
  <c r="M83" i="33" s="1"/>
  <c r="L83" i="33"/>
  <c r="G46" i="32"/>
  <c r="G94" i="32"/>
  <c r="G40" i="32"/>
  <c r="F67" i="32"/>
  <c r="P80" i="32"/>
  <c r="P79" i="32"/>
  <c r="Q79" i="32" s="1"/>
  <c r="R80" i="32" s="1"/>
  <c r="I86" i="34"/>
  <c r="I85" i="34"/>
  <c r="I70" i="34" s="1"/>
  <c r="H86" i="34"/>
  <c r="G86" i="34"/>
  <c r="G71" i="34" s="1"/>
  <c r="G97" i="34" s="1"/>
  <c r="F103" i="34"/>
  <c r="F104" i="34" s="1"/>
  <c r="G86" i="35"/>
  <c r="G71" i="35" s="1"/>
  <c r="G97" i="35" s="1"/>
  <c r="I86" i="35"/>
  <c r="H86" i="35"/>
  <c r="I85" i="35"/>
  <c r="I70" i="35" s="1"/>
  <c r="N79" i="35"/>
  <c r="O80" i="35" s="1"/>
  <c r="N80" i="35"/>
  <c r="O79" i="34"/>
  <c r="F103" i="32"/>
  <c r="F104" i="32" s="1"/>
  <c r="H86" i="32"/>
  <c r="I85" i="32"/>
  <c r="J85" i="32" s="1"/>
  <c r="K86" i="32" s="1"/>
  <c r="G86" i="32"/>
  <c r="G71" i="32" s="1"/>
  <c r="G97" i="32" s="1"/>
  <c r="I86" i="32"/>
  <c r="G40" i="34"/>
  <c r="G94" i="34"/>
  <c r="G46" i="34"/>
  <c r="F67" i="34"/>
  <c r="G95" i="32"/>
  <c r="G25" i="32"/>
  <c r="O80" i="34"/>
  <c r="G94" i="33"/>
  <c r="G46" i="33"/>
  <c r="F67" i="33"/>
  <c r="M83" i="32"/>
  <c r="N82" i="32"/>
  <c r="O83" i="32" s="1"/>
  <c r="G94" i="35"/>
  <c r="G46" i="35"/>
  <c r="F67" i="35"/>
  <c r="O79" i="33"/>
  <c r="G95" i="33"/>
  <c r="G25" i="33"/>
  <c r="F103" i="35"/>
  <c r="F104" i="35" s="1"/>
  <c r="F103" i="33"/>
  <c r="F104" i="33" s="1"/>
  <c r="G86" i="33"/>
  <c r="G71" i="33" s="1"/>
  <c r="G97" i="33" s="1"/>
  <c r="H86" i="33"/>
  <c r="I85" i="33"/>
  <c r="I70" i="33" s="1"/>
  <c r="I86" i="33"/>
  <c r="O80" i="32"/>
  <c r="G95" i="34"/>
  <c r="G25" i="34"/>
  <c r="N83" i="32"/>
  <c r="C40" i="36"/>
  <c r="B59" i="36" s="1"/>
  <c r="C39" i="36"/>
  <c r="C59" i="36" s="1"/>
  <c r="F65" i="32" l="1"/>
  <c r="G96" i="35"/>
  <c r="G98" i="35" s="1"/>
  <c r="G100" i="35" s="1"/>
  <c r="G101" i="35" s="1"/>
  <c r="G102" i="35" s="1"/>
  <c r="G112" i="35" s="1"/>
  <c r="G40" i="33"/>
  <c r="G40" i="35"/>
  <c r="F65" i="34"/>
  <c r="M82" i="34"/>
  <c r="J85" i="33"/>
  <c r="K85" i="33" s="1"/>
  <c r="L83" i="34"/>
  <c r="N82" i="35"/>
  <c r="O82" i="35" s="1"/>
  <c r="P83" i="35" s="1"/>
  <c r="J86" i="34"/>
  <c r="O79" i="35"/>
  <c r="P80" i="35" s="1"/>
  <c r="N83" i="35"/>
  <c r="J86" i="33"/>
  <c r="J85" i="35"/>
  <c r="K85" i="35" s="1"/>
  <c r="L85" i="35" s="1"/>
  <c r="J85" i="34"/>
  <c r="K86" i="34" s="1"/>
  <c r="M83" i="35"/>
  <c r="G96" i="33"/>
  <c r="G98" i="33" s="1"/>
  <c r="G100" i="33" s="1"/>
  <c r="O83" i="35"/>
  <c r="G27" i="34"/>
  <c r="G28" i="34" s="1"/>
  <c r="G24" i="34"/>
  <c r="G42" i="34" s="1"/>
  <c r="G45" i="34"/>
  <c r="G48" i="34" s="1"/>
  <c r="R79" i="32"/>
  <c r="P80" i="33"/>
  <c r="P79" i="33"/>
  <c r="M82" i="33"/>
  <c r="N83" i="33" s="1"/>
  <c r="G27" i="35"/>
  <c r="G28" i="35" s="1"/>
  <c r="G24" i="35"/>
  <c r="G45" i="35"/>
  <c r="G55" i="35" s="1"/>
  <c r="G96" i="34"/>
  <c r="G98" i="34" s="1"/>
  <c r="G100" i="34" s="1"/>
  <c r="G101" i="34" s="1"/>
  <c r="G102" i="34" s="1"/>
  <c r="Q80" i="32"/>
  <c r="G96" i="32"/>
  <c r="G98" i="32" s="1"/>
  <c r="G100" i="32" s="1"/>
  <c r="G101" i="32" s="1"/>
  <c r="G102" i="32" s="1"/>
  <c r="N82" i="34"/>
  <c r="O82" i="34" s="1"/>
  <c r="P82" i="34" s="1"/>
  <c r="Q82" i="34" s="1"/>
  <c r="G27" i="33"/>
  <c r="G28" i="33" s="1"/>
  <c r="G45" i="33"/>
  <c r="G57" i="33" s="1"/>
  <c r="G24" i="33"/>
  <c r="G42" i="33" s="1"/>
  <c r="G27" i="32"/>
  <c r="G28" i="32" s="1"/>
  <c r="G45" i="32"/>
  <c r="G57" i="32" s="1"/>
  <c r="G24" i="32"/>
  <c r="N83" i="34"/>
  <c r="K85" i="32"/>
  <c r="K86" i="35"/>
  <c r="O82" i="32"/>
  <c r="P83" i="32" s="1"/>
  <c r="J86" i="32"/>
  <c r="I70" i="32"/>
  <c r="P80" i="34"/>
  <c r="P79" i="34"/>
  <c r="J86" i="35"/>
  <c r="H32" i="32" l="1"/>
  <c r="H31" i="32"/>
  <c r="G108" i="35"/>
  <c r="H32" i="34"/>
  <c r="H30" i="34" s="1"/>
  <c r="H47" i="34" s="1"/>
  <c r="H31" i="34"/>
  <c r="H32" i="35"/>
  <c r="H31" i="35"/>
  <c r="G110" i="35"/>
  <c r="H32" i="33"/>
  <c r="H31" i="33"/>
  <c r="K86" i="33"/>
  <c r="G55" i="34"/>
  <c r="P79" i="35"/>
  <c r="Q80" i="35" s="1"/>
  <c r="P82" i="32"/>
  <c r="Q83" i="32" s="1"/>
  <c r="G57" i="34"/>
  <c r="G48" i="32"/>
  <c r="G55" i="32"/>
  <c r="G57" i="35"/>
  <c r="K85" i="34"/>
  <c r="L85" i="34" s="1"/>
  <c r="M85" i="34" s="1"/>
  <c r="N86" i="34" s="1"/>
  <c r="G48" i="35"/>
  <c r="G48" i="33"/>
  <c r="M85" i="35"/>
  <c r="N86" i="35" s="1"/>
  <c r="M86" i="35"/>
  <c r="R82" i="34"/>
  <c r="S83" i="34" s="1"/>
  <c r="G110" i="32"/>
  <c r="G112" i="32"/>
  <c r="G108" i="32"/>
  <c r="L85" i="32"/>
  <c r="M86" i="32" s="1"/>
  <c r="L86" i="32"/>
  <c r="G42" i="32"/>
  <c r="G72" i="32"/>
  <c r="G53" i="32"/>
  <c r="G43" i="32"/>
  <c r="G108" i="34"/>
  <c r="G112" i="34"/>
  <c r="G110" i="34"/>
  <c r="L86" i="33"/>
  <c r="G55" i="33"/>
  <c r="Q79" i="35"/>
  <c r="Q80" i="34"/>
  <c r="H26" i="33"/>
  <c r="H38" i="33"/>
  <c r="H34" i="33" s="1"/>
  <c r="Q79" i="33"/>
  <c r="Q80" i="33"/>
  <c r="G72" i="34"/>
  <c r="G53" i="34"/>
  <c r="G43" i="34"/>
  <c r="P82" i="35"/>
  <c r="Q82" i="35" s="1"/>
  <c r="R82" i="35" s="1"/>
  <c r="L85" i="33"/>
  <c r="M86" i="33" s="1"/>
  <c r="G72" i="33"/>
  <c r="G53" i="33"/>
  <c r="G43" i="33"/>
  <c r="H26" i="35"/>
  <c r="H38" i="35"/>
  <c r="H34" i="35" s="1"/>
  <c r="Q79" i="34"/>
  <c r="H26" i="32"/>
  <c r="H38" i="32"/>
  <c r="H34" i="32" s="1"/>
  <c r="O83" i="34"/>
  <c r="Q83" i="34"/>
  <c r="R83" i="34"/>
  <c r="P83" i="34"/>
  <c r="G72" i="35"/>
  <c r="G43" i="35"/>
  <c r="G53" i="35"/>
  <c r="N82" i="33"/>
  <c r="L86" i="35"/>
  <c r="N85" i="35"/>
  <c r="O85" i="35" s="1"/>
  <c r="S79" i="32"/>
  <c r="S80" i="32"/>
  <c r="H26" i="34"/>
  <c r="H38" i="34"/>
  <c r="H34" i="34" s="1"/>
  <c r="G101" i="33"/>
  <c r="G102" i="33" s="1"/>
  <c r="G42" i="35"/>
  <c r="H10" i="31"/>
  <c r="M10" i="31"/>
  <c r="P10" i="31"/>
  <c r="S82" i="34" l="1"/>
  <c r="O5" i="36"/>
  <c r="O7" i="37"/>
  <c r="J5" i="36"/>
  <c r="J7" i="37"/>
  <c r="H30" i="35"/>
  <c r="H47" i="35" s="1"/>
  <c r="R5" i="36"/>
  <c r="R7" i="37"/>
  <c r="H30" i="33"/>
  <c r="H47" i="33" s="1"/>
  <c r="H30" i="32"/>
  <c r="H47" i="32" s="1"/>
  <c r="Q82" i="32"/>
  <c r="G65" i="32"/>
  <c r="G65" i="34"/>
  <c r="L86" i="34"/>
  <c r="M86" i="34"/>
  <c r="T82" i="34"/>
  <c r="U83" i="34" s="1"/>
  <c r="R83" i="35"/>
  <c r="N85" i="34"/>
  <c r="O85" i="34" s="1"/>
  <c r="T83" i="34"/>
  <c r="G103" i="33"/>
  <c r="G104" i="33" s="1"/>
  <c r="G112" i="33"/>
  <c r="G110" i="33"/>
  <c r="G108" i="33"/>
  <c r="P86" i="35"/>
  <c r="P85" i="35"/>
  <c r="H95" i="34"/>
  <c r="H25" i="34"/>
  <c r="H95" i="32"/>
  <c r="H25" i="32"/>
  <c r="R80" i="34"/>
  <c r="R79" i="34"/>
  <c r="O83" i="33"/>
  <c r="J88" i="34"/>
  <c r="J70" i="34" s="1"/>
  <c r="H89" i="34"/>
  <c r="H71" i="34" s="1"/>
  <c r="H97" i="34" s="1"/>
  <c r="I89" i="34"/>
  <c r="J89" i="34"/>
  <c r="H46" i="33"/>
  <c r="H94" i="33"/>
  <c r="G67" i="33"/>
  <c r="H95" i="35"/>
  <c r="H25" i="35"/>
  <c r="H95" i="33"/>
  <c r="H25" i="33"/>
  <c r="R80" i="35"/>
  <c r="R79" i="35"/>
  <c r="M85" i="32"/>
  <c r="I89" i="35"/>
  <c r="H89" i="35"/>
  <c r="H71" i="35" s="1"/>
  <c r="H97" i="35" s="1"/>
  <c r="J89" i="35"/>
  <c r="J88" i="35"/>
  <c r="J70" i="35" s="1"/>
  <c r="G103" i="35"/>
  <c r="G104" i="35" s="1"/>
  <c r="H94" i="35"/>
  <c r="H46" i="35"/>
  <c r="H40" i="35"/>
  <c r="G67" i="35"/>
  <c r="J89" i="33"/>
  <c r="J88" i="33"/>
  <c r="J70" i="33" s="1"/>
  <c r="H89" i="33"/>
  <c r="H71" i="33" s="1"/>
  <c r="H97" i="33" s="1"/>
  <c r="I89" i="33"/>
  <c r="R80" i="33"/>
  <c r="R79" i="33"/>
  <c r="O82" i="33"/>
  <c r="P82" i="33" s="1"/>
  <c r="G103" i="34"/>
  <c r="G104" i="34" s="1"/>
  <c r="J88" i="32"/>
  <c r="J70" i="32" s="1"/>
  <c r="J89" i="32"/>
  <c r="I89" i="32"/>
  <c r="H89" i="32"/>
  <c r="H71" i="32" s="1"/>
  <c r="H97" i="32" s="1"/>
  <c r="S82" i="35"/>
  <c r="H46" i="34"/>
  <c r="H40" i="34"/>
  <c r="H94" i="34"/>
  <c r="G67" i="34"/>
  <c r="T80" i="32"/>
  <c r="T79" i="32"/>
  <c r="O86" i="35"/>
  <c r="H94" i="32"/>
  <c r="H46" i="32"/>
  <c r="H40" i="32"/>
  <c r="G67" i="32"/>
  <c r="M85" i="33"/>
  <c r="N86" i="33" s="1"/>
  <c r="T82" i="35"/>
  <c r="U83" i="35" s="1"/>
  <c r="S83" i="35"/>
  <c r="Q83" i="35"/>
  <c r="G103" i="32"/>
  <c r="G104" i="32" s="1"/>
  <c r="Q10" i="31"/>
  <c r="I10" i="31"/>
  <c r="L10" i="31"/>
  <c r="K10" i="31"/>
  <c r="E10" i="31"/>
  <c r="O10" i="31"/>
  <c r="G10" i="31"/>
  <c r="R10" i="31"/>
  <c r="N10" i="31"/>
  <c r="J10" i="31"/>
  <c r="F10" i="31"/>
  <c r="C153" i="31"/>
  <c r="C96" i="31"/>
  <c r="C55" i="31"/>
  <c r="H121" i="31"/>
  <c r="O121" i="31"/>
  <c r="C54" i="31"/>
  <c r="C63" i="31"/>
  <c r="C121" i="31"/>
  <c r="C62" i="31"/>
  <c r="C128" i="31"/>
  <c r="C129" i="31"/>
  <c r="K89" i="32" l="1"/>
  <c r="G65" i="35"/>
  <c r="H40" i="33"/>
  <c r="G5" i="36"/>
  <c r="G7" i="37"/>
  <c r="S5" i="36"/>
  <c r="S7" i="37"/>
  <c r="T5" i="36"/>
  <c r="T7" i="37"/>
  <c r="H5" i="36"/>
  <c r="H7" i="37"/>
  <c r="I5" i="36"/>
  <c r="I7" i="37"/>
  <c r="N5" i="36"/>
  <c r="N7" i="37"/>
  <c r="G65" i="33"/>
  <c r="P5" i="36"/>
  <c r="P7" i="37"/>
  <c r="M5" i="36"/>
  <c r="M7" i="37"/>
  <c r="L5" i="36"/>
  <c r="L7" i="37"/>
  <c r="Q5" i="36"/>
  <c r="Q7" i="37"/>
  <c r="K5" i="36"/>
  <c r="K7" i="37"/>
  <c r="R82" i="32"/>
  <c r="R83" i="32"/>
  <c r="K89" i="35"/>
  <c r="H96" i="35"/>
  <c r="H98" i="35" s="1"/>
  <c r="H100" i="35" s="1"/>
  <c r="H101" i="35" s="1"/>
  <c r="H102" i="35" s="1"/>
  <c r="K88" i="34"/>
  <c r="L88" i="34" s="1"/>
  <c r="M89" i="34" s="1"/>
  <c r="O86" i="34"/>
  <c r="K89" i="33"/>
  <c r="H96" i="32"/>
  <c r="H98" i="32" s="1"/>
  <c r="H100" i="32" s="1"/>
  <c r="H101" i="32" s="1"/>
  <c r="H102" i="32" s="1"/>
  <c r="K88" i="33"/>
  <c r="P85" i="34"/>
  <c r="Q86" i="34" s="1"/>
  <c r="P86" i="34"/>
  <c r="U82" i="34"/>
  <c r="Q82" i="33"/>
  <c r="Q85" i="35"/>
  <c r="R85" i="35" s="1"/>
  <c r="U82" i="35"/>
  <c r="H96" i="34"/>
  <c r="H98" i="34" s="1"/>
  <c r="H100" i="34" s="1"/>
  <c r="H101" i="34" s="1"/>
  <c r="H102" i="34" s="1"/>
  <c r="K88" i="32"/>
  <c r="L89" i="32" s="1"/>
  <c r="N86" i="32"/>
  <c r="N85" i="32"/>
  <c r="O85" i="32" s="1"/>
  <c r="T83" i="35"/>
  <c r="Q83" i="33"/>
  <c r="H27" i="32"/>
  <c r="H28" i="32" s="1"/>
  <c r="H24" i="32"/>
  <c r="H42" i="32" s="1"/>
  <c r="H45" i="32"/>
  <c r="H55" i="32" s="1"/>
  <c r="L89" i="33"/>
  <c r="K88" i="35"/>
  <c r="S80" i="35"/>
  <c r="S79" i="35"/>
  <c r="H27" i="35"/>
  <c r="H28" i="35" s="1"/>
  <c r="H45" i="35"/>
  <c r="H57" i="35" s="1"/>
  <c r="H24" i="35"/>
  <c r="H42" i="35" s="1"/>
  <c r="H96" i="33"/>
  <c r="H98" i="33" s="1"/>
  <c r="H100" i="33" s="1"/>
  <c r="H101" i="33" s="1"/>
  <c r="H102" i="33" s="1"/>
  <c r="L89" i="34"/>
  <c r="S80" i="34"/>
  <c r="S79" i="34"/>
  <c r="S80" i="33"/>
  <c r="S79" i="33"/>
  <c r="H27" i="33"/>
  <c r="H28" i="33" s="1"/>
  <c r="H24" i="33"/>
  <c r="H45" i="33"/>
  <c r="H57" i="33" s="1"/>
  <c r="N85" i="33"/>
  <c r="U80" i="32"/>
  <c r="U79" i="32"/>
  <c r="P83" i="33"/>
  <c r="K89" i="34"/>
  <c r="H27" i="34"/>
  <c r="H28" i="34" s="1"/>
  <c r="H45" i="34"/>
  <c r="H55" i="34" s="1"/>
  <c r="H24" i="34"/>
  <c r="Q86" i="35"/>
  <c r="F121" i="31"/>
  <c r="K121" i="31"/>
  <c r="P121" i="31"/>
  <c r="R121" i="31"/>
  <c r="L121" i="31"/>
  <c r="G121" i="31"/>
  <c r="D120" i="31"/>
  <c r="C120" i="31"/>
  <c r="C162" i="31"/>
  <c r="N121" i="31"/>
  <c r="J121" i="31"/>
  <c r="E128" i="31"/>
  <c r="D128" i="31"/>
  <c r="D129" i="31"/>
  <c r="D121" i="31"/>
  <c r="C154" i="31"/>
  <c r="C161" i="31"/>
  <c r="C88" i="31"/>
  <c r="F128" i="31"/>
  <c r="M121" i="31"/>
  <c r="Q121" i="31"/>
  <c r="H128" i="31"/>
  <c r="C87" i="31"/>
  <c r="E121" i="31"/>
  <c r="C95" i="31"/>
  <c r="I121" i="31"/>
  <c r="G128" i="31"/>
  <c r="H42" i="33" l="1"/>
  <c r="I32" i="34"/>
  <c r="I31" i="34"/>
  <c r="I32" i="33"/>
  <c r="I31" i="33"/>
  <c r="I32" i="32"/>
  <c r="I31" i="32"/>
  <c r="I32" i="35"/>
  <c r="I31" i="35"/>
  <c r="S82" i="32"/>
  <c r="S83" i="32"/>
  <c r="M88" i="34"/>
  <c r="N88" i="34" s="1"/>
  <c r="O89" i="34" s="1"/>
  <c r="H48" i="33"/>
  <c r="H55" i="33"/>
  <c r="Q85" i="34"/>
  <c r="R85" i="34" s="1"/>
  <c r="R86" i="35"/>
  <c r="H48" i="35"/>
  <c r="L88" i="33"/>
  <c r="M89" i="33" s="1"/>
  <c r="O85" i="33"/>
  <c r="P85" i="33" s="1"/>
  <c r="Q85" i="33" s="1"/>
  <c r="H48" i="32"/>
  <c r="H57" i="32"/>
  <c r="V82" i="34"/>
  <c r="H55" i="35"/>
  <c r="V83" i="34"/>
  <c r="C61" i="33"/>
  <c r="I38" i="34"/>
  <c r="I26" i="34"/>
  <c r="I28" i="34"/>
  <c r="C61" i="35"/>
  <c r="H57" i="34"/>
  <c r="O86" i="33"/>
  <c r="H72" i="35"/>
  <c r="H53" i="35"/>
  <c r="H43" i="35"/>
  <c r="T80" i="35"/>
  <c r="T79" i="35"/>
  <c r="P85" i="32"/>
  <c r="Q86" i="32" s="1"/>
  <c r="H108" i="35"/>
  <c r="H112" i="35"/>
  <c r="H103" i="35"/>
  <c r="H104" i="35" s="1"/>
  <c r="H110" i="35"/>
  <c r="H110" i="34"/>
  <c r="H108" i="34"/>
  <c r="H112" i="34"/>
  <c r="S86" i="35"/>
  <c r="H48" i="34"/>
  <c r="C61" i="32"/>
  <c r="T80" i="33"/>
  <c r="T79" i="33"/>
  <c r="S85" i="35"/>
  <c r="H72" i="32"/>
  <c r="H103" i="32" s="1"/>
  <c r="H104" i="32" s="1"/>
  <c r="H43" i="32"/>
  <c r="H53" i="32"/>
  <c r="O86" i="32"/>
  <c r="H42" i="34"/>
  <c r="H72" i="34"/>
  <c r="H43" i="34"/>
  <c r="H53" i="34"/>
  <c r="V80" i="32"/>
  <c r="V79" i="32"/>
  <c r="Q86" i="33"/>
  <c r="H72" i="33"/>
  <c r="H103" i="33" s="1"/>
  <c r="H104" i="33" s="1"/>
  <c r="H53" i="33"/>
  <c r="H43" i="33"/>
  <c r="T80" i="34"/>
  <c r="T79" i="34"/>
  <c r="I28" i="35"/>
  <c r="I26" i="35"/>
  <c r="I38" i="35"/>
  <c r="I26" i="32"/>
  <c r="I38" i="32"/>
  <c r="I28" i="32"/>
  <c r="H112" i="32"/>
  <c r="H108" i="32"/>
  <c r="H110" i="32"/>
  <c r="I38" i="33"/>
  <c r="I34" i="33" s="1"/>
  <c r="I26" i="33"/>
  <c r="I28" i="33"/>
  <c r="H112" i="33"/>
  <c r="H110" i="33"/>
  <c r="H108" i="33"/>
  <c r="L88" i="35"/>
  <c r="M89" i="35" s="1"/>
  <c r="L89" i="35"/>
  <c r="P86" i="32"/>
  <c r="L88" i="32"/>
  <c r="M88" i="32" s="1"/>
  <c r="V83" i="35"/>
  <c r="V82" i="35"/>
  <c r="R83" i="33"/>
  <c r="R82" i="33"/>
  <c r="B126" i="31"/>
  <c r="B122" i="31"/>
  <c r="AC121" i="31"/>
  <c r="N89" i="34" l="1"/>
  <c r="I30" i="35"/>
  <c r="I47" i="35" s="1"/>
  <c r="I30" i="33"/>
  <c r="I47" i="33" s="1"/>
  <c r="I30" i="32"/>
  <c r="I47" i="32" s="1"/>
  <c r="I30" i="34"/>
  <c r="I47" i="34" s="1"/>
  <c r="I34" i="32"/>
  <c r="I46" i="32" s="1"/>
  <c r="I34" i="35"/>
  <c r="I94" i="35" s="1"/>
  <c r="I34" i="34"/>
  <c r="H65" i="34" s="1"/>
  <c r="J32" i="32"/>
  <c r="J31" i="32"/>
  <c r="J32" i="35"/>
  <c r="J31" i="35"/>
  <c r="J32" i="34"/>
  <c r="J31" i="34"/>
  <c r="J32" i="33"/>
  <c r="J31" i="33"/>
  <c r="T82" i="32"/>
  <c r="U82" i="32" s="1"/>
  <c r="V82" i="32" s="1"/>
  <c r="W82" i="32" s="1"/>
  <c r="T83" i="32"/>
  <c r="O88" i="34"/>
  <c r="P89" i="34" s="1"/>
  <c r="R86" i="34"/>
  <c r="M88" i="33"/>
  <c r="W83" i="34"/>
  <c r="W82" i="34"/>
  <c r="N89" i="32"/>
  <c r="P86" i="33"/>
  <c r="J38" i="33"/>
  <c r="J34" i="33" s="1"/>
  <c r="J28" i="33"/>
  <c r="J26" i="33"/>
  <c r="W80" i="32"/>
  <c r="W79" i="32"/>
  <c r="C63" i="34"/>
  <c r="C63" i="32"/>
  <c r="J92" i="35"/>
  <c r="J71" i="35" s="1"/>
  <c r="J97" i="35" s="1"/>
  <c r="I92" i="35"/>
  <c r="I71" i="35" s="1"/>
  <c r="I97" i="35" s="1"/>
  <c r="K92" i="35"/>
  <c r="K71" i="35" s="1"/>
  <c r="K97" i="35" s="1"/>
  <c r="K91" i="35"/>
  <c r="K70" i="35" s="1"/>
  <c r="C106" i="35"/>
  <c r="R85" i="33"/>
  <c r="S85" i="33" s="1"/>
  <c r="T85" i="33" s="1"/>
  <c r="W83" i="35"/>
  <c r="W82" i="35"/>
  <c r="I95" i="33"/>
  <c r="I45" i="33"/>
  <c r="I24" i="33"/>
  <c r="I43" i="33" s="1"/>
  <c r="I45" i="32"/>
  <c r="I24" i="32"/>
  <c r="I95" i="32"/>
  <c r="I95" i="35"/>
  <c r="I45" i="35"/>
  <c r="I24" i="35"/>
  <c r="U80" i="34"/>
  <c r="U79" i="34"/>
  <c r="K92" i="33"/>
  <c r="K71" i="33" s="1"/>
  <c r="K97" i="33" s="1"/>
  <c r="J92" i="33"/>
  <c r="J71" i="33" s="1"/>
  <c r="J97" i="33" s="1"/>
  <c r="I92" i="33"/>
  <c r="I71" i="33" s="1"/>
  <c r="I97" i="33" s="1"/>
  <c r="K91" i="33"/>
  <c r="K70" i="33" s="1"/>
  <c r="C106" i="33"/>
  <c r="I92" i="34"/>
  <c r="I71" i="34" s="1"/>
  <c r="I97" i="34" s="1"/>
  <c r="K91" i="34"/>
  <c r="K70" i="34" s="1"/>
  <c r="J92" i="34"/>
  <c r="J71" i="34" s="1"/>
  <c r="J97" i="34" s="1"/>
  <c r="K92" i="34"/>
  <c r="K71" i="34" s="1"/>
  <c r="K97" i="34" s="1"/>
  <c r="C106" i="34"/>
  <c r="I92" i="32"/>
  <c r="I71" i="32" s="1"/>
  <c r="I97" i="32" s="1"/>
  <c r="K91" i="32"/>
  <c r="K70" i="32" s="1"/>
  <c r="K92" i="32"/>
  <c r="K71" i="32" s="1"/>
  <c r="K97" i="32" s="1"/>
  <c r="J92" i="32"/>
  <c r="J71" i="32" s="1"/>
  <c r="J97" i="32" s="1"/>
  <c r="C106" i="32"/>
  <c r="T86" i="35"/>
  <c r="T85" i="35"/>
  <c r="S85" i="34"/>
  <c r="I46" i="33"/>
  <c r="I94" i="33"/>
  <c r="H67" i="33"/>
  <c r="J38" i="35"/>
  <c r="J34" i="35" s="1"/>
  <c r="J26" i="35"/>
  <c r="J28" i="35"/>
  <c r="C61" i="34"/>
  <c r="U80" i="33"/>
  <c r="U79" i="33"/>
  <c r="H103" i="34"/>
  <c r="H104" i="34" s="1"/>
  <c r="Q85" i="32"/>
  <c r="C63" i="35"/>
  <c r="J38" i="34"/>
  <c r="J34" i="34" s="1"/>
  <c r="J28" i="34"/>
  <c r="J26" i="34"/>
  <c r="S83" i="33"/>
  <c r="S82" i="33"/>
  <c r="M89" i="32"/>
  <c r="N88" i="32"/>
  <c r="M88" i="35"/>
  <c r="J38" i="32"/>
  <c r="J34" i="32" s="1"/>
  <c r="J28" i="32"/>
  <c r="J26" i="32"/>
  <c r="C63" i="33"/>
  <c r="S86" i="34"/>
  <c r="U80" i="35"/>
  <c r="U79" i="35"/>
  <c r="R86" i="33"/>
  <c r="I95" i="34"/>
  <c r="I45" i="34"/>
  <c r="I24" i="34"/>
  <c r="B18" i="30"/>
  <c r="B17" i="30"/>
  <c r="H67" i="35" l="1"/>
  <c r="H67" i="32"/>
  <c r="H67" i="34"/>
  <c r="I43" i="35"/>
  <c r="I53" i="32"/>
  <c r="I53" i="34"/>
  <c r="P88" i="34"/>
  <c r="I40" i="34"/>
  <c r="I42" i="34" s="1"/>
  <c r="I46" i="34"/>
  <c r="I57" i="34" s="1"/>
  <c r="I40" i="35"/>
  <c r="I42" i="35" s="1"/>
  <c r="I40" i="32"/>
  <c r="H65" i="35"/>
  <c r="I40" i="33"/>
  <c r="I42" i="33" s="1"/>
  <c r="I46" i="35"/>
  <c r="I48" i="35" s="1"/>
  <c r="H65" i="32"/>
  <c r="H65" i="33"/>
  <c r="J30" i="33"/>
  <c r="J47" i="33" s="1"/>
  <c r="J30" i="35"/>
  <c r="J47" i="35" s="1"/>
  <c r="I94" i="34"/>
  <c r="I96" i="34" s="1"/>
  <c r="I98" i="34" s="1"/>
  <c r="I100" i="34" s="1"/>
  <c r="I101" i="34" s="1"/>
  <c r="I102" i="34" s="1"/>
  <c r="I94" i="32"/>
  <c r="K32" i="32"/>
  <c r="K31" i="32"/>
  <c r="K32" i="34"/>
  <c r="K31" i="34"/>
  <c r="K32" i="35"/>
  <c r="K31" i="35"/>
  <c r="K32" i="33"/>
  <c r="K31" i="33"/>
  <c r="J30" i="34"/>
  <c r="J47" i="34" s="1"/>
  <c r="J30" i="32"/>
  <c r="J47" i="32" s="1"/>
  <c r="I96" i="33"/>
  <c r="I98" i="33" s="1"/>
  <c r="I100" i="33" s="1"/>
  <c r="I101" i="33" s="1"/>
  <c r="I102" i="33" s="1"/>
  <c r="I110" i="33" s="1"/>
  <c r="W83" i="32"/>
  <c r="V83" i="32"/>
  <c r="X82" i="32"/>
  <c r="Y82" i="32" s="1"/>
  <c r="X83" i="32"/>
  <c r="U83" i="32"/>
  <c r="L92" i="34"/>
  <c r="L71" i="34" s="1"/>
  <c r="L97" i="34" s="1"/>
  <c r="L91" i="32"/>
  <c r="L70" i="32" s="1"/>
  <c r="L91" i="33"/>
  <c r="L70" i="33" s="1"/>
  <c r="N88" i="33"/>
  <c r="I53" i="33"/>
  <c r="L92" i="33"/>
  <c r="L71" i="33" s="1"/>
  <c r="L97" i="33" s="1"/>
  <c r="L92" i="35"/>
  <c r="L71" i="35" s="1"/>
  <c r="L97" i="35" s="1"/>
  <c r="N89" i="33"/>
  <c r="X82" i="34"/>
  <c r="Y83" i="34" s="1"/>
  <c r="Q88" i="34"/>
  <c r="R88" i="34" s="1"/>
  <c r="X83" i="34"/>
  <c r="Q89" i="34"/>
  <c r="Y82" i="34"/>
  <c r="M92" i="32"/>
  <c r="M71" i="32" s="1"/>
  <c r="M97" i="32" s="1"/>
  <c r="L91" i="34"/>
  <c r="V80" i="34"/>
  <c r="V79" i="34"/>
  <c r="T86" i="33"/>
  <c r="L91" i="35"/>
  <c r="X80" i="32"/>
  <c r="X79" i="32"/>
  <c r="I96" i="35"/>
  <c r="I98" i="35" s="1"/>
  <c r="I100" i="35" s="1"/>
  <c r="I55" i="32"/>
  <c r="I57" i="32"/>
  <c r="I48" i="32"/>
  <c r="K38" i="33"/>
  <c r="K34" i="33" s="1"/>
  <c r="K28" i="33"/>
  <c r="K26" i="33"/>
  <c r="T83" i="33"/>
  <c r="T82" i="33"/>
  <c r="J24" i="34"/>
  <c r="J43" i="34" s="1"/>
  <c r="J95" i="34"/>
  <c r="J45" i="34"/>
  <c r="J45" i="35"/>
  <c r="J24" i="35"/>
  <c r="J43" i="35" s="1"/>
  <c r="J95" i="35"/>
  <c r="I57" i="33"/>
  <c r="I48" i="33"/>
  <c r="I55" i="33"/>
  <c r="U85" i="35"/>
  <c r="U86" i="35"/>
  <c r="I53" i="35"/>
  <c r="I42" i="32"/>
  <c r="J94" i="33"/>
  <c r="J46" i="33"/>
  <c r="I67" i="33"/>
  <c r="R86" i="32"/>
  <c r="R85" i="32"/>
  <c r="K38" i="32"/>
  <c r="K34" i="32" s="1"/>
  <c r="K26" i="32"/>
  <c r="K28" i="32"/>
  <c r="U85" i="33"/>
  <c r="U86" i="33"/>
  <c r="J46" i="32"/>
  <c r="J94" i="32"/>
  <c r="I67" i="32"/>
  <c r="K28" i="34"/>
  <c r="K38" i="34"/>
  <c r="K34" i="34" s="1"/>
  <c r="K26" i="34"/>
  <c r="N89" i="35"/>
  <c r="J94" i="35"/>
  <c r="J46" i="35"/>
  <c r="I67" i="35"/>
  <c r="L92" i="32"/>
  <c r="L71" i="32" s="1"/>
  <c r="L97" i="32" s="1"/>
  <c r="M91" i="34"/>
  <c r="M92" i="33"/>
  <c r="M71" i="33" s="1"/>
  <c r="M97" i="33" s="1"/>
  <c r="I48" i="34"/>
  <c r="I96" i="32"/>
  <c r="I98" i="32" s="1"/>
  <c r="I100" i="32" s="1"/>
  <c r="I101" i="32" s="1"/>
  <c r="I102" i="32" s="1"/>
  <c r="J95" i="32"/>
  <c r="J45" i="32"/>
  <c r="J24" i="32"/>
  <c r="J43" i="32" s="1"/>
  <c r="V80" i="33"/>
  <c r="V79" i="33"/>
  <c r="K28" i="35"/>
  <c r="K26" i="35"/>
  <c r="K38" i="35"/>
  <c r="K34" i="35" s="1"/>
  <c r="V80" i="35"/>
  <c r="V79" i="35"/>
  <c r="N88" i="35"/>
  <c r="O89" i="35" s="1"/>
  <c r="O89" i="32"/>
  <c r="O88" i="32"/>
  <c r="P88" i="32" s="1"/>
  <c r="J94" i="34"/>
  <c r="J46" i="34"/>
  <c r="I67" i="34"/>
  <c r="T85" i="34"/>
  <c r="T86" i="34"/>
  <c r="X83" i="35"/>
  <c r="X82" i="35"/>
  <c r="I43" i="34"/>
  <c r="S86" i="33"/>
  <c r="I43" i="32"/>
  <c r="J95" i="33"/>
  <c r="J45" i="33"/>
  <c r="J24" i="33"/>
  <c r="J43" i="33" s="1"/>
  <c r="B19" i="30"/>
  <c r="B16" i="30"/>
  <c r="I55" i="35" l="1"/>
  <c r="J96" i="34"/>
  <c r="J98" i="34" s="1"/>
  <c r="J100" i="34" s="1"/>
  <c r="J101" i="34" s="1"/>
  <c r="J102" i="34" s="1"/>
  <c r="I55" i="34"/>
  <c r="I57" i="35"/>
  <c r="J40" i="35"/>
  <c r="I65" i="35"/>
  <c r="I65" i="33"/>
  <c r="I65" i="32"/>
  <c r="J40" i="32"/>
  <c r="J40" i="33"/>
  <c r="J42" i="33" s="1"/>
  <c r="J40" i="34"/>
  <c r="J42" i="34" s="1"/>
  <c r="I103" i="33"/>
  <c r="I104" i="33" s="1"/>
  <c r="Z82" i="32"/>
  <c r="AA83" i="32" s="1"/>
  <c r="K30" i="34"/>
  <c r="K47" i="34" s="1"/>
  <c r="L32" i="35"/>
  <c r="L31" i="35"/>
  <c r="L32" i="33"/>
  <c r="L31" i="33"/>
  <c r="J53" i="35"/>
  <c r="L32" i="32"/>
  <c r="L31" i="32"/>
  <c r="K30" i="35"/>
  <c r="K47" i="35" s="1"/>
  <c r="L32" i="34"/>
  <c r="L31" i="34"/>
  <c r="K30" i="33"/>
  <c r="K47" i="33" s="1"/>
  <c r="I65" i="34"/>
  <c r="K30" i="32"/>
  <c r="K47" i="32" s="1"/>
  <c r="I112" i="33"/>
  <c r="I108" i="33"/>
  <c r="Y83" i="32"/>
  <c r="Z83" i="32"/>
  <c r="M91" i="32"/>
  <c r="N91" i="32" s="1"/>
  <c r="N70" i="32" s="1"/>
  <c r="J96" i="35"/>
  <c r="J98" i="35" s="1"/>
  <c r="J100" i="35" s="1"/>
  <c r="J101" i="35" s="1"/>
  <c r="J102" i="35" s="1"/>
  <c r="J108" i="35" s="1"/>
  <c r="J42" i="35"/>
  <c r="M91" i="33"/>
  <c r="N92" i="33" s="1"/>
  <c r="N71" i="33" s="1"/>
  <c r="N97" i="33" s="1"/>
  <c r="P89" i="32"/>
  <c r="O88" i="33"/>
  <c r="O89" i="33"/>
  <c r="Z83" i="34"/>
  <c r="J53" i="33"/>
  <c r="Z82" i="34"/>
  <c r="AA82" i="34" s="1"/>
  <c r="J96" i="32"/>
  <c r="J98" i="32" s="1"/>
  <c r="J100" i="32" s="1"/>
  <c r="J101" i="32" s="1"/>
  <c r="J102" i="32" s="1"/>
  <c r="J112" i="32" s="1"/>
  <c r="S89" i="34"/>
  <c r="S88" i="34"/>
  <c r="R89" i="34"/>
  <c r="L26" i="35"/>
  <c r="L38" i="35"/>
  <c r="L34" i="35" s="1"/>
  <c r="L28" i="35"/>
  <c r="L28" i="33"/>
  <c r="L26" i="33"/>
  <c r="L38" i="33"/>
  <c r="L34" i="33" s="1"/>
  <c r="W80" i="33"/>
  <c r="W79" i="33"/>
  <c r="L26" i="34"/>
  <c r="L28" i="34"/>
  <c r="L38" i="34"/>
  <c r="L34" i="34" s="1"/>
  <c r="J42" i="32"/>
  <c r="K46" i="32"/>
  <c r="K40" i="32"/>
  <c r="K94" i="32"/>
  <c r="J67" i="32"/>
  <c r="S85" i="32"/>
  <c r="V86" i="35"/>
  <c r="V85" i="35"/>
  <c r="K40" i="33"/>
  <c r="K94" i="33"/>
  <c r="K46" i="33"/>
  <c r="J67" i="33"/>
  <c r="I110" i="34"/>
  <c r="I103" i="34"/>
  <c r="I104" i="34" s="1"/>
  <c r="I112" i="34"/>
  <c r="I108" i="34"/>
  <c r="L70" i="34"/>
  <c r="M92" i="34"/>
  <c r="M71" i="34" s="1"/>
  <c r="M97" i="34" s="1"/>
  <c r="J48" i="35"/>
  <c r="J55" i="35"/>
  <c r="J57" i="35"/>
  <c r="M91" i="35"/>
  <c r="M70" i="35" s="1"/>
  <c r="M92" i="35"/>
  <c r="M71" i="35" s="1"/>
  <c r="M97" i="35" s="1"/>
  <c r="L70" i="35"/>
  <c r="U85" i="34"/>
  <c r="U86" i="34"/>
  <c r="J57" i="34"/>
  <c r="J55" i="34"/>
  <c r="J48" i="34"/>
  <c r="Q89" i="32"/>
  <c r="J103" i="34"/>
  <c r="J104" i="34" s="1"/>
  <c r="J112" i="34"/>
  <c r="J110" i="34"/>
  <c r="J108" i="34"/>
  <c r="Q88" i="32"/>
  <c r="R89" i="32" s="1"/>
  <c r="O88" i="35"/>
  <c r="K94" i="35"/>
  <c r="K46" i="35"/>
  <c r="J67" i="35"/>
  <c r="J57" i="32"/>
  <c r="J55" i="32"/>
  <c r="J48" i="32"/>
  <c r="V85" i="33"/>
  <c r="V86" i="33"/>
  <c r="S86" i="32"/>
  <c r="J57" i="33"/>
  <c r="J48" i="33"/>
  <c r="J55" i="33"/>
  <c r="U83" i="33"/>
  <c r="U82" i="33"/>
  <c r="R88" i="32"/>
  <c r="S89" i="32" s="1"/>
  <c r="I101" i="35"/>
  <c r="I102" i="35" s="1"/>
  <c r="N92" i="34"/>
  <c r="N71" i="34" s="1"/>
  <c r="N97" i="34" s="1"/>
  <c r="K94" i="34"/>
  <c r="K46" i="34"/>
  <c r="J67" i="34"/>
  <c r="K95" i="32"/>
  <c r="K45" i="32"/>
  <c r="K24" i="32"/>
  <c r="Y82" i="35"/>
  <c r="Y83" i="35"/>
  <c r="J53" i="34"/>
  <c r="W80" i="35"/>
  <c r="W79" i="35"/>
  <c r="K24" i="35"/>
  <c r="K95" i="35"/>
  <c r="K45" i="35"/>
  <c r="I103" i="32"/>
  <c r="I104" i="32" s="1"/>
  <c r="I108" i="32"/>
  <c r="I112" i="32"/>
  <c r="I110" i="32"/>
  <c r="N91" i="34"/>
  <c r="O92" i="34" s="1"/>
  <c r="O71" i="34" s="1"/>
  <c r="O97" i="34" s="1"/>
  <c r="M70" i="34"/>
  <c r="O92" i="32"/>
  <c r="O71" i="32" s="1"/>
  <c r="O97" i="32" s="1"/>
  <c r="K24" i="34"/>
  <c r="K95" i="34"/>
  <c r="K45" i="34"/>
  <c r="J53" i="32"/>
  <c r="L38" i="32"/>
  <c r="L34" i="32" s="1"/>
  <c r="L28" i="32"/>
  <c r="L26" i="32"/>
  <c r="J96" i="33"/>
  <c r="J98" i="33" s="1"/>
  <c r="J100" i="33" s="1"/>
  <c r="J101" i="33" s="1"/>
  <c r="J102" i="33" s="1"/>
  <c r="K45" i="33"/>
  <c r="K95" i="33"/>
  <c r="K24" i="33"/>
  <c r="K43" i="33" s="1"/>
  <c r="Y80" i="32"/>
  <c r="Y79" i="32"/>
  <c r="W80" i="34"/>
  <c r="W79" i="34"/>
  <c r="C16" i="2"/>
  <c r="C15" i="2"/>
  <c r="C95" i="2"/>
  <c r="C70" i="2"/>
  <c r="AC8" i="2"/>
  <c r="AC10" i="2"/>
  <c r="C72" i="2"/>
  <c r="C53" i="2"/>
  <c r="AA82" i="32" l="1"/>
  <c r="AB82" i="32" s="1"/>
  <c r="L30" i="34"/>
  <c r="L47" i="34" s="1"/>
  <c r="K53" i="34"/>
  <c r="K40" i="35"/>
  <c r="K42" i="35" s="1"/>
  <c r="K53" i="35"/>
  <c r="K40" i="34"/>
  <c r="K42" i="34" s="1"/>
  <c r="L30" i="35"/>
  <c r="L47" i="35" s="1"/>
  <c r="K53" i="32"/>
  <c r="L30" i="33"/>
  <c r="L47" i="33" s="1"/>
  <c r="J103" i="35"/>
  <c r="J104" i="35" s="1"/>
  <c r="J110" i="35"/>
  <c r="J112" i="35"/>
  <c r="M32" i="34"/>
  <c r="M31" i="34"/>
  <c r="M32" i="32"/>
  <c r="M31" i="32"/>
  <c r="N92" i="32"/>
  <c r="N71" i="32" s="1"/>
  <c r="N97" i="32" s="1"/>
  <c r="M70" i="32"/>
  <c r="M32" i="33"/>
  <c r="M31" i="33"/>
  <c r="O91" i="32"/>
  <c r="O70" i="32" s="1"/>
  <c r="M32" i="35"/>
  <c r="M31" i="35"/>
  <c r="L30" i="32"/>
  <c r="L47" i="32" s="1"/>
  <c r="AC82" i="32"/>
  <c r="AD82" i="32" s="1"/>
  <c r="AE82" i="32" s="1"/>
  <c r="AC83" i="32"/>
  <c r="J108" i="32"/>
  <c r="J110" i="32"/>
  <c r="J103" i="32"/>
  <c r="J104" i="32" s="1"/>
  <c r="N91" i="35"/>
  <c r="N70" i="35" s="1"/>
  <c r="P88" i="33"/>
  <c r="Q88" i="33" s="1"/>
  <c r="R88" i="33" s="1"/>
  <c r="P89" i="33"/>
  <c r="N91" i="33"/>
  <c r="M70" i="33"/>
  <c r="N92" i="35"/>
  <c r="N71" i="35" s="1"/>
  <c r="N97" i="35" s="1"/>
  <c r="K43" i="34"/>
  <c r="T89" i="34"/>
  <c r="T88" i="34"/>
  <c r="AB82" i="34"/>
  <c r="AC83" i="34" s="1"/>
  <c r="AB83" i="34"/>
  <c r="AA83" i="34"/>
  <c r="X80" i="34"/>
  <c r="X79" i="34"/>
  <c r="L94" i="32"/>
  <c r="L46" i="32"/>
  <c r="K67" i="32"/>
  <c r="Z80" i="32"/>
  <c r="Z79" i="32"/>
  <c r="K48" i="34"/>
  <c r="K55" i="34"/>
  <c r="K57" i="34"/>
  <c r="V83" i="33"/>
  <c r="V82" i="33"/>
  <c r="W86" i="33"/>
  <c r="W85" i="33"/>
  <c r="K43" i="35"/>
  <c r="V86" i="34"/>
  <c r="V85" i="34"/>
  <c r="K55" i="33"/>
  <c r="K48" i="33"/>
  <c r="K57" i="33"/>
  <c r="K53" i="33"/>
  <c r="K57" i="32"/>
  <c r="K55" i="32"/>
  <c r="K48" i="32"/>
  <c r="M38" i="34"/>
  <c r="M34" i="34" s="1"/>
  <c r="M26" i="34"/>
  <c r="M28" i="34"/>
  <c r="L45" i="35"/>
  <c r="L95" i="35"/>
  <c r="L24" i="35"/>
  <c r="I103" i="35"/>
  <c r="I104" i="35" s="1"/>
  <c r="I112" i="35"/>
  <c r="I110" i="35"/>
  <c r="I108" i="35"/>
  <c r="P89" i="35"/>
  <c r="P88" i="35"/>
  <c r="Q88" i="35" s="1"/>
  <c r="K96" i="33"/>
  <c r="K98" i="33" s="1"/>
  <c r="K100" i="33" s="1"/>
  <c r="K101" i="33" s="1"/>
  <c r="K102" i="33" s="1"/>
  <c r="W86" i="35"/>
  <c r="W85" i="35"/>
  <c r="K96" i="32"/>
  <c r="K98" i="32" s="1"/>
  <c r="K100" i="32" s="1"/>
  <c r="K101" i="32" s="1"/>
  <c r="K102" i="32" s="1"/>
  <c r="L95" i="34"/>
  <c r="L45" i="34"/>
  <c r="L24" i="34"/>
  <c r="L40" i="33"/>
  <c r="L94" i="33"/>
  <c r="L46" i="33"/>
  <c r="K67" i="33"/>
  <c r="L45" i="32"/>
  <c r="L24" i="32"/>
  <c r="L43" i="32" s="1"/>
  <c r="L95" i="32"/>
  <c r="M38" i="32"/>
  <c r="M34" i="32" s="1"/>
  <c r="M28" i="32"/>
  <c r="M26" i="32"/>
  <c r="X80" i="35"/>
  <c r="X79" i="35"/>
  <c r="Z82" i="35"/>
  <c r="Z83" i="35"/>
  <c r="K96" i="34"/>
  <c r="K98" i="34" s="1"/>
  <c r="K100" i="34" s="1"/>
  <c r="K101" i="34" s="1"/>
  <c r="K102" i="34" s="1"/>
  <c r="K55" i="35"/>
  <c r="K48" i="35"/>
  <c r="K57" i="35"/>
  <c r="S88" i="32"/>
  <c r="P91" i="32"/>
  <c r="Q92" i="32" s="1"/>
  <c r="Q71" i="32" s="1"/>
  <c r="Q97" i="32" s="1"/>
  <c r="K42" i="33"/>
  <c r="T86" i="32"/>
  <c r="T85" i="32"/>
  <c r="K42" i="32"/>
  <c r="X80" i="33"/>
  <c r="X79" i="33"/>
  <c r="L45" i="33"/>
  <c r="L24" i="33"/>
  <c r="L43" i="33" s="1"/>
  <c r="L95" i="33"/>
  <c r="M28" i="35"/>
  <c r="M38" i="35"/>
  <c r="M34" i="35" s="1"/>
  <c r="M26" i="35"/>
  <c r="J110" i="33"/>
  <c r="J108" i="33"/>
  <c r="J103" i="33"/>
  <c r="J104" i="33" s="1"/>
  <c r="J112" i="33"/>
  <c r="N70" i="34"/>
  <c r="O91" i="34"/>
  <c r="P92" i="34" s="1"/>
  <c r="P71" i="34" s="1"/>
  <c r="P97" i="34" s="1"/>
  <c r="K96" i="35"/>
  <c r="K98" i="35" s="1"/>
  <c r="K100" i="35" s="1"/>
  <c r="K101" i="35" s="1"/>
  <c r="K102" i="35" s="1"/>
  <c r="K43" i="32"/>
  <c r="L46" i="34"/>
  <c r="L94" i="34"/>
  <c r="L53" i="34"/>
  <c r="L43" i="34"/>
  <c r="K67" i="34"/>
  <c r="M38" i="33"/>
  <c r="M34" i="33" s="1"/>
  <c r="M26" i="33"/>
  <c r="M28" i="33"/>
  <c r="L94" i="35"/>
  <c r="L46" i="35"/>
  <c r="L43" i="35"/>
  <c r="K67" i="35"/>
  <c r="D18" i="30"/>
  <c r="C43" i="2"/>
  <c r="C94" i="2"/>
  <c r="C40" i="2"/>
  <c r="C42" i="2" s="1"/>
  <c r="C71" i="2"/>
  <c r="P92" i="32" l="1"/>
  <c r="P71" i="32" s="1"/>
  <c r="P97" i="32" s="1"/>
  <c r="L40" i="34"/>
  <c r="L42" i="34" s="1"/>
  <c r="AB83" i="32"/>
  <c r="L40" i="32"/>
  <c r="M30" i="33"/>
  <c r="M47" i="33" s="1"/>
  <c r="M30" i="32"/>
  <c r="M47" i="32" s="1"/>
  <c r="L40" i="35"/>
  <c r="L53" i="35"/>
  <c r="N32" i="34"/>
  <c r="N31" i="34"/>
  <c r="M30" i="35"/>
  <c r="M47" i="35" s="1"/>
  <c r="N32" i="35"/>
  <c r="N31" i="35"/>
  <c r="N32" i="33"/>
  <c r="N31" i="33"/>
  <c r="N32" i="32"/>
  <c r="N31" i="32"/>
  <c r="M30" i="34"/>
  <c r="M47" i="34" s="1"/>
  <c r="Q89" i="33"/>
  <c r="AD83" i="32"/>
  <c r="AE83" i="32"/>
  <c r="O92" i="35"/>
  <c r="O71" i="35" s="1"/>
  <c r="O97" i="35" s="1"/>
  <c r="L96" i="35"/>
  <c r="L98" i="35" s="1"/>
  <c r="L100" i="35" s="1"/>
  <c r="L101" i="35" s="1"/>
  <c r="L102" i="35" s="1"/>
  <c r="L110" i="35" s="1"/>
  <c r="O91" i="35"/>
  <c r="P91" i="35" s="1"/>
  <c r="P70" i="35" s="1"/>
  <c r="R89" i="33"/>
  <c r="S88" i="33"/>
  <c r="L96" i="34"/>
  <c r="L98" i="34" s="1"/>
  <c r="L100" i="34" s="1"/>
  <c r="L101" i="34" s="1"/>
  <c r="L102" i="34" s="1"/>
  <c r="L103" i="34" s="1"/>
  <c r="L104" i="34" s="1"/>
  <c r="N70" i="33"/>
  <c r="O92" i="33"/>
  <c r="O71" i="33" s="1"/>
  <c r="O97" i="33" s="1"/>
  <c r="O91" i="33"/>
  <c r="L42" i="35"/>
  <c r="S89" i="33"/>
  <c r="L53" i="33"/>
  <c r="U88" i="34"/>
  <c r="V89" i="34" s="1"/>
  <c r="U89" i="34"/>
  <c r="AC82" i="34"/>
  <c r="R88" i="35"/>
  <c r="S89" i="35" s="1"/>
  <c r="R89" i="35"/>
  <c r="U85" i="32"/>
  <c r="U86" i="32"/>
  <c r="N38" i="33"/>
  <c r="N34" i="33" s="1"/>
  <c r="N28" i="33"/>
  <c r="N26" i="33"/>
  <c r="M95" i="35"/>
  <c r="M45" i="35"/>
  <c r="M24" i="35"/>
  <c r="Q91" i="32"/>
  <c r="R91" i="32" s="1"/>
  <c r="R70" i="32" s="1"/>
  <c r="P70" i="32"/>
  <c r="T88" i="32"/>
  <c r="T89" i="32"/>
  <c r="K103" i="34"/>
  <c r="K104" i="34" s="1"/>
  <c r="K112" i="34"/>
  <c r="K110" i="34"/>
  <c r="K108" i="34"/>
  <c r="Y80" i="35"/>
  <c r="Y79" i="35"/>
  <c r="N38" i="32"/>
  <c r="N34" i="32" s="1"/>
  <c r="N28" i="32"/>
  <c r="N26" i="32"/>
  <c r="L42" i="33"/>
  <c r="AF83" i="32"/>
  <c r="AF82" i="32"/>
  <c r="K110" i="33"/>
  <c r="K108" i="33"/>
  <c r="K103" i="33"/>
  <c r="K104" i="33" s="1"/>
  <c r="K112" i="33"/>
  <c r="Q89" i="35"/>
  <c r="O70" i="35"/>
  <c r="Q91" i="35"/>
  <c r="W83" i="33"/>
  <c r="W82" i="33"/>
  <c r="L96" i="32"/>
  <c r="L98" i="32" s="1"/>
  <c r="L100" i="32" s="1"/>
  <c r="L101" i="32" s="1"/>
  <c r="L102" i="32" s="1"/>
  <c r="L55" i="35"/>
  <c r="L48" i="35"/>
  <c r="L57" i="35"/>
  <c r="M46" i="35"/>
  <c r="M94" i="35"/>
  <c r="M96" i="35" s="1"/>
  <c r="M98" i="35" s="1"/>
  <c r="M100" i="35" s="1"/>
  <c r="M101" i="35" s="1"/>
  <c r="M102" i="35" s="1"/>
  <c r="L67" i="35"/>
  <c r="N38" i="34"/>
  <c r="N34" i="34" s="1"/>
  <c r="N26" i="34"/>
  <c r="N28" i="34"/>
  <c r="W85" i="34"/>
  <c r="W86" i="34"/>
  <c r="X86" i="33"/>
  <c r="X85" i="33"/>
  <c r="AA80" i="32"/>
  <c r="AA79" i="32"/>
  <c r="L42" i="32"/>
  <c r="M95" i="33"/>
  <c r="M45" i="33"/>
  <c r="M24" i="33"/>
  <c r="L48" i="34"/>
  <c r="L55" i="34"/>
  <c r="L57" i="34"/>
  <c r="P91" i="34"/>
  <c r="Q91" i="34" s="1"/>
  <c r="Q70" i="34" s="1"/>
  <c r="M46" i="32"/>
  <c r="M94" i="32"/>
  <c r="M40" i="32"/>
  <c r="L67" i="32"/>
  <c r="L48" i="33"/>
  <c r="L57" i="33"/>
  <c r="L55" i="33"/>
  <c r="M94" i="33"/>
  <c r="M46" i="33"/>
  <c r="M40" i="33"/>
  <c r="L67" i="33"/>
  <c r="N26" i="35"/>
  <c r="N38" i="35"/>
  <c r="N34" i="35" s="1"/>
  <c r="N28" i="35"/>
  <c r="Y80" i="33"/>
  <c r="Y79" i="33"/>
  <c r="AA83" i="35"/>
  <c r="AA82" i="35"/>
  <c r="L96" i="33"/>
  <c r="L98" i="33" s="1"/>
  <c r="L100" i="33" s="1"/>
  <c r="L101" i="33" s="1"/>
  <c r="L102" i="33" s="1"/>
  <c r="X85" i="35"/>
  <c r="X86" i="35"/>
  <c r="M95" i="34"/>
  <c r="M45" i="34"/>
  <c r="M24" i="34"/>
  <c r="M43" i="34" s="1"/>
  <c r="L53" i="32"/>
  <c r="Y80" i="34"/>
  <c r="Y79" i="34"/>
  <c r="L108" i="34"/>
  <c r="K110" i="35"/>
  <c r="K108" i="35"/>
  <c r="K103" i="35"/>
  <c r="K104" i="35" s="1"/>
  <c r="K112" i="35"/>
  <c r="O70" i="34"/>
  <c r="M45" i="32"/>
  <c r="M24" i="32"/>
  <c r="M53" i="32" s="1"/>
  <c r="M95" i="32"/>
  <c r="K103" i="32"/>
  <c r="K104" i="32" s="1"/>
  <c r="K110" i="32"/>
  <c r="K112" i="32"/>
  <c r="K108" i="32"/>
  <c r="M46" i="34"/>
  <c r="M94" i="34"/>
  <c r="L67" i="34"/>
  <c r="L55" i="32"/>
  <c r="L57" i="32"/>
  <c r="L48" i="32"/>
  <c r="L18" i="30"/>
  <c r="H18" i="30"/>
  <c r="C14" i="31"/>
  <c r="S88" i="35" l="1"/>
  <c r="P92" i="35"/>
  <c r="P71" i="35" s="1"/>
  <c r="P97" i="35" s="1"/>
  <c r="Q92" i="35"/>
  <c r="Q71" i="35" s="1"/>
  <c r="Q97" i="35" s="1"/>
  <c r="M53" i="33"/>
  <c r="N30" i="32"/>
  <c r="N47" i="32" s="1"/>
  <c r="N30" i="35"/>
  <c r="N47" i="35" s="1"/>
  <c r="M40" i="35"/>
  <c r="M42" i="35" s="1"/>
  <c r="M40" i="34"/>
  <c r="M53" i="35"/>
  <c r="L112" i="35"/>
  <c r="L110" i="34"/>
  <c r="L112" i="34"/>
  <c r="L103" i="35"/>
  <c r="L104" i="35" s="1"/>
  <c r="L108" i="35"/>
  <c r="O32" i="35"/>
  <c r="O31" i="35"/>
  <c r="O32" i="34"/>
  <c r="O31" i="34"/>
  <c r="O32" i="32"/>
  <c r="O31" i="32"/>
  <c r="O32" i="33"/>
  <c r="O31" i="33"/>
  <c r="N30" i="33"/>
  <c r="N47" i="33" s="1"/>
  <c r="N30" i="34"/>
  <c r="N47" i="34" s="1"/>
  <c r="M96" i="33"/>
  <c r="M98" i="33" s="1"/>
  <c r="M100" i="33" s="1"/>
  <c r="M101" i="33" s="1"/>
  <c r="M102" i="33" s="1"/>
  <c r="M108" i="33" s="1"/>
  <c r="T88" i="33"/>
  <c r="U89" i="33" s="1"/>
  <c r="M53" i="34"/>
  <c r="M42" i="34"/>
  <c r="M43" i="35"/>
  <c r="O70" i="33"/>
  <c r="P91" i="33"/>
  <c r="P92" i="33"/>
  <c r="P71" i="33" s="1"/>
  <c r="P97" i="33" s="1"/>
  <c r="T89" i="33"/>
  <c r="M42" i="33"/>
  <c r="M43" i="33"/>
  <c r="AD83" i="34"/>
  <c r="AD82" i="34"/>
  <c r="V88" i="34"/>
  <c r="W89" i="34" s="1"/>
  <c r="M57" i="34"/>
  <c r="M48" i="34"/>
  <c r="M55" i="34"/>
  <c r="M48" i="33"/>
  <c r="M55" i="33"/>
  <c r="M57" i="33"/>
  <c r="R92" i="35"/>
  <c r="R71" i="35" s="1"/>
  <c r="R97" i="35" s="1"/>
  <c r="M96" i="32"/>
  <c r="M98" i="32" s="1"/>
  <c r="M100" i="32" s="1"/>
  <c r="M101" i="32" s="1"/>
  <c r="M102" i="32" s="1"/>
  <c r="Q92" i="34"/>
  <c r="Q71" i="34" s="1"/>
  <c r="Q97" i="34" s="1"/>
  <c r="P70" i="34"/>
  <c r="AB80" i="32"/>
  <c r="AB79" i="32"/>
  <c r="Y86" i="33"/>
  <c r="Y85" i="33"/>
  <c r="X86" i="34"/>
  <c r="X85" i="34"/>
  <c r="O26" i="34"/>
  <c r="O38" i="34"/>
  <c r="O34" i="34" s="1"/>
  <c r="O28" i="34"/>
  <c r="M112" i="35"/>
  <c r="M110" i="35"/>
  <c r="M108" i="35"/>
  <c r="M103" i="35"/>
  <c r="M104" i="35" s="1"/>
  <c r="AG82" i="32"/>
  <c r="AG83" i="32"/>
  <c r="O26" i="32"/>
  <c r="O38" i="32"/>
  <c r="O34" i="32" s="1"/>
  <c r="O28" i="32"/>
  <c r="U88" i="32"/>
  <c r="O38" i="33"/>
  <c r="O34" i="33" s="1"/>
  <c r="O26" i="33"/>
  <c r="O28" i="33"/>
  <c r="R91" i="34"/>
  <c r="Q70" i="35"/>
  <c r="T89" i="35"/>
  <c r="O28" i="35"/>
  <c r="O26" i="35"/>
  <c r="O38" i="35"/>
  <c r="O34" i="35" s="1"/>
  <c r="M110" i="33"/>
  <c r="M57" i="32"/>
  <c r="M48" i="32"/>
  <c r="M55" i="32"/>
  <c r="N95" i="34"/>
  <c r="N24" i="34"/>
  <c r="N43" i="34" s="1"/>
  <c r="N45" i="34"/>
  <c r="R91" i="35"/>
  <c r="R70" i="35" s="1"/>
  <c r="N94" i="32"/>
  <c r="N46" i="32"/>
  <c r="N40" i="32"/>
  <c r="M67" i="32"/>
  <c r="N94" i="33"/>
  <c r="N46" i="33"/>
  <c r="M67" i="33"/>
  <c r="M96" i="34"/>
  <c r="M98" i="34" s="1"/>
  <c r="M100" i="34" s="1"/>
  <c r="M101" i="34" s="1"/>
  <c r="M102" i="34" s="1"/>
  <c r="Z80" i="34"/>
  <c r="Z79" i="34"/>
  <c r="L108" i="33"/>
  <c r="L103" i="33"/>
  <c r="L104" i="33" s="1"/>
  <c r="L112" i="33"/>
  <c r="L110" i="33"/>
  <c r="AB83" i="35"/>
  <c r="AB82" i="35"/>
  <c r="Z80" i="33"/>
  <c r="Z79" i="33"/>
  <c r="N46" i="35"/>
  <c r="N94" i="35"/>
  <c r="M67" i="35"/>
  <c r="M43" i="32"/>
  <c r="N46" i="34"/>
  <c r="N94" i="34"/>
  <c r="M67" i="34"/>
  <c r="M57" i="35"/>
  <c r="M48" i="35"/>
  <c r="M55" i="35"/>
  <c r="L110" i="32"/>
  <c r="L103" i="32"/>
  <c r="L104" i="32" s="1"/>
  <c r="L108" i="32"/>
  <c r="L112" i="32"/>
  <c r="T88" i="35"/>
  <c r="Z80" i="35"/>
  <c r="Z79" i="35"/>
  <c r="U89" i="32"/>
  <c r="S92" i="32"/>
  <c r="S71" i="32" s="1"/>
  <c r="S97" i="32" s="1"/>
  <c r="Q70" i="32"/>
  <c r="R92" i="32"/>
  <c r="R71" i="32" s="1"/>
  <c r="R97" i="32" s="1"/>
  <c r="S91" i="32"/>
  <c r="S70" i="32" s="1"/>
  <c r="V86" i="32"/>
  <c r="V85" i="32"/>
  <c r="R92" i="34"/>
  <c r="R71" i="34" s="1"/>
  <c r="R97" i="34" s="1"/>
  <c r="Y85" i="35"/>
  <c r="Y86" i="35"/>
  <c r="N95" i="35"/>
  <c r="N45" i="35"/>
  <c r="N24" i="35"/>
  <c r="N43" i="35" s="1"/>
  <c r="M42" i="32"/>
  <c r="X83" i="33"/>
  <c r="X82" i="33"/>
  <c r="N95" i="32"/>
  <c r="N24" i="32"/>
  <c r="N43" i="32" s="1"/>
  <c r="N45" i="32"/>
  <c r="N95" i="33"/>
  <c r="N24" i="33"/>
  <c r="N45" i="33"/>
  <c r="F18" i="30"/>
  <c r="J18" i="30"/>
  <c r="C10" i="31"/>
  <c r="D14" i="31"/>
  <c r="N53" i="34" l="1"/>
  <c r="N40" i="34"/>
  <c r="N42" i="34" s="1"/>
  <c r="N40" i="35"/>
  <c r="N42" i="35" s="1"/>
  <c r="N40" i="33"/>
  <c r="N42" i="33" s="1"/>
  <c r="N53" i="33"/>
  <c r="O30" i="33"/>
  <c r="O47" i="33" s="1"/>
  <c r="O30" i="34"/>
  <c r="O47" i="34" s="1"/>
  <c r="M103" i="33"/>
  <c r="M104" i="33" s="1"/>
  <c r="M112" i="33"/>
  <c r="P32" i="34"/>
  <c r="P31" i="34"/>
  <c r="E5" i="36"/>
  <c r="E7" i="36" s="1"/>
  <c r="E7" i="37"/>
  <c r="E9" i="37" s="1"/>
  <c r="P32" i="35"/>
  <c r="P31" i="35"/>
  <c r="P32" i="33"/>
  <c r="P31" i="33"/>
  <c r="P32" i="32"/>
  <c r="P31" i="32"/>
  <c r="O30" i="32"/>
  <c r="O47" i="32" s="1"/>
  <c r="O30" i="35"/>
  <c r="O47" i="35" s="1"/>
  <c r="U88" i="33"/>
  <c r="N96" i="34"/>
  <c r="N98" i="34" s="1"/>
  <c r="N100" i="34" s="1"/>
  <c r="N101" i="34" s="1"/>
  <c r="N102" i="34" s="1"/>
  <c r="N103" i="34" s="1"/>
  <c r="N104" i="34" s="1"/>
  <c r="T91" i="32"/>
  <c r="T70" i="32" s="1"/>
  <c r="P70" i="33"/>
  <c r="Q91" i="33"/>
  <c r="R92" i="33" s="1"/>
  <c r="R71" i="33" s="1"/>
  <c r="R97" i="33" s="1"/>
  <c r="Q92" i="33"/>
  <c r="Q71" i="33" s="1"/>
  <c r="Q97" i="33" s="1"/>
  <c r="V89" i="33"/>
  <c r="V88" i="33"/>
  <c r="W89" i="33" s="1"/>
  <c r="N53" i="32"/>
  <c r="T92" i="32"/>
  <c r="T71" i="32" s="1"/>
  <c r="T97" i="32" s="1"/>
  <c r="W88" i="34"/>
  <c r="X88" i="34" s="1"/>
  <c r="AE83" i="34"/>
  <c r="AE82" i="34"/>
  <c r="U91" i="32"/>
  <c r="V92" i="32" s="1"/>
  <c r="Y83" i="33"/>
  <c r="Y82" i="33"/>
  <c r="N57" i="34"/>
  <c r="N55" i="34"/>
  <c r="N48" i="34"/>
  <c r="AA80" i="34"/>
  <c r="AA79" i="34"/>
  <c r="N96" i="33"/>
  <c r="N98" i="33" s="1"/>
  <c r="N100" i="33" s="1"/>
  <c r="N101" i="33" s="1"/>
  <c r="N102" i="33" s="1"/>
  <c r="N96" i="32"/>
  <c r="N98" i="32" s="1"/>
  <c r="N100" i="32" s="1"/>
  <c r="N101" i="32" s="1"/>
  <c r="N102" i="32" s="1"/>
  <c r="O94" i="35"/>
  <c r="O46" i="35"/>
  <c r="N67" i="35"/>
  <c r="R70" i="34"/>
  <c r="S91" i="34"/>
  <c r="T92" i="34" s="1"/>
  <c r="T71" i="34" s="1"/>
  <c r="T97" i="34" s="1"/>
  <c r="S92" i="34"/>
  <c r="S71" i="34" s="1"/>
  <c r="S97" i="34" s="1"/>
  <c r="O46" i="33"/>
  <c r="O94" i="33"/>
  <c r="N67" i="33"/>
  <c r="O45" i="32"/>
  <c r="O24" i="32"/>
  <c r="O95" i="32"/>
  <c r="Z85" i="35"/>
  <c r="Z86" i="35"/>
  <c r="N57" i="35"/>
  <c r="N48" i="35"/>
  <c r="N55" i="35"/>
  <c r="S91" i="35"/>
  <c r="S70" i="35" s="1"/>
  <c r="S92" i="35"/>
  <c r="S71" i="35" s="1"/>
  <c r="S97" i="35" s="1"/>
  <c r="O24" i="35"/>
  <c r="O43" i="35" s="1"/>
  <c r="O95" i="35"/>
  <c r="O45" i="35"/>
  <c r="V89" i="32"/>
  <c r="V88" i="32"/>
  <c r="P26" i="34"/>
  <c r="P38" i="34"/>
  <c r="P34" i="34" s="1"/>
  <c r="P28" i="34"/>
  <c r="Y86" i="34"/>
  <c r="Y85" i="34"/>
  <c r="AC80" i="32"/>
  <c r="AC79" i="32"/>
  <c r="W85" i="32"/>
  <c r="W86" i="32"/>
  <c r="AA80" i="35"/>
  <c r="AA79" i="35"/>
  <c r="U89" i="35"/>
  <c r="U88" i="35"/>
  <c r="N53" i="35"/>
  <c r="AA80" i="33"/>
  <c r="AA79" i="33"/>
  <c r="AC83" i="35"/>
  <c r="AC82" i="35"/>
  <c r="M112" i="34"/>
  <c r="M110" i="34"/>
  <c r="M108" i="34"/>
  <c r="M103" i="34"/>
  <c r="M104" i="34" s="1"/>
  <c r="N48" i="33"/>
  <c r="N57" i="33"/>
  <c r="N55" i="33"/>
  <c r="N42" i="32"/>
  <c r="P28" i="35"/>
  <c r="P26" i="35"/>
  <c r="P38" i="35"/>
  <c r="P34" i="35" s="1"/>
  <c r="P26" i="33"/>
  <c r="P28" i="33"/>
  <c r="P38" i="33"/>
  <c r="P34" i="33" s="1"/>
  <c r="P26" i="32"/>
  <c r="P38" i="32"/>
  <c r="P34" i="32" s="1"/>
  <c r="P28" i="32"/>
  <c r="AH83" i="32"/>
  <c r="AH82" i="32"/>
  <c r="O94" i="34"/>
  <c r="O46" i="34"/>
  <c r="N67" i="34"/>
  <c r="O6" i="30" s="1"/>
  <c r="M108" i="32"/>
  <c r="M112" i="32"/>
  <c r="M103" i="32"/>
  <c r="M104" i="32" s="1"/>
  <c r="M110" i="32"/>
  <c r="N96" i="35"/>
  <c r="N98" i="35" s="1"/>
  <c r="N100" i="35" s="1"/>
  <c r="N101" i="35" s="1"/>
  <c r="N102" i="35" s="1"/>
  <c r="N43" i="33"/>
  <c r="N48" i="32"/>
  <c r="N57" i="32"/>
  <c r="N55" i="32"/>
  <c r="O45" i="33"/>
  <c r="O24" i="33"/>
  <c r="O43" i="33" s="1"/>
  <c r="O95" i="33"/>
  <c r="O40" i="32"/>
  <c r="O42" i="32" s="1"/>
  <c r="O94" i="32"/>
  <c r="O46" i="32"/>
  <c r="N67" i="32"/>
  <c r="O45" i="34"/>
  <c r="O95" i="34"/>
  <c r="O24" i="34"/>
  <c r="Z86" i="33"/>
  <c r="Z85" i="33"/>
  <c r="C22" i="31"/>
  <c r="AC10" i="31"/>
  <c r="C30" i="31"/>
  <c r="C29" i="31"/>
  <c r="C21" i="31"/>
  <c r="N110" i="34" l="1"/>
  <c r="N108" i="34"/>
  <c r="O53" i="32"/>
  <c r="U92" i="32"/>
  <c r="U71" i="32" s="1"/>
  <c r="U97" i="32" s="1"/>
  <c r="P30" i="32"/>
  <c r="P47" i="32" s="1"/>
  <c r="P30" i="34"/>
  <c r="P47" i="34" s="1"/>
  <c r="O40" i="34"/>
  <c r="P30" i="35"/>
  <c r="P47" i="35" s="1"/>
  <c r="O53" i="34"/>
  <c r="O40" i="33"/>
  <c r="O40" i="35"/>
  <c r="O42" i="35" s="1"/>
  <c r="N112" i="34"/>
  <c r="Q32" i="32"/>
  <c r="Q31" i="32"/>
  <c r="Q32" i="33"/>
  <c r="Q31" i="33"/>
  <c r="Q32" i="35"/>
  <c r="Q31" i="35"/>
  <c r="Q32" i="34"/>
  <c r="Q31" i="34"/>
  <c r="P30" i="33"/>
  <c r="P47" i="33" s="1"/>
  <c r="W88" i="33"/>
  <c r="X89" i="33" s="1"/>
  <c r="O43" i="32"/>
  <c r="T91" i="35"/>
  <c r="U91" i="35" s="1"/>
  <c r="V92" i="35" s="1"/>
  <c r="O96" i="32"/>
  <c r="O98" i="32" s="1"/>
  <c r="O100" i="32" s="1"/>
  <c r="O101" i="32" s="1"/>
  <c r="O102" i="32" s="1"/>
  <c r="O110" i="32" s="1"/>
  <c r="Q70" i="33"/>
  <c r="R91" i="33"/>
  <c r="S92" i="33" s="1"/>
  <c r="S71" i="33" s="1"/>
  <c r="S97" i="33" s="1"/>
  <c r="O96" i="34"/>
  <c r="O98" i="34" s="1"/>
  <c r="O100" i="34" s="1"/>
  <c r="O101" i="34" s="1"/>
  <c r="O102" i="34" s="1"/>
  <c r="O108" i="34" s="1"/>
  <c r="X88" i="33"/>
  <c r="V71" i="32"/>
  <c r="V97" i="32" s="1"/>
  <c r="X89" i="34"/>
  <c r="Y88" i="34"/>
  <c r="Z89" i="34" s="1"/>
  <c r="AF83" i="34"/>
  <c r="AF82" i="34"/>
  <c r="Y89" i="34"/>
  <c r="P46" i="33"/>
  <c r="P40" i="33"/>
  <c r="P94" i="33"/>
  <c r="P95" i="35"/>
  <c r="P45" i="35"/>
  <c r="P24" i="35"/>
  <c r="P43" i="35" s="1"/>
  <c r="AD80" i="32"/>
  <c r="AD79" i="32"/>
  <c r="P24" i="34"/>
  <c r="P43" i="34" s="1"/>
  <c r="P95" i="34"/>
  <c r="P45" i="34"/>
  <c r="O42" i="34"/>
  <c r="P46" i="32"/>
  <c r="P40" i="32"/>
  <c r="P94" i="32"/>
  <c r="Q26" i="33"/>
  <c r="Q38" i="33"/>
  <c r="Q34" i="33" s="1"/>
  <c r="Q28" i="33"/>
  <c r="Q38" i="35"/>
  <c r="Q34" i="35" s="1"/>
  <c r="Q26" i="35"/>
  <c r="Q28" i="35"/>
  <c r="AD83" i="35"/>
  <c r="AD82" i="35"/>
  <c r="W88" i="32"/>
  <c r="W89" i="32"/>
  <c r="O96" i="33"/>
  <c r="O98" i="33" s="1"/>
  <c r="O100" i="33" s="1"/>
  <c r="O101" i="33" s="1"/>
  <c r="O102" i="33" s="1"/>
  <c r="O96" i="35"/>
  <c r="O98" i="35" s="1"/>
  <c r="O100" i="35" s="1"/>
  <c r="O101" i="35" s="1"/>
  <c r="O102" i="35" s="1"/>
  <c r="N103" i="33"/>
  <c r="N104" i="33" s="1"/>
  <c r="N112" i="33"/>
  <c r="N108" i="33"/>
  <c r="N110" i="33"/>
  <c r="O43" i="34"/>
  <c r="P45" i="33"/>
  <c r="P24" i="33"/>
  <c r="P43" i="33" s="1"/>
  <c r="P95" i="33"/>
  <c r="AB80" i="35"/>
  <c r="AB79" i="35"/>
  <c r="X85" i="32"/>
  <c r="X86" i="32"/>
  <c r="Q28" i="34"/>
  <c r="Q26" i="34"/>
  <c r="Q38" i="34"/>
  <c r="Q34" i="34" s="1"/>
  <c r="AA85" i="35"/>
  <c r="AA86" i="35"/>
  <c r="O42" i="33"/>
  <c r="O57" i="32"/>
  <c r="O55" i="32"/>
  <c r="O48" i="32"/>
  <c r="P24" i="32"/>
  <c r="P95" i="32"/>
  <c r="P45" i="32"/>
  <c r="AA86" i="33"/>
  <c r="AA85" i="33"/>
  <c r="N112" i="35"/>
  <c r="N110" i="35"/>
  <c r="N108" i="35"/>
  <c r="N103" i="35"/>
  <c r="N104" i="35" s="1"/>
  <c r="O57" i="34"/>
  <c r="O55" i="34"/>
  <c r="O48" i="34"/>
  <c r="P94" i="35"/>
  <c r="P46" i="35"/>
  <c r="AB80" i="33"/>
  <c r="AB79" i="33"/>
  <c r="U70" i="35"/>
  <c r="V89" i="35"/>
  <c r="V71" i="35" s="1"/>
  <c r="V97" i="35" s="1"/>
  <c r="V88" i="35"/>
  <c r="P94" i="34"/>
  <c r="P40" i="34"/>
  <c r="P42" i="34" s="1"/>
  <c r="P46" i="34"/>
  <c r="T92" i="35"/>
  <c r="T71" i="35" s="1"/>
  <c r="T97" i="35" s="1"/>
  <c r="O48" i="33"/>
  <c r="O55" i="33"/>
  <c r="O57" i="33"/>
  <c r="S70" i="34"/>
  <c r="T91" i="34"/>
  <c r="O53" i="35"/>
  <c r="Z83" i="33"/>
  <c r="Z82" i="33"/>
  <c r="Q26" i="32"/>
  <c r="Q38" i="32"/>
  <c r="Q34" i="32" s="1"/>
  <c r="Q28" i="32"/>
  <c r="Z85" i="34"/>
  <c r="Z86" i="34"/>
  <c r="O53" i="33"/>
  <c r="O57" i="35"/>
  <c r="O48" i="35"/>
  <c r="O55" i="35"/>
  <c r="N110" i="32"/>
  <c r="N112" i="32"/>
  <c r="N108" i="32"/>
  <c r="N103" i="32"/>
  <c r="N104" i="32" s="1"/>
  <c r="AB80" i="34"/>
  <c r="AB79" i="34"/>
  <c r="U70" i="32"/>
  <c r="V91" i="32"/>
  <c r="B15" i="30"/>
  <c r="AB10" i="2"/>
  <c r="AB8" i="2"/>
  <c r="O108" i="32" l="1"/>
  <c r="O103" i="32"/>
  <c r="O104" i="32" s="1"/>
  <c r="P53" i="32"/>
  <c r="T70" i="35"/>
  <c r="O112" i="32"/>
  <c r="U92" i="35"/>
  <c r="U71" i="35" s="1"/>
  <c r="U97" i="35" s="1"/>
  <c r="Q30" i="34"/>
  <c r="Q47" i="34" s="1"/>
  <c r="Q30" i="33"/>
  <c r="Q47" i="33" s="1"/>
  <c r="P40" i="35"/>
  <c r="P42" i="35" s="1"/>
  <c r="P53" i="35"/>
  <c r="R32" i="32"/>
  <c r="R31" i="32"/>
  <c r="R32" i="34"/>
  <c r="R31" i="34"/>
  <c r="R32" i="33"/>
  <c r="R31" i="33"/>
  <c r="R32" i="35"/>
  <c r="R31" i="35"/>
  <c r="Q30" i="35"/>
  <c r="Q47" i="35" s="1"/>
  <c r="Q30" i="32"/>
  <c r="Q47" i="32" s="1"/>
  <c r="Y88" i="33"/>
  <c r="Z89" i="33" s="1"/>
  <c r="O110" i="34"/>
  <c r="C111" i="34" s="1"/>
  <c r="Q6" i="30" s="1"/>
  <c r="P96" i="35"/>
  <c r="P98" i="35" s="1"/>
  <c r="P100" i="35" s="1"/>
  <c r="P101" i="35" s="1"/>
  <c r="P102" i="35" s="1"/>
  <c r="P110" i="35" s="1"/>
  <c r="O112" i="34"/>
  <c r="C113" i="34" s="1"/>
  <c r="R6" i="30" s="1"/>
  <c r="O103" i="34"/>
  <c r="O104" i="34" s="1"/>
  <c r="V91" i="35"/>
  <c r="P96" i="34"/>
  <c r="P98" i="34" s="1"/>
  <c r="P100" i="34" s="1"/>
  <c r="P101" i="34" s="1"/>
  <c r="P102" i="34" s="1"/>
  <c r="P103" i="34" s="1"/>
  <c r="P104" i="34" s="1"/>
  <c r="S91" i="33"/>
  <c r="T91" i="33" s="1"/>
  <c r="T70" i="33" s="1"/>
  <c r="R70" i="33"/>
  <c r="P53" i="34"/>
  <c r="Y89" i="33"/>
  <c r="P96" i="32"/>
  <c r="P98" i="32" s="1"/>
  <c r="P100" i="32" s="1"/>
  <c r="P101" i="32" s="1"/>
  <c r="P102" i="32" s="1"/>
  <c r="P110" i="32" s="1"/>
  <c r="AG82" i="34"/>
  <c r="AG83" i="34"/>
  <c r="Z88" i="34"/>
  <c r="R38" i="32"/>
  <c r="R34" i="32" s="1"/>
  <c r="R26" i="32"/>
  <c r="B4" i="30" s="1"/>
  <c r="R28" i="32"/>
  <c r="C109" i="32"/>
  <c r="AB85" i="35"/>
  <c r="AB86" i="35"/>
  <c r="R38" i="34"/>
  <c r="R34" i="34" s="1"/>
  <c r="R26" i="34"/>
  <c r="R28" i="34"/>
  <c r="W91" i="32"/>
  <c r="W92" i="32"/>
  <c r="W71" i="32" s="1"/>
  <c r="W97" i="32" s="1"/>
  <c r="V70" i="32"/>
  <c r="Q94" i="32"/>
  <c r="Q46" i="32"/>
  <c r="C113" i="32"/>
  <c r="AA83" i="33"/>
  <c r="AA82" i="33"/>
  <c r="U91" i="34"/>
  <c r="T70" i="34"/>
  <c r="U92" i="34"/>
  <c r="U71" i="34" s="1"/>
  <c r="U97" i="34" s="1"/>
  <c r="P55" i="35"/>
  <c r="P57" i="35"/>
  <c r="P48" i="35"/>
  <c r="AB86" i="33"/>
  <c r="AB85" i="33"/>
  <c r="O108" i="35"/>
  <c r="C109" i="35" s="1"/>
  <c r="O103" i="35"/>
  <c r="O104" i="35" s="1"/>
  <c r="O112" i="35"/>
  <c r="C113" i="35" s="1"/>
  <c r="O110" i="35"/>
  <c r="C111" i="35" s="1"/>
  <c r="AE83" i="35"/>
  <c r="AE82" i="35"/>
  <c r="Q46" i="35"/>
  <c r="Q40" i="35"/>
  <c r="Q94" i="35"/>
  <c r="P43" i="32"/>
  <c r="P96" i="33"/>
  <c r="P98" i="33" s="1"/>
  <c r="P100" i="33" s="1"/>
  <c r="P101" i="33" s="1"/>
  <c r="P102" i="33" s="1"/>
  <c r="AC80" i="33"/>
  <c r="AC79" i="33"/>
  <c r="Q46" i="34"/>
  <c r="Q40" i="34"/>
  <c r="Q94" i="34"/>
  <c r="D6" i="30" s="1"/>
  <c r="O110" i="33"/>
  <c r="C111" i="33" s="1"/>
  <c r="O103" i="33"/>
  <c r="O104" i="33" s="1"/>
  <c r="O108" i="33"/>
  <c r="C109" i="33" s="1"/>
  <c r="O112" i="33"/>
  <c r="C113" i="33" s="1"/>
  <c r="X89" i="32"/>
  <c r="X88" i="32"/>
  <c r="R38" i="33"/>
  <c r="R34" i="33" s="1"/>
  <c r="R28" i="33"/>
  <c r="R26" i="33"/>
  <c r="B5" i="30" s="1"/>
  <c r="AE80" i="32"/>
  <c r="AE79" i="32"/>
  <c r="P42" i="33"/>
  <c r="Q24" i="32"/>
  <c r="Q43" i="32" s="1"/>
  <c r="Q95" i="32"/>
  <c r="Q45" i="32"/>
  <c r="C109" i="34"/>
  <c r="P6" i="30"/>
  <c r="P55" i="34"/>
  <c r="P57" i="34"/>
  <c r="P48" i="34"/>
  <c r="AA85" i="34"/>
  <c r="AA86" i="34"/>
  <c r="C111" i="32"/>
  <c r="V70" i="35"/>
  <c r="W89" i="35"/>
  <c r="W88" i="35"/>
  <c r="P103" i="35"/>
  <c r="P104" i="35" s="1"/>
  <c r="Q95" i="34"/>
  <c r="Q45" i="34"/>
  <c r="Q24" i="34"/>
  <c r="Q43" i="34" s="1"/>
  <c r="Y85" i="32"/>
  <c r="Y86" i="32"/>
  <c r="R26" i="35"/>
  <c r="R28" i="35"/>
  <c r="R38" i="35"/>
  <c r="R34" i="35" s="1"/>
  <c r="Q94" i="33"/>
  <c r="Q46" i="33"/>
  <c r="P42" i="32"/>
  <c r="P48" i="33"/>
  <c r="P57" i="33"/>
  <c r="P55" i="33"/>
  <c r="AC80" i="34"/>
  <c r="AC79" i="34"/>
  <c r="AC80" i="35"/>
  <c r="AC79" i="35"/>
  <c r="Q95" i="35"/>
  <c r="Q45" i="35"/>
  <c r="Q24" i="35"/>
  <c r="Q53" i="35" s="1"/>
  <c r="Q95" i="33"/>
  <c r="Q45" i="33"/>
  <c r="Q24" i="33"/>
  <c r="P55" i="32"/>
  <c r="P57" i="32"/>
  <c r="P48" i="32"/>
  <c r="P53" i="33"/>
  <c r="E10" i="2"/>
  <c r="C10" i="2"/>
  <c r="C47" i="2" s="1"/>
  <c r="D10" i="2"/>
  <c r="D8" i="2"/>
  <c r="P108" i="34" l="1"/>
  <c r="P112" i="35"/>
  <c r="P108" i="35"/>
  <c r="P112" i="32"/>
  <c r="Q53" i="33"/>
  <c r="Q40" i="33"/>
  <c r="Q42" i="33" s="1"/>
  <c r="Z88" i="33"/>
  <c r="AA88" i="33" s="1"/>
  <c r="AB89" i="33" s="1"/>
  <c r="Q40" i="32"/>
  <c r="Q42" i="32" s="1"/>
  <c r="S32" i="33"/>
  <c r="S31" i="33"/>
  <c r="S32" i="32"/>
  <c r="S31" i="32"/>
  <c r="R30" i="35"/>
  <c r="R47" i="35" s="1"/>
  <c r="R30" i="34"/>
  <c r="R47" i="34" s="1"/>
  <c r="S32" i="35"/>
  <c r="S31" i="35"/>
  <c r="S32" i="34"/>
  <c r="S31" i="34"/>
  <c r="R30" i="33"/>
  <c r="R47" i="33" s="1"/>
  <c r="R30" i="32"/>
  <c r="R47" i="32" s="1"/>
  <c r="P112" i="34"/>
  <c r="P110" i="34"/>
  <c r="P108" i="32"/>
  <c r="W92" i="35"/>
  <c r="W71" i="35" s="1"/>
  <c r="W97" i="35" s="1"/>
  <c r="W91" i="35"/>
  <c r="P103" i="32"/>
  <c r="P104" i="32" s="1"/>
  <c r="U92" i="33"/>
  <c r="U71" i="33" s="1"/>
  <c r="U97" i="33" s="1"/>
  <c r="T92" i="33"/>
  <c r="T71" i="33" s="1"/>
  <c r="T97" i="33" s="1"/>
  <c r="U91" i="33"/>
  <c r="S70" i="33"/>
  <c r="Q42" i="34"/>
  <c r="Q42" i="35"/>
  <c r="AH83" i="34"/>
  <c r="AH82" i="34"/>
  <c r="Q53" i="34"/>
  <c r="Q43" i="35"/>
  <c r="AA88" i="34"/>
  <c r="AB89" i="34" s="1"/>
  <c r="AA89" i="34"/>
  <c r="R46" i="35"/>
  <c r="R40" i="35"/>
  <c r="R94" i="35"/>
  <c r="S26" i="33"/>
  <c r="S38" i="33"/>
  <c r="S34" i="33" s="1"/>
  <c r="S28" i="33"/>
  <c r="AF83" i="35"/>
  <c r="AF82" i="35"/>
  <c r="AD80" i="34"/>
  <c r="AD79" i="34"/>
  <c r="Q55" i="33"/>
  <c r="Q57" i="33"/>
  <c r="Q48" i="33"/>
  <c r="S38" i="35"/>
  <c r="S34" i="35" s="1"/>
  <c r="S28" i="35"/>
  <c r="S26" i="35"/>
  <c r="R46" i="33"/>
  <c r="R94" i="33"/>
  <c r="Q57" i="34"/>
  <c r="Q48" i="34"/>
  <c r="Q55" i="34"/>
  <c r="Q96" i="35"/>
  <c r="Q98" i="35" s="1"/>
  <c r="Q100" i="35" s="1"/>
  <c r="AB83" i="33"/>
  <c r="AB82" i="33"/>
  <c r="Q96" i="32"/>
  <c r="Q98" i="32" s="1"/>
  <c r="Q100" i="32" s="1"/>
  <c r="Q101" i="32" s="1"/>
  <c r="Q102" i="32" s="1"/>
  <c r="R46" i="34"/>
  <c r="R94" i="34"/>
  <c r="S26" i="32"/>
  <c r="S28" i="32"/>
  <c r="S38" i="32"/>
  <c r="S34" i="32" s="1"/>
  <c r="AD80" i="35"/>
  <c r="AD79" i="35"/>
  <c r="P108" i="33"/>
  <c r="P103" i="33"/>
  <c r="P104" i="33" s="1"/>
  <c r="P112" i="33"/>
  <c r="P110" i="33"/>
  <c r="Q53" i="32"/>
  <c r="X91" i="32"/>
  <c r="X92" i="32"/>
  <c r="X71" i="32" s="1"/>
  <c r="X97" i="32" s="1"/>
  <c r="R95" i="32"/>
  <c r="R45" i="32"/>
  <c r="R24" i="32"/>
  <c r="R43" i="32" s="1"/>
  <c r="R24" i="35"/>
  <c r="R43" i="35" s="1"/>
  <c r="R95" i="35"/>
  <c r="R45" i="35"/>
  <c r="B7" i="30"/>
  <c r="X88" i="35"/>
  <c r="X89" i="35"/>
  <c r="Y88" i="32"/>
  <c r="Y89" i="32"/>
  <c r="AD80" i="33"/>
  <c r="AD79" i="33"/>
  <c r="Q96" i="33"/>
  <c r="Q98" i="33" s="1"/>
  <c r="Q100" i="33" s="1"/>
  <c r="Q101" i="33" s="1"/>
  <c r="Q102" i="33" s="1"/>
  <c r="AB85" i="34"/>
  <c r="AB86" i="34"/>
  <c r="R45" i="33"/>
  <c r="R95" i="33"/>
  <c r="R24" i="33"/>
  <c r="Q96" i="34"/>
  <c r="Q98" i="34" s="1"/>
  <c r="Q100" i="34" s="1"/>
  <c r="Q101" i="34" s="1"/>
  <c r="Q102" i="34" s="1"/>
  <c r="Q57" i="35"/>
  <c r="Q48" i="35"/>
  <c r="Q55" i="35"/>
  <c r="V91" i="34"/>
  <c r="U70" i="34"/>
  <c r="V92" i="34"/>
  <c r="V71" i="34" s="1"/>
  <c r="V97" i="34" s="1"/>
  <c r="S38" i="34"/>
  <c r="S34" i="34" s="1"/>
  <c r="S28" i="34"/>
  <c r="S26" i="34"/>
  <c r="AC86" i="35"/>
  <c r="AC85" i="35"/>
  <c r="R46" i="32"/>
  <c r="R94" i="32"/>
  <c r="Q43" i="33"/>
  <c r="Z86" i="32"/>
  <c r="Z85" i="32"/>
  <c r="AF80" i="32"/>
  <c r="AF79" i="32"/>
  <c r="AC85" i="33"/>
  <c r="AC86" i="33"/>
  <c r="Q55" i="32"/>
  <c r="Q57" i="32"/>
  <c r="Q48" i="32"/>
  <c r="R24" i="34"/>
  <c r="R43" i="34" s="1"/>
  <c r="R45" i="34"/>
  <c r="R95" i="34"/>
  <c r="B6" i="30"/>
  <c r="W70" i="32"/>
  <c r="I91" i="2"/>
  <c r="H88" i="2"/>
  <c r="G85" i="2"/>
  <c r="F82" i="2"/>
  <c r="D76" i="2"/>
  <c r="E79" i="2"/>
  <c r="J90" i="2"/>
  <c r="J91" i="2" s="1"/>
  <c r="I87" i="2"/>
  <c r="J87" i="2" s="1"/>
  <c r="H84" i="2"/>
  <c r="H85" i="2" s="1"/>
  <c r="G81" i="2"/>
  <c r="H81" i="2" s="1"/>
  <c r="A79" i="2"/>
  <c r="A82" i="2" s="1"/>
  <c r="A85" i="2" s="1"/>
  <c r="A88" i="2" s="1"/>
  <c r="A91" i="2" s="1"/>
  <c r="F78" i="2"/>
  <c r="F79" i="2" s="1"/>
  <c r="E75" i="2"/>
  <c r="F75" i="2" s="1"/>
  <c r="C97" i="2"/>
  <c r="R40" i="34" l="1"/>
  <c r="AB88" i="33"/>
  <c r="AA89" i="33"/>
  <c r="R40" i="32"/>
  <c r="R42" i="32" s="1"/>
  <c r="R40" i="33"/>
  <c r="R53" i="33"/>
  <c r="S30" i="35"/>
  <c r="S47" i="35" s="1"/>
  <c r="S30" i="32"/>
  <c r="S47" i="32" s="1"/>
  <c r="T32" i="32"/>
  <c r="T31" i="32"/>
  <c r="T32" i="35"/>
  <c r="T31" i="35"/>
  <c r="T32" i="34"/>
  <c r="T31" i="34"/>
  <c r="T32" i="33"/>
  <c r="T31" i="33"/>
  <c r="S30" i="34"/>
  <c r="S47" i="34" s="1"/>
  <c r="S30" i="33"/>
  <c r="S47" i="33" s="1"/>
  <c r="R53" i="32"/>
  <c r="X92" i="35"/>
  <c r="X71" i="35" s="1"/>
  <c r="X97" i="35" s="1"/>
  <c r="X91" i="35"/>
  <c r="Y91" i="35" s="1"/>
  <c r="W70" i="35"/>
  <c r="V91" i="33"/>
  <c r="U70" i="33"/>
  <c r="AB88" i="34"/>
  <c r="AC89" i="34" s="1"/>
  <c r="V92" i="33"/>
  <c r="V71" i="33" s="1"/>
  <c r="V97" i="33" s="1"/>
  <c r="AC88" i="33"/>
  <c r="AC89" i="33"/>
  <c r="R53" i="34"/>
  <c r="S94" i="34"/>
  <c r="S46" i="34"/>
  <c r="S40" i="34"/>
  <c r="V70" i="34"/>
  <c r="W92" i="34"/>
  <c r="W71" i="34" s="1"/>
  <c r="W97" i="34" s="1"/>
  <c r="W91" i="34"/>
  <c r="Q112" i="33"/>
  <c r="Q110" i="33"/>
  <c r="Q103" i="33"/>
  <c r="Q104" i="33" s="1"/>
  <c r="Q108" i="33"/>
  <c r="Q101" i="35"/>
  <c r="Q102" i="35" s="1"/>
  <c r="R57" i="33"/>
  <c r="R48" i="33"/>
  <c r="R55" i="33"/>
  <c r="T38" i="35"/>
  <c r="T34" i="35" s="1"/>
  <c r="T28" i="35"/>
  <c r="T26" i="35"/>
  <c r="AG80" i="32"/>
  <c r="AG79" i="32"/>
  <c r="AA85" i="32"/>
  <c r="AA86" i="32"/>
  <c r="R96" i="32"/>
  <c r="R98" i="32" s="1"/>
  <c r="R100" i="32" s="1"/>
  <c r="R101" i="32" s="1"/>
  <c r="R102" i="32" s="1"/>
  <c r="AE80" i="33"/>
  <c r="AE79" i="33"/>
  <c r="Z88" i="32"/>
  <c r="Z89" i="32"/>
  <c r="Y89" i="35"/>
  <c r="Y88" i="35"/>
  <c r="S94" i="32"/>
  <c r="S46" i="32"/>
  <c r="R96" i="34"/>
  <c r="R98" i="34" s="1"/>
  <c r="R100" i="34" s="1"/>
  <c r="R96" i="33"/>
  <c r="R98" i="33" s="1"/>
  <c r="R100" i="33" s="1"/>
  <c r="R43" i="33"/>
  <c r="S94" i="35"/>
  <c r="S46" i="35"/>
  <c r="AE80" i="34"/>
  <c r="AE79" i="34"/>
  <c r="S94" i="33"/>
  <c r="S40" i="33"/>
  <c r="S46" i="33"/>
  <c r="R53" i="35"/>
  <c r="S45" i="34"/>
  <c r="S24" i="34"/>
  <c r="S53" i="34" s="1"/>
  <c r="S95" i="34"/>
  <c r="T26" i="32"/>
  <c r="T28" i="32"/>
  <c r="T38" i="32"/>
  <c r="T34" i="32" s="1"/>
  <c r="S24" i="33"/>
  <c r="S53" i="33" s="1"/>
  <c r="S95" i="33"/>
  <c r="S45" i="33"/>
  <c r="R96" i="35"/>
  <c r="R98" i="35" s="1"/>
  <c r="R100" i="35" s="1"/>
  <c r="R101" i="35" s="1"/>
  <c r="R102" i="35" s="1"/>
  <c r="Y91" i="32"/>
  <c r="Y92" i="32"/>
  <c r="X70" i="32"/>
  <c r="AE80" i="35"/>
  <c r="AE79" i="35"/>
  <c r="R57" i="34"/>
  <c r="R55" i="34"/>
  <c r="R48" i="34"/>
  <c r="AC83" i="33"/>
  <c r="AC82" i="33"/>
  <c r="R48" i="32"/>
  <c r="R55" i="32"/>
  <c r="R57" i="32"/>
  <c r="T26" i="34"/>
  <c r="T28" i="34"/>
  <c r="T38" i="34"/>
  <c r="T34" i="34" s="1"/>
  <c r="AC86" i="34"/>
  <c r="AC85" i="34"/>
  <c r="Z92" i="35"/>
  <c r="Z91" i="35"/>
  <c r="S45" i="32"/>
  <c r="S24" i="32"/>
  <c r="S43" i="32" s="1"/>
  <c r="S95" i="32"/>
  <c r="R42" i="34"/>
  <c r="R42" i="33"/>
  <c r="S95" i="35"/>
  <c r="S45" i="35"/>
  <c r="S24" i="35"/>
  <c r="R42" i="35"/>
  <c r="AD85" i="33"/>
  <c r="AD86" i="33"/>
  <c r="AD85" i="35"/>
  <c r="AD86" i="35"/>
  <c r="Q108" i="34"/>
  <c r="Q103" i="34"/>
  <c r="Q104" i="34" s="1"/>
  <c r="Q112" i="34"/>
  <c r="Q110" i="34"/>
  <c r="Y71" i="32"/>
  <c r="Y97" i="32" s="1"/>
  <c r="Q112" i="32"/>
  <c r="Q110" i="32"/>
  <c r="Q108" i="32"/>
  <c r="Q103" i="32"/>
  <c r="Q104" i="32" s="1"/>
  <c r="AG83" i="35"/>
  <c r="AG82" i="35"/>
  <c r="T26" i="33"/>
  <c r="T38" i="33"/>
  <c r="T34" i="33" s="1"/>
  <c r="T28" i="33"/>
  <c r="R57" i="35"/>
  <c r="R48" i="35"/>
  <c r="R55" i="35"/>
  <c r="G78" i="2"/>
  <c r="H78" i="2" s="1"/>
  <c r="E76" i="2"/>
  <c r="E70" i="2" s="1"/>
  <c r="G82" i="2"/>
  <c r="I84" i="2"/>
  <c r="J84" i="2" s="1"/>
  <c r="I88" i="2"/>
  <c r="D70" i="2"/>
  <c r="G75" i="2"/>
  <c r="I81" i="2"/>
  <c r="K90" i="2"/>
  <c r="K87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C88" i="34" l="1"/>
  <c r="Y92" i="35"/>
  <c r="Y71" i="35" s="1"/>
  <c r="Y97" i="35" s="1"/>
  <c r="S40" i="32"/>
  <c r="S53" i="35"/>
  <c r="S40" i="35"/>
  <c r="S42" i="35" s="1"/>
  <c r="T30" i="34"/>
  <c r="T47" i="34" s="1"/>
  <c r="U32" i="33"/>
  <c r="U31" i="33"/>
  <c r="U32" i="34"/>
  <c r="U31" i="34"/>
  <c r="T30" i="32"/>
  <c r="T47" i="32" s="1"/>
  <c r="U32" i="32"/>
  <c r="U31" i="32"/>
  <c r="U32" i="35"/>
  <c r="U31" i="35"/>
  <c r="T30" i="33"/>
  <c r="T47" i="33" s="1"/>
  <c r="T30" i="35"/>
  <c r="T47" i="35" s="1"/>
  <c r="X70" i="35"/>
  <c r="AD88" i="33"/>
  <c r="AD89" i="33"/>
  <c r="W91" i="33"/>
  <c r="V70" i="33"/>
  <c r="W92" i="33"/>
  <c r="W71" i="33" s="1"/>
  <c r="W97" i="33" s="1"/>
  <c r="AD88" i="34"/>
  <c r="AD89" i="34"/>
  <c r="Q108" i="35"/>
  <c r="Q103" i="35"/>
  <c r="Q104" i="35" s="1"/>
  <c r="Q112" i="35"/>
  <c r="Q110" i="35"/>
  <c r="AE86" i="33"/>
  <c r="AE85" i="33"/>
  <c r="U28" i="34"/>
  <c r="U38" i="34"/>
  <c r="U34" i="34" s="1"/>
  <c r="U26" i="34"/>
  <c r="Z91" i="32"/>
  <c r="Z70" i="32" s="1"/>
  <c r="Z92" i="32"/>
  <c r="Z71" i="32" s="1"/>
  <c r="Z97" i="32" s="1"/>
  <c r="Y70" i="32"/>
  <c r="T46" i="32"/>
  <c r="T40" i="32"/>
  <c r="T94" i="32"/>
  <c r="S42" i="33"/>
  <c r="AF80" i="34"/>
  <c r="AF79" i="34"/>
  <c r="R101" i="33"/>
  <c r="R102" i="33" s="1"/>
  <c r="S48" i="32"/>
  <c r="S55" i="32"/>
  <c r="S57" i="32"/>
  <c r="X91" i="34"/>
  <c r="W70" i="34"/>
  <c r="X92" i="34"/>
  <c r="X71" i="34" s="1"/>
  <c r="X97" i="34" s="1"/>
  <c r="S43" i="34"/>
  <c r="AH83" i="35"/>
  <c r="AH82" i="35"/>
  <c r="T46" i="33"/>
  <c r="T94" i="33"/>
  <c r="T45" i="33"/>
  <c r="T24" i="33"/>
  <c r="T95" i="33"/>
  <c r="AD86" i="34"/>
  <c r="AD85" i="34"/>
  <c r="T95" i="34"/>
  <c r="T45" i="34"/>
  <c r="T24" i="34"/>
  <c r="T53" i="34" s="1"/>
  <c r="U38" i="32"/>
  <c r="U34" i="32" s="1"/>
  <c r="U28" i="32"/>
  <c r="U26" i="32"/>
  <c r="S43" i="33"/>
  <c r="S48" i="35"/>
  <c r="S57" i="35"/>
  <c r="S55" i="35"/>
  <c r="R101" i="34"/>
  <c r="R102" i="34" s="1"/>
  <c r="S96" i="32"/>
  <c r="S98" i="32" s="1"/>
  <c r="S100" i="32" s="1"/>
  <c r="S101" i="32" s="1"/>
  <c r="S102" i="32" s="1"/>
  <c r="AB86" i="32"/>
  <c r="AB85" i="32"/>
  <c r="T24" i="35"/>
  <c r="T43" i="35" s="1"/>
  <c r="T95" i="35"/>
  <c r="T45" i="35"/>
  <c r="S55" i="34"/>
  <c r="S57" i="34"/>
  <c r="S48" i="34"/>
  <c r="AE86" i="35"/>
  <c r="AE85" i="35"/>
  <c r="AA91" i="35"/>
  <c r="AA92" i="35"/>
  <c r="AD83" i="33"/>
  <c r="AD82" i="33"/>
  <c r="T24" i="32"/>
  <c r="T43" i="32" s="1"/>
  <c r="T95" i="32"/>
  <c r="T45" i="32"/>
  <c r="S96" i="35"/>
  <c r="S98" i="35" s="1"/>
  <c r="S100" i="35" s="1"/>
  <c r="S101" i="35" s="1"/>
  <c r="S102" i="35" s="1"/>
  <c r="S53" i="32"/>
  <c r="AA88" i="32"/>
  <c r="AA89" i="32"/>
  <c r="R108" i="32"/>
  <c r="R103" i="32"/>
  <c r="R104" i="32" s="1"/>
  <c r="R112" i="32"/>
  <c r="R110" i="32"/>
  <c r="AH80" i="32"/>
  <c r="AH79" i="32"/>
  <c r="U38" i="35"/>
  <c r="U34" i="35" s="1"/>
  <c r="U26" i="35"/>
  <c r="U28" i="35"/>
  <c r="S96" i="34"/>
  <c r="S98" i="34" s="1"/>
  <c r="S100" i="34" s="1"/>
  <c r="S101" i="34" s="1"/>
  <c r="S102" i="34" s="1"/>
  <c r="U38" i="33"/>
  <c r="U34" i="33" s="1"/>
  <c r="U28" i="33"/>
  <c r="U26" i="33"/>
  <c r="T94" i="34"/>
  <c r="T96" i="34" s="1"/>
  <c r="T98" i="34" s="1"/>
  <c r="T100" i="34" s="1"/>
  <c r="T101" i="34" s="1"/>
  <c r="T102" i="34" s="1"/>
  <c r="T46" i="34"/>
  <c r="AF80" i="35"/>
  <c r="AF79" i="35"/>
  <c r="R112" i="35"/>
  <c r="R110" i="35"/>
  <c r="R108" i="35"/>
  <c r="R103" i="35"/>
  <c r="R104" i="35" s="1"/>
  <c r="S57" i="33"/>
  <c r="S48" i="33"/>
  <c r="S55" i="33"/>
  <c r="S96" i="33"/>
  <c r="S98" i="33" s="1"/>
  <c r="S100" i="33" s="1"/>
  <c r="S101" i="33" s="1"/>
  <c r="S102" i="33" s="1"/>
  <c r="S43" i="35"/>
  <c r="S42" i="32"/>
  <c r="Z88" i="35"/>
  <c r="Z89" i="35"/>
  <c r="Z71" i="35" s="1"/>
  <c r="Z97" i="35" s="1"/>
  <c r="Y70" i="35"/>
  <c r="AF80" i="33"/>
  <c r="AF79" i="33"/>
  <c r="T94" i="35"/>
  <c r="T96" i="35" s="1"/>
  <c r="T98" i="35" s="1"/>
  <c r="T100" i="35" s="1"/>
  <c r="T101" i="35" s="1"/>
  <c r="T102" i="35" s="1"/>
  <c r="T46" i="35"/>
  <c r="S42" i="34"/>
  <c r="I78" i="2"/>
  <c r="L87" i="2"/>
  <c r="J81" i="2"/>
  <c r="L90" i="2"/>
  <c r="H75" i="2"/>
  <c r="K84" i="2"/>
  <c r="C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T43" i="34" l="1"/>
  <c r="T40" i="35"/>
  <c r="U30" i="35"/>
  <c r="U47" i="35" s="1"/>
  <c r="T40" i="34"/>
  <c r="T42" i="34" s="1"/>
  <c r="T40" i="33"/>
  <c r="T53" i="33"/>
  <c r="U30" i="34"/>
  <c r="U47" i="34" s="1"/>
  <c r="V32" i="35"/>
  <c r="V31" i="35"/>
  <c r="V32" i="33"/>
  <c r="V31" i="33"/>
  <c r="V32" i="34"/>
  <c r="V31" i="34"/>
  <c r="U30" i="32"/>
  <c r="U47" i="32" s="1"/>
  <c r="V32" i="32"/>
  <c r="V31" i="32"/>
  <c r="U30" i="33"/>
  <c r="U47" i="33" s="1"/>
  <c r="T53" i="35"/>
  <c r="W70" i="33"/>
  <c r="X91" i="33"/>
  <c r="X92" i="33"/>
  <c r="X71" i="33" s="1"/>
  <c r="X97" i="33" s="1"/>
  <c r="T42" i="35"/>
  <c r="AE89" i="33"/>
  <c r="AE88" i="33"/>
  <c r="AE88" i="34"/>
  <c r="AE89" i="34"/>
  <c r="R112" i="33"/>
  <c r="R110" i="33"/>
  <c r="R108" i="33"/>
  <c r="R103" i="33"/>
  <c r="R104" i="33" s="1"/>
  <c r="T112" i="35"/>
  <c r="T110" i="35"/>
  <c r="T108" i="35"/>
  <c r="T103" i="35"/>
  <c r="T104" i="35" s="1"/>
  <c r="AA88" i="35"/>
  <c r="AA89" i="35"/>
  <c r="AA71" i="35" s="1"/>
  <c r="AA97" i="35" s="1"/>
  <c r="Z70" i="35"/>
  <c r="T48" i="34"/>
  <c r="T55" i="34"/>
  <c r="T57" i="34"/>
  <c r="U94" i="33"/>
  <c r="U46" i="33"/>
  <c r="U94" i="35"/>
  <c r="U46" i="35"/>
  <c r="U40" i="35"/>
  <c r="AE83" i="33"/>
  <c r="AE82" i="33"/>
  <c r="AB92" i="35"/>
  <c r="AB91" i="35"/>
  <c r="U45" i="32"/>
  <c r="U95" i="32"/>
  <c r="U24" i="32"/>
  <c r="T42" i="33"/>
  <c r="T53" i="32"/>
  <c r="AA91" i="32"/>
  <c r="AA70" i="32" s="1"/>
  <c r="AA92" i="32"/>
  <c r="AA71" i="32" s="1"/>
  <c r="AA97" i="32" s="1"/>
  <c r="S112" i="34"/>
  <c r="S110" i="34"/>
  <c r="S108" i="34"/>
  <c r="S103" i="34"/>
  <c r="S104" i="34" s="1"/>
  <c r="AB88" i="32"/>
  <c r="AB89" i="32"/>
  <c r="AF85" i="35"/>
  <c r="AF86" i="35"/>
  <c r="S103" i="32"/>
  <c r="S104" i="32" s="1"/>
  <c r="S112" i="32"/>
  <c r="S110" i="32"/>
  <c r="S108" i="32"/>
  <c r="V38" i="32"/>
  <c r="V34" i="32" s="1"/>
  <c r="V26" i="32"/>
  <c r="V28" i="32"/>
  <c r="T48" i="33"/>
  <c r="T55" i="33"/>
  <c r="T57" i="33"/>
  <c r="T48" i="32"/>
  <c r="T55" i="32"/>
  <c r="T57" i="32"/>
  <c r="U95" i="34"/>
  <c r="U45" i="34"/>
  <c r="U24" i="34"/>
  <c r="AF86" i="33"/>
  <c r="AF85" i="33"/>
  <c r="T110" i="34"/>
  <c r="T108" i="34"/>
  <c r="T103" i="34"/>
  <c r="T104" i="34" s="1"/>
  <c r="T112" i="34"/>
  <c r="U95" i="33"/>
  <c r="U45" i="33"/>
  <c r="U24" i="33"/>
  <c r="U43" i="33" s="1"/>
  <c r="V38" i="35"/>
  <c r="V34" i="35" s="1"/>
  <c r="V26" i="35"/>
  <c r="V28" i="35"/>
  <c r="AC85" i="32"/>
  <c r="AC86" i="32"/>
  <c r="R112" i="34"/>
  <c r="R110" i="34"/>
  <c r="R108" i="34"/>
  <c r="R103" i="34"/>
  <c r="R104" i="34" s="1"/>
  <c r="U94" i="32"/>
  <c r="U46" i="32"/>
  <c r="T43" i="33"/>
  <c r="AG80" i="34"/>
  <c r="AG79" i="34"/>
  <c r="T96" i="32"/>
  <c r="T98" i="32" s="1"/>
  <c r="T100" i="32" s="1"/>
  <c r="T101" i="32" s="1"/>
  <c r="T102" i="32" s="1"/>
  <c r="U94" i="34"/>
  <c r="U46" i="34"/>
  <c r="U40" i="34"/>
  <c r="T57" i="35"/>
  <c r="T55" i="35"/>
  <c r="T48" i="35"/>
  <c r="AG80" i="33"/>
  <c r="AG79" i="33"/>
  <c r="S110" i="33"/>
  <c r="S108" i="33"/>
  <c r="S103" i="33"/>
  <c r="S104" i="33" s="1"/>
  <c r="S112" i="33"/>
  <c r="AG80" i="35"/>
  <c r="AG79" i="35"/>
  <c r="V38" i="33"/>
  <c r="V34" i="33" s="1"/>
  <c r="V28" i="33"/>
  <c r="V26" i="33"/>
  <c r="U24" i="35"/>
  <c r="U43" i="35" s="1"/>
  <c r="U95" i="35"/>
  <c r="U45" i="35"/>
  <c r="S112" i="35"/>
  <c r="S110" i="35"/>
  <c r="S108" i="35"/>
  <c r="S103" i="35"/>
  <c r="S104" i="35" s="1"/>
  <c r="AE86" i="34"/>
  <c r="AE85" i="34"/>
  <c r="T96" i="33"/>
  <c r="T98" i="33" s="1"/>
  <c r="T100" i="33" s="1"/>
  <c r="Y92" i="34"/>
  <c r="Y71" i="34" s="1"/>
  <c r="Y97" i="34" s="1"/>
  <c r="X70" i="34"/>
  <c r="Y91" i="34"/>
  <c r="T42" i="32"/>
  <c r="V38" i="34"/>
  <c r="V34" i="34" s="1"/>
  <c r="V26" i="34"/>
  <c r="V28" i="34"/>
  <c r="C45" i="2"/>
  <c r="C46" i="2"/>
  <c r="L84" i="2"/>
  <c r="K81" i="2"/>
  <c r="I75" i="2"/>
  <c r="M87" i="2"/>
  <c r="J78" i="2"/>
  <c r="M90" i="2"/>
  <c r="V30" i="33" l="1"/>
  <c r="V47" i="33" s="1"/>
  <c r="U53" i="34"/>
  <c r="V30" i="34"/>
  <c r="V47" i="34" s="1"/>
  <c r="V30" i="35"/>
  <c r="V47" i="35" s="1"/>
  <c r="U40" i="33"/>
  <c r="W32" i="35"/>
  <c r="W31" i="35"/>
  <c r="U53" i="32"/>
  <c r="W32" i="33"/>
  <c r="W31" i="33"/>
  <c r="U40" i="32"/>
  <c r="U42" i="32" s="1"/>
  <c r="W32" i="32"/>
  <c r="W31" i="32"/>
  <c r="W32" i="34"/>
  <c r="W31" i="34"/>
  <c r="V30" i="32"/>
  <c r="V47" i="32" s="1"/>
  <c r="U96" i="34"/>
  <c r="U98" i="34" s="1"/>
  <c r="U100" i="34" s="1"/>
  <c r="U101" i="34" s="1"/>
  <c r="U102" i="34" s="1"/>
  <c r="U103" i="34" s="1"/>
  <c r="U104" i="34" s="1"/>
  <c r="U43" i="32"/>
  <c r="U42" i="34"/>
  <c r="AF88" i="33"/>
  <c r="AF89" i="33"/>
  <c r="Y92" i="33"/>
  <c r="Y71" i="33" s="1"/>
  <c r="Y97" i="33" s="1"/>
  <c r="X70" i="33"/>
  <c r="Y91" i="33"/>
  <c r="U96" i="32"/>
  <c r="U98" i="32" s="1"/>
  <c r="U100" i="32" s="1"/>
  <c r="U101" i="32" s="1"/>
  <c r="U102" i="32" s="1"/>
  <c r="U110" i="32" s="1"/>
  <c r="AF88" i="34"/>
  <c r="AF89" i="34"/>
  <c r="Z92" i="34"/>
  <c r="Z71" i="34" s="1"/>
  <c r="Z97" i="34" s="1"/>
  <c r="Z91" i="34"/>
  <c r="Y70" i="34"/>
  <c r="W26" i="33"/>
  <c r="W38" i="33"/>
  <c r="W34" i="33" s="1"/>
  <c r="W28" i="33"/>
  <c r="AD86" i="32"/>
  <c r="AD85" i="32"/>
  <c r="V24" i="34"/>
  <c r="V43" i="34" s="1"/>
  <c r="V95" i="34"/>
  <c r="V45" i="34"/>
  <c r="AF86" i="34"/>
  <c r="AF85" i="34"/>
  <c r="V46" i="33"/>
  <c r="V94" i="33"/>
  <c r="V40" i="33"/>
  <c r="AH80" i="33"/>
  <c r="AH79" i="33"/>
  <c r="U55" i="34"/>
  <c r="U57" i="34"/>
  <c r="U48" i="34"/>
  <c r="W26" i="35"/>
  <c r="W38" i="35"/>
  <c r="W34" i="35" s="1"/>
  <c r="W28" i="35"/>
  <c r="AC89" i="32"/>
  <c r="AC88" i="32"/>
  <c r="AF83" i="33"/>
  <c r="AF82" i="33"/>
  <c r="U42" i="35"/>
  <c r="U53" i="33"/>
  <c r="V94" i="34"/>
  <c r="V96" i="34" s="1"/>
  <c r="V98" i="34" s="1"/>
  <c r="V100" i="34" s="1"/>
  <c r="V101" i="34" s="1"/>
  <c r="V102" i="34" s="1"/>
  <c r="V46" i="34"/>
  <c r="AH80" i="35"/>
  <c r="AH79" i="35"/>
  <c r="V24" i="35"/>
  <c r="V43" i="35" s="1"/>
  <c r="V95" i="35"/>
  <c r="V45" i="35"/>
  <c r="W38" i="32"/>
  <c r="W34" i="32" s="1"/>
  <c r="W26" i="32"/>
  <c r="W28" i="32"/>
  <c r="AC91" i="35"/>
  <c r="AC92" i="35"/>
  <c r="U55" i="35"/>
  <c r="U57" i="35"/>
  <c r="U48" i="35"/>
  <c r="U42" i="33"/>
  <c r="AG86" i="33"/>
  <c r="AG85" i="33"/>
  <c r="T101" i="33"/>
  <c r="T102" i="33" s="1"/>
  <c r="V45" i="33"/>
  <c r="V24" i="33"/>
  <c r="V53" i="33" s="1"/>
  <c r="V95" i="33"/>
  <c r="U43" i="34"/>
  <c r="T110" i="32"/>
  <c r="T108" i="32"/>
  <c r="T103" i="32"/>
  <c r="T104" i="32" s="1"/>
  <c r="T112" i="32"/>
  <c r="U55" i="32"/>
  <c r="U57" i="32"/>
  <c r="U48" i="32"/>
  <c r="V94" i="35"/>
  <c r="V96" i="35" s="1"/>
  <c r="V98" i="35" s="1"/>
  <c r="V100" i="35" s="1"/>
  <c r="V46" i="35"/>
  <c r="V95" i="32"/>
  <c r="V24" i="32"/>
  <c r="V43" i="32" s="1"/>
  <c r="V45" i="32"/>
  <c r="AG85" i="35"/>
  <c r="AG86" i="35"/>
  <c r="AB91" i="32"/>
  <c r="AB92" i="32"/>
  <c r="AB71" i="32" s="1"/>
  <c r="AB97" i="32" s="1"/>
  <c r="U96" i="35"/>
  <c r="U98" i="35" s="1"/>
  <c r="U100" i="35" s="1"/>
  <c r="U101" i="35" s="1"/>
  <c r="U102" i="35" s="1"/>
  <c r="U96" i="33"/>
  <c r="U98" i="33" s="1"/>
  <c r="U100" i="33" s="1"/>
  <c r="U101" i="33" s="1"/>
  <c r="U102" i="33" s="1"/>
  <c r="W38" i="34"/>
  <c r="W34" i="34" s="1"/>
  <c r="W28" i="34"/>
  <c r="W26" i="34"/>
  <c r="AH80" i="34"/>
  <c r="AH79" i="34"/>
  <c r="V94" i="32"/>
  <c r="V46" i="32"/>
  <c r="U53" i="35"/>
  <c r="U55" i="33"/>
  <c r="U48" i="33"/>
  <c r="U57" i="33"/>
  <c r="AB89" i="35"/>
  <c r="AB71" i="35" s="1"/>
  <c r="AB97" i="35" s="1"/>
  <c r="AB88" i="35"/>
  <c r="AA70" i="35"/>
  <c r="E14" i="31"/>
  <c r="F14" i="31"/>
  <c r="N6" i="30"/>
  <c r="C57" i="2"/>
  <c r="C55" i="2"/>
  <c r="C48" i="2"/>
  <c r="J75" i="2"/>
  <c r="N90" i="2"/>
  <c r="L81" i="2"/>
  <c r="M84" i="2"/>
  <c r="K78" i="2"/>
  <c r="N87" i="2"/>
  <c r="V96" i="32" l="1"/>
  <c r="V98" i="32" s="1"/>
  <c r="V100" i="32" s="1"/>
  <c r="V101" i="32" s="1"/>
  <c r="V102" i="32" s="1"/>
  <c r="V112" i="32" s="1"/>
  <c r="V40" i="32"/>
  <c r="V42" i="32" s="1"/>
  <c r="V40" i="34"/>
  <c r="V42" i="34" s="1"/>
  <c r="V40" i="35"/>
  <c r="V42" i="35" s="1"/>
  <c r="V53" i="32"/>
  <c r="W30" i="33"/>
  <c r="W47" i="33" s="1"/>
  <c r="W30" i="32"/>
  <c r="W47" i="32" s="1"/>
  <c r="U110" i="34"/>
  <c r="U112" i="34"/>
  <c r="U108" i="34"/>
  <c r="X32" i="32"/>
  <c r="X31" i="32"/>
  <c r="X32" i="35"/>
  <c r="X31" i="35"/>
  <c r="X32" i="34"/>
  <c r="X31" i="34"/>
  <c r="X32" i="33"/>
  <c r="X31" i="33"/>
  <c r="W30" i="34"/>
  <c r="W47" i="34" s="1"/>
  <c r="W30" i="35"/>
  <c r="W47" i="35" s="1"/>
  <c r="U112" i="32"/>
  <c r="V53" i="34"/>
  <c r="U103" i="32"/>
  <c r="U104" i="32" s="1"/>
  <c r="V53" i="35"/>
  <c r="U108" i="32"/>
  <c r="Z91" i="33"/>
  <c r="Z92" i="33"/>
  <c r="Z71" i="33" s="1"/>
  <c r="Z97" i="33" s="1"/>
  <c r="Y70" i="33"/>
  <c r="AG89" i="33"/>
  <c r="AG88" i="33"/>
  <c r="AG88" i="34"/>
  <c r="AG89" i="34"/>
  <c r="V108" i="32"/>
  <c r="U112" i="33"/>
  <c r="U110" i="33"/>
  <c r="U108" i="33"/>
  <c r="U103" i="33"/>
  <c r="U104" i="33" s="1"/>
  <c r="AC92" i="32"/>
  <c r="AC91" i="32"/>
  <c r="AC70" i="32" s="1"/>
  <c r="AB70" i="32"/>
  <c r="V57" i="35"/>
  <c r="V48" i="35"/>
  <c r="V55" i="35"/>
  <c r="W45" i="32"/>
  <c r="W24" i="32"/>
  <c r="W95" i="32"/>
  <c r="AD88" i="32"/>
  <c r="AD89" i="32"/>
  <c r="V43" i="33"/>
  <c r="V57" i="33"/>
  <c r="V55" i="33"/>
  <c r="V48" i="33"/>
  <c r="AE85" i="32"/>
  <c r="AE86" i="32"/>
  <c r="W95" i="33"/>
  <c r="W24" i="33"/>
  <c r="W43" i="33" s="1"/>
  <c r="W45" i="33"/>
  <c r="W46" i="34"/>
  <c r="W94" i="34"/>
  <c r="U108" i="35"/>
  <c r="U103" i="35"/>
  <c r="U104" i="35" s="1"/>
  <c r="U112" i="35"/>
  <c r="U110" i="35"/>
  <c r="V101" i="35"/>
  <c r="V102" i="35" s="1"/>
  <c r="T108" i="33"/>
  <c r="T103" i="33"/>
  <c r="T104" i="33" s="1"/>
  <c r="T112" i="33"/>
  <c r="T110" i="33"/>
  <c r="W40" i="32"/>
  <c r="W94" i="32"/>
  <c r="W96" i="32" s="1"/>
  <c r="W98" i="32" s="1"/>
  <c r="W100" i="32" s="1"/>
  <c r="W101" i="32" s="1"/>
  <c r="W102" i="32" s="1"/>
  <c r="W46" i="32"/>
  <c r="W43" i="32"/>
  <c r="V48" i="34"/>
  <c r="V57" i="34"/>
  <c r="V55" i="34"/>
  <c r="AC71" i="32"/>
  <c r="AC97" i="32" s="1"/>
  <c r="X26" i="35"/>
  <c r="X28" i="35"/>
  <c r="X38" i="35"/>
  <c r="X34" i="35" s="1"/>
  <c r="V42" i="33"/>
  <c r="W95" i="34"/>
  <c r="W24" i="34"/>
  <c r="W43" i="34" s="1"/>
  <c r="W45" i="34"/>
  <c r="AC88" i="35"/>
  <c r="AC89" i="35"/>
  <c r="AC71" i="35" s="1"/>
  <c r="AC97" i="35" s="1"/>
  <c r="AB70" i="35"/>
  <c r="X26" i="34"/>
  <c r="X38" i="34"/>
  <c r="X34" i="34" s="1"/>
  <c r="X28" i="34"/>
  <c r="AH85" i="35"/>
  <c r="AH86" i="35"/>
  <c r="AD92" i="35"/>
  <c r="AD91" i="35"/>
  <c r="V108" i="34"/>
  <c r="V103" i="34"/>
  <c r="V104" i="34" s="1"/>
  <c r="V112" i="34"/>
  <c r="V110" i="34"/>
  <c r="AG83" i="33"/>
  <c r="AG82" i="33"/>
  <c r="W94" i="35"/>
  <c r="W46" i="35"/>
  <c r="V96" i="33"/>
  <c r="V98" i="33" s="1"/>
  <c r="V100" i="33" s="1"/>
  <c r="V101" i="33" s="1"/>
  <c r="V102" i="33" s="1"/>
  <c r="AG86" i="34"/>
  <c r="AG85" i="34"/>
  <c r="X26" i="33"/>
  <c r="X38" i="33"/>
  <c r="X34" i="33" s="1"/>
  <c r="X28" i="33"/>
  <c r="AA92" i="34"/>
  <c r="AA71" i="34" s="1"/>
  <c r="AA97" i="34" s="1"/>
  <c r="AA91" i="34"/>
  <c r="Z70" i="34"/>
  <c r="V57" i="32"/>
  <c r="V55" i="32"/>
  <c r="V48" i="32"/>
  <c r="AH86" i="33"/>
  <c r="AH85" i="33"/>
  <c r="X38" i="32"/>
  <c r="X34" i="32" s="1"/>
  <c r="X28" i="32"/>
  <c r="X26" i="32"/>
  <c r="W95" i="35"/>
  <c r="W45" i="35"/>
  <c r="W24" i="35"/>
  <c r="W46" i="33"/>
  <c r="W94" i="33"/>
  <c r="W40" i="33"/>
  <c r="W42" i="33" s="1"/>
  <c r="H14" i="31"/>
  <c r="F80" i="31"/>
  <c r="E80" i="31"/>
  <c r="E47" i="31"/>
  <c r="E113" i="31"/>
  <c r="G14" i="31"/>
  <c r="E146" i="31"/>
  <c r="F47" i="31"/>
  <c r="F113" i="31"/>
  <c r="F120" i="31" s="1"/>
  <c r="F146" i="31"/>
  <c r="O87" i="2"/>
  <c r="O90" i="2"/>
  <c r="L78" i="2"/>
  <c r="K75" i="2"/>
  <c r="N84" i="2"/>
  <c r="M81" i="2"/>
  <c r="V103" i="32" l="1"/>
  <c r="V104" i="32" s="1"/>
  <c r="V110" i="32"/>
  <c r="C54" i="33"/>
  <c r="W53" i="35"/>
  <c r="C54" i="35"/>
  <c r="W53" i="32"/>
  <c r="W40" i="34"/>
  <c r="W42" i="34" s="1"/>
  <c r="X30" i="34"/>
  <c r="X47" i="34" s="1"/>
  <c r="X30" i="32"/>
  <c r="X47" i="32" s="1"/>
  <c r="W40" i="35"/>
  <c r="W42" i="35" s="1"/>
  <c r="X30" i="33"/>
  <c r="X47" i="33" s="1"/>
  <c r="X30" i="35"/>
  <c r="X47" i="35" s="1"/>
  <c r="Y32" i="32"/>
  <c r="Y31" i="32"/>
  <c r="Y32" i="35"/>
  <c r="Y31" i="35"/>
  <c r="Y32" i="33"/>
  <c r="Y31" i="33"/>
  <c r="Y32" i="34"/>
  <c r="Y31" i="34"/>
  <c r="W96" i="33"/>
  <c r="W98" i="33" s="1"/>
  <c r="W100" i="33" s="1"/>
  <c r="W101" i="33" s="1"/>
  <c r="W102" i="33" s="1"/>
  <c r="W110" i="33" s="1"/>
  <c r="W53" i="33"/>
  <c r="C54" i="32"/>
  <c r="AH88" i="33"/>
  <c r="AH89" i="33"/>
  <c r="AA92" i="33"/>
  <c r="AA71" i="33" s="1"/>
  <c r="AA97" i="33" s="1"/>
  <c r="AA91" i="33"/>
  <c r="Z70" i="33"/>
  <c r="W42" i="32"/>
  <c r="AH88" i="34"/>
  <c r="AH89" i="34"/>
  <c r="V103" i="35"/>
  <c r="V104" i="35" s="1"/>
  <c r="V112" i="35"/>
  <c r="V110" i="35"/>
  <c r="V108" i="35"/>
  <c r="W96" i="35"/>
  <c r="W98" i="35" s="1"/>
  <c r="W100" i="35" s="1"/>
  <c r="W101" i="35" s="1"/>
  <c r="W102" i="35" s="1"/>
  <c r="X45" i="34"/>
  <c r="X24" i="34"/>
  <c r="X43" i="34" s="1"/>
  <c r="X95" i="34"/>
  <c r="C54" i="34"/>
  <c r="W57" i="34"/>
  <c r="W48" i="34"/>
  <c r="W55" i="34"/>
  <c r="X94" i="32"/>
  <c r="X46" i="32"/>
  <c r="W57" i="33"/>
  <c r="W48" i="33"/>
  <c r="W55" i="33"/>
  <c r="Y26" i="33"/>
  <c r="Y38" i="33"/>
  <c r="Y34" i="33" s="1"/>
  <c r="Y28" i="33"/>
  <c r="AH86" i="34"/>
  <c r="AH85" i="34"/>
  <c r="W43" i="35"/>
  <c r="X94" i="35"/>
  <c r="X46" i="35"/>
  <c r="W53" i="34"/>
  <c r="X45" i="32"/>
  <c r="X24" i="32"/>
  <c r="X43" i="32" s="1"/>
  <c r="X95" i="32"/>
  <c r="X46" i="33"/>
  <c r="X94" i="33"/>
  <c r="W57" i="35"/>
  <c r="W48" i="35"/>
  <c r="W55" i="35"/>
  <c r="AE92" i="35"/>
  <c r="AE91" i="35"/>
  <c r="Y38" i="34"/>
  <c r="Y34" i="34" s="1"/>
  <c r="Y26" i="34"/>
  <c r="Y28" i="34"/>
  <c r="Y26" i="35"/>
  <c r="Y28" i="35"/>
  <c r="Y38" i="35"/>
  <c r="Y34" i="35" s="1"/>
  <c r="W55" i="32"/>
  <c r="W48" i="32"/>
  <c r="W57" i="32"/>
  <c r="W96" i="34"/>
  <c r="W98" i="34" s="1"/>
  <c r="W100" i="34" s="1"/>
  <c r="AE89" i="32"/>
  <c r="AE88" i="32"/>
  <c r="AD92" i="32"/>
  <c r="AD71" i="32" s="1"/>
  <c r="AD97" i="32" s="1"/>
  <c r="AD91" i="32"/>
  <c r="Y38" i="32"/>
  <c r="Y34" i="32" s="1"/>
  <c r="Y26" i="32"/>
  <c r="Y28" i="32"/>
  <c r="AB92" i="34"/>
  <c r="AB71" i="34" s="1"/>
  <c r="AB97" i="34" s="1"/>
  <c r="AB91" i="34"/>
  <c r="AA70" i="34"/>
  <c r="X95" i="33"/>
  <c r="X24" i="33"/>
  <c r="X45" i="33"/>
  <c r="V103" i="33"/>
  <c r="V104" i="33" s="1"/>
  <c r="V108" i="33"/>
  <c r="V112" i="33"/>
  <c r="V110" i="33"/>
  <c r="AH83" i="33"/>
  <c r="AH82" i="33"/>
  <c r="X94" i="34"/>
  <c r="X40" i="34"/>
  <c r="X46" i="34"/>
  <c r="AD89" i="35"/>
  <c r="AD71" i="35" s="1"/>
  <c r="AD97" i="35" s="1"/>
  <c r="AD88" i="35"/>
  <c r="AC70" i="35"/>
  <c r="X45" i="35"/>
  <c r="X24" i="35"/>
  <c r="X43" i="35" s="1"/>
  <c r="X95" i="35"/>
  <c r="W103" i="32"/>
  <c r="W104" i="32" s="1"/>
  <c r="W110" i="32"/>
  <c r="W112" i="32"/>
  <c r="W108" i="32"/>
  <c r="AF85" i="32"/>
  <c r="AF86" i="32"/>
  <c r="H47" i="31"/>
  <c r="H80" i="31"/>
  <c r="H146" i="31"/>
  <c r="E120" i="31"/>
  <c r="E129" i="31"/>
  <c r="F129" i="31"/>
  <c r="G113" i="31"/>
  <c r="G120" i="31" s="1"/>
  <c r="G47" i="31"/>
  <c r="H113" i="31"/>
  <c r="H120" i="31" s="1"/>
  <c r="M78" i="2"/>
  <c r="O84" i="2"/>
  <c r="P90" i="2"/>
  <c r="N81" i="2"/>
  <c r="L75" i="2"/>
  <c r="P87" i="2"/>
  <c r="X40" i="32" l="1"/>
  <c r="X53" i="34"/>
  <c r="X40" i="35"/>
  <c r="X53" i="33"/>
  <c r="X40" i="33"/>
  <c r="Y30" i="33"/>
  <c r="Y47" i="33" s="1"/>
  <c r="W112" i="33"/>
  <c r="W103" i="33"/>
  <c r="W104" i="33" s="1"/>
  <c r="W108" i="33"/>
  <c r="Z32" i="34"/>
  <c r="Z31" i="34"/>
  <c r="Y30" i="32"/>
  <c r="Y47" i="32" s="1"/>
  <c r="Z32" i="32"/>
  <c r="Z31" i="32"/>
  <c r="Z32" i="35"/>
  <c r="Z31" i="35"/>
  <c r="Z32" i="33"/>
  <c r="Z31" i="33"/>
  <c r="Y30" i="34"/>
  <c r="Y47" i="34" s="1"/>
  <c r="Y30" i="35"/>
  <c r="Y47" i="35" s="1"/>
  <c r="X96" i="34"/>
  <c r="X98" i="34" s="1"/>
  <c r="X100" i="34" s="1"/>
  <c r="X101" i="34" s="1"/>
  <c r="X102" i="34" s="1"/>
  <c r="X112" i="34" s="1"/>
  <c r="X42" i="34"/>
  <c r="AB91" i="33"/>
  <c r="AB92" i="33"/>
  <c r="AB71" i="33" s="1"/>
  <c r="AB97" i="33" s="1"/>
  <c r="AA70" i="33"/>
  <c r="Z26" i="32"/>
  <c r="Z38" i="32"/>
  <c r="Z34" i="32" s="1"/>
  <c r="Z28" i="32"/>
  <c r="Z26" i="35"/>
  <c r="Z28" i="35"/>
  <c r="Z38" i="35"/>
  <c r="Z34" i="35" s="1"/>
  <c r="Y94" i="34"/>
  <c r="Y46" i="34"/>
  <c r="X96" i="33"/>
  <c r="X98" i="33" s="1"/>
  <c r="X100" i="33" s="1"/>
  <c r="X101" i="33" s="1"/>
  <c r="X102" i="33" s="1"/>
  <c r="X42" i="35"/>
  <c r="X53" i="32"/>
  <c r="AG86" i="32"/>
  <c r="AG85" i="32"/>
  <c r="Y24" i="32"/>
  <c r="Y43" i="32" s="1"/>
  <c r="Y95" i="32"/>
  <c r="Y45" i="32"/>
  <c r="AF89" i="32"/>
  <c r="AF88" i="32"/>
  <c r="Y95" i="35"/>
  <c r="Y45" i="35"/>
  <c r="Y24" i="35"/>
  <c r="AF91" i="35"/>
  <c r="AF92" i="35"/>
  <c r="X42" i="33"/>
  <c r="X53" i="35"/>
  <c r="Z38" i="33"/>
  <c r="Z34" i="33" s="1"/>
  <c r="Z26" i="33"/>
  <c r="Z28" i="33"/>
  <c r="X96" i="32"/>
  <c r="X98" i="32" s="1"/>
  <c r="X100" i="32" s="1"/>
  <c r="X101" i="32" s="1"/>
  <c r="X102" i="32" s="1"/>
  <c r="Z38" i="34"/>
  <c r="Z34" i="34" s="1"/>
  <c r="Z26" i="34"/>
  <c r="Z28" i="34"/>
  <c r="X42" i="32"/>
  <c r="W110" i="35"/>
  <c r="W108" i="35"/>
  <c r="W103" i="35"/>
  <c r="W104" i="35" s="1"/>
  <c r="W112" i="35"/>
  <c r="AC92" i="34"/>
  <c r="AC71" i="34" s="1"/>
  <c r="AC97" i="34" s="1"/>
  <c r="AC91" i="34"/>
  <c r="AB70" i="34"/>
  <c r="Y46" i="32"/>
  <c r="Y94" i="32"/>
  <c r="X57" i="33"/>
  <c r="X55" i="33"/>
  <c r="X48" i="33"/>
  <c r="X57" i="35"/>
  <c r="X48" i="35"/>
  <c r="X55" i="35"/>
  <c r="Y46" i="33"/>
  <c r="Y94" i="33"/>
  <c r="AE88" i="35"/>
  <c r="AE89" i="35"/>
  <c r="AE71" i="35" s="1"/>
  <c r="AE97" i="35" s="1"/>
  <c r="AD70" i="35"/>
  <c r="X55" i="34"/>
  <c r="X48" i="34"/>
  <c r="X57" i="34"/>
  <c r="AE91" i="32"/>
  <c r="AE92" i="32"/>
  <c r="AE71" i="32" s="1"/>
  <c r="AE97" i="32" s="1"/>
  <c r="W101" i="34"/>
  <c r="W102" i="34" s="1"/>
  <c r="Y94" i="35"/>
  <c r="Y46" i="35"/>
  <c r="Y43" i="35"/>
  <c r="Y95" i="34"/>
  <c r="Y45" i="34"/>
  <c r="Y24" i="34"/>
  <c r="Y43" i="34" s="1"/>
  <c r="X43" i="33"/>
  <c r="X96" i="35"/>
  <c r="X98" i="35" s="1"/>
  <c r="X100" i="35" s="1"/>
  <c r="X101" i="35" s="1"/>
  <c r="X102" i="35" s="1"/>
  <c r="Y24" i="33"/>
  <c r="Y43" i="33" s="1"/>
  <c r="Y95" i="33"/>
  <c r="Y45" i="33"/>
  <c r="X48" i="32"/>
  <c r="X55" i="32"/>
  <c r="X57" i="32"/>
  <c r="AD70" i="32"/>
  <c r="I146" i="31"/>
  <c r="I80" i="31"/>
  <c r="G80" i="31"/>
  <c r="I14" i="31"/>
  <c r="I113" i="31"/>
  <c r="G129" i="31"/>
  <c r="J14" i="31"/>
  <c r="H129" i="31"/>
  <c r="G146" i="31"/>
  <c r="Q90" i="2"/>
  <c r="Q87" i="2"/>
  <c r="P84" i="2"/>
  <c r="M75" i="2"/>
  <c r="N78" i="2"/>
  <c r="O81" i="2"/>
  <c r="Y40" i="35" l="1"/>
  <c r="Z30" i="35"/>
  <c r="Z47" i="35" s="1"/>
  <c r="Y53" i="35"/>
  <c r="Y40" i="32"/>
  <c r="Y42" i="32" s="1"/>
  <c r="Z30" i="33"/>
  <c r="Z47" i="33" s="1"/>
  <c r="Z30" i="32"/>
  <c r="Z47" i="32" s="1"/>
  <c r="Y40" i="33"/>
  <c r="X108" i="34"/>
  <c r="AA32" i="34"/>
  <c r="AA31" i="34"/>
  <c r="X110" i="34"/>
  <c r="Y40" i="34"/>
  <c r="Y42" i="34" s="1"/>
  <c r="AA32" i="32"/>
  <c r="AA31" i="32"/>
  <c r="AA32" i="33"/>
  <c r="AA31" i="33"/>
  <c r="X103" i="34"/>
  <c r="X104" i="34" s="1"/>
  <c r="AA32" i="35"/>
  <c r="AA31" i="35"/>
  <c r="Z30" i="34"/>
  <c r="Z47" i="34" s="1"/>
  <c r="Y42" i="35"/>
  <c r="I120" i="31"/>
  <c r="Y53" i="33"/>
  <c r="Y96" i="35"/>
  <c r="Y98" i="35" s="1"/>
  <c r="Y100" i="35" s="1"/>
  <c r="Y101" i="35" s="1"/>
  <c r="Y102" i="35" s="1"/>
  <c r="Y112" i="35" s="1"/>
  <c r="Y96" i="34"/>
  <c r="Y98" i="34" s="1"/>
  <c r="Y100" i="34" s="1"/>
  <c r="Y101" i="34" s="1"/>
  <c r="Y102" i="34" s="1"/>
  <c r="Y108" i="34" s="1"/>
  <c r="Y96" i="32"/>
  <c r="Y98" i="32" s="1"/>
  <c r="Y100" i="32" s="1"/>
  <c r="Y101" i="32" s="1"/>
  <c r="Y102" i="32" s="1"/>
  <c r="Y108" i="32" s="1"/>
  <c r="AC92" i="33"/>
  <c r="AC71" i="33" s="1"/>
  <c r="AC97" i="33" s="1"/>
  <c r="AB70" i="33"/>
  <c r="AC91" i="33"/>
  <c r="Y53" i="34"/>
  <c r="Y42" i="33"/>
  <c r="W103" i="34"/>
  <c r="W104" i="34" s="1"/>
  <c r="W112" i="34"/>
  <c r="W110" i="34"/>
  <c r="W108" i="34"/>
  <c r="Y55" i="35"/>
  <c r="Y48" i="35"/>
  <c r="Y57" i="35"/>
  <c r="Z95" i="34"/>
  <c r="Z45" i="34"/>
  <c r="Z24" i="34"/>
  <c r="Z43" i="34" s="1"/>
  <c r="X108" i="35"/>
  <c r="X103" i="35"/>
  <c r="X104" i="35" s="1"/>
  <c r="X112" i="35"/>
  <c r="X110" i="35"/>
  <c r="AF92" i="32"/>
  <c r="AF91" i="32"/>
  <c r="AF70" i="32" s="1"/>
  <c r="AE70" i="32"/>
  <c r="Y96" i="33"/>
  <c r="Y98" i="33" s="1"/>
  <c r="Y100" i="33" s="1"/>
  <c r="Y101" i="33" s="1"/>
  <c r="Y102" i="33" s="1"/>
  <c r="Y53" i="32"/>
  <c r="AD91" i="34"/>
  <c r="AD92" i="34"/>
  <c r="AD71" i="34" s="1"/>
  <c r="AD97" i="34" s="1"/>
  <c r="AC70" i="34"/>
  <c r="Z94" i="34"/>
  <c r="Z46" i="34"/>
  <c r="Z95" i="33"/>
  <c r="Z24" i="33"/>
  <c r="Z45" i="33"/>
  <c r="X108" i="33"/>
  <c r="X103" i="33"/>
  <c r="X104" i="33" s="1"/>
  <c r="X112" i="33"/>
  <c r="X110" i="33"/>
  <c r="AA38" i="32"/>
  <c r="AA34" i="32" s="1"/>
  <c r="AA28" i="32"/>
  <c r="AA26" i="32"/>
  <c r="AG92" i="35"/>
  <c r="AG91" i="35"/>
  <c r="Z40" i="35"/>
  <c r="Z94" i="35"/>
  <c r="Z46" i="35"/>
  <c r="Z94" i="32"/>
  <c r="Z46" i="32"/>
  <c r="Z40" i="32"/>
  <c r="Z46" i="33"/>
  <c r="Z94" i="33"/>
  <c r="AG89" i="32"/>
  <c r="AG88" i="32"/>
  <c r="AF89" i="35"/>
  <c r="AF71" i="35" s="1"/>
  <c r="AF97" i="35" s="1"/>
  <c r="AF88" i="35"/>
  <c r="AE70" i="35"/>
  <c r="Y55" i="33"/>
  <c r="Y48" i="33"/>
  <c r="Y57" i="33"/>
  <c r="Y55" i="32"/>
  <c r="Y48" i="32"/>
  <c r="Y57" i="32"/>
  <c r="AA38" i="34"/>
  <c r="AA34" i="34" s="1"/>
  <c r="AA26" i="34"/>
  <c r="AA28" i="34"/>
  <c r="X112" i="32"/>
  <c r="X108" i="32"/>
  <c r="X110" i="32"/>
  <c r="X103" i="32"/>
  <c r="X104" i="32" s="1"/>
  <c r="AF71" i="32"/>
  <c r="AF97" i="32" s="1"/>
  <c r="Y48" i="34"/>
  <c r="Y55" i="34"/>
  <c r="Y57" i="34"/>
  <c r="AA38" i="35"/>
  <c r="AA34" i="35" s="1"/>
  <c r="AA28" i="35"/>
  <c r="AA26" i="35"/>
  <c r="Z95" i="32"/>
  <c r="Z45" i="32"/>
  <c r="Z24" i="32"/>
  <c r="Z43" i="32" s="1"/>
  <c r="AA26" i="33"/>
  <c r="AA38" i="33"/>
  <c r="AA34" i="33" s="1"/>
  <c r="AA28" i="33"/>
  <c r="AH86" i="32"/>
  <c r="AH85" i="32"/>
  <c r="Y110" i="34"/>
  <c r="Y103" i="34"/>
  <c r="Y104" i="34" s="1"/>
  <c r="Z45" i="35"/>
  <c r="Z24" i="35"/>
  <c r="Z43" i="35" s="1"/>
  <c r="Z95" i="35"/>
  <c r="K14" i="31"/>
  <c r="I129" i="31"/>
  <c r="J47" i="31"/>
  <c r="J113" i="31"/>
  <c r="J129" i="31" s="1"/>
  <c r="J146" i="31"/>
  <c r="I47" i="31"/>
  <c r="O78" i="2"/>
  <c r="R87" i="2"/>
  <c r="R90" i="2"/>
  <c r="Q84" i="2"/>
  <c r="N75" i="2"/>
  <c r="P81" i="2"/>
  <c r="Z96" i="33" l="1"/>
  <c r="Z98" i="33" s="1"/>
  <c r="Z100" i="33" s="1"/>
  <c r="Z101" i="33" s="1"/>
  <c r="Z102" i="33" s="1"/>
  <c r="Z40" i="33"/>
  <c r="Z53" i="33"/>
  <c r="AA30" i="33"/>
  <c r="AA47" i="33" s="1"/>
  <c r="Z40" i="34"/>
  <c r="AA30" i="32"/>
  <c r="AA47" i="32" s="1"/>
  <c r="AB32" i="35"/>
  <c r="AB31" i="35"/>
  <c r="AB32" i="32"/>
  <c r="AB31" i="32"/>
  <c r="AB32" i="33"/>
  <c r="AB31" i="33"/>
  <c r="AA30" i="35"/>
  <c r="AA47" i="35" s="1"/>
  <c r="AB32" i="34"/>
  <c r="AB31" i="34"/>
  <c r="AA30" i="34"/>
  <c r="AA47" i="34" s="1"/>
  <c r="Y110" i="32"/>
  <c r="Y103" i="32"/>
  <c r="Y104" i="32" s="1"/>
  <c r="Y103" i="35"/>
  <c r="Y104" i="35" s="1"/>
  <c r="Y112" i="34"/>
  <c r="Y108" i="35"/>
  <c r="Y110" i="35"/>
  <c r="Y112" i="32"/>
  <c r="Z42" i="33"/>
  <c r="Z42" i="34"/>
  <c r="Z43" i="33"/>
  <c r="AC70" i="33"/>
  <c r="AD92" i="33"/>
  <c r="AD71" i="33" s="1"/>
  <c r="AD97" i="33" s="1"/>
  <c r="AD91" i="33"/>
  <c r="Z53" i="32"/>
  <c r="Z53" i="35"/>
  <c r="Z96" i="34"/>
  <c r="Z98" i="34" s="1"/>
  <c r="Z100" i="34" s="1"/>
  <c r="Z101" i="34" s="1"/>
  <c r="Z102" i="34" s="1"/>
  <c r="Z103" i="34" s="1"/>
  <c r="Z104" i="34" s="1"/>
  <c r="AA40" i="35"/>
  <c r="AA94" i="35"/>
  <c r="AA46" i="35"/>
  <c r="AA94" i="34"/>
  <c r="AA46" i="34"/>
  <c r="AG88" i="35"/>
  <c r="AG89" i="35"/>
  <c r="AG71" i="35" s="1"/>
  <c r="AG97" i="35" s="1"/>
  <c r="AF70" i="35"/>
  <c r="AH92" i="35"/>
  <c r="AH91" i="35"/>
  <c r="AA40" i="32"/>
  <c r="AA94" i="32"/>
  <c r="AA46" i="32"/>
  <c r="Z57" i="34"/>
  <c r="Z55" i="34"/>
  <c r="Z48" i="34"/>
  <c r="AE91" i="34"/>
  <c r="AE92" i="34"/>
  <c r="AE71" i="34" s="1"/>
  <c r="AE97" i="34" s="1"/>
  <c r="AD70" i="34"/>
  <c r="AA40" i="33"/>
  <c r="AA94" i="33"/>
  <c r="AA46" i="33"/>
  <c r="Z108" i="33"/>
  <c r="Z103" i="33"/>
  <c r="Z104" i="33" s="1"/>
  <c r="Z112" i="33"/>
  <c r="Z110" i="33"/>
  <c r="Z42" i="32"/>
  <c r="Z48" i="35"/>
  <c r="Z55" i="35"/>
  <c r="Z57" i="35"/>
  <c r="Z53" i="34"/>
  <c r="AA95" i="35"/>
  <c r="AA45" i="35"/>
  <c r="AA24" i="35"/>
  <c r="AH89" i="32"/>
  <c r="AH88" i="32"/>
  <c r="Z96" i="35"/>
  <c r="Z98" i="35" s="1"/>
  <c r="Z100" i="35" s="1"/>
  <c r="Z101" i="35" s="1"/>
  <c r="Z102" i="35" s="1"/>
  <c r="Y112" i="33"/>
  <c r="Y103" i="33"/>
  <c r="Y104" i="33" s="1"/>
  <c r="Y110" i="33"/>
  <c r="Y108" i="33"/>
  <c r="AB26" i="33"/>
  <c r="AB38" i="33"/>
  <c r="AB34" i="33" s="1"/>
  <c r="AB28" i="33"/>
  <c r="AA24" i="33"/>
  <c r="AA43" i="33" s="1"/>
  <c r="AA45" i="33"/>
  <c r="AA95" i="33"/>
  <c r="AB28" i="34"/>
  <c r="AB26" i="34"/>
  <c r="AB38" i="34"/>
  <c r="AB34" i="34" s="1"/>
  <c r="Z55" i="32"/>
  <c r="Z48" i="32"/>
  <c r="Z57" i="32"/>
  <c r="AA95" i="32"/>
  <c r="AA45" i="32"/>
  <c r="AA24" i="32"/>
  <c r="AA43" i="32" s="1"/>
  <c r="AB38" i="35"/>
  <c r="AB34" i="35" s="1"/>
  <c r="AB28" i="35"/>
  <c r="AB26" i="35"/>
  <c r="AA45" i="34"/>
  <c r="AA24" i="34"/>
  <c r="AA43" i="34" s="1"/>
  <c r="AA95" i="34"/>
  <c r="Z57" i="33"/>
  <c r="Z48" i="33"/>
  <c r="Z55" i="33"/>
  <c r="Z96" i="32"/>
  <c r="Z98" i="32" s="1"/>
  <c r="Z100" i="32" s="1"/>
  <c r="Z101" i="32" s="1"/>
  <c r="Z102" i="32" s="1"/>
  <c r="Z42" i="35"/>
  <c r="AB38" i="32"/>
  <c r="AB34" i="32" s="1"/>
  <c r="AB26" i="32"/>
  <c r="AB28" i="32"/>
  <c r="AG92" i="32"/>
  <c r="AG71" i="32" s="1"/>
  <c r="AG97" i="32" s="1"/>
  <c r="AG91" i="32"/>
  <c r="J80" i="31"/>
  <c r="K47" i="31"/>
  <c r="K146" i="31"/>
  <c r="J120" i="31"/>
  <c r="K80" i="31"/>
  <c r="S90" i="2"/>
  <c r="O75" i="2"/>
  <c r="S87" i="2"/>
  <c r="R84" i="2"/>
  <c r="P78" i="2"/>
  <c r="Q81" i="2"/>
  <c r="AA53" i="35" l="1"/>
  <c r="AB30" i="33"/>
  <c r="AB47" i="33" s="1"/>
  <c r="AB30" i="35"/>
  <c r="AB47" i="35" s="1"/>
  <c r="AA40" i="34"/>
  <c r="AA42" i="34" s="1"/>
  <c r="AB30" i="34"/>
  <c r="AB47" i="34" s="1"/>
  <c r="Z108" i="34"/>
  <c r="Z112" i="34"/>
  <c r="Z110" i="34"/>
  <c r="AC32" i="34"/>
  <c r="AC31" i="34"/>
  <c r="AC32" i="33"/>
  <c r="AC31" i="33"/>
  <c r="AB30" i="32"/>
  <c r="AB47" i="32" s="1"/>
  <c r="AC32" i="32"/>
  <c r="AC31" i="32"/>
  <c r="AC32" i="35"/>
  <c r="AC30" i="35" s="1"/>
  <c r="AC47" i="35" s="1"/>
  <c r="AC31" i="35"/>
  <c r="AD70" i="33"/>
  <c r="AE92" i="33"/>
  <c r="AE71" i="33" s="1"/>
  <c r="AE97" i="33" s="1"/>
  <c r="AE91" i="33"/>
  <c r="AC26" i="32"/>
  <c r="AC28" i="32"/>
  <c r="AC38" i="32"/>
  <c r="AC34" i="32" s="1"/>
  <c r="AB94" i="33"/>
  <c r="AB46" i="33"/>
  <c r="AA96" i="33"/>
  <c r="AA98" i="33" s="1"/>
  <c r="AA100" i="33" s="1"/>
  <c r="AA101" i="33" s="1"/>
  <c r="AA102" i="33" s="1"/>
  <c r="AF91" i="34"/>
  <c r="AF92" i="34"/>
  <c r="AF71" i="34" s="1"/>
  <c r="AF97" i="34" s="1"/>
  <c r="AE70" i="34"/>
  <c r="AA53" i="32"/>
  <c r="AH89" i="35"/>
  <c r="AH71" i="35" s="1"/>
  <c r="AH97" i="35" s="1"/>
  <c r="AH88" i="35"/>
  <c r="AH70" i="35" s="1"/>
  <c r="AG70" i="35"/>
  <c r="AA53" i="34"/>
  <c r="AA96" i="35"/>
  <c r="AA98" i="35" s="1"/>
  <c r="AA100" i="35" s="1"/>
  <c r="AA101" i="35" s="1"/>
  <c r="AA102" i="35" s="1"/>
  <c r="Z103" i="32"/>
  <c r="Z104" i="32" s="1"/>
  <c r="Z110" i="32"/>
  <c r="Z108" i="32"/>
  <c r="Z112" i="32"/>
  <c r="AB24" i="35"/>
  <c r="AB43" i="35" s="1"/>
  <c r="AB95" i="35"/>
  <c r="AB45" i="35"/>
  <c r="AB45" i="32"/>
  <c r="AB24" i="32"/>
  <c r="AB53" i="32" s="1"/>
  <c r="AB95" i="32"/>
  <c r="AC26" i="35"/>
  <c r="AC28" i="35"/>
  <c r="AC38" i="35"/>
  <c r="AC34" i="35" s="1"/>
  <c r="AB94" i="34"/>
  <c r="AB46" i="34"/>
  <c r="AB40" i="34"/>
  <c r="AB95" i="33"/>
  <c r="AB45" i="33"/>
  <c r="AB24" i="33"/>
  <c r="AB53" i="33" s="1"/>
  <c r="AA42" i="33"/>
  <c r="AA57" i="32"/>
  <c r="AA48" i="32"/>
  <c r="AA55" i="32"/>
  <c r="AA43" i="35"/>
  <c r="AA42" i="35"/>
  <c r="AB40" i="32"/>
  <c r="AB94" i="32"/>
  <c r="AB96" i="32" s="1"/>
  <c r="AB98" i="32" s="1"/>
  <c r="AB100" i="32" s="1"/>
  <c r="AB101" i="32" s="1"/>
  <c r="AB102" i="32" s="1"/>
  <c r="AB46" i="32"/>
  <c r="AB46" i="35"/>
  <c r="AB40" i="35"/>
  <c r="AB94" i="35"/>
  <c r="AB96" i="35" s="1"/>
  <c r="AB98" i="35" s="1"/>
  <c r="AB100" i="35" s="1"/>
  <c r="AB101" i="35" s="1"/>
  <c r="AB102" i="35" s="1"/>
  <c r="AB95" i="34"/>
  <c r="AB45" i="34"/>
  <c r="AB24" i="34"/>
  <c r="AB53" i="34" s="1"/>
  <c r="Z110" i="35"/>
  <c r="Z103" i="35"/>
  <c r="Z104" i="35" s="1"/>
  <c r="Z112" i="35"/>
  <c r="Z108" i="35"/>
  <c r="AA53" i="33"/>
  <c r="AA96" i="32"/>
  <c r="AA98" i="32" s="1"/>
  <c r="AA100" i="32" s="1"/>
  <c r="AA101" i="32" s="1"/>
  <c r="AA102" i="32" s="1"/>
  <c r="AA48" i="34"/>
  <c r="AA57" i="34"/>
  <c r="AA55" i="34"/>
  <c r="AA55" i="35"/>
  <c r="AA57" i="35"/>
  <c r="AA48" i="35"/>
  <c r="AH92" i="32"/>
  <c r="AH71" i="32" s="1"/>
  <c r="AH97" i="32" s="1"/>
  <c r="AH91" i="32"/>
  <c r="AH70" i="32" s="1"/>
  <c r="AC38" i="34"/>
  <c r="AC34" i="34" s="1"/>
  <c r="AC28" i="34"/>
  <c r="AC26" i="34"/>
  <c r="AC38" i="33"/>
  <c r="AC34" i="33" s="1"/>
  <c r="AC26" i="33"/>
  <c r="AC28" i="33"/>
  <c r="AA55" i="33"/>
  <c r="AA57" i="33"/>
  <c r="AA48" i="33"/>
  <c r="AA42" i="32"/>
  <c r="AA96" i="34"/>
  <c r="AA98" i="34" s="1"/>
  <c r="AA100" i="34" s="1"/>
  <c r="AA101" i="34" s="1"/>
  <c r="AA102" i="34" s="1"/>
  <c r="AG70" i="32"/>
  <c r="L14" i="31"/>
  <c r="L80" i="31"/>
  <c r="L113" i="31"/>
  <c r="L120" i="31" s="1"/>
  <c r="M14" i="31"/>
  <c r="K113" i="31"/>
  <c r="L146" i="31"/>
  <c r="R81" i="2"/>
  <c r="T87" i="2"/>
  <c r="Q78" i="2"/>
  <c r="S84" i="2"/>
  <c r="P75" i="2"/>
  <c r="T90" i="2"/>
  <c r="AB40" i="33" l="1"/>
  <c r="AC30" i="33"/>
  <c r="AC47" i="33" s="1"/>
  <c r="AD32" i="35"/>
  <c r="AD31" i="35"/>
  <c r="AD32" i="34"/>
  <c r="AD31" i="34"/>
  <c r="AD32" i="33"/>
  <c r="AD31" i="33"/>
  <c r="AD32" i="32"/>
  <c r="AD31" i="32"/>
  <c r="AC30" i="32"/>
  <c r="AC47" i="32" s="1"/>
  <c r="AC30" i="34"/>
  <c r="AC47" i="34" s="1"/>
  <c r="AB42" i="35"/>
  <c r="AB53" i="35"/>
  <c r="AB42" i="34"/>
  <c r="AE70" i="33"/>
  <c r="AF92" i="33"/>
  <c r="AF71" i="33" s="1"/>
  <c r="AF97" i="33" s="1"/>
  <c r="AF91" i="33"/>
  <c r="AB42" i="32"/>
  <c r="AB43" i="32"/>
  <c r="AB96" i="34"/>
  <c r="AB98" i="34" s="1"/>
  <c r="AB100" i="34" s="1"/>
  <c r="AB101" i="34" s="1"/>
  <c r="AB102" i="34" s="1"/>
  <c r="AB110" i="34" s="1"/>
  <c r="AD38" i="33"/>
  <c r="AD34" i="33" s="1"/>
  <c r="AD26" i="33"/>
  <c r="AD28" i="33"/>
  <c r="AD38" i="34"/>
  <c r="AD34" i="34" s="1"/>
  <c r="AD26" i="34"/>
  <c r="AD28" i="34"/>
  <c r="AA110" i="33"/>
  <c r="AA108" i="33"/>
  <c r="AA103" i="33"/>
  <c r="AA104" i="33" s="1"/>
  <c r="AA112" i="33"/>
  <c r="AB42" i="33"/>
  <c r="AC95" i="32"/>
  <c r="AC45" i="32"/>
  <c r="AC24" i="32"/>
  <c r="AC43" i="32" s="1"/>
  <c r="AC95" i="33"/>
  <c r="AC24" i="33"/>
  <c r="AC53" i="33" s="1"/>
  <c r="AC45" i="33"/>
  <c r="AC94" i="34"/>
  <c r="AC40" i="34"/>
  <c r="AC46" i="34"/>
  <c r="AA103" i="32"/>
  <c r="AA104" i="32" s="1"/>
  <c r="AA110" i="32"/>
  <c r="AA112" i="32"/>
  <c r="AA108" i="32"/>
  <c r="AB55" i="35"/>
  <c r="AB48" i="35"/>
  <c r="AB57" i="35"/>
  <c r="AB43" i="34"/>
  <c r="AC94" i="35"/>
  <c r="AC46" i="35"/>
  <c r="AC40" i="35"/>
  <c r="AB96" i="33"/>
  <c r="AB98" i="33" s="1"/>
  <c r="AB100" i="33" s="1"/>
  <c r="AB101" i="33" s="1"/>
  <c r="AB102" i="33" s="1"/>
  <c r="AA103" i="34"/>
  <c r="AA104" i="34" s="1"/>
  <c r="AA112" i="34"/>
  <c r="AA110" i="34"/>
  <c r="AA108" i="34"/>
  <c r="AC40" i="33"/>
  <c r="AC94" i="33"/>
  <c r="AC46" i="33"/>
  <c r="AC43" i="33"/>
  <c r="AB103" i="35"/>
  <c r="AB104" i="35" s="1"/>
  <c r="AB108" i="35"/>
  <c r="AB112" i="35"/>
  <c r="AB110" i="35"/>
  <c r="AD26" i="35"/>
  <c r="AD28" i="35"/>
  <c r="AD38" i="35"/>
  <c r="AD34" i="35" s="1"/>
  <c r="AA110" i="35"/>
  <c r="AA108" i="35"/>
  <c r="AA103" i="35"/>
  <c r="AA104" i="35" s="1"/>
  <c r="AA112" i="35"/>
  <c r="AB43" i="33"/>
  <c r="AC53" i="32"/>
  <c r="AC46" i="32"/>
  <c r="AC94" i="32"/>
  <c r="AC96" i="32" s="1"/>
  <c r="AC98" i="32" s="1"/>
  <c r="AC100" i="32" s="1"/>
  <c r="AC101" i="32" s="1"/>
  <c r="AC102" i="32" s="1"/>
  <c r="AC45" i="34"/>
  <c r="AC24" i="34"/>
  <c r="AC43" i="34" s="1"/>
  <c r="AC95" i="34"/>
  <c r="AB48" i="32"/>
  <c r="AB55" i="32"/>
  <c r="AB57" i="32"/>
  <c r="AB57" i="34"/>
  <c r="AB55" i="34"/>
  <c r="AB48" i="34"/>
  <c r="AC24" i="35"/>
  <c r="AC43" i="35" s="1"/>
  <c r="AC95" i="35"/>
  <c r="AC45" i="35"/>
  <c r="AG91" i="34"/>
  <c r="AG92" i="34"/>
  <c r="AG71" i="34" s="1"/>
  <c r="AG97" i="34" s="1"/>
  <c r="AF70" i="34"/>
  <c r="AB57" i="33"/>
  <c r="AB55" i="33"/>
  <c r="AB48" i="33"/>
  <c r="AD26" i="32"/>
  <c r="AD28" i="32"/>
  <c r="AD38" i="32"/>
  <c r="AD34" i="32" s="1"/>
  <c r="AB110" i="32"/>
  <c r="AB112" i="32"/>
  <c r="AB103" i="32"/>
  <c r="AB104" i="32" s="1"/>
  <c r="AB108" i="32"/>
  <c r="M146" i="31"/>
  <c r="K120" i="31"/>
  <c r="K129" i="31"/>
  <c r="M18" i="30" s="1"/>
  <c r="L129" i="31"/>
  <c r="M47" i="31"/>
  <c r="L47" i="31"/>
  <c r="N14" i="31"/>
  <c r="M113" i="31"/>
  <c r="M120" i="31" s="1"/>
  <c r="U90" i="2"/>
  <c r="R78" i="2"/>
  <c r="Q75" i="2"/>
  <c r="U87" i="2"/>
  <c r="T84" i="2"/>
  <c r="S81" i="2"/>
  <c r="AD30" i="32" l="1"/>
  <c r="AD47" i="32" s="1"/>
  <c r="AC40" i="32"/>
  <c r="AC42" i="32" s="1"/>
  <c r="AD30" i="34"/>
  <c r="AD47" i="34" s="1"/>
  <c r="AE32" i="32"/>
  <c r="AE31" i="32"/>
  <c r="AE32" i="33"/>
  <c r="AE31" i="33"/>
  <c r="G6" i="30"/>
  <c r="AE32" i="35"/>
  <c r="AE31" i="35"/>
  <c r="AE32" i="34"/>
  <c r="AE31" i="34"/>
  <c r="AD30" i="33"/>
  <c r="AD47" i="33" s="1"/>
  <c r="AD30" i="35"/>
  <c r="AD47" i="35" s="1"/>
  <c r="AB108" i="34"/>
  <c r="AB103" i="34"/>
  <c r="AB104" i="34" s="1"/>
  <c r="AB112" i="34"/>
  <c r="AF70" i="33"/>
  <c r="AG92" i="33"/>
  <c r="AG71" i="33" s="1"/>
  <c r="AG97" i="33" s="1"/>
  <c r="AG91" i="33"/>
  <c r="AC96" i="33"/>
  <c r="AC98" i="33" s="1"/>
  <c r="AC100" i="33" s="1"/>
  <c r="AC101" i="33" s="1"/>
  <c r="AC102" i="33" s="1"/>
  <c r="AC103" i="33" s="1"/>
  <c r="AC104" i="33" s="1"/>
  <c r="AC96" i="34"/>
  <c r="AC98" i="34" s="1"/>
  <c r="AC100" i="34" s="1"/>
  <c r="AC101" i="34" s="1"/>
  <c r="AC102" i="34" s="1"/>
  <c r="AC112" i="34" s="1"/>
  <c r="AC96" i="35"/>
  <c r="AC98" i="35" s="1"/>
  <c r="AC100" i="35" s="1"/>
  <c r="AC101" i="35" s="1"/>
  <c r="AC102" i="35" s="1"/>
  <c r="AC110" i="35" s="1"/>
  <c r="AE26" i="32"/>
  <c r="AE38" i="32"/>
  <c r="AE34" i="32" s="1"/>
  <c r="AE28" i="32"/>
  <c r="AC108" i="32"/>
  <c r="AC110" i="32"/>
  <c r="AC112" i="32"/>
  <c r="AC103" i="32"/>
  <c r="AC104" i="32" s="1"/>
  <c r="AD24" i="32"/>
  <c r="AD53" i="32" s="1"/>
  <c r="AD95" i="32"/>
  <c r="AD45" i="32"/>
  <c r="AC55" i="32"/>
  <c r="AC48" i="32"/>
  <c r="AC57" i="32"/>
  <c r="AD94" i="35"/>
  <c r="AD46" i="35"/>
  <c r="AC48" i="33"/>
  <c r="AC57" i="33"/>
  <c r="AC55" i="33"/>
  <c r="AC53" i="35"/>
  <c r="AC48" i="34"/>
  <c r="AC55" i="34"/>
  <c r="AC57" i="34"/>
  <c r="AD94" i="34"/>
  <c r="AD46" i="34"/>
  <c r="AD40" i="34"/>
  <c r="AC110" i="33"/>
  <c r="AC42" i="34"/>
  <c r="AE38" i="33"/>
  <c r="AE34" i="33" s="1"/>
  <c r="AE26" i="33"/>
  <c r="AE28" i="33"/>
  <c r="AE26" i="35"/>
  <c r="AE38" i="35"/>
  <c r="AE34" i="35" s="1"/>
  <c r="AE28" i="35"/>
  <c r="AC42" i="35"/>
  <c r="AD40" i="32"/>
  <c r="AD94" i="32"/>
  <c r="AD46" i="32"/>
  <c r="AH92" i="34"/>
  <c r="AH71" i="34" s="1"/>
  <c r="AH97" i="34" s="1"/>
  <c r="AH91" i="34"/>
  <c r="AH70" i="34" s="1"/>
  <c r="AG70" i="34"/>
  <c r="AD24" i="35"/>
  <c r="AD43" i="35" s="1"/>
  <c r="AD95" i="35"/>
  <c r="AD45" i="35"/>
  <c r="AC42" i="33"/>
  <c r="AC57" i="35"/>
  <c r="AC55" i="35"/>
  <c r="AC48" i="35"/>
  <c r="AC53" i="34"/>
  <c r="AE26" i="34"/>
  <c r="AE38" i="34"/>
  <c r="AE34" i="34" s="1"/>
  <c r="AE28" i="34"/>
  <c r="AD45" i="33"/>
  <c r="AD24" i="33"/>
  <c r="AD43" i="33" s="1"/>
  <c r="AD95" i="33"/>
  <c r="AB108" i="33"/>
  <c r="AB103" i="33"/>
  <c r="AB104" i="33" s="1"/>
  <c r="AB112" i="33"/>
  <c r="AB110" i="33"/>
  <c r="AD95" i="34"/>
  <c r="AD24" i="34"/>
  <c r="AD43" i="34" s="1"/>
  <c r="AD45" i="34"/>
  <c r="AD46" i="33"/>
  <c r="AD94" i="33"/>
  <c r="M129" i="31"/>
  <c r="N80" i="31"/>
  <c r="N113" i="31"/>
  <c r="N129" i="31" s="1"/>
  <c r="M80" i="31"/>
  <c r="O14" i="31"/>
  <c r="N47" i="31"/>
  <c r="N146" i="31"/>
  <c r="T81" i="2"/>
  <c r="R75" i="2"/>
  <c r="U84" i="2"/>
  <c r="S78" i="2"/>
  <c r="V90" i="2"/>
  <c r="V87" i="2"/>
  <c r="AE30" i="34" l="1"/>
  <c r="AE47" i="34" s="1"/>
  <c r="AD40" i="35"/>
  <c r="AD40" i="33"/>
  <c r="AD42" i="33" s="1"/>
  <c r="AC112" i="35"/>
  <c r="AF32" i="35"/>
  <c r="AF31" i="35"/>
  <c r="AF32" i="32"/>
  <c r="AF31" i="32"/>
  <c r="AE30" i="33"/>
  <c r="AE47" i="33" s="1"/>
  <c r="AF32" i="34"/>
  <c r="AF31" i="34"/>
  <c r="AE30" i="35"/>
  <c r="AE47" i="35" s="1"/>
  <c r="AF32" i="33"/>
  <c r="AF31" i="33"/>
  <c r="AE30" i="32"/>
  <c r="AE47" i="32" s="1"/>
  <c r="AC110" i="34"/>
  <c r="AC103" i="34"/>
  <c r="AC104" i="34" s="1"/>
  <c r="AD96" i="34"/>
  <c r="AD98" i="34" s="1"/>
  <c r="AD100" i="34" s="1"/>
  <c r="AD101" i="34" s="1"/>
  <c r="AD102" i="34" s="1"/>
  <c r="AC108" i="34"/>
  <c r="AD42" i="32"/>
  <c r="AC112" i="33"/>
  <c r="AC103" i="35"/>
  <c r="AC104" i="35" s="1"/>
  <c r="AG70" i="33"/>
  <c r="AH91" i="33"/>
  <c r="AH70" i="33" s="1"/>
  <c r="AD43" i="32"/>
  <c r="AC108" i="33"/>
  <c r="AH92" i="33"/>
  <c r="AH71" i="33" s="1"/>
  <c r="AH97" i="33" s="1"/>
  <c r="AD53" i="33"/>
  <c r="AD53" i="35"/>
  <c r="AC108" i="35"/>
  <c r="AD57" i="33"/>
  <c r="AD55" i="33"/>
  <c r="AD48" i="33"/>
  <c r="AF28" i="34"/>
  <c r="AF38" i="34"/>
  <c r="AF34" i="34" s="1"/>
  <c r="AF26" i="34"/>
  <c r="AD55" i="32"/>
  <c r="AD48" i="32"/>
  <c r="AD57" i="32"/>
  <c r="AF26" i="33"/>
  <c r="AF38" i="33"/>
  <c r="AF34" i="33" s="1"/>
  <c r="AF28" i="33"/>
  <c r="AD53" i="34"/>
  <c r="AD96" i="35"/>
  <c r="AD98" i="35" s="1"/>
  <c r="AD100" i="35" s="1"/>
  <c r="AD101" i="35" s="1"/>
  <c r="AD102" i="35" s="1"/>
  <c r="AF26" i="35"/>
  <c r="AF28" i="35"/>
  <c r="AF38" i="35"/>
  <c r="AF34" i="35" s="1"/>
  <c r="AF26" i="32"/>
  <c r="AF38" i="32"/>
  <c r="AF34" i="32" s="1"/>
  <c r="AF28" i="32"/>
  <c r="AE40" i="34"/>
  <c r="AE46" i="34"/>
  <c r="AE94" i="34"/>
  <c r="AE24" i="33"/>
  <c r="AE43" i="33" s="1"/>
  <c r="AE95" i="33"/>
  <c r="AE45" i="33"/>
  <c r="AD42" i="34"/>
  <c r="AD96" i="33"/>
  <c r="AD98" i="33" s="1"/>
  <c r="AD100" i="33" s="1"/>
  <c r="AD101" i="33" s="1"/>
  <c r="AD102" i="33" s="1"/>
  <c r="AE95" i="34"/>
  <c r="AE24" i="34"/>
  <c r="AE53" i="34" s="1"/>
  <c r="AE45" i="34"/>
  <c r="AD96" i="32"/>
  <c r="AD98" i="32" s="1"/>
  <c r="AD100" i="32" s="1"/>
  <c r="AD101" i="32" s="1"/>
  <c r="AD102" i="32" s="1"/>
  <c r="AE46" i="35"/>
  <c r="AE94" i="35"/>
  <c r="AE94" i="33"/>
  <c r="AE46" i="33"/>
  <c r="AD48" i="34"/>
  <c r="AD57" i="34"/>
  <c r="AD55" i="34"/>
  <c r="AD42" i="35"/>
  <c r="AE94" i="32"/>
  <c r="AE46" i="32"/>
  <c r="AE40" i="32"/>
  <c r="AE24" i="35"/>
  <c r="AE43" i="35" s="1"/>
  <c r="AE45" i="35"/>
  <c r="AE95" i="35"/>
  <c r="AD110" i="34"/>
  <c r="AD108" i="34"/>
  <c r="AD103" i="34"/>
  <c r="AD104" i="34" s="1"/>
  <c r="AD112" i="34"/>
  <c r="AD48" i="35"/>
  <c r="AD57" i="35"/>
  <c r="AD55" i="35"/>
  <c r="AE45" i="32"/>
  <c r="AE95" i="32"/>
  <c r="AE24" i="32"/>
  <c r="O113" i="31"/>
  <c r="O80" i="31"/>
  <c r="O47" i="31"/>
  <c r="N120" i="31"/>
  <c r="O146" i="31"/>
  <c r="P14" i="31"/>
  <c r="W87" i="2"/>
  <c r="V84" i="2"/>
  <c r="U81" i="2"/>
  <c r="S75" i="2"/>
  <c r="T78" i="2"/>
  <c r="W90" i="2"/>
  <c r="AE40" i="33" l="1"/>
  <c r="AG32" i="32"/>
  <c r="AG31" i="32"/>
  <c r="AF30" i="32"/>
  <c r="AF47" i="32" s="1"/>
  <c r="AG32" i="35"/>
  <c r="AG31" i="35"/>
  <c r="AF30" i="34"/>
  <c r="AF47" i="34" s="1"/>
  <c r="AG32" i="33"/>
  <c r="AG31" i="33"/>
  <c r="AG32" i="34"/>
  <c r="AG31" i="34"/>
  <c r="AE53" i="32"/>
  <c r="AE40" i="35"/>
  <c r="AE42" i="35" s="1"/>
  <c r="AF30" i="33"/>
  <c r="AF47" i="33" s="1"/>
  <c r="AF30" i="35"/>
  <c r="AF47" i="35" s="1"/>
  <c r="AE96" i="33"/>
  <c r="AE98" i="33" s="1"/>
  <c r="AE100" i="33" s="1"/>
  <c r="AE101" i="33" s="1"/>
  <c r="AE102" i="33" s="1"/>
  <c r="AE112" i="33" s="1"/>
  <c r="AE53" i="33"/>
  <c r="AE43" i="32"/>
  <c r="AE96" i="34"/>
  <c r="AE98" i="34" s="1"/>
  <c r="AE100" i="34" s="1"/>
  <c r="AE101" i="34" s="1"/>
  <c r="AE102" i="34" s="1"/>
  <c r="AE108" i="34" s="1"/>
  <c r="AE53" i="35"/>
  <c r="AD108" i="32"/>
  <c r="AD112" i="32"/>
  <c r="AD103" i="32"/>
  <c r="AD104" i="32" s="1"/>
  <c r="AD110" i="32"/>
  <c r="AD110" i="33"/>
  <c r="AD103" i="33"/>
  <c r="AD104" i="33" s="1"/>
  <c r="AD108" i="33"/>
  <c r="AD112" i="33"/>
  <c r="AE42" i="34"/>
  <c r="AF94" i="34"/>
  <c r="AF40" i="34"/>
  <c r="AF46" i="34"/>
  <c r="AE42" i="32"/>
  <c r="AE42" i="33"/>
  <c r="AE96" i="35"/>
  <c r="AE98" i="35" s="1"/>
  <c r="AE100" i="35" s="1"/>
  <c r="AE101" i="35" s="1"/>
  <c r="AE102" i="35" s="1"/>
  <c r="AE43" i="34"/>
  <c r="AG38" i="32"/>
  <c r="AG34" i="32" s="1"/>
  <c r="AG28" i="32"/>
  <c r="AG26" i="32"/>
  <c r="AG26" i="35"/>
  <c r="AG28" i="35"/>
  <c r="AG38" i="35"/>
  <c r="AG34" i="35" s="1"/>
  <c r="AG26" i="33"/>
  <c r="AG38" i="33"/>
  <c r="AG34" i="33" s="1"/>
  <c r="AG28" i="33"/>
  <c r="AG28" i="34"/>
  <c r="AG26" i="34"/>
  <c r="AG38" i="34"/>
  <c r="AG34" i="34" s="1"/>
  <c r="AF94" i="32"/>
  <c r="AF46" i="32"/>
  <c r="AF94" i="33"/>
  <c r="AF40" i="33"/>
  <c r="AF46" i="33"/>
  <c r="AE57" i="32"/>
  <c r="AE48" i="32"/>
  <c r="AE55" i="32"/>
  <c r="AE48" i="33"/>
  <c r="AE57" i="33"/>
  <c r="AE55" i="33"/>
  <c r="AF24" i="35"/>
  <c r="AF43" i="35" s="1"/>
  <c r="AF95" i="35"/>
  <c r="AF45" i="35"/>
  <c r="AE96" i="32"/>
  <c r="AE98" i="32" s="1"/>
  <c r="AE100" i="32" s="1"/>
  <c r="AE101" i="32" s="1"/>
  <c r="AE102" i="32" s="1"/>
  <c r="AE57" i="35"/>
  <c r="AE55" i="35"/>
  <c r="AE48" i="35"/>
  <c r="AE55" i="34"/>
  <c r="AE57" i="34"/>
  <c r="AE48" i="34"/>
  <c r="AF45" i="32"/>
  <c r="AF24" i="32"/>
  <c r="AF43" i="32" s="1"/>
  <c r="AF95" i="32"/>
  <c r="AD103" i="35"/>
  <c r="AD104" i="35" s="1"/>
  <c r="AD112" i="35"/>
  <c r="AD110" i="35"/>
  <c r="AD108" i="35"/>
  <c r="AF45" i="33"/>
  <c r="AF24" i="33"/>
  <c r="AF53" i="33" s="1"/>
  <c r="AF95" i="33"/>
  <c r="AF24" i="34"/>
  <c r="AF43" i="34" s="1"/>
  <c r="AF95" i="34"/>
  <c r="AF45" i="34"/>
  <c r="AF94" i="35"/>
  <c r="AF46" i="35"/>
  <c r="Q14" i="31"/>
  <c r="P47" i="31"/>
  <c r="P80" i="31"/>
  <c r="P146" i="31"/>
  <c r="P113" i="31"/>
  <c r="O120" i="31"/>
  <c r="O129" i="31"/>
  <c r="T75" i="2"/>
  <c r="X90" i="2"/>
  <c r="V81" i="2"/>
  <c r="X87" i="2"/>
  <c r="W84" i="2"/>
  <c r="U78" i="2"/>
  <c r="AF53" i="35" l="1"/>
  <c r="AF40" i="32"/>
  <c r="AG30" i="34"/>
  <c r="AG47" i="34" s="1"/>
  <c r="AG30" i="32"/>
  <c r="AG47" i="32" s="1"/>
  <c r="AF40" i="35"/>
  <c r="AF42" i="35" s="1"/>
  <c r="AE103" i="33"/>
  <c r="AE104" i="33" s="1"/>
  <c r="AG30" i="35"/>
  <c r="AG47" i="35" s="1"/>
  <c r="AE108" i="33"/>
  <c r="AE110" i="33"/>
  <c r="AG30" i="33"/>
  <c r="AG47" i="33" s="1"/>
  <c r="AH32" i="34"/>
  <c r="AH31" i="34"/>
  <c r="AH32" i="32"/>
  <c r="AH31" i="32"/>
  <c r="AH32" i="33"/>
  <c r="AH31" i="33"/>
  <c r="AH32" i="35"/>
  <c r="AH30" i="35" s="1"/>
  <c r="AH47" i="35" s="1"/>
  <c r="AH31" i="35"/>
  <c r="AE110" i="34"/>
  <c r="AF96" i="35"/>
  <c r="AF98" i="35" s="1"/>
  <c r="AF100" i="35" s="1"/>
  <c r="AF101" i="35" s="1"/>
  <c r="AF102" i="35" s="1"/>
  <c r="AF108" i="35" s="1"/>
  <c r="AE112" i="34"/>
  <c r="AE103" i="34"/>
  <c r="AE104" i="34" s="1"/>
  <c r="AE108" i="32"/>
  <c r="AE110" i="32"/>
  <c r="AE103" i="32"/>
  <c r="AE104" i="32" s="1"/>
  <c r="AE112" i="32"/>
  <c r="AF42" i="33"/>
  <c r="AF42" i="32"/>
  <c r="AG24" i="34"/>
  <c r="AG43" i="34" s="1"/>
  <c r="AG95" i="34"/>
  <c r="AG45" i="34"/>
  <c r="AG24" i="33"/>
  <c r="AG43" i="33" s="1"/>
  <c r="AG95" i="33"/>
  <c r="AG45" i="33"/>
  <c r="AG45" i="32"/>
  <c r="AG95" i="32"/>
  <c r="AG24" i="32"/>
  <c r="AG43" i="32" s="1"/>
  <c r="AE110" i="35"/>
  <c r="AE108" i="35"/>
  <c r="AE103" i="35"/>
  <c r="AE104" i="35" s="1"/>
  <c r="AE112" i="35"/>
  <c r="AF42" i="34"/>
  <c r="AF96" i="33"/>
  <c r="AF98" i="33" s="1"/>
  <c r="AF100" i="33" s="1"/>
  <c r="AF101" i="33" s="1"/>
  <c r="AF102" i="33" s="1"/>
  <c r="AF53" i="32"/>
  <c r="AH28" i="34"/>
  <c r="AH38" i="34"/>
  <c r="AH34" i="34" s="1"/>
  <c r="AH26" i="34"/>
  <c r="AG40" i="35"/>
  <c r="AG94" i="35"/>
  <c r="AG46" i="35"/>
  <c r="AH26" i="32"/>
  <c r="AH28" i="32"/>
  <c r="AH38" i="32"/>
  <c r="AH34" i="32" s="1"/>
  <c r="AF96" i="34"/>
  <c r="AF98" i="34" s="1"/>
  <c r="AF100" i="34" s="1"/>
  <c r="AF101" i="34" s="1"/>
  <c r="AF102" i="34" s="1"/>
  <c r="AF55" i="35"/>
  <c r="AF48" i="35"/>
  <c r="AF57" i="35"/>
  <c r="AF43" i="33"/>
  <c r="AF96" i="32"/>
  <c r="AF98" i="32" s="1"/>
  <c r="AF100" i="32" s="1"/>
  <c r="AF101" i="32" s="1"/>
  <c r="AF102" i="32" s="1"/>
  <c r="AH38" i="33"/>
  <c r="AH34" i="33" s="1"/>
  <c r="AH26" i="33"/>
  <c r="AH28" i="33"/>
  <c r="AH38" i="35"/>
  <c r="AH34" i="35" s="1"/>
  <c r="AH28" i="35"/>
  <c r="AH26" i="35"/>
  <c r="AG46" i="32"/>
  <c r="AG94" i="32"/>
  <c r="AF53" i="34"/>
  <c r="AF55" i="33"/>
  <c r="AF48" i="33"/>
  <c r="AF57" i="33"/>
  <c r="AF48" i="32"/>
  <c r="AF55" i="32"/>
  <c r="AF57" i="32"/>
  <c r="AG46" i="34"/>
  <c r="AG40" i="34"/>
  <c r="AG42" i="34" s="1"/>
  <c r="AG94" i="34"/>
  <c r="AG40" i="33"/>
  <c r="AG94" i="33"/>
  <c r="AG46" i="33"/>
  <c r="AG95" i="35"/>
  <c r="AG45" i="35"/>
  <c r="AG24" i="35"/>
  <c r="AG43" i="35" s="1"/>
  <c r="AF57" i="34"/>
  <c r="AF48" i="34"/>
  <c r="AF55" i="34"/>
  <c r="Q47" i="31"/>
  <c r="P120" i="31"/>
  <c r="P129" i="31"/>
  <c r="Q113" i="31"/>
  <c r="R14" i="31"/>
  <c r="Q80" i="31"/>
  <c r="Q146" i="31"/>
  <c r="U75" i="2"/>
  <c r="Y87" i="2"/>
  <c r="W81" i="2"/>
  <c r="Y90" i="2"/>
  <c r="V78" i="2"/>
  <c r="X84" i="2"/>
  <c r="AH30" i="32" l="1"/>
  <c r="AH47" i="32" s="1"/>
  <c r="AG96" i="32"/>
  <c r="AG98" i="32" s="1"/>
  <c r="AG100" i="32" s="1"/>
  <c r="AG101" i="32" s="1"/>
  <c r="AG102" i="32" s="1"/>
  <c r="AG40" i="32"/>
  <c r="AF110" i="35"/>
  <c r="AF112" i="35"/>
  <c r="AG42" i="33"/>
  <c r="AF103" i="35"/>
  <c r="AF104" i="35" s="1"/>
  <c r="AH30" i="33"/>
  <c r="AH47" i="33" s="1"/>
  <c r="AH30" i="34"/>
  <c r="AH47" i="34" s="1"/>
  <c r="AG96" i="33"/>
  <c r="AG98" i="33" s="1"/>
  <c r="AG100" i="33" s="1"/>
  <c r="AG101" i="33" s="1"/>
  <c r="AG102" i="33" s="1"/>
  <c r="AG110" i="33" s="1"/>
  <c r="AG53" i="33"/>
  <c r="AG53" i="35"/>
  <c r="AG53" i="34"/>
  <c r="AG96" i="34"/>
  <c r="AG98" i="34" s="1"/>
  <c r="AG100" i="34" s="1"/>
  <c r="AG101" i="34" s="1"/>
  <c r="AG102" i="34" s="1"/>
  <c r="AG110" i="34" s="1"/>
  <c r="AG57" i="32"/>
  <c r="AG55" i="32"/>
  <c r="AG48" i="32"/>
  <c r="AF110" i="34"/>
  <c r="AF112" i="34"/>
  <c r="AF108" i="34"/>
  <c r="AF103" i="34"/>
  <c r="AF104" i="34" s="1"/>
  <c r="AG55" i="35"/>
  <c r="AG48" i="35"/>
  <c r="AG57" i="35"/>
  <c r="AH95" i="34"/>
  <c r="AH45" i="34"/>
  <c r="AH24" i="34"/>
  <c r="AG48" i="34"/>
  <c r="AG55" i="34"/>
  <c r="AG57" i="34"/>
  <c r="AG53" i="32"/>
  <c r="AH24" i="35"/>
  <c r="AH53" i="35" s="1"/>
  <c r="AH95" i="35"/>
  <c r="AH45" i="35"/>
  <c r="AH45" i="33"/>
  <c r="AH24" i="33"/>
  <c r="AH53" i="33" s="1"/>
  <c r="AH95" i="33"/>
  <c r="AH40" i="32"/>
  <c r="AH94" i="32"/>
  <c r="AH46" i="32"/>
  <c r="AG96" i="35"/>
  <c r="AG98" i="35" s="1"/>
  <c r="AG100" i="35" s="1"/>
  <c r="AG101" i="35" s="1"/>
  <c r="AG102" i="35" s="1"/>
  <c r="AH94" i="34"/>
  <c r="AH46" i="34"/>
  <c r="AG103" i="32"/>
  <c r="AG104" i="32" s="1"/>
  <c r="AG112" i="32"/>
  <c r="AG110" i="32"/>
  <c r="AG108" i="32"/>
  <c r="AH40" i="33"/>
  <c r="AH42" i="33" s="1"/>
  <c r="AH94" i="33"/>
  <c r="AH46" i="33"/>
  <c r="AG57" i="33"/>
  <c r="AG55" i="33"/>
  <c r="AG48" i="33"/>
  <c r="AG42" i="32"/>
  <c r="AH43" i="35"/>
  <c r="AH94" i="35"/>
  <c r="AH40" i="35"/>
  <c r="AH46" i="35"/>
  <c r="AF103" i="32"/>
  <c r="AF104" i="32" s="1"/>
  <c r="AF108" i="32"/>
  <c r="AF112" i="32"/>
  <c r="AF110" i="32"/>
  <c r="AH24" i="32"/>
  <c r="AH53" i="32" s="1"/>
  <c r="AH95" i="32"/>
  <c r="AH45" i="32"/>
  <c r="AG42" i="35"/>
  <c r="AF103" i="33"/>
  <c r="AF104" i="33" s="1"/>
  <c r="AF112" i="33"/>
  <c r="AF110" i="33"/>
  <c r="AF108" i="33"/>
  <c r="S14" i="31"/>
  <c r="R146" i="31"/>
  <c r="R113" i="31"/>
  <c r="R47" i="31"/>
  <c r="R80" i="31"/>
  <c r="Q120" i="31"/>
  <c r="Q129" i="31"/>
  <c r="Y84" i="2"/>
  <c r="X81" i="2"/>
  <c r="W78" i="2"/>
  <c r="Z87" i="2"/>
  <c r="Z90" i="2"/>
  <c r="V75" i="2"/>
  <c r="AH43" i="33" l="1"/>
  <c r="AH42" i="35"/>
  <c r="AG108" i="33"/>
  <c r="AG112" i="33"/>
  <c r="AG103" i="33"/>
  <c r="AG104" i="33" s="1"/>
  <c r="AH96" i="35"/>
  <c r="AH98" i="35" s="1"/>
  <c r="AH100" i="35" s="1"/>
  <c r="AH101" i="35" s="1"/>
  <c r="AH102" i="35" s="1"/>
  <c r="AH103" i="35" s="1"/>
  <c r="AH104" i="35" s="1"/>
  <c r="AH53" i="34"/>
  <c r="AH40" i="34"/>
  <c r="AG112" i="34"/>
  <c r="AH96" i="34"/>
  <c r="AH98" i="34" s="1"/>
  <c r="AH100" i="34" s="1"/>
  <c r="AH101" i="34" s="1"/>
  <c r="AH102" i="34" s="1"/>
  <c r="AH110" i="34" s="1"/>
  <c r="AG103" i="34"/>
  <c r="AG104" i="34" s="1"/>
  <c r="AH42" i="34"/>
  <c r="C60" i="34" s="1"/>
  <c r="AG108" i="34"/>
  <c r="AH43" i="34"/>
  <c r="C51" i="34" s="1"/>
  <c r="I6" i="30" s="1"/>
  <c r="AH96" i="33"/>
  <c r="AH98" i="33" s="1"/>
  <c r="AH100" i="33" s="1"/>
  <c r="AH101" i="33" s="1"/>
  <c r="AH102" i="33" s="1"/>
  <c r="AH55" i="32"/>
  <c r="AH48" i="32"/>
  <c r="AH57" i="32"/>
  <c r="C58" i="32"/>
  <c r="C56" i="32"/>
  <c r="AH43" i="32"/>
  <c r="AH57" i="35"/>
  <c r="AH48" i="35"/>
  <c r="AH55" i="35"/>
  <c r="C56" i="35"/>
  <c r="C58" i="35"/>
  <c r="C62" i="35"/>
  <c r="C51" i="35"/>
  <c r="C50" i="33"/>
  <c r="C60" i="33"/>
  <c r="AH108" i="34"/>
  <c r="C60" i="35"/>
  <c r="C50" i="35"/>
  <c r="C62" i="33"/>
  <c r="C51" i="33"/>
  <c r="AH57" i="34"/>
  <c r="AH48" i="34"/>
  <c r="AH55" i="34"/>
  <c r="C58" i="34"/>
  <c r="M6" i="30" s="1"/>
  <c r="C56" i="34"/>
  <c r="AH96" i="32"/>
  <c r="AH98" i="32" s="1"/>
  <c r="AH100" i="32" s="1"/>
  <c r="AH101" i="32" s="1"/>
  <c r="AH102" i="32" s="1"/>
  <c r="AH108" i="35"/>
  <c r="AH110" i="35"/>
  <c r="AH57" i="33"/>
  <c r="AH55" i="33"/>
  <c r="AH48" i="33"/>
  <c r="C58" i="33"/>
  <c r="C56" i="33"/>
  <c r="C62" i="34"/>
  <c r="K6" i="30" s="1"/>
  <c r="AG108" i="35"/>
  <c r="AG103" i="35"/>
  <c r="AG104" i="35" s="1"/>
  <c r="AG112" i="35"/>
  <c r="AG110" i="35"/>
  <c r="AH42" i="32"/>
  <c r="S80" i="31"/>
  <c r="T14" i="31"/>
  <c r="S47" i="31"/>
  <c r="S113" i="31"/>
  <c r="R120" i="31"/>
  <c r="R129" i="31"/>
  <c r="S146" i="31"/>
  <c r="E7" i="30"/>
  <c r="E5" i="30"/>
  <c r="E4" i="30"/>
  <c r="AA90" i="2"/>
  <c r="AA87" i="2"/>
  <c r="W75" i="2"/>
  <c r="Y81" i="2"/>
  <c r="Z84" i="2"/>
  <c r="X78" i="2"/>
  <c r="C50" i="34" l="1"/>
  <c r="AH112" i="35"/>
  <c r="AH112" i="34"/>
  <c r="AH103" i="34"/>
  <c r="AH104" i="34" s="1"/>
  <c r="AH112" i="33"/>
  <c r="AH110" i="33"/>
  <c r="AH108" i="33"/>
  <c r="AH103" i="33"/>
  <c r="AH104" i="33" s="1"/>
  <c r="AH112" i="32"/>
  <c r="AH110" i="32"/>
  <c r="AH108" i="32"/>
  <c r="AH103" i="32"/>
  <c r="AH104" i="32" s="1"/>
  <c r="C51" i="32"/>
  <c r="C62" i="32"/>
  <c r="C60" i="32"/>
  <c r="C50" i="32"/>
  <c r="T113" i="31"/>
  <c r="S120" i="31"/>
  <c r="S129" i="31"/>
  <c r="U14" i="31"/>
  <c r="T47" i="31"/>
  <c r="T80" i="31"/>
  <c r="T146" i="31"/>
  <c r="E6" i="30"/>
  <c r="Y78" i="2"/>
  <c r="AA84" i="2"/>
  <c r="X75" i="2"/>
  <c r="Z81" i="2"/>
  <c r="U47" i="31" l="1"/>
  <c r="U80" i="31"/>
  <c r="U113" i="31"/>
  <c r="U146" i="31"/>
  <c r="V14" i="31"/>
  <c r="T120" i="31"/>
  <c r="T129" i="31"/>
  <c r="AA81" i="2"/>
  <c r="Z78" i="2"/>
  <c r="Y75" i="2"/>
  <c r="V47" i="31" l="1"/>
  <c r="V113" i="31"/>
  <c r="V80" i="31"/>
  <c r="V146" i="31"/>
  <c r="U120" i="31"/>
  <c r="U129" i="31"/>
  <c r="Z75" i="2"/>
  <c r="AA78" i="2"/>
  <c r="V120" i="31" l="1"/>
  <c r="V129" i="31"/>
  <c r="W14" i="31"/>
  <c r="AC14" i="31"/>
  <c r="E15" i="30" s="1"/>
  <c r="AA75" i="2"/>
  <c r="W146" i="31" l="1"/>
  <c r="AC146" i="31"/>
  <c r="E19" i="30" s="1"/>
  <c r="W113" i="31"/>
  <c r="AC113" i="31"/>
  <c r="W47" i="31"/>
  <c r="E16" i="30"/>
  <c r="W80" i="31"/>
  <c r="AC80" i="31"/>
  <c r="E17" i="30" s="1"/>
  <c r="Z129" i="31" l="1"/>
  <c r="Y129" i="31"/>
  <c r="AB129" i="31"/>
  <c r="AA129" i="31"/>
  <c r="X129" i="31"/>
  <c r="B125" i="31"/>
  <c r="I18" i="30" s="1"/>
  <c r="AC120" i="31"/>
  <c r="E18" i="30"/>
  <c r="W120" i="31"/>
  <c r="W129" i="31"/>
  <c r="F77" i="2"/>
  <c r="E77" i="2"/>
  <c r="D77" i="2"/>
  <c r="D71" i="2" s="1"/>
  <c r="D97" i="2" s="1"/>
  <c r="F76" i="2"/>
  <c r="B127" i="31" l="1"/>
  <c r="G18" i="30" s="1"/>
  <c r="B123" i="31"/>
  <c r="K18" i="30" s="1"/>
  <c r="J6" i="30"/>
  <c r="F6" i="30"/>
  <c r="H6" i="30"/>
  <c r="L6" i="30"/>
  <c r="G76" i="2"/>
  <c r="G77" i="2"/>
  <c r="H76" i="2" l="1"/>
  <c r="H77" i="2"/>
  <c r="I76" i="2" l="1"/>
  <c r="I77" i="2"/>
  <c r="J77" i="2" l="1"/>
  <c r="J76" i="2"/>
  <c r="K76" i="2" l="1"/>
  <c r="L77" i="2" s="1"/>
  <c r="K77" i="2"/>
  <c r="D24" i="2" l="1"/>
  <c r="D27" i="2"/>
  <c r="D95" i="2"/>
  <c r="L76" i="2"/>
  <c r="D30" i="2" l="1"/>
  <c r="M77" i="2"/>
  <c r="M76" i="2"/>
  <c r="N77" i="2" l="1"/>
  <c r="N76" i="2"/>
  <c r="O76" i="2" s="1"/>
  <c r="D47" i="2"/>
  <c r="D45" i="2"/>
  <c r="C96" i="2"/>
  <c r="C98" i="2" s="1"/>
  <c r="C100" i="2" s="1"/>
  <c r="C101" i="2" s="1"/>
  <c r="C102" i="2" s="1"/>
  <c r="C112" i="2" l="1"/>
  <c r="C110" i="2"/>
  <c r="C108" i="2"/>
  <c r="C103" i="2"/>
  <c r="C104" i="2" s="1"/>
  <c r="D72" i="2"/>
  <c r="O77" i="2"/>
  <c r="P77" i="2"/>
  <c r="P76" i="2"/>
  <c r="Q76" i="2" s="1"/>
  <c r="Q77" i="2" l="1"/>
  <c r="R76" i="2"/>
  <c r="R77" i="2"/>
  <c r="S77" i="2" l="1"/>
  <c r="S76" i="2"/>
  <c r="T77" i="2" l="1"/>
  <c r="T76" i="2"/>
  <c r="U76" i="2" l="1"/>
  <c r="U77" i="2"/>
  <c r="V77" i="2" l="1"/>
  <c r="V76" i="2"/>
  <c r="W76" i="2" l="1"/>
  <c r="W77" i="2"/>
  <c r="X76" i="2" l="1"/>
  <c r="X77" i="2"/>
  <c r="Y76" i="2" l="1"/>
  <c r="Y77" i="2"/>
  <c r="Z76" i="2" l="1"/>
  <c r="AA76" i="2" s="1"/>
  <c r="Z77" i="2"/>
  <c r="AB77" i="2" l="1"/>
  <c r="AB76" i="2"/>
  <c r="AA77" i="2"/>
  <c r="F70" i="2" l="1"/>
  <c r="D28" i="2"/>
  <c r="E31" i="2" s="1"/>
  <c r="E26" i="2" l="1"/>
  <c r="E32" i="2"/>
  <c r="E38" i="2"/>
  <c r="E34" i="2" s="1"/>
  <c r="E25" i="2"/>
  <c r="F80" i="2"/>
  <c r="G79" i="2"/>
  <c r="G80" i="2"/>
  <c r="E80" i="2"/>
  <c r="E71" i="2" s="1"/>
  <c r="E97" i="2" s="1"/>
  <c r="E24" i="2" l="1"/>
  <c r="E27" i="2"/>
  <c r="E28" i="2" s="1"/>
  <c r="F31" i="2" s="1"/>
  <c r="E30" i="2"/>
  <c r="E95" i="2"/>
  <c r="G70" i="2"/>
  <c r="H80" i="2"/>
  <c r="H79" i="2"/>
  <c r="I80" i="2" s="1"/>
  <c r="F26" i="2" l="1"/>
  <c r="F25" i="2" s="1"/>
  <c r="F32" i="2"/>
  <c r="F38" i="2"/>
  <c r="F34" i="2" s="1"/>
  <c r="E72" i="2"/>
  <c r="E45" i="2"/>
  <c r="E47" i="2"/>
  <c r="I79" i="2"/>
  <c r="F27" i="2" l="1"/>
  <c r="F28" i="2" s="1"/>
  <c r="G31" i="2" s="1"/>
  <c r="F24" i="2"/>
  <c r="J80" i="2"/>
  <c r="F83" i="2"/>
  <c r="F71" i="2" s="1"/>
  <c r="F97" i="2" s="1"/>
  <c r="H83" i="2"/>
  <c r="H82" i="2"/>
  <c r="G83" i="2"/>
  <c r="J79" i="2"/>
  <c r="K80" i="2" s="1"/>
  <c r="G26" i="2" l="1"/>
  <c r="G25" i="2" s="1"/>
  <c r="G32" i="2"/>
  <c r="G38" i="2"/>
  <c r="G34" i="2" s="1"/>
  <c r="F95" i="2"/>
  <c r="F30" i="2"/>
  <c r="H70" i="2"/>
  <c r="K79" i="2"/>
  <c r="L80" i="2" s="1"/>
  <c r="F45" i="2"/>
  <c r="F72" i="2"/>
  <c r="I83" i="2"/>
  <c r="I82" i="2"/>
  <c r="J82" i="2" s="1"/>
  <c r="G24" i="2" l="1"/>
  <c r="G27" i="2"/>
  <c r="G28" i="2" s="1"/>
  <c r="H31" i="2" s="1"/>
  <c r="F47" i="2"/>
  <c r="L79" i="2"/>
  <c r="M79" i="2" s="1"/>
  <c r="J83" i="2"/>
  <c r="K82" i="2"/>
  <c r="L82" i="2" s="1"/>
  <c r="M82" i="2" s="1"/>
  <c r="K83" i="2"/>
  <c r="H26" i="2" l="1"/>
  <c r="H32" i="2"/>
  <c r="H38" i="2"/>
  <c r="H34" i="2" s="1"/>
  <c r="H25" i="2"/>
  <c r="M80" i="2"/>
  <c r="M83" i="2"/>
  <c r="L83" i="2"/>
  <c r="N83" i="2"/>
  <c r="N79" i="2"/>
  <c r="N80" i="2"/>
  <c r="N82" i="2"/>
  <c r="H24" i="2" l="1"/>
  <c r="H27" i="2"/>
  <c r="H28" i="2" s="1"/>
  <c r="I31" i="2" s="1"/>
  <c r="O79" i="2"/>
  <c r="O80" i="2"/>
  <c r="O83" i="2"/>
  <c r="O82" i="2"/>
  <c r="I26" i="2" l="1"/>
  <c r="I24" i="2" s="1"/>
  <c r="I32" i="2"/>
  <c r="I38" i="2"/>
  <c r="I34" i="2" s="1"/>
  <c r="P82" i="2"/>
  <c r="Q83" i="2" s="1"/>
  <c r="P83" i="2"/>
  <c r="P80" i="2"/>
  <c r="P79" i="2"/>
  <c r="I27" i="2" l="1"/>
  <c r="I28" i="2" s="1"/>
  <c r="J31" i="2" s="1"/>
  <c r="Q82" i="2"/>
  <c r="R82" i="2" s="1"/>
  <c r="S82" i="2" s="1"/>
  <c r="Q80" i="2"/>
  <c r="Q79" i="2"/>
  <c r="J26" i="2" l="1"/>
  <c r="J24" i="2" s="1"/>
  <c r="J32" i="2"/>
  <c r="J38" i="2"/>
  <c r="J34" i="2" s="1"/>
  <c r="S83" i="2"/>
  <c r="R83" i="2"/>
  <c r="T82" i="2"/>
  <c r="T83" i="2"/>
  <c r="R80" i="2"/>
  <c r="R79" i="2"/>
  <c r="J27" i="2" l="1"/>
  <c r="J28" i="2" s="1"/>
  <c r="K31" i="2" s="1"/>
  <c r="J72" i="2"/>
  <c r="U83" i="2"/>
  <c r="U82" i="2"/>
  <c r="S79" i="2"/>
  <c r="S80" i="2"/>
  <c r="K26" i="2" l="1"/>
  <c r="K24" i="2" s="1"/>
  <c r="K32" i="2"/>
  <c r="K38" i="2"/>
  <c r="K34" i="2" s="1"/>
  <c r="T80" i="2"/>
  <c r="T79" i="2"/>
  <c r="V83" i="2"/>
  <c r="V82" i="2"/>
  <c r="K27" i="2" l="1"/>
  <c r="K28" i="2" s="1"/>
  <c r="L31" i="2" s="1"/>
  <c r="K72" i="2"/>
  <c r="W83" i="2"/>
  <c r="W82" i="2"/>
  <c r="U80" i="2"/>
  <c r="U79" i="2"/>
  <c r="L26" i="2" l="1"/>
  <c r="L24" i="2" s="1"/>
  <c r="L32" i="2"/>
  <c r="L38" i="2"/>
  <c r="L34" i="2" s="1"/>
  <c r="X82" i="2"/>
  <c r="X83" i="2"/>
  <c r="V80" i="2"/>
  <c r="V79" i="2"/>
  <c r="L27" i="2" l="1"/>
  <c r="L28" i="2" s="1"/>
  <c r="M31" i="2" s="1"/>
  <c r="L72" i="2"/>
  <c r="W79" i="2"/>
  <c r="W80" i="2"/>
  <c r="Y83" i="2"/>
  <c r="Y82" i="2"/>
  <c r="M26" i="2" l="1"/>
  <c r="M24" i="2" s="1"/>
  <c r="M32" i="2"/>
  <c r="M38" i="2"/>
  <c r="M34" i="2" s="1"/>
  <c r="X80" i="2"/>
  <c r="X79" i="2"/>
  <c r="Z83" i="2"/>
  <c r="Z82" i="2"/>
  <c r="AA82" i="2" s="1"/>
  <c r="AB83" i="2" l="1"/>
  <c r="AB82" i="2"/>
  <c r="M27" i="2"/>
  <c r="M28" i="2" s="1"/>
  <c r="N31" i="2" s="1"/>
  <c r="M72" i="2"/>
  <c r="AA83" i="2"/>
  <c r="Y79" i="2"/>
  <c r="Y80" i="2"/>
  <c r="N26" i="2" l="1"/>
  <c r="N24" i="2" s="1"/>
  <c r="N32" i="2"/>
  <c r="N38" i="2"/>
  <c r="N34" i="2" s="1"/>
  <c r="Z80" i="2"/>
  <c r="Z79" i="2"/>
  <c r="AA79" i="2" s="1"/>
  <c r="AB80" i="2" l="1"/>
  <c r="AB79" i="2"/>
  <c r="N27" i="2"/>
  <c r="N28" i="2" s="1"/>
  <c r="O31" i="2" s="1"/>
  <c r="N72" i="2"/>
  <c r="AA80" i="2"/>
  <c r="O26" i="2" l="1"/>
  <c r="O24" i="2" s="1"/>
  <c r="O32" i="2"/>
  <c r="O38" i="2"/>
  <c r="O34" i="2" s="1"/>
  <c r="O27" i="2" l="1"/>
  <c r="O28" i="2" s="1"/>
  <c r="P31" i="2" s="1"/>
  <c r="O72" i="2"/>
  <c r="G95" i="2"/>
  <c r="H86" i="2"/>
  <c r="G86" i="2"/>
  <c r="G71" i="2" s="1"/>
  <c r="G97" i="2" s="1"/>
  <c r="I85" i="2"/>
  <c r="I86" i="2"/>
  <c r="P26" i="2" l="1"/>
  <c r="P24" i="2" s="1"/>
  <c r="P32" i="2"/>
  <c r="P38" i="2"/>
  <c r="P34" i="2" s="1"/>
  <c r="G30" i="2"/>
  <c r="J86" i="2"/>
  <c r="I70" i="2"/>
  <c r="J85" i="2"/>
  <c r="K85" i="2" s="1"/>
  <c r="P27" i="2" l="1"/>
  <c r="P28" i="2" s="1"/>
  <c r="Q31" i="2" s="1"/>
  <c r="P72" i="2"/>
  <c r="G72" i="2"/>
  <c r="G45" i="2"/>
  <c r="G47" i="2"/>
  <c r="L85" i="2"/>
  <c r="M86" i="2" s="1"/>
  <c r="L86" i="2"/>
  <c r="K86" i="2"/>
  <c r="Q26" i="2" l="1"/>
  <c r="Q24" i="2" s="1"/>
  <c r="Q32" i="2"/>
  <c r="J88" i="2"/>
  <c r="K89" i="2" s="1"/>
  <c r="Q38" i="2"/>
  <c r="Q34" i="2" s="1"/>
  <c r="I89" i="2"/>
  <c r="H89" i="2"/>
  <c r="H71" i="2" s="1"/>
  <c r="H97" i="2" s="1"/>
  <c r="J89" i="2"/>
  <c r="H95" i="2"/>
  <c r="M85" i="2"/>
  <c r="K88" i="2" l="1"/>
  <c r="L88" i="2" s="1"/>
  <c r="J70" i="2"/>
  <c r="N85" i="2"/>
  <c r="O86" i="2" s="1"/>
  <c r="Q27" i="2"/>
  <c r="Q28" i="2" s="1"/>
  <c r="R31" i="2" s="1"/>
  <c r="Q72" i="2"/>
  <c r="H30" i="2"/>
  <c r="N86" i="2"/>
  <c r="L89" i="2" l="1"/>
  <c r="M89" i="2"/>
  <c r="O85" i="2"/>
  <c r="P85" i="2" s="1"/>
  <c r="M88" i="2"/>
  <c r="N88" i="2" s="1"/>
  <c r="O88" i="2" s="1"/>
  <c r="R26" i="2"/>
  <c r="R32" i="2"/>
  <c r="R38" i="2"/>
  <c r="R34" i="2" s="1"/>
  <c r="H47" i="2"/>
  <c r="P86" i="2" l="1"/>
  <c r="R24" i="2"/>
  <c r="B3" i="30"/>
  <c r="O89" i="2"/>
  <c r="N89" i="2"/>
  <c r="R27" i="2"/>
  <c r="R28" i="2" s="1"/>
  <c r="S31" i="2" s="1"/>
  <c r="R72" i="2"/>
  <c r="Q85" i="2"/>
  <c r="R86" i="2" s="1"/>
  <c r="P89" i="2"/>
  <c r="P88" i="2"/>
  <c r="Q86" i="2"/>
  <c r="S26" i="2" l="1"/>
  <c r="S24" i="2" s="1"/>
  <c r="S32" i="2"/>
  <c r="S38" i="2"/>
  <c r="S34" i="2" s="1"/>
  <c r="R85" i="2"/>
  <c r="S85" i="2" s="1"/>
  <c r="Q89" i="2"/>
  <c r="Q88" i="2"/>
  <c r="R88" i="2" s="1"/>
  <c r="S27" i="2" l="1"/>
  <c r="S28" i="2" s="1"/>
  <c r="T31" i="2" s="1"/>
  <c r="S72" i="2"/>
  <c r="S86" i="2"/>
  <c r="T85" i="2"/>
  <c r="U85" i="2" s="1"/>
  <c r="T86" i="2"/>
  <c r="R89" i="2"/>
  <c r="S88" i="2"/>
  <c r="S89" i="2"/>
  <c r="T26" i="2" l="1"/>
  <c r="T24" i="2" s="1"/>
  <c r="T32" i="2"/>
  <c r="T38" i="2"/>
  <c r="T34" i="2" s="1"/>
  <c r="U86" i="2"/>
  <c r="V85" i="2"/>
  <c r="V86" i="2"/>
  <c r="T89" i="2"/>
  <c r="T88" i="2"/>
  <c r="T27" i="2" l="1"/>
  <c r="T28" i="2" s="1"/>
  <c r="U31" i="2" s="1"/>
  <c r="T72" i="2"/>
  <c r="U88" i="2"/>
  <c r="U89" i="2"/>
  <c r="W85" i="2"/>
  <c r="W86" i="2"/>
  <c r="U26" i="2" l="1"/>
  <c r="U24" i="2" s="1"/>
  <c r="U32" i="2"/>
  <c r="U38" i="2"/>
  <c r="U34" i="2" s="1"/>
  <c r="V89" i="2"/>
  <c r="V88" i="2"/>
  <c r="X86" i="2"/>
  <c r="X85" i="2"/>
  <c r="U27" i="2" l="1"/>
  <c r="U28" i="2" s="1"/>
  <c r="V31" i="2" s="1"/>
  <c r="U72" i="2"/>
  <c r="Y85" i="2"/>
  <c r="Y86" i="2"/>
  <c r="W89" i="2"/>
  <c r="W88" i="2"/>
  <c r="V26" i="2" l="1"/>
  <c r="V24" i="2" s="1"/>
  <c r="V32" i="2"/>
  <c r="V38" i="2"/>
  <c r="V34" i="2" s="1"/>
  <c r="Z86" i="2"/>
  <c r="Z85" i="2"/>
  <c r="AA85" i="2" s="1"/>
  <c r="X89" i="2"/>
  <c r="X88" i="2"/>
  <c r="AB86" i="2" l="1"/>
  <c r="AB85" i="2"/>
  <c r="V27" i="2"/>
  <c r="V28" i="2" s="1"/>
  <c r="W31" i="2" s="1"/>
  <c r="V72" i="2"/>
  <c r="Y89" i="2"/>
  <c r="Y88" i="2"/>
  <c r="AA86" i="2"/>
  <c r="W26" i="2" l="1"/>
  <c r="W24" i="2" s="1"/>
  <c r="W32" i="2"/>
  <c r="W38" i="2"/>
  <c r="W34" i="2" s="1"/>
  <c r="Z88" i="2"/>
  <c r="AA88" i="2" s="1"/>
  <c r="Z89" i="2"/>
  <c r="AB89" i="2" l="1"/>
  <c r="AB88" i="2"/>
  <c r="W27" i="2"/>
  <c r="W28" i="2" s="1"/>
  <c r="X31" i="2" s="1"/>
  <c r="W72" i="2"/>
  <c r="AA89" i="2"/>
  <c r="X26" i="2" l="1"/>
  <c r="X24" i="2" s="1"/>
  <c r="X32" i="2"/>
  <c r="X38" i="2"/>
  <c r="X34" i="2" s="1"/>
  <c r="X27" i="2" l="1"/>
  <c r="X28" i="2" s="1"/>
  <c r="Y31" i="2" s="1"/>
  <c r="X72" i="2"/>
  <c r="H45" i="2"/>
  <c r="H72" i="2"/>
  <c r="Y26" i="2" l="1"/>
  <c r="Y24" i="2" s="1"/>
  <c r="Y32" i="2"/>
  <c r="Y38" i="2"/>
  <c r="Y34" i="2" s="1"/>
  <c r="I95" i="2"/>
  <c r="K91" i="2"/>
  <c r="I92" i="2"/>
  <c r="I71" i="2" s="1"/>
  <c r="I97" i="2" s="1"/>
  <c r="K92" i="2"/>
  <c r="K71" i="2" s="1"/>
  <c r="K97" i="2" s="1"/>
  <c r="J92" i="2"/>
  <c r="J71" i="2" s="1"/>
  <c r="J97" i="2" s="1"/>
  <c r="Y27" i="2" l="1"/>
  <c r="Y28" i="2" s="1"/>
  <c r="Z31" i="2" s="1"/>
  <c r="Y72" i="2"/>
  <c r="I30" i="2"/>
  <c r="I45" i="2"/>
  <c r="K70" i="2"/>
  <c r="L92" i="2"/>
  <c r="L71" i="2" s="1"/>
  <c r="L97" i="2" s="1"/>
  <c r="I72" i="2"/>
  <c r="L91" i="2"/>
  <c r="Z26" i="2" l="1"/>
  <c r="Z24" i="2" s="1"/>
  <c r="Z32" i="2"/>
  <c r="Z38" i="2"/>
  <c r="Z34" i="2" s="1"/>
  <c r="J95" i="2"/>
  <c r="I47" i="2"/>
  <c r="L70" i="2"/>
  <c r="M92" i="2"/>
  <c r="M71" i="2" s="1"/>
  <c r="M97" i="2" s="1"/>
  <c r="M91" i="2"/>
  <c r="Z27" i="2" l="1"/>
  <c r="Z28" i="2" s="1"/>
  <c r="Z72" i="2"/>
  <c r="J30" i="2"/>
  <c r="K95" i="2"/>
  <c r="J45" i="2"/>
  <c r="M70" i="2"/>
  <c r="N91" i="2"/>
  <c r="N92" i="2"/>
  <c r="N71" i="2" s="1"/>
  <c r="N97" i="2" s="1"/>
  <c r="AA32" i="2" l="1"/>
  <c r="AA31" i="2"/>
  <c r="AA26" i="2"/>
  <c r="AA28" i="2"/>
  <c r="AA38" i="2"/>
  <c r="AA34" i="2" s="1"/>
  <c r="K30" i="2"/>
  <c r="L45" i="2"/>
  <c r="K45" i="2"/>
  <c r="J47" i="2"/>
  <c r="N70" i="2"/>
  <c r="O92" i="2"/>
  <c r="O71" i="2" s="1"/>
  <c r="O97" i="2" s="1"/>
  <c r="O91" i="2"/>
  <c r="P91" i="2" s="1"/>
  <c r="P70" i="2" s="1"/>
  <c r="AB32" i="2" l="1"/>
  <c r="AB31" i="2"/>
  <c r="AA30" i="2"/>
  <c r="AA47" i="2" s="1"/>
  <c r="AA94" i="2"/>
  <c r="AA46" i="2"/>
  <c r="AB38" i="2"/>
  <c r="AB34" i="2" s="1"/>
  <c r="AB26" i="2"/>
  <c r="AB24" i="2" s="1"/>
  <c r="AA95" i="2"/>
  <c r="AA24" i="2"/>
  <c r="AA43" i="2" s="1"/>
  <c r="AA45" i="2"/>
  <c r="AA57" i="2" s="1"/>
  <c r="L30" i="2"/>
  <c r="L95" i="2"/>
  <c r="M95" i="2"/>
  <c r="Q91" i="2"/>
  <c r="Q70" i="2" s="1"/>
  <c r="P92" i="2"/>
  <c r="P71" i="2" s="1"/>
  <c r="P97" i="2" s="1"/>
  <c r="K47" i="2"/>
  <c r="O70" i="2"/>
  <c r="Q92" i="2"/>
  <c r="Q71" i="2" s="1"/>
  <c r="Q97" i="2" s="1"/>
  <c r="AA40" i="2" l="1"/>
  <c r="AA42" i="2" s="1"/>
  <c r="AA53" i="2"/>
  <c r="AA55" i="2"/>
  <c r="AA48" i="2"/>
  <c r="AA96" i="2"/>
  <c r="M30" i="2"/>
  <c r="M47" i="2" s="1"/>
  <c r="N95" i="2"/>
  <c r="M45" i="2"/>
  <c r="L47" i="2"/>
  <c r="R91" i="2"/>
  <c r="R70" i="2" s="1"/>
  <c r="R92" i="2"/>
  <c r="R71" i="2" s="1"/>
  <c r="R97" i="2" s="1"/>
  <c r="AB72" i="2" l="1"/>
  <c r="C106" i="2" s="1"/>
  <c r="AB27" i="2"/>
  <c r="AB28" i="2" s="1"/>
  <c r="N30" i="2"/>
  <c r="O95" i="2"/>
  <c r="N45" i="2"/>
  <c r="S92" i="2"/>
  <c r="S71" i="2" s="1"/>
  <c r="S97" i="2" s="1"/>
  <c r="S91" i="2"/>
  <c r="S70" i="2" s="1"/>
  <c r="AC32" i="2" l="1"/>
  <c r="AC31" i="2"/>
  <c r="O30" i="2"/>
  <c r="O45" i="2"/>
  <c r="P95" i="2"/>
  <c r="T91" i="2"/>
  <c r="U92" i="2" s="1"/>
  <c r="U71" i="2" s="1"/>
  <c r="U97" i="2" s="1"/>
  <c r="T92" i="2"/>
  <c r="T71" i="2" s="1"/>
  <c r="T97" i="2" s="1"/>
  <c r="N47" i="2"/>
  <c r="AC27" i="2" l="1"/>
  <c r="AC72" i="2"/>
  <c r="U91" i="2"/>
  <c r="V92" i="2" s="1"/>
  <c r="V71" i="2" s="1"/>
  <c r="V97" i="2" s="1"/>
  <c r="P30" i="2"/>
  <c r="T70" i="2"/>
  <c r="Q95" i="2"/>
  <c r="P45" i="2"/>
  <c r="O47" i="2"/>
  <c r="U70" i="2" l="1"/>
  <c r="V91" i="2"/>
  <c r="W92" i="2" s="1"/>
  <c r="W71" i="2" s="1"/>
  <c r="W97" i="2" s="1"/>
  <c r="Q30" i="2"/>
  <c r="R95" i="2"/>
  <c r="Q45" i="2"/>
  <c r="P47" i="2"/>
  <c r="V70" i="2" l="1"/>
  <c r="W91" i="2"/>
  <c r="X92" i="2" s="1"/>
  <c r="X71" i="2" s="1"/>
  <c r="X97" i="2" s="1"/>
  <c r="R30" i="2"/>
  <c r="E3" i="30" s="1"/>
  <c r="S95" i="2"/>
  <c r="R45" i="2"/>
  <c r="Q47" i="2"/>
  <c r="W70" i="2" l="1"/>
  <c r="X91" i="2"/>
  <c r="Y91" i="2" s="1"/>
  <c r="S30" i="2"/>
  <c r="T95" i="2"/>
  <c r="S45" i="2"/>
  <c r="R47" i="2"/>
  <c r="Y92" i="2" l="1"/>
  <c r="Y71" i="2" s="1"/>
  <c r="Y97" i="2" s="1"/>
  <c r="X70" i="2"/>
  <c r="T30" i="2"/>
  <c r="T47" i="2" s="1"/>
  <c r="U95" i="2"/>
  <c r="T45" i="2"/>
  <c r="S47" i="2"/>
  <c r="Y70" i="2"/>
  <c r="Z91" i="2"/>
  <c r="AA91" i="2" s="1"/>
  <c r="Z92" i="2"/>
  <c r="Z71" i="2" s="1"/>
  <c r="Z97" i="2" s="1"/>
  <c r="AB92" i="2" l="1"/>
  <c r="AA70" i="2"/>
  <c r="AB91" i="2"/>
  <c r="U30" i="2"/>
  <c r="U45" i="2"/>
  <c r="V95" i="2"/>
  <c r="Z70" i="2"/>
  <c r="AA92" i="2"/>
  <c r="AA71" i="2" s="1"/>
  <c r="AA97" i="2" s="1"/>
  <c r="AA98" i="2" s="1"/>
  <c r="AA100" i="2" s="1"/>
  <c r="AA101" i="2" s="1"/>
  <c r="AA102" i="2" s="1"/>
  <c r="AA112" i="2" l="1"/>
  <c r="AA103" i="2"/>
  <c r="AA104" i="2" s="1"/>
  <c r="AA110" i="2"/>
  <c r="AA108" i="2"/>
  <c r="V30" i="2"/>
  <c r="V45" i="2"/>
  <c r="U47" i="2"/>
  <c r="W45" i="2" l="1"/>
  <c r="V47" i="2"/>
  <c r="W95" i="2"/>
  <c r="W30" i="2"/>
  <c r="X95" i="2"/>
  <c r="X30" i="2" l="1"/>
  <c r="Y45" i="2"/>
  <c r="X45" i="2"/>
  <c r="W47" i="2"/>
  <c r="Y30" i="2" l="1"/>
  <c r="Z45" i="2"/>
  <c r="Y95" i="2"/>
  <c r="X47" i="2"/>
  <c r="Z95" i="2" l="1"/>
  <c r="Z30" i="2"/>
  <c r="Y47" i="2"/>
  <c r="Z47" i="2" l="1"/>
  <c r="AB30" i="2" l="1"/>
  <c r="AC30" i="2" l="1"/>
  <c r="AB47" i="2"/>
  <c r="AC47" i="2" l="1"/>
  <c r="F19" i="31" l="1"/>
  <c r="F20" i="31" s="1"/>
  <c r="S19" i="31"/>
  <c r="S20" i="31" s="1"/>
  <c r="G19" i="31"/>
  <c r="G20" i="31" s="1"/>
  <c r="Q19" i="31"/>
  <c r="Q20" i="31" s="1"/>
  <c r="K19" i="31"/>
  <c r="K20" i="31" s="1"/>
  <c r="J19" i="31"/>
  <c r="J20" i="31" s="1"/>
  <c r="I19" i="31"/>
  <c r="I20" i="31" s="1"/>
  <c r="O19" i="31"/>
  <c r="O20" i="31" s="1"/>
  <c r="N19" i="31"/>
  <c r="N20" i="31" s="1"/>
  <c r="W19" i="31"/>
  <c r="W20" i="31" s="1"/>
  <c r="E19" i="31"/>
  <c r="E20" i="31" s="1"/>
  <c r="U19" i="31"/>
  <c r="U20" i="31" s="1"/>
  <c r="M19" i="31"/>
  <c r="M20" i="31" s="1"/>
  <c r="R19" i="31"/>
  <c r="R20" i="31" s="1"/>
  <c r="V19" i="31"/>
  <c r="V20" i="31" s="1"/>
  <c r="T19" i="31"/>
  <c r="T20" i="31" s="1"/>
  <c r="P19" i="31"/>
  <c r="P20" i="31" s="1"/>
  <c r="D19" i="31"/>
  <c r="D20" i="31" s="1"/>
  <c r="H19" i="31"/>
  <c r="H20" i="31" s="1"/>
  <c r="L19" i="31"/>
  <c r="L20" i="31" s="1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N6" i="36" l="1"/>
  <c r="N7" i="36" s="1"/>
  <c r="N8" i="37"/>
  <c r="N9" i="37" s="1"/>
  <c r="V6" i="36"/>
  <c r="V7" i="36" s="1"/>
  <c r="V8" i="37"/>
  <c r="V9" i="37" s="1"/>
  <c r="W6" i="36"/>
  <c r="W7" i="36" s="1"/>
  <c r="W8" i="37"/>
  <c r="W9" i="37" s="1"/>
  <c r="Q6" i="36"/>
  <c r="Q7" i="36" s="1"/>
  <c r="Q8" i="37"/>
  <c r="Q9" i="37" s="1"/>
  <c r="S6" i="36"/>
  <c r="S7" i="36" s="1"/>
  <c r="S8" i="37"/>
  <c r="S9" i="37" s="1"/>
  <c r="J6" i="36"/>
  <c r="J7" i="36" s="1"/>
  <c r="J8" i="37"/>
  <c r="J9" i="37" s="1"/>
  <c r="X6" i="36"/>
  <c r="X8" i="37"/>
  <c r="X9" i="37" s="1"/>
  <c r="G6" i="36"/>
  <c r="G7" i="36" s="1"/>
  <c r="G8" i="37"/>
  <c r="G9" i="37" s="1"/>
  <c r="K6" i="36"/>
  <c r="K7" i="36" s="1"/>
  <c r="K8" i="37"/>
  <c r="K9" i="37" s="1"/>
  <c r="I6" i="36"/>
  <c r="I7" i="36" s="1"/>
  <c r="I8" i="37"/>
  <c r="I9" i="37" s="1"/>
  <c r="T6" i="36"/>
  <c r="T7" i="36" s="1"/>
  <c r="T8" i="37"/>
  <c r="T9" i="37" s="1"/>
  <c r="Y6" i="36"/>
  <c r="Y7" i="36" s="1"/>
  <c r="Y8" i="37"/>
  <c r="Y9" i="37" s="1"/>
  <c r="L6" i="36"/>
  <c r="L7" i="36" s="1"/>
  <c r="L8" i="37"/>
  <c r="L9" i="37" s="1"/>
  <c r="U6" i="36"/>
  <c r="U7" i="36" s="1"/>
  <c r="U8" i="37"/>
  <c r="U9" i="37" s="1"/>
  <c r="R6" i="36"/>
  <c r="R7" i="36" s="1"/>
  <c r="R8" i="37"/>
  <c r="R9" i="37" s="1"/>
  <c r="O6" i="36"/>
  <c r="O7" i="36" s="1"/>
  <c r="O8" i="37"/>
  <c r="O9" i="37" s="1"/>
  <c r="P6" i="36"/>
  <c r="P7" i="36" s="1"/>
  <c r="P8" i="37"/>
  <c r="P9" i="37" s="1"/>
  <c r="M6" i="36"/>
  <c r="M7" i="36" s="1"/>
  <c r="M8" i="37"/>
  <c r="M9" i="37" s="1"/>
  <c r="H6" i="36"/>
  <c r="H7" i="36" s="1"/>
  <c r="H8" i="37"/>
  <c r="H9" i="37" s="1"/>
  <c r="E65" i="2"/>
  <c r="I65" i="2"/>
  <c r="N3" i="30" s="1"/>
  <c r="D67" i="2"/>
  <c r="F65" i="2"/>
  <c r="D65" i="2"/>
  <c r="C65" i="2"/>
  <c r="G65" i="2"/>
  <c r="H65" i="2"/>
  <c r="N67" i="2"/>
  <c r="O3" i="30" s="1"/>
  <c r="H67" i="2"/>
  <c r="L67" i="2"/>
  <c r="E67" i="2"/>
  <c r="I67" i="2"/>
  <c r="F67" i="2"/>
  <c r="J67" i="2"/>
  <c r="M67" i="2"/>
  <c r="G67" i="2"/>
  <c r="K67" i="2"/>
  <c r="AC19" i="31"/>
  <c r="AC20" i="31" s="1"/>
  <c r="X7" i="36"/>
  <c r="D53" i="2"/>
  <c r="C54" i="2"/>
  <c r="O94" i="2"/>
  <c r="O96" i="2" s="1"/>
  <c r="O98" i="2" s="1"/>
  <c r="O100" i="2" s="1"/>
  <c r="O101" i="2" s="1"/>
  <c r="O102" i="2" s="1"/>
  <c r="O46" i="2"/>
  <c r="O57" i="2" s="1"/>
  <c r="O43" i="2"/>
  <c r="O40" i="2"/>
  <c r="O42" i="2" s="1"/>
  <c r="K94" i="2"/>
  <c r="K96" i="2" s="1"/>
  <c r="K98" i="2" s="1"/>
  <c r="K100" i="2" s="1"/>
  <c r="K101" i="2" s="1"/>
  <c r="K102" i="2" s="1"/>
  <c r="K40" i="2"/>
  <c r="K42" i="2" s="1"/>
  <c r="K43" i="2"/>
  <c r="K46" i="2"/>
  <c r="K57" i="2" s="1"/>
  <c r="G94" i="2"/>
  <c r="G96" i="2" s="1"/>
  <c r="G98" i="2" s="1"/>
  <c r="G100" i="2" s="1"/>
  <c r="G101" i="2" s="1"/>
  <c r="G102" i="2" s="1"/>
  <c r="G46" i="2"/>
  <c r="G57" i="2" s="1"/>
  <c r="G40" i="2"/>
  <c r="G42" i="2" s="1"/>
  <c r="G43" i="2"/>
  <c r="L22" i="31"/>
  <c r="L21" i="31"/>
  <c r="T21" i="31"/>
  <c r="T22" i="31"/>
  <c r="U21" i="31"/>
  <c r="U22" i="31"/>
  <c r="O22" i="31"/>
  <c r="O21" i="31"/>
  <c r="Q22" i="31"/>
  <c r="Q21" i="31"/>
  <c r="R94" i="2"/>
  <c r="R96" i="2" s="1"/>
  <c r="R98" i="2" s="1"/>
  <c r="R100" i="2" s="1"/>
  <c r="R101" i="2" s="1"/>
  <c r="R102" i="2" s="1"/>
  <c r="R46" i="2"/>
  <c r="R57" i="2" s="1"/>
  <c r="R40" i="2"/>
  <c r="R42" i="2" s="1"/>
  <c r="R43" i="2"/>
  <c r="F94" i="2"/>
  <c r="F96" i="2" s="1"/>
  <c r="F98" i="2" s="1"/>
  <c r="F100" i="2" s="1"/>
  <c r="F101" i="2" s="1"/>
  <c r="F102" i="2" s="1"/>
  <c r="F43" i="2"/>
  <c r="F46" i="2"/>
  <c r="F57" i="2" s="1"/>
  <c r="F40" i="2"/>
  <c r="F42" i="2" s="1"/>
  <c r="H22" i="31"/>
  <c r="H21" i="31"/>
  <c r="V22" i="31"/>
  <c r="V21" i="31"/>
  <c r="E21" i="31"/>
  <c r="E22" i="31"/>
  <c r="I22" i="31"/>
  <c r="I21" i="31"/>
  <c r="G21" i="31"/>
  <c r="G22" i="31"/>
  <c r="W94" i="2"/>
  <c r="W96" i="2" s="1"/>
  <c r="W98" i="2" s="1"/>
  <c r="W100" i="2" s="1"/>
  <c r="W101" i="2" s="1"/>
  <c r="W102" i="2" s="1"/>
  <c r="W46" i="2"/>
  <c r="W57" i="2" s="1"/>
  <c r="W43" i="2"/>
  <c r="W40" i="2"/>
  <c r="W42" i="2" s="1"/>
  <c r="V94" i="2"/>
  <c r="V96" i="2" s="1"/>
  <c r="V98" i="2" s="1"/>
  <c r="V100" i="2" s="1"/>
  <c r="V101" i="2" s="1"/>
  <c r="V102" i="2" s="1"/>
  <c r="V43" i="2"/>
  <c r="V40" i="2"/>
  <c r="V42" i="2" s="1"/>
  <c r="V46" i="2"/>
  <c r="V57" i="2" s="1"/>
  <c r="J94" i="2"/>
  <c r="J96" i="2" s="1"/>
  <c r="J98" i="2" s="1"/>
  <c r="J100" i="2" s="1"/>
  <c r="J101" i="2" s="1"/>
  <c r="J102" i="2" s="1"/>
  <c r="J40" i="2"/>
  <c r="J42" i="2" s="1"/>
  <c r="J46" i="2"/>
  <c r="J57" i="2" s="1"/>
  <c r="J43" i="2"/>
  <c r="Y46" i="2"/>
  <c r="Y57" i="2" s="1"/>
  <c r="Y40" i="2"/>
  <c r="Y42" i="2" s="1"/>
  <c r="Y94" i="2"/>
  <c r="Y96" i="2" s="1"/>
  <c r="Y98" i="2" s="1"/>
  <c r="Y100" i="2" s="1"/>
  <c r="Y101" i="2" s="1"/>
  <c r="Y102" i="2" s="1"/>
  <c r="Y43" i="2"/>
  <c r="U94" i="2"/>
  <c r="U96" i="2" s="1"/>
  <c r="U98" i="2" s="1"/>
  <c r="U100" i="2" s="1"/>
  <c r="U101" i="2" s="1"/>
  <c r="U102" i="2" s="1"/>
  <c r="U40" i="2"/>
  <c r="U42" i="2" s="1"/>
  <c r="U46" i="2"/>
  <c r="U57" i="2" s="1"/>
  <c r="U43" i="2"/>
  <c r="Q94" i="2"/>
  <c r="Q96" i="2" s="1"/>
  <c r="Q98" i="2" s="1"/>
  <c r="Q100" i="2" s="1"/>
  <c r="Q101" i="2" s="1"/>
  <c r="Q102" i="2" s="1"/>
  <c r="Q43" i="2"/>
  <c r="Q46" i="2"/>
  <c r="Q57" i="2" s="1"/>
  <c r="Q40" i="2"/>
  <c r="Q42" i="2" s="1"/>
  <c r="M94" i="2"/>
  <c r="M96" i="2" s="1"/>
  <c r="M98" i="2" s="1"/>
  <c r="M100" i="2" s="1"/>
  <c r="M101" i="2" s="1"/>
  <c r="M102" i="2" s="1"/>
  <c r="M46" i="2"/>
  <c r="M57" i="2" s="1"/>
  <c r="M40" i="2"/>
  <c r="M42" i="2" s="1"/>
  <c r="M43" i="2"/>
  <c r="I94" i="2"/>
  <c r="I96" i="2" s="1"/>
  <c r="I98" i="2" s="1"/>
  <c r="I100" i="2" s="1"/>
  <c r="I101" i="2" s="1"/>
  <c r="I102" i="2" s="1"/>
  <c r="I40" i="2"/>
  <c r="I42" i="2" s="1"/>
  <c r="I43" i="2"/>
  <c r="I46" i="2"/>
  <c r="I57" i="2" s="1"/>
  <c r="E94" i="2"/>
  <c r="E96" i="2" s="1"/>
  <c r="E98" i="2" s="1"/>
  <c r="E100" i="2" s="1"/>
  <c r="E101" i="2" s="1"/>
  <c r="E102" i="2" s="1"/>
  <c r="E46" i="2"/>
  <c r="E57" i="2" s="1"/>
  <c r="E40" i="2"/>
  <c r="E42" i="2" s="1"/>
  <c r="E43" i="2"/>
  <c r="F8" i="37"/>
  <c r="F9" i="37" s="1"/>
  <c r="R22" i="31"/>
  <c r="R21" i="31"/>
  <c r="W22" i="31"/>
  <c r="W21" i="31"/>
  <c r="J22" i="31"/>
  <c r="J21" i="31"/>
  <c r="S22" i="31"/>
  <c r="S21" i="31"/>
  <c r="S94" i="2"/>
  <c r="S96" i="2" s="1"/>
  <c r="S98" i="2" s="1"/>
  <c r="S100" i="2" s="1"/>
  <c r="S101" i="2" s="1"/>
  <c r="S102" i="2" s="1"/>
  <c r="S46" i="2"/>
  <c r="S57" i="2" s="1"/>
  <c r="S40" i="2"/>
  <c r="S42" i="2" s="1"/>
  <c r="S43" i="2"/>
  <c r="Z94" i="2"/>
  <c r="Z96" i="2" s="1"/>
  <c r="Z98" i="2" s="1"/>
  <c r="Z100" i="2" s="1"/>
  <c r="Z101" i="2" s="1"/>
  <c r="Z102" i="2" s="1"/>
  <c r="Z40" i="2"/>
  <c r="Z42" i="2" s="1"/>
  <c r="Z46" i="2"/>
  <c r="Z57" i="2" s="1"/>
  <c r="Z43" i="2"/>
  <c r="N94" i="2"/>
  <c r="N96" i="2" s="1"/>
  <c r="N98" i="2" s="1"/>
  <c r="N100" i="2" s="1"/>
  <c r="N101" i="2" s="1"/>
  <c r="N102" i="2" s="1"/>
  <c r="N46" i="2"/>
  <c r="N57" i="2" s="1"/>
  <c r="N40" i="2"/>
  <c r="N42" i="2" s="1"/>
  <c r="N43" i="2"/>
  <c r="X94" i="2"/>
  <c r="X96" i="2" s="1"/>
  <c r="X98" i="2" s="1"/>
  <c r="X100" i="2" s="1"/>
  <c r="X101" i="2" s="1"/>
  <c r="X102" i="2" s="1"/>
  <c r="X40" i="2"/>
  <c r="X42" i="2" s="1"/>
  <c r="X46" i="2"/>
  <c r="X57" i="2" s="1"/>
  <c r="X43" i="2"/>
  <c r="T94" i="2"/>
  <c r="T96" i="2" s="1"/>
  <c r="T98" i="2" s="1"/>
  <c r="T100" i="2" s="1"/>
  <c r="T101" i="2" s="1"/>
  <c r="T102" i="2" s="1"/>
  <c r="T43" i="2"/>
  <c r="T46" i="2"/>
  <c r="T57" i="2" s="1"/>
  <c r="T40" i="2"/>
  <c r="T42" i="2" s="1"/>
  <c r="P40" i="2"/>
  <c r="P42" i="2" s="1"/>
  <c r="P94" i="2"/>
  <c r="P96" i="2" s="1"/>
  <c r="P98" i="2" s="1"/>
  <c r="P100" i="2" s="1"/>
  <c r="P101" i="2" s="1"/>
  <c r="P102" i="2" s="1"/>
  <c r="P46" i="2"/>
  <c r="P57" i="2" s="1"/>
  <c r="P43" i="2"/>
  <c r="L94" i="2"/>
  <c r="L96" i="2" s="1"/>
  <c r="L98" i="2" s="1"/>
  <c r="L100" i="2" s="1"/>
  <c r="L101" i="2" s="1"/>
  <c r="L102" i="2" s="1"/>
  <c r="L46" i="2"/>
  <c r="L57" i="2" s="1"/>
  <c r="L43" i="2"/>
  <c r="L40" i="2"/>
  <c r="L42" i="2" s="1"/>
  <c r="H94" i="2"/>
  <c r="H96" i="2" s="1"/>
  <c r="H98" i="2" s="1"/>
  <c r="H100" i="2" s="1"/>
  <c r="H101" i="2" s="1"/>
  <c r="H102" i="2" s="1"/>
  <c r="H40" i="2"/>
  <c r="H42" i="2" s="1"/>
  <c r="H46" i="2"/>
  <c r="H57" i="2" s="1"/>
  <c r="H43" i="2"/>
  <c r="D94" i="2"/>
  <c r="D46" i="2"/>
  <c r="C67" i="2"/>
  <c r="D40" i="2"/>
  <c r="D42" i="2" s="1"/>
  <c r="D43" i="2"/>
  <c r="P22" i="31"/>
  <c r="P21" i="31"/>
  <c r="M22" i="31"/>
  <c r="M21" i="31"/>
  <c r="N22" i="31"/>
  <c r="N21" i="31"/>
  <c r="K22" i="31"/>
  <c r="K21" i="31"/>
  <c r="F22" i="31"/>
  <c r="F21" i="31"/>
  <c r="C11" i="37" l="1"/>
  <c r="C58" i="37" s="1"/>
  <c r="C12" i="37"/>
  <c r="B58" i="37" s="1"/>
  <c r="D96" i="2"/>
  <c r="D98" i="2" s="1"/>
  <c r="D100" i="2" s="1"/>
  <c r="D101" i="2" s="1"/>
  <c r="D102" i="2" s="1"/>
  <c r="D108" i="2" s="1"/>
  <c r="D3" i="30"/>
  <c r="F6" i="36"/>
  <c r="F7" i="36" s="1"/>
  <c r="C9" i="36" s="1"/>
  <c r="C56" i="36" s="1"/>
  <c r="K29" i="31"/>
  <c r="O29" i="31"/>
  <c r="S29" i="31"/>
  <c r="W29" i="31"/>
  <c r="AA29" i="31"/>
  <c r="K30" i="31"/>
  <c r="O30" i="31"/>
  <c r="S30" i="31"/>
  <c r="W30" i="31"/>
  <c r="AA30" i="31"/>
  <c r="L29" i="31"/>
  <c r="P29" i="31"/>
  <c r="T29" i="31"/>
  <c r="X29" i="31"/>
  <c r="AB29" i="31"/>
  <c r="L30" i="31"/>
  <c r="P30" i="31"/>
  <c r="T30" i="31"/>
  <c r="X30" i="31"/>
  <c r="AB30" i="31"/>
  <c r="I29" i="31"/>
  <c r="M29" i="31"/>
  <c r="Q29" i="31"/>
  <c r="U29" i="31"/>
  <c r="Y29" i="31"/>
  <c r="I30" i="31"/>
  <c r="M30" i="31"/>
  <c r="Q30" i="31"/>
  <c r="U30" i="31"/>
  <c r="Y30" i="31"/>
  <c r="J29" i="31"/>
  <c r="N29" i="31"/>
  <c r="R29" i="31"/>
  <c r="V29" i="31"/>
  <c r="Z29" i="31"/>
  <c r="J30" i="31"/>
  <c r="N30" i="31"/>
  <c r="R30" i="31"/>
  <c r="V30" i="31"/>
  <c r="Z30" i="31"/>
  <c r="B26" i="31"/>
  <c r="I15" i="30" s="1"/>
  <c r="B25" i="31"/>
  <c r="H15" i="30" s="1"/>
  <c r="C61" i="2"/>
  <c r="C63" i="2"/>
  <c r="D57" i="2"/>
  <c r="T103" i="2"/>
  <c r="T104" i="2" s="1"/>
  <c r="T112" i="2"/>
  <c r="T110" i="2"/>
  <c r="T108" i="2"/>
  <c r="Z112" i="2"/>
  <c r="Z103" i="2"/>
  <c r="Z104" i="2" s="1"/>
  <c r="Z110" i="2"/>
  <c r="Z108" i="2"/>
  <c r="S55" i="2"/>
  <c r="S48" i="2"/>
  <c r="E110" i="2"/>
  <c r="E103" i="2"/>
  <c r="E104" i="2" s="1"/>
  <c r="E112" i="2"/>
  <c r="E108" i="2"/>
  <c r="U110" i="2"/>
  <c r="U103" i="2"/>
  <c r="U104" i="2" s="1"/>
  <c r="U112" i="2"/>
  <c r="U108" i="2"/>
  <c r="J48" i="2"/>
  <c r="J55" i="2"/>
  <c r="V110" i="2"/>
  <c r="V112" i="2"/>
  <c r="V103" i="2"/>
  <c r="V104" i="2" s="1"/>
  <c r="V108" i="2"/>
  <c r="W55" i="2"/>
  <c r="W48" i="2"/>
  <c r="F110" i="2"/>
  <c r="F103" i="2"/>
  <c r="F104" i="2" s="1"/>
  <c r="F112" i="2"/>
  <c r="F108" i="2"/>
  <c r="G55" i="2"/>
  <c r="G48" i="2"/>
  <c r="H110" i="2"/>
  <c r="H112" i="2"/>
  <c r="H103" i="2"/>
  <c r="H104" i="2" s="1"/>
  <c r="H108" i="2"/>
  <c r="L55" i="2"/>
  <c r="L48" i="2"/>
  <c r="P48" i="2"/>
  <c r="P55" i="2"/>
  <c r="T55" i="2"/>
  <c r="T48" i="2"/>
  <c r="X103" i="2"/>
  <c r="X104" i="2" s="1"/>
  <c r="X112" i="2"/>
  <c r="X110" i="2"/>
  <c r="X108" i="2"/>
  <c r="N55" i="2"/>
  <c r="N48" i="2"/>
  <c r="Z48" i="2"/>
  <c r="Z55" i="2"/>
  <c r="S110" i="2"/>
  <c r="S112" i="2"/>
  <c r="S103" i="2"/>
  <c r="S104" i="2" s="1"/>
  <c r="S108" i="2"/>
  <c r="I55" i="2"/>
  <c r="I48" i="2"/>
  <c r="I110" i="2"/>
  <c r="I103" i="2"/>
  <c r="I104" i="2" s="1"/>
  <c r="I112" i="2"/>
  <c r="I108" i="2"/>
  <c r="M48" i="2"/>
  <c r="M55" i="2"/>
  <c r="Q55" i="2"/>
  <c r="Q48" i="2"/>
  <c r="Y48" i="2"/>
  <c r="Y55" i="2"/>
  <c r="V48" i="2"/>
  <c r="V55" i="2"/>
  <c r="W103" i="2"/>
  <c r="W104" i="2" s="1"/>
  <c r="W110" i="2"/>
  <c r="W112" i="2"/>
  <c r="W108" i="2"/>
  <c r="R112" i="2"/>
  <c r="R103" i="2"/>
  <c r="R104" i="2" s="1"/>
  <c r="R110" i="2"/>
  <c r="R108" i="2"/>
  <c r="G112" i="2"/>
  <c r="G110" i="2"/>
  <c r="G103" i="2"/>
  <c r="G104" i="2" s="1"/>
  <c r="G108" i="2"/>
  <c r="L112" i="2"/>
  <c r="L110" i="2"/>
  <c r="L103" i="2"/>
  <c r="L104" i="2" s="1"/>
  <c r="L108" i="2"/>
  <c r="X55" i="2"/>
  <c r="X48" i="2"/>
  <c r="D21" i="31"/>
  <c r="H29" i="31"/>
  <c r="E30" i="31"/>
  <c r="E29" i="31"/>
  <c r="D29" i="31"/>
  <c r="G29" i="31"/>
  <c r="G30" i="31"/>
  <c r="F30" i="31"/>
  <c r="H30" i="31"/>
  <c r="D22" i="31"/>
  <c r="F29" i="31"/>
  <c r="D30" i="31"/>
  <c r="M110" i="2"/>
  <c r="M103" i="2"/>
  <c r="M104" i="2" s="1"/>
  <c r="M112" i="2"/>
  <c r="M108" i="2"/>
  <c r="U55" i="2"/>
  <c r="U48" i="2"/>
  <c r="F48" i="2"/>
  <c r="F55" i="2"/>
  <c r="K48" i="2"/>
  <c r="K55" i="2"/>
  <c r="K112" i="2"/>
  <c r="K103" i="2"/>
  <c r="K104" i="2" s="1"/>
  <c r="K110" i="2"/>
  <c r="K108" i="2"/>
  <c r="O48" i="2"/>
  <c r="O55" i="2"/>
  <c r="P103" i="2"/>
  <c r="P104" i="2" s="1"/>
  <c r="P112" i="2"/>
  <c r="P110" i="2"/>
  <c r="P108" i="2"/>
  <c r="D55" i="2"/>
  <c r="D48" i="2"/>
  <c r="H48" i="2"/>
  <c r="H55" i="2"/>
  <c r="N103" i="2"/>
  <c r="N104" i="2" s="1"/>
  <c r="N110" i="2"/>
  <c r="N112" i="2"/>
  <c r="N108" i="2"/>
  <c r="AC21" i="31"/>
  <c r="AC22" i="31"/>
  <c r="D15" i="30"/>
  <c r="E48" i="2"/>
  <c r="E55" i="2"/>
  <c r="Q103" i="2"/>
  <c r="Q104" i="2" s="1"/>
  <c r="Q112" i="2"/>
  <c r="Q110" i="2"/>
  <c r="Q108" i="2"/>
  <c r="Y103" i="2"/>
  <c r="Y104" i="2" s="1"/>
  <c r="Y112" i="2"/>
  <c r="Y110" i="2"/>
  <c r="Y108" i="2"/>
  <c r="J110" i="2"/>
  <c r="J112" i="2"/>
  <c r="J103" i="2"/>
  <c r="J104" i="2" s="1"/>
  <c r="J108" i="2"/>
  <c r="R48" i="2"/>
  <c r="R55" i="2"/>
  <c r="O110" i="2"/>
  <c r="O112" i="2"/>
  <c r="O103" i="2"/>
  <c r="O104" i="2" s="1"/>
  <c r="O108" i="2"/>
  <c r="M15" i="30" l="1"/>
  <c r="P3" i="30"/>
  <c r="B27" i="31"/>
  <c r="F15" i="30" s="1"/>
  <c r="B23" i="31"/>
  <c r="J15" i="30" s="1"/>
  <c r="B28" i="31"/>
  <c r="G15" i="30" s="1"/>
  <c r="B24" i="31"/>
  <c r="K15" i="30" s="1"/>
  <c r="C109" i="2"/>
  <c r="C10" i="36"/>
  <c r="B56" i="36" s="1"/>
  <c r="L15" i="30"/>
  <c r="D110" i="2"/>
  <c r="C111" i="2" s="1"/>
  <c r="Q3" i="30" s="1"/>
  <c r="D112" i="2"/>
  <c r="C113" i="2" s="1"/>
  <c r="R3" i="30" s="1"/>
  <c r="D103" i="2"/>
  <c r="D104" i="2" s="1"/>
  <c r="T16" i="36" l="1"/>
  <c r="T17" i="36" s="1"/>
  <c r="T18" i="37"/>
  <c r="T19" i="37" s="1"/>
  <c r="R16" i="36"/>
  <c r="R17" i="36" s="1"/>
  <c r="R18" i="37"/>
  <c r="R19" i="37" s="1"/>
  <c r="X16" i="36"/>
  <c r="X18" i="37"/>
  <c r="X19" i="37" s="1"/>
  <c r="K26" i="36"/>
  <c r="K27" i="36" s="1"/>
  <c r="K28" i="37"/>
  <c r="K29" i="37" s="1"/>
  <c r="J26" i="36"/>
  <c r="J27" i="36" s="1"/>
  <c r="J28" i="37"/>
  <c r="J29" i="37" s="1"/>
  <c r="Q26" i="36"/>
  <c r="Q27" i="36" s="1"/>
  <c r="Q28" i="37"/>
  <c r="Q29" i="37" s="1"/>
  <c r="V26" i="36"/>
  <c r="V27" i="36" s="1"/>
  <c r="V28" i="37"/>
  <c r="V29" i="37" s="1"/>
  <c r="T26" i="36"/>
  <c r="T27" i="36" s="1"/>
  <c r="T28" i="37"/>
  <c r="T29" i="37" s="1"/>
  <c r="X46" i="36"/>
  <c r="X47" i="36" s="1"/>
  <c r="X48" i="37"/>
  <c r="X49" i="37" s="1"/>
  <c r="T46" i="36"/>
  <c r="T47" i="36" s="1"/>
  <c r="T48" i="37"/>
  <c r="T49" i="37" s="1"/>
  <c r="H46" i="36"/>
  <c r="H48" i="37"/>
  <c r="H49" i="37" s="1"/>
  <c r="Y46" i="36"/>
  <c r="Y47" i="36" s="1"/>
  <c r="Y48" i="37"/>
  <c r="Y49" i="37" s="1"/>
  <c r="V46" i="36"/>
  <c r="V47" i="36" s="1"/>
  <c r="V48" i="37"/>
  <c r="V49" i="37" s="1"/>
  <c r="O16" i="36"/>
  <c r="O17" i="36" s="1"/>
  <c r="O18" i="37"/>
  <c r="O19" i="37" s="1"/>
  <c r="Y16" i="36"/>
  <c r="Y17" i="36" s="1"/>
  <c r="Y18" i="37"/>
  <c r="Y19" i="37" s="1"/>
  <c r="I16" i="36"/>
  <c r="I17" i="36" s="1"/>
  <c r="I18" i="37"/>
  <c r="I19" i="37" s="1"/>
  <c r="I26" i="36"/>
  <c r="I28" i="37"/>
  <c r="I29" i="37" s="1"/>
  <c r="M26" i="36"/>
  <c r="M27" i="36" s="1"/>
  <c r="M28" i="37"/>
  <c r="M29" i="37" s="1"/>
  <c r="U26" i="36"/>
  <c r="U28" i="37"/>
  <c r="U29" i="37" s="1"/>
  <c r="O26" i="36"/>
  <c r="O27" i="36" s="1"/>
  <c r="O28" i="37"/>
  <c r="O29" i="37" s="1"/>
  <c r="O46" i="36"/>
  <c r="O47" i="36" s="1"/>
  <c r="O48" i="37"/>
  <c r="O49" i="37" s="1"/>
  <c r="L46" i="36"/>
  <c r="L47" i="36" s="1"/>
  <c r="L48" i="37"/>
  <c r="L49" i="37" s="1"/>
  <c r="J46" i="36"/>
  <c r="J47" i="36" s="1"/>
  <c r="J48" i="37"/>
  <c r="J49" i="37" s="1"/>
  <c r="I46" i="36"/>
  <c r="I47" i="36" s="1"/>
  <c r="I48" i="37"/>
  <c r="I49" i="37" s="1"/>
  <c r="U46" i="36"/>
  <c r="U48" i="37"/>
  <c r="U49" i="37" s="1"/>
  <c r="H16" i="36"/>
  <c r="H17" i="36" s="1"/>
  <c r="H18" i="37"/>
  <c r="H19" i="37" s="1"/>
  <c r="U16" i="36"/>
  <c r="U17" i="36" s="1"/>
  <c r="U18" i="37"/>
  <c r="U19" i="37" s="1"/>
  <c r="Q16" i="36"/>
  <c r="Q17" i="36" s="1"/>
  <c r="Q18" i="37"/>
  <c r="Q19" i="37" s="1"/>
  <c r="V16" i="36"/>
  <c r="V17" i="36" s="1"/>
  <c r="V18" i="37"/>
  <c r="V19" i="37" s="1"/>
  <c r="G26" i="36"/>
  <c r="G27" i="36" s="1"/>
  <c r="G28" i="37"/>
  <c r="G29" i="37" s="1"/>
  <c r="H26" i="36"/>
  <c r="H28" i="37"/>
  <c r="H29" i="37" s="1"/>
  <c r="X26" i="36"/>
  <c r="X27" i="36" s="1"/>
  <c r="X28" i="37"/>
  <c r="X29" i="37" s="1"/>
  <c r="N26" i="36"/>
  <c r="N27" i="36" s="1"/>
  <c r="N28" i="37"/>
  <c r="N29" i="37" s="1"/>
  <c r="R26" i="36"/>
  <c r="R28" i="37"/>
  <c r="R29" i="37" s="1"/>
  <c r="P46" i="36"/>
  <c r="P48" i="37"/>
  <c r="P49" i="37" s="1"/>
  <c r="K46" i="36"/>
  <c r="K47" i="36" s="1"/>
  <c r="K48" i="37"/>
  <c r="K49" i="37" s="1"/>
  <c r="S46" i="36"/>
  <c r="S47" i="36" s="1"/>
  <c r="S48" i="37"/>
  <c r="S49" i="37" s="1"/>
  <c r="R46" i="36"/>
  <c r="R47" i="36" s="1"/>
  <c r="R48" i="37"/>
  <c r="R49" i="37" s="1"/>
  <c r="N46" i="36"/>
  <c r="N48" i="37"/>
  <c r="N49" i="37" s="1"/>
  <c r="G16" i="36"/>
  <c r="G17" i="36" s="1"/>
  <c r="G18" i="37"/>
  <c r="G19" i="37" s="1"/>
  <c r="S16" i="36"/>
  <c r="S17" i="36" s="1"/>
  <c r="S18" i="37"/>
  <c r="S19" i="37" s="1"/>
  <c r="L16" i="36"/>
  <c r="L18" i="37"/>
  <c r="L19" i="37" s="1"/>
  <c r="P16" i="36"/>
  <c r="P18" i="37"/>
  <c r="P19" i="37" s="1"/>
  <c r="K16" i="36"/>
  <c r="K18" i="37"/>
  <c r="K19" i="37" s="1"/>
  <c r="M16" i="36"/>
  <c r="M17" i="36" s="1"/>
  <c r="M18" i="37"/>
  <c r="M19" i="37" s="1"/>
  <c r="N16" i="36"/>
  <c r="N17" i="36" s="1"/>
  <c r="N18" i="37"/>
  <c r="N19" i="37" s="1"/>
  <c r="W16" i="36"/>
  <c r="W18" i="37"/>
  <c r="W19" i="37" s="1"/>
  <c r="J16" i="36"/>
  <c r="J17" i="36" s="1"/>
  <c r="J18" i="37"/>
  <c r="J19" i="37" s="1"/>
  <c r="W26" i="36"/>
  <c r="W27" i="36" s="1"/>
  <c r="W28" i="37"/>
  <c r="W29" i="37" s="1"/>
  <c r="P26" i="36"/>
  <c r="P27" i="36" s="1"/>
  <c r="P28" i="37"/>
  <c r="P29" i="37" s="1"/>
  <c r="S26" i="36"/>
  <c r="S27" i="36" s="1"/>
  <c r="S28" i="37"/>
  <c r="S29" i="37" s="1"/>
  <c r="Y26" i="36"/>
  <c r="Y27" i="36" s="1"/>
  <c r="Y28" i="37"/>
  <c r="Y29" i="37" s="1"/>
  <c r="L26" i="36"/>
  <c r="L28" i="37"/>
  <c r="L29" i="37" s="1"/>
  <c r="Q46" i="36"/>
  <c r="Q47" i="36" s="1"/>
  <c r="Q48" i="37"/>
  <c r="Q49" i="37" s="1"/>
  <c r="M46" i="36"/>
  <c r="M47" i="36" s="1"/>
  <c r="M48" i="37"/>
  <c r="M49" i="37" s="1"/>
  <c r="W46" i="36"/>
  <c r="W47" i="36" s="1"/>
  <c r="W48" i="37"/>
  <c r="W49" i="37" s="1"/>
  <c r="G46" i="36"/>
  <c r="G47" i="36" s="1"/>
  <c r="G48" i="37"/>
  <c r="G49" i="37" s="1"/>
  <c r="K17" i="36"/>
  <c r="W17" i="36"/>
  <c r="X17" i="36"/>
  <c r="H27" i="36"/>
  <c r="R27" i="36"/>
  <c r="H47" i="36"/>
  <c r="L27" i="36"/>
  <c r="U47" i="36"/>
  <c r="L17" i="36"/>
  <c r="P17" i="36"/>
  <c r="P47" i="36"/>
  <c r="N47" i="36"/>
  <c r="I27" i="36"/>
  <c r="U27" i="36"/>
  <c r="V153" i="31"/>
  <c r="V154" i="31"/>
  <c r="R153" i="31"/>
  <c r="R154" i="31"/>
  <c r="F154" i="31"/>
  <c r="F153" i="31"/>
  <c r="W153" i="31"/>
  <c r="W154" i="31"/>
  <c r="T153" i="31"/>
  <c r="T154" i="31"/>
  <c r="M153" i="31"/>
  <c r="M154" i="31"/>
  <c r="J154" i="31"/>
  <c r="J153" i="31"/>
  <c r="H154" i="31"/>
  <c r="H153" i="31"/>
  <c r="G153" i="31"/>
  <c r="G154" i="31"/>
  <c r="S154" i="31"/>
  <c r="S153" i="31"/>
  <c r="N154" i="31"/>
  <c r="N153" i="31"/>
  <c r="I154" i="31"/>
  <c r="I153" i="31"/>
  <c r="Q154" i="31"/>
  <c r="Q153" i="31"/>
  <c r="P153" i="31"/>
  <c r="P154" i="31"/>
  <c r="L154" i="31"/>
  <c r="L153" i="31"/>
  <c r="N7" i="30"/>
  <c r="O7" i="30"/>
  <c r="O154" i="31"/>
  <c r="O153" i="31"/>
  <c r="K153" i="31"/>
  <c r="K154" i="31"/>
  <c r="U154" i="31"/>
  <c r="U153" i="31"/>
  <c r="F48" i="37"/>
  <c r="F49" i="37" s="1"/>
  <c r="E154" i="31"/>
  <c r="E153" i="31"/>
  <c r="J54" i="31"/>
  <c r="J55" i="31"/>
  <c r="S54" i="31"/>
  <c r="S55" i="31"/>
  <c r="N55" i="31"/>
  <c r="N54" i="31"/>
  <c r="O55" i="31"/>
  <c r="O54" i="31"/>
  <c r="T55" i="31"/>
  <c r="T54" i="31"/>
  <c r="I88" i="31"/>
  <c r="I87" i="31"/>
  <c r="H88" i="31"/>
  <c r="H87" i="31"/>
  <c r="O87" i="31"/>
  <c r="O88" i="31"/>
  <c r="T88" i="31"/>
  <c r="T87" i="31"/>
  <c r="R88" i="31"/>
  <c r="R87" i="31"/>
  <c r="N4" i="30"/>
  <c r="O4" i="30"/>
  <c r="I54" i="31"/>
  <c r="I55" i="31"/>
  <c r="K54" i="31"/>
  <c r="K55" i="31"/>
  <c r="L54" i="31"/>
  <c r="L55" i="31"/>
  <c r="U55" i="31"/>
  <c r="U54" i="31"/>
  <c r="H54" i="31"/>
  <c r="H55" i="31"/>
  <c r="G88" i="31"/>
  <c r="G87" i="31"/>
  <c r="K88" i="31"/>
  <c r="K87" i="31"/>
  <c r="F28" i="37"/>
  <c r="F29" i="37" s="1"/>
  <c r="S88" i="31"/>
  <c r="S87" i="31"/>
  <c r="M87" i="31"/>
  <c r="M88" i="31"/>
  <c r="R55" i="31"/>
  <c r="R54" i="31"/>
  <c r="E54" i="31"/>
  <c r="E55" i="31"/>
  <c r="P55" i="31"/>
  <c r="P54" i="31"/>
  <c r="V55" i="31"/>
  <c r="V54" i="31"/>
  <c r="F18" i="37"/>
  <c r="F19" i="37" s="1"/>
  <c r="O5" i="30"/>
  <c r="E88" i="31"/>
  <c r="E87" i="31"/>
  <c r="F88" i="31"/>
  <c r="F87" i="31"/>
  <c r="V88" i="31"/>
  <c r="V87" i="31"/>
  <c r="L88" i="31"/>
  <c r="L87" i="31"/>
  <c r="P87" i="31"/>
  <c r="P88" i="31"/>
  <c r="F54" i="31"/>
  <c r="F55" i="31"/>
  <c r="M55" i="31"/>
  <c r="M54" i="31"/>
  <c r="Q54" i="31"/>
  <c r="Q55" i="31"/>
  <c r="W55" i="31"/>
  <c r="W54" i="31"/>
  <c r="G54" i="31"/>
  <c r="G55" i="31"/>
  <c r="N5" i="30"/>
  <c r="U87" i="31"/>
  <c r="U88" i="31"/>
  <c r="N88" i="31"/>
  <c r="N87" i="31"/>
  <c r="Q88" i="31"/>
  <c r="Q87" i="31"/>
  <c r="W87" i="31"/>
  <c r="W88" i="31"/>
  <c r="J88" i="31"/>
  <c r="J87" i="31"/>
  <c r="C21" i="37" l="1"/>
  <c r="C59" i="37" s="1"/>
  <c r="C22" i="37"/>
  <c r="B59" i="37" s="1"/>
  <c r="C32" i="37"/>
  <c r="B60" i="37" s="1"/>
  <c r="C31" i="37"/>
  <c r="C60" i="37" s="1"/>
  <c r="C51" i="37"/>
  <c r="C62" i="37" s="1"/>
  <c r="C52" i="37"/>
  <c r="B62" i="37" s="1"/>
  <c r="F16" i="36"/>
  <c r="F17" i="36" s="1"/>
  <c r="K62" i="31"/>
  <c r="O62" i="31"/>
  <c r="S62" i="31"/>
  <c r="W62" i="31"/>
  <c r="AA62" i="31"/>
  <c r="K63" i="31"/>
  <c r="O63" i="31"/>
  <c r="S63" i="31"/>
  <c r="W63" i="31"/>
  <c r="AA63" i="31"/>
  <c r="L62" i="31"/>
  <c r="P62" i="31"/>
  <c r="T62" i="31"/>
  <c r="X62" i="31"/>
  <c r="AB62" i="31"/>
  <c r="L63" i="31"/>
  <c r="P63" i="31"/>
  <c r="T63" i="31"/>
  <c r="X63" i="31"/>
  <c r="AB63" i="31"/>
  <c r="I62" i="31"/>
  <c r="M62" i="31"/>
  <c r="Q62" i="31"/>
  <c r="U62" i="31"/>
  <c r="Y62" i="31"/>
  <c r="I63" i="31"/>
  <c r="M63" i="31"/>
  <c r="Q63" i="31"/>
  <c r="U63" i="31"/>
  <c r="Y63" i="31"/>
  <c r="J62" i="31"/>
  <c r="N62" i="31"/>
  <c r="R62" i="31"/>
  <c r="V62" i="31"/>
  <c r="Z62" i="31"/>
  <c r="J63" i="31"/>
  <c r="N63" i="31"/>
  <c r="R63" i="31"/>
  <c r="V63" i="31"/>
  <c r="Z63" i="31"/>
  <c r="J95" i="31"/>
  <c r="N95" i="31"/>
  <c r="R95" i="31"/>
  <c r="V95" i="31"/>
  <c r="Z95" i="31"/>
  <c r="K95" i="31"/>
  <c r="O95" i="31"/>
  <c r="S95" i="31"/>
  <c r="L95" i="31"/>
  <c r="P95" i="31"/>
  <c r="T95" i="31"/>
  <c r="X95" i="31"/>
  <c r="F26" i="36"/>
  <c r="F27" i="36" s="1"/>
  <c r="I95" i="31"/>
  <c r="M95" i="31"/>
  <c r="Q95" i="31"/>
  <c r="AA95" i="31"/>
  <c r="K96" i="31"/>
  <c r="O96" i="31"/>
  <c r="S96" i="31"/>
  <c r="W96" i="31"/>
  <c r="AA96" i="31"/>
  <c r="U95" i="31"/>
  <c r="AB95" i="31"/>
  <c r="L96" i="31"/>
  <c r="P96" i="31"/>
  <c r="T96" i="31"/>
  <c r="X96" i="31"/>
  <c r="AB96" i="31"/>
  <c r="W95" i="31"/>
  <c r="I96" i="31"/>
  <c r="M96" i="31"/>
  <c r="Q96" i="31"/>
  <c r="U96" i="31"/>
  <c r="Y96" i="31"/>
  <c r="Y95" i="31"/>
  <c r="J96" i="31"/>
  <c r="N96" i="31"/>
  <c r="R96" i="31"/>
  <c r="V96" i="31"/>
  <c r="Z96" i="31"/>
  <c r="F46" i="36"/>
  <c r="F47" i="36" s="1"/>
  <c r="C50" i="36" s="1"/>
  <c r="B60" i="36" s="1"/>
  <c r="F161" i="31"/>
  <c r="J161" i="31"/>
  <c r="N161" i="31"/>
  <c r="R161" i="31"/>
  <c r="V161" i="31"/>
  <c r="Z161" i="31"/>
  <c r="F162" i="31"/>
  <c r="J162" i="31"/>
  <c r="N162" i="31"/>
  <c r="R162" i="31"/>
  <c r="V162" i="31"/>
  <c r="Z162" i="31"/>
  <c r="D161" i="31"/>
  <c r="G161" i="31"/>
  <c r="K161" i="31"/>
  <c r="O161" i="31"/>
  <c r="S161" i="31"/>
  <c r="W161" i="31"/>
  <c r="AA161" i="31"/>
  <c r="G162" i="31"/>
  <c r="K162" i="31"/>
  <c r="O162" i="31"/>
  <c r="S162" i="31"/>
  <c r="W162" i="31"/>
  <c r="AA162" i="31"/>
  <c r="H161" i="31"/>
  <c r="L161" i="31"/>
  <c r="P161" i="31"/>
  <c r="T161" i="31"/>
  <c r="X161" i="31"/>
  <c r="AB161" i="31"/>
  <c r="H162" i="31"/>
  <c r="L162" i="31"/>
  <c r="P162" i="31"/>
  <c r="T162" i="31"/>
  <c r="X162" i="31"/>
  <c r="AB162" i="31"/>
  <c r="E161" i="31"/>
  <c r="I161" i="31"/>
  <c r="M161" i="31"/>
  <c r="Q161" i="31"/>
  <c r="U161" i="31"/>
  <c r="Y161" i="31"/>
  <c r="E162" i="31"/>
  <c r="I162" i="31"/>
  <c r="M162" i="31"/>
  <c r="Q162" i="31"/>
  <c r="U162" i="31"/>
  <c r="Y162" i="31"/>
  <c r="D162" i="31"/>
  <c r="B58" i="31"/>
  <c r="H16" i="30" s="1"/>
  <c r="B59" i="31"/>
  <c r="I16" i="30" s="1"/>
  <c r="B92" i="31"/>
  <c r="I17" i="30" s="1"/>
  <c r="B91" i="31"/>
  <c r="H17" i="30" s="1"/>
  <c r="B158" i="31"/>
  <c r="I19" i="30" s="1"/>
  <c r="B157" i="31"/>
  <c r="H19" i="30" s="1"/>
  <c r="K5" i="30"/>
  <c r="J5" i="30"/>
  <c r="K7" i="30"/>
  <c r="I7" i="30"/>
  <c r="I4" i="30"/>
  <c r="K4" i="30"/>
  <c r="M4" i="30"/>
  <c r="L4" i="30"/>
  <c r="M5" i="30"/>
  <c r="L5" i="30"/>
  <c r="J4" i="30"/>
  <c r="H4" i="30"/>
  <c r="M7" i="30"/>
  <c r="L7" i="30"/>
  <c r="J7" i="30"/>
  <c r="H7" i="30"/>
  <c r="D153" i="31"/>
  <c r="D154" i="31"/>
  <c r="G7" i="30"/>
  <c r="L19" i="30"/>
  <c r="AC153" i="31"/>
  <c r="AC154" i="31"/>
  <c r="D19" i="30"/>
  <c r="D7" i="30"/>
  <c r="F7" i="30"/>
  <c r="I5" i="30"/>
  <c r="AC54" i="31"/>
  <c r="AC55" i="31"/>
  <c r="D16" i="30"/>
  <c r="D96" i="31"/>
  <c r="M17" i="30" s="1"/>
  <c r="E96" i="31"/>
  <c r="E95" i="31"/>
  <c r="G96" i="31"/>
  <c r="D88" i="31"/>
  <c r="H96" i="31"/>
  <c r="D95" i="31"/>
  <c r="L17" i="30" s="1"/>
  <c r="D87" i="31"/>
  <c r="H95" i="31"/>
  <c r="F96" i="31"/>
  <c r="G95" i="31"/>
  <c r="F95" i="31"/>
  <c r="G4" i="30"/>
  <c r="H5" i="30"/>
  <c r="D5" i="30"/>
  <c r="F5" i="30"/>
  <c r="AC88" i="31"/>
  <c r="AC87" i="31"/>
  <c r="D17" i="30"/>
  <c r="F4" i="30"/>
  <c r="G5" i="30"/>
  <c r="D55" i="31"/>
  <c r="B60" i="31" s="1"/>
  <c r="D63" i="31"/>
  <c r="D62" i="31"/>
  <c r="G63" i="31"/>
  <c r="E63" i="31"/>
  <c r="D54" i="31"/>
  <c r="F63" i="31"/>
  <c r="H62" i="31"/>
  <c r="H63" i="31"/>
  <c r="G62" i="31"/>
  <c r="E62" i="31"/>
  <c r="F62" i="31"/>
  <c r="D4" i="30"/>
  <c r="B61" i="31" l="1"/>
  <c r="G16" i="30" s="1"/>
  <c r="B57" i="31"/>
  <c r="K16" i="30" s="1"/>
  <c r="B160" i="31"/>
  <c r="G19" i="30" s="1"/>
  <c r="B156" i="31"/>
  <c r="K19" i="30" s="1"/>
  <c r="F16" i="30"/>
  <c r="B56" i="31"/>
  <c r="J16" i="30" s="1"/>
  <c r="B89" i="31"/>
  <c r="J17" i="30" s="1"/>
  <c r="B93" i="31"/>
  <c r="F17" i="30" s="1"/>
  <c r="B94" i="31"/>
  <c r="G17" i="30" s="1"/>
  <c r="B90" i="31"/>
  <c r="K17" i="30" s="1"/>
  <c r="B159" i="31"/>
  <c r="F19" i="30" s="1"/>
  <c r="B155" i="31"/>
  <c r="J19" i="30" s="1"/>
  <c r="M16" i="30"/>
  <c r="M19" i="30"/>
  <c r="C49" i="36"/>
  <c r="C60" i="36" s="1"/>
  <c r="C30" i="36"/>
  <c r="B58" i="36" s="1"/>
  <c r="C29" i="36"/>
  <c r="C58" i="36" s="1"/>
  <c r="C20" i="36"/>
  <c r="B57" i="36" s="1"/>
  <c r="C19" i="36"/>
  <c r="C57" i="36" s="1"/>
  <c r="L16" i="30"/>
  <c r="Q7" i="30"/>
  <c r="R7" i="30"/>
  <c r="Q5" i="30"/>
  <c r="R5" i="30"/>
  <c r="R4" i="30"/>
  <c r="Q4" i="30"/>
  <c r="P7" i="30" l="1"/>
  <c r="P5" i="30"/>
  <c r="P4" i="30"/>
  <c r="AB43" i="2"/>
  <c r="AC38" i="2"/>
  <c r="AC34" i="2" s="1"/>
  <c r="AC26" i="2"/>
  <c r="AB45" i="2"/>
  <c r="AB95" i="2"/>
  <c r="AB70" i="2"/>
  <c r="AB71" i="2"/>
  <c r="AB97" i="2" s="1"/>
  <c r="AC80" i="2"/>
  <c r="AC83" i="2"/>
  <c r="AC86" i="2"/>
  <c r="AC89" i="2"/>
  <c r="AC77" i="2"/>
  <c r="AC92" i="2"/>
  <c r="AC78" i="2"/>
  <c r="AC79" i="2" s="1"/>
  <c r="AD78" i="2"/>
  <c r="AC75" i="2"/>
  <c r="AC76" i="2" s="1"/>
  <c r="AC81" i="2"/>
  <c r="AC82" i="2" s="1"/>
  <c r="AD83" i="2" s="1"/>
  <c r="AC84" i="2"/>
  <c r="AC87" i="2"/>
  <c r="AD87" i="2" s="1"/>
  <c r="AC90" i="2"/>
  <c r="AC91" i="2" s="1"/>
  <c r="AD90" i="2"/>
  <c r="AE90" i="2" s="1"/>
  <c r="AC28" i="2"/>
  <c r="AD31" i="2" s="1"/>
  <c r="AD26" i="2" l="1"/>
  <c r="AD45" i="2" s="1"/>
  <c r="AD32" i="2"/>
  <c r="AD30" i="2" s="1"/>
  <c r="AD47" i="2" s="1"/>
  <c r="AB40" i="2"/>
  <c r="AB42" i="2" s="1"/>
  <c r="AD28" i="2"/>
  <c r="AD38" i="2"/>
  <c r="AC71" i="2"/>
  <c r="AC97" i="2" s="1"/>
  <c r="AC45" i="2"/>
  <c r="AC24" i="2"/>
  <c r="AC53" i="2" s="1"/>
  <c r="AC95" i="2"/>
  <c r="AF90" i="2"/>
  <c r="AE87" i="2"/>
  <c r="AE78" i="2"/>
  <c r="AD79" i="2"/>
  <c r="AE80" i="2" s="1"/>
  <c r="AD92" i="2"/>
  <c r="AD77" i="2"/>
  <c r="AC88" i="2"/>
  <c r="AD91" i="2"/>
  <c r="AE92" i="2" s="1"/>
  <c r="AC85" i="2"/>
  <c r="AD84" i="2"/>
  <c r="AD80" i="2"/>
  <c r="AC46" i="2"/>
  <c r="AD81" i="2"/>
  <c r="AD75" i="2"/>
  <c r="AC94" i="2"/>
  <c r="AB46" i="2"/>
  <c r="AC40" i="2"/>
  <c r="AC42" i="2" s="1"/>
  <c r="AB53" i="2"/>
  <c r="AB94" i="2"/>
  <c r="AB96" i="2" s="1"/>
  <c r="AB98" i="2" s="1"/>
  <c r="AB100" i="2" s="1"/>
  <c r="AD24" i="2" l="1"/>
  <c r="AC43" i="2"/>
  <c r="G3" i="30" s="1"/>
  <c r="AD95" i="2"/>
  <c r="AD34" i="2"/>
  <c r="AD43" i="2" s="1"/>
  <c r="F3" i="30"/>
  <c r="AE32" i="2"/>
  <c r="AE31" i="2"/>
  <c r="AE26" i="2"/>
  <c r="AE24" i="2" s="1"/>
  <c r="AE38" i="2"/>
  <c r="AE34" i="2" s="1"/>
  <c r="AE46" i="2" s="1"/>
  <c r="AC96" i="2"/>
  <c r="AC98" i="2" s="1"/>
  <c r="AC100" i="2" s="1"/>
  <c r="AC101" i="2" s="1"/>
  <c r="AC102" i="2" s="1"/>
  <c r="AE28" i="2"/>
  <c r="AF26" i="2" s="1"/>
  <c r="AF24" i="2" s="1"/>
  <c r="AD76" i="2"/>
  <c r="AE75" i="2"/>
  <c r="AF87" i="2"/>
  <c r="AD82" i="2"/>
  <c r="AE81" i="2"/>
  <c r="AD89" i="2"/>
  <c r="AE79" i="2"/>
  <c r="AF78" i="2"/>
  <c r="AE91" i="2"/>
  <c r="AB101" i="2"/>
  <c r="AB102" i="2" s="1"/>
  <c r="AB55" i="2"/>
  <c r="AB48" i="2"/>
  <c r="AB57" i="2"/>
  <c r="AC57" i="2"/>
  <c r="AC48" i="2"/>
  <c r="AC55" i="2"/>
  <c r="AE84" i="2"/>
  <c r="AD85" i="2"/>
  <c r="AE86" i="2" s="1"/>
  <c r="AE94" i="2"/>
  <c r="AF91" i="2"/>
  <c r="AG90" i="2"/>
  <c r="AD86" i="2"/>
  <c r="AD88" i="2"/>
  <c r="AE89" i="2" s="1"/>
  <c r="AC70" i="2"/>
  <c r="AE43" i="2" l="1"/>
  <c r="AE45" i="2"/>
  <c r="AE95" i="2"/>
  <c r="AE96" i="2" s="1"/>
  <c r="AD53" i="2"/>
  <c r="AD40" i="2"/>
  <c r="AD42" i="2" s="1"/>
  <c r="AD46" i="2"/>
  <c r="AD94" i="2"/>
  <c r="AD96" i="2" s="1"/>
  <c r="AF32" i="2"/>
  <c r="AF31" i="2"/>
  <c r="AE30" i="2"/>
  <c r="AF28" i="2"/>
  <c r="AF38" i="2"/>
  <c r="AF34" i="2" s="1"/>
  <c r="AF46" i="2" s="1"/>
  <c r="AD71" i="2"/>
  <c r="AD97" i="2" s="1"/>
  <c r="AG92" i="2"/>
  <c r="AC112" i="2"/>
  <c r="AC103" i="2"/>
  <c r="AC104" i="2" s="1"/>
  <c r="AC108" i="2"/>
  <c r="AC110" i="2"/>
  <c r="AB110" i="2"/>
  <c r="AB112" i="2"/>
  <c r="AB103" i="2"/>
  <c r="AB104" i="2" s="1"/>
  <c r="AB108" i="2"/>
  <c r="AF80" i="2"/>
  <c r="AE88" i="2"/>
  <c r="AF88" i="2" s="1"/>
  <c r="AG91" i="2"/>
  <c r="AH92" i="2" s="1"/>
  <c r="AH90" i="2"/>
  <c r="AG87" i="2"/>
  <c r="AF92" i="2"/>
  <c r="AE57" i="2"/>
  <c r="AE82" i="2"/>
  <c r="AF83" i="2" s="1"/>
  <c r="AF81" i="2"/>
  <c r="AF45" i="2"/>
  <c r="AF95" i="2"/>
  <c r="AE76" i="2"/>
  <c r="AF75" i="2"/>
  <c r="AE85" i="2"/>
  <c r="AF84" i="2"/>
  <c r="AF79" i="2"/>
  <c r="AG78" i="2"/>
  <c r="AE83" i="2"/>
  <c r="AG26" i="2"/>
  <c r="AG24" i="2" s="1"/>
  <c r="AG38" i="2"/>
  <c r="AG34" i="2" s="1"/>
  <c r="AG28" i="2"/>
  <c r="AD70" i="2"/>
  <c r="AE77" i="2"/>
  <c r="AF94" i="2" l="1"/>
  <c r="AF96" i="2" s="1"/>
  <c r="AD55" i="2"/>
  <c r="AD57" i="2"/>
  <c r="AD48" i="2"/>
  <c r="AD98" i="2"/>
  <c r="AD100" i="2" s="1"/>
  <c r="AD101" i="2" s="1"/>
  <c r="AD102" i="2" s="1"/>
  <c r="AH32" i="2"/>
  <c r="AH31" i="2"/>
  <c r="AG32" i="2"/>
  <c r="AG31" i="2"/>
  <c r="AE47" i="2"/>
  <c r="AE53" i="2"/>
  <c r="AE40" i="2"/>
  <c r="AE42" i="2" s="1"/>
  <c r="AF30" i="2"/>
  <c r="AF53" i="2" s="1"/>
  <c r="AF43" i="2"/>
  <c r="AF89" i="2"/>
  <c r="AE70" i="2"/>
  <c r="AG89" i="2"/>
  <c r="AE71" i="2"/>
  <c r="AE97" i="2" s="1"/>
  <c r="AE98" i="2" s="1"/>
  <c r="AE100" i="2" s="1"/>
  <c r="AE101" i="2" s="1"/>
  <c r="AE102" i="2" s="1"/>
  <c r="AG79" i="2"/>
  <c r="AH80" i="2" s="1"/>
  <c r="AH78" i="2"/>
  <c r="AF76" i="2"/>
  <c r="AG77" i="2" s="1"/>
  <c r="AG75" i="2"/>
  <c r="AF82" i="2"/>
  <c r="AG81" i="2"/>
  <c r="AH91" i="2"/>
  <c r="AG80" i="2"/>
  <c r="AH26" i="2"/>
  <c r="AH24" i="2" s="1"/>
  <c r="AH28" i="2"/>
  <c r="AH38" i="2"/>
  <c r="AH34" i="2" s="1"/>
  <c r="AG46" i="2"/>
  <c r="AG43" i="2"/>
  <c r="AG94" i="2"/>
  <c r="AF85" i="2"/>
  <c r="AG86" i="2" s="1"/>
  <c r="AG84" i="2"/>
  <c r="AF57" i="2"/>
  <c r="AF77" i="2"/>
  <c r="AG95" i="2"/>
  <c r="AG45" i="2"/>
  <c r="AF86" i="2"/>
  <c r="AG88" i="2"/>
  <c r="AH89" i="2" s="1"/>
  <c r="AH87" i="2"/>
  <c r="AH30" i="2" l="1"/>
  <c r="AH47" i="2" s="1"/>
  <c r="AG30" i="2"/>
  <c r="AF47" i="2"/>
  <c r="AF40" i="2"/>
  <c r="AF42" i="2" s="1"/>
  <c r="AE55" i="2"/>
  <c r="AE48" i="2"/>
  <c r="AH88" i="2"/>
  <c r="AD112" i="2"/>
  <c r="AD103" i="2"/>
  <c r="AD104" i="2" s="1"/>
  <c r="AD108" i="2"/>
  <c r="AD110" i="2"/>
  <c r="AE112" i="2"/>
  <c r="AE108" i="2"/>
  <c r="AE103" i="2"/>
  <c r="AE104" i="2" s="1"/>
  <c r="AE110" i="2"/>
  <c r="AG96" i="2"/>
  <c r="AH46" i="2"/>
  <c r="AH53" i="2"/>
  <c r="AH43" i="2"/>
  <c r="AH94" i="2"/>
  <c r="AH40" i="2"/>
  <c r="AH42" i="2" s="1"/>
  <c r="AF70" i="2"/>
  <c r="AF71" i="2"/>
  <c r="AF97" i="2" s="1"/>
  <c r="AF98" i="2" s="1"/>
  <c r="AF100" i="2" s="1"/>
  <c r="AH84" i="2"/>
  <c r="AG85" i="2"/>
  <c r="AH86" i="2" s="1"/>
  <c r="AG82" i="2"/>
  <c r="AH83" i="2" s="1"/>
  <c r="AH81" i="2"/>
  <c r="AH79" i="2"/>
  <c r="AH45" i="2"/>
  <c r="AH95" i="2"/>
  <c r="AG57" i="2"/>
  <c r="AG76" i="2"/>
  <c r="AH75" i="2"/>
  <c r="AH76" i="2" s="1"/>
  <c r="AG83" i="2"/>
  <c r="AG71" i="2" s="1"/>
  <c r="AG97" i="2" s="1"/>
  <c r="AF48" i="2" l="1"/>
  <c r="AF55" i="2"/>
  <c r="AG47" i="2"/>
  <c r="C56" i="2" s="1"/>
  <c r="L3" i="30" s="1"/>
  <c r="AG40" i="2"/>
  <c r="AG42" i="2" s="1"/>
  <c r="C50" i="2" s="1"/>
  <c r="H3" i="30" s="1"/>
  <c r="AG53" i="2"/>
  <c r="AG70" i="2"/>
  <c r="AH85" i="2"/>
  <c r="C60" i="2"/>
  <c r="J3" i="30" s="1"/>
  <c r="C58" i="2"/>
  <c r="M3" i="30" s="1"/>
  <c r="AH82" i="2"/>
  <c r="C62" i="2"/>
  <c r="K3" i="30" s="1"/>
  <c r="C51" i="2"/>
  <c r="I3" i="30" s="1"/>
  <c r="AF101" i="2"/>
  <c r="AF102" i="2" s="1"/>
  <c r="AH77" i="2"/>
  <c r="AH71" i="2" s="1"/>
  <c r="AH97" i="2" s="1"/>
  <c r="AH48" i="2"/>
  <c r="AH55" i="2"/>
  <c r="AH57" i="2"/>
  <c r="AH96" i="2"/>
  <c r="AG98" i="2"/>
  <c r="AG100" i="2" s="1"/>
  <c r="AH70" i="2" l="1"/>
  <c r="AG48" i="2"/>
  <c r="AG55" i="2"/>
  <c r="AF103" i="2"/>
  <c r="AF104" i="2" s="1"/>
  <c r="AF108" i="2"/>
  <c r="AF112" i="2"/>
  <c r="AF110" i="2"/>
  <c r="AG101" i="2"/>
  <c r="AG102" i="2" s="1"/>
  <c r="AH98" i="2"/>
  <c r="AH100" i="2" s="1"/>
  <c r="AG112" i="2" l="1"/>
  <c r="AG110" i="2"/>
  <c r="AG103" i="2"/>
  <c r="AG104" i="2" s="1"/>
  <c r="AG108" i="2"/>
  <c r="AH101" i="2"/>
  <c r="AH102" i="2" s="1"/>
  <c r="AH108" i="2" l="1"/>
  <c r="AH103" i="2"/>
  <c r="AH104" i="2" s="1"/>
  <c r="AH112" i="2"/>
  <c r="AH1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4661680C-E1E4-453E-A5A6-C3054E100806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ED2B201B-7298-4CAA-B606-105AF758A727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3FC143EB-0E57-4A0E-9B13-932A2EB2C97F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8C4CC598-5ADE-497B-B3B3-3E024FC03382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sharedStrings.xml><?xml version="1.0" encoding="utf-8"?>
<sst xmlns="http://schemas.openxmlformats.org/spreadsheetml/2006/main" count="1258" uniqueCount="186">
  <si>
    <t>Burkina Faso</t>
  </si>
  <si>
    <t>Annual Budget (USD $)</t>
  </si>
  <si>
    <t>Y1</t>
  </si>
  <si>
    <t>Y2</t>
  </si>
  <si>
    <t>Y3</t>
  </si>
  <si>
    <t>Y4</t>
  </si>
  <si>
    <t>Y5</t>
  </si>
  <si>
    <t>Y6</t>
  </si>
  <si>
    <t>Value</t>
  </si>
  <si>
    <t>Unit</t>
  </si>
  <si>
    <t>Investment</t>
  </si>
  <si>
    <t>Capital cost</t>
  </si>
  <si>
    <t>USD</t>
  </si>
  <si>
    <t>Units</t>
  </si>
  <si>
    <t>Mali</t>
  </si>
  <si>
    <t>Budget for Operations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</si>
  <si>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</si>
  <si>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</si>
  <si>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</si>
  <si>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</si>
  <si>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</si>
  <si>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</si>
  <si>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</si>
  <si>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</si>
  <si>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</si>
  <si>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</si>
  <si>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</si>
  <si>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</si>
  <si>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</si>
  <si>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</si>
  <si>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</si>
  <si>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</si>
  <si>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</si>
  <si>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</si>
  <si>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</si>
  <si>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</si>
  <si>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Revenues</t>
  </si>
  <si>
    <t>USD/Year</t>
  </si>
  <si>
    <t>Distribution of budget across different interventions</t>
  </si>
  <si>
    <t>Discounting time series</t>
  </si>
  <si>
    <t>Year of discounting</t>
  </si>
  <si>
    <t>Year of operations</t>
  </si>
  <si>
    <t>Discounted net benefits</t>
  </si>
  <si>
    <t>Discount rate investments</t>
  </si>
  <si>
    <t>Discount rate externalities</t>
  </si>
  <si>
    <t>Discounting multiplier invesment and O&amp;M</t>
  </si>
  <si>
    <t>Discounting multiplier externalities</t>
  </si>
  <si>
    <t>Discounted investment and cost</t>
  </si>
  <si>
    <t>Financing:</t>
  </si>
  <si>
    <t>CPLTD</t>
  </si>
  <si>
    <t>Interest</t>
  </si>
  <si>
    <t>$</t>
  </si>
  <si>
    <t>Tenor</t>
  </si>
  <si>
    <t>Grace Period</t>
  </si>
  <si>
    <t>Cost of financing</t>
  </si>
  <si>
    <t>Total cost (O&amp;M)</t>
  </si>
  <si>
    <t>Margin / (EBITDA)</t>
  </si>
  <si>
    <t>(-) Interest expenses</t>
  </si>
  <si>
    <t>Operational Result (EBT)</t>
  </si>
  <si>
    <t>Profit before tax</t>
  </si>
  <si>
    <t>Project cashflow / Net revenue</t>
  </si>
  <si>
    <t>(+) Extraord. Income</t>
  </si>
  <si>
    <t>(-) Income tax</t>
  </si>
  <si>
    <t>Net profit</t>
  </si>
  <si>
    <t>Free Cash Flow</t>
  </si>
  <si>
    <t>Free Cash Flow (including externalities)</t>
  </si>
  <si>
    <t>Total Debt</t>
  </si>
  <si>
    <t>Dmnl</t>
  </si>
  <si>
    <t>%</t>
  </si>
  <si>
    <t>Years</t>
  </si>
  <si>
    <t>Discounted revenues</t>
  </si>
  <si>
    <t>Revenues generated</t>
  </si>
  <si>
    <t>Value of externalities</t>
  </si>
  <si>
    <t>Total investment</t>
  </si>
  <si>
    <t>Total items in year 1</t>
  </si>
  <si>
    <t>Budget available per year (for 6 years)</t>
  </si>
  <si>
    <t>Payback period</t>
  </si>
  <si>
    <t>Payback Period (Years)</t>
  </si>
  <si>
    <t>total</t>
  </si>
  <si>
    <t>Discount rate</t>
  </si>
  <si>
    <t>Total</t>
  </si>
  <si>
    <t>Net Benefit (including externalities)</t>
  </si>
  <si>
    <t>Net Benefit (excluding externalities)</t>
  </si>
  <si>
    <t>IRR</t>
  </si>
  <si>
    <t>NPV</t>
  </si>
  <si>
    <t>S-IRR</t>
  </si>
  <si>
    <t>BCR</t>
  </si>
  <si>
    <t>S-BCR</t>
  </si>
  <si>
    <t>S-NPV</t>
  </si>
  <si>
    <t>S-Payback Period</t>
  </si>
  <si>
    <t>S_NPV</t>
  </si>
  <si>
    <t>S-Payback Period (Years)</t>
  </si>
  <si>
    <t>Undiscounted net benefit with externalities</t>
  </si>
  <si>
    <t>Undiscounted net benefit without externalities</t>
  </si>
  <si>
    <t>Program</t>
  </si>
  <si>
    <t>S-IRR (lifetime)</t>
  </si>
  <si>
    <t>IRR (lifetime)</t>
  </si>
  <si>
    <t xml:space="preserve">S-Payback Period (Years) </t>
  </si>
  <si>
    <t>Investment available for the country</t>
  </si>
  <si>
    <t>Benefit to cost ratio (lifetime) / undiscounted</t>
  </si>
  <si>
    <t>Benefit to cost ratio (annual) / discounted</t>
  </si>
  <si>
    <t>Benefit to cost ratio (annual) / undiscounted</t>
  </si>
  <si>
    <t>Benefit to cost ratio (lifetime) / discounted</t>
  </si>
  <si>
    <t>S-IRR (5 years)</t>
  </si>
  <si>
    <t>IRR (5 years)</t>
  </si>
  <si>
    <t>Payback Period</t>
  </si>
  <si>
    <t>Income tax</t>
  </si>
  <si>
    <t>S-Benefit to cost ratio (annual) / discounted</t>
  </si>
  <si>
    <t>S-Benefit to cost ratio (lifetime) / discounted</t>
  </si>
  <si>
    <t>Total outstanding loan</t>
  </si>
  <si>
    <t>Interest rate Smallholders</t>
  </si>
  <si>
    <t>Interest rate SME</t>
  </si>
  <si>
    <t>Interest rate Cooperatives</t>
  </si>
  <si>
    <t>Debt Service Coverage Ratio - Farmers organizations</t>
  </si>
  <si>
    <t>Debt Coverage Ratio (DCR) (annual) - Farmers organizations</t>
  </si>
  <si>
    <t>Debt Coverage Ratio (DCR) (average) - Farmers organizations</t>
  </si>
  <si>
    <t>Debt Coverage Ratio (DCR) (annual) - MSMEs</t>
  </si>
  <si>
    <t>Debt Coverage Ratio (DCR) (average) - MSMEs</t>
  </si>
  <si>
    <t>Debt Coverage Ratio (DCR) (annual) - COOPERATIVES</t>
  </si>
  <si>
    <t>Debt Coverage Ratio (DCR) (average) - COOPERATIVES</t>
  </si>
  <si>
    <t>Debt Service Coverage Ratio - MSMEs</t>
  </si>
  <si>
    <t>Debt Service Coverage Ratio - COOPERATIVES</t>
  </si>
  <si>
    <t>Value chain #</t>
  </si>
  <si>
    <t>Ghana</t>
  </si>
  <si>
    <t>Ivory Coast</t>
  </si>
  <si>
    <t>Senegal</t>
  </si>
  <si>
    <t>Costs</t>
  </si>
  <si>
    <t>Cost of the project</t>
  </si>
  <si>
    <t>Benefits</t>
  </si>
  <si>
    <t>Net annual benefits</t>
  </si>
  <si>
    <t>Minigrids</t>
  </si>
  <si>
    <t>O&amp;M costs</t>
  </si>
  <si>
    <t>Share of O&amp;M costs</t>
  </si>
  <si>
    <t>kWh per year</t>
  </si>
  <si>
    <t>minigrid</t>
  </si>
  <si>
    <t>Budget for new minigrid</t>
  </si>
  <si>
    <t>O&amp;M cost</t>
  </si>
  <si>
    <t>Burkina Faso 25 years</t>
  </si>
  <si>
    <t>Ghana 25 years</t>
  </si>
  <si>
    <t>Ivory Coast 25 years</t>
  </si>
  <si>
    <t>Mali 25 years</t>
  </si>
  <si>
    <t>Senegal 25 years</t>
  </si>
  <si>
    <t>Y27</t>
  </si>
  <si>
    <t>Y28</t>
  </si>
  <si>
    <t>Y29</t>
  </si>
  <si>
    <t>Y30</t>
  </si>
  <si>
    <t>Total minigrids (new investment)</t>
  </si>
  <si>
    <t>Total minigrids</t>
  </si>
  <si>
    <t>Energy price increase</t>
  </si>
  <si>
    <t>Direct benefits</t>
  </si>
  <si>
    <t>Indirect Benefits</t>
  </si>
  <si>
    <t>Indirect benefits</t>
  </si>
  <si>
    <t>Discounted externalities (Indirect benefits and Direct benefits)</t>
  </si>
  <si>
    <t>Total Indirect benefits and Direct benefits</t>
  </si>
  <si>
    <t>Indirect benefitss</t>
  </si>
  <si>
    <t>Average additional monthly income generated (USD)</t>
  </si>
  <si>
    <t>https://www.gogla.org/sites/default/files/resource_docs/powering_opportunity_west_africa_eng_0.pdf</t>
  </si>
  <si>
    <t>Assumed households served by 8 kWh</t>
  </si>
  <si>
    <t>Months in a year</t>
  </si>
  <si>
    <t>Project contribution</t>
  </si>
  <si>
    <t>One minigrid</t>
  </si>
  <si>
    <t>revenues -20%</t>
  </si>
  <si>
    <t>Time (years)</t>
  </si>
  <si>
    <t>Carbon Price</t>
  </si>
  <si>
    <t>Initial value</t>
  </si>
  <si>
    <t xml:space="preserve"> USD/ton</t>
  </si>
  <si>
    <t>Annual rate of change</t>
  </si>
  <si>
    <t>%/year</t>
  </si>
  <si>
    <t>Carbon price</t>
  </si>
  <si>
    <t>Carbon avoided</t>
  </si>
  <si>
    <t>Avoided carbon</t>
  </si>
  <si>
    <t>Avoided carbon emission</t>
  </si>
  <si>
    <t>Electricity cost BAU</t>
  </si>
  <si>
    <t>USD/minigrid</t>
  </si>
  <si>
    <t xml:space="preserve">Average additional income generated </t>
  </si>
  <si>
    <t>Emission savings</t>
  </si>
  <si>
    <t>Ton/minigrid/year</t>
  </si>
  <si>
    <t>USD/minigrid/year</t>
  </si>
  <si>
    <t xml:space="preserve">Total avoided tons of CO2 per kWh </t>
  </si>
  <si>
    <t xml:space="preserve"> (solar) USD/kWh</t>
  </si>
  <si>
    <t>(diesel) USD/kWh</t>
  </si>
  <si>
    <t>BF</t>
  </si>
  <si>
    <t>GH</t>
  </si>
  <si>
    <t>CIV</t>
  </si>
  <si>
    <t>ML</t>
  </si>
  <si>
    <t>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</si>
</sst>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%"/>
    <numFmt numFmtId="166" formatCode="0.000"/>
    <numFmt numFmtId="167" formatCode="0.0"/>
    <numFmt numFmtId="168" formatCode="0\ &quot;years&quot;"/>
    <numFmt numFmtId="169" formatCode="&quot;$&quot;#,##0.00"/>
    <numFmt numFmtId="170" formatCode="&quot;$&quot;#,##0"/>
    <numFmt numFmtId="171" formatCode="#,##0.0"/>
    <numFmt numFmtId="172" formatCode="_([$$-409]* #,##0.00_);_([$$-409]* \(#,##0.00\);_([$$-409]* &quot;-&quot;??_);_(@_)"/>
    <numFmt numFmtId="173" formatCode="_(* #,##0_);_(* \(#,##0\);_(* &quot;-&quot;??_);_(@_)"/>
    <numFmt numFmtId="174" formatCode="_([$$-409]* #,##0_);_([$$-409]* \(#,##0\);_([$$-409]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name val="Arial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2C4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25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8" borderId="16" xfId="0" applyFont="1" applyFill="1" applyBorder="1" applyAlignment="1"/>
    <xf numFmtId="0" fontId="5" fillId="0" borderId="7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7" xfId="0" applyFont="1" applyBorder="1" applyAlignment="1">
      <alignment horizontal="center"/>
    </xf>
    <xf numFmtId="0" fontId="0" fillId="0" borderId="0" xfId="0" applyFont="1"/>
    <xf numFmtId="2" fontId="2" fillId="0" borderId="0" xfId="0" applyNumberFormat="1" applyFont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/>
    </xf>
    <xf numFmtId="169" fontId="0" fillId="0" borderId="0" xfId="0" applyNumberFormat="1" applyFont="1"/>
    <xf numFmtId="169" fontId="0" fillId="0" borderId="0" xfId="0" applyNumberFormat="1" applyFont="1" applyAlignment="1">
      <alignment horizontal="right"/>
    </xf>
    <xf numFmtId="169" fontId="0" fillId="0" borderId="12" xfId="0" applyNumberFormat="1" applyFont="1" applyBorder="1" applyAlignment="1">
      <alignment horizontal="right"/>
    </xf>
    <xf numFmtId="170" fontId="0" fillId="0" borderId="0" xfId="0" applyNumberFormat="1" applyFont="1" applyAlignment="1">
      <alignment horizontal="right"/>
    </xf>
    <xf numFmtId="0" fontId="0" fillId="0" borderId="16" xfId="0" applyFont="1" applyBorder="1"/>
    <xf numFmtId="0" fontId="0" fillId="0" borderId="0" xfId="0" applyFont="1" applyFill="1"/>
    <xf numFmtId="0" fontId="0" fillId="10" borderId="0" xfId="0" applyFont="1" applyFill="1" applyAlignment="1">
      <alignment horizontal="left" indent="1"/>
    </xf>
    <xf numFmtId="0" fontId="0" fillId="10" borderId="14" xfId="0" applyFont="1" applyFill="1" applyBorder="1" applyAlignment="1">
      <alignment horizontal="center" vertical="center"/>
    </xf>
    <xf numFmtId="3" fontId="0" fillId="10" borderId="14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center" vertical="center"/>
    </xf>
    <xf numFmtId="3" fontId="13" fillId="11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3" fontId="13" fillId="0" borderId="5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left" indent="1"/>
    </xf>
    <xf numFmtId="2" fontId="0" fillId="0" borderId="16" xfId="0" applyNumberFormat="1" applyFont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 wrapText="1"/>
    </xf>
    <xf numFmtId="168" fontId="11" fillId="13" borderId="8" xfId="0" applyNumberFormat="1" applyFont="1" applyFill="1" applyBorder="1" applyAlignment="1">
      <alignment horizontal="center"/>
    </xf>
    <xf numFmtId="170" fontId="11" fillId="13" borderId="16" xfId="3" applyNumberFormat="1" applyFont="1" applyFill="1" applyBorder="1" applyAlignment="1">
      <alignment horizontal="right"/>
    </xf>
    <xf numFmtId="170" fontId="11" fillId="13" borderId="5" xfId="3" applyNumberFormat="1" applyFont="1" applyFill="1" applyBorder="1" applyAlignment="1">
      <alignment horizontal="right"/>
    </xf>
    <xf numFmtId="169" fontId="8" fillId="0" borderId="0" xfId="0" applyNumberFormat="1" applyFont="1" applyAlignment="1">
      <alignment horizontal="right"/>
    </xf>
    <xf numFmtId="0" fontId="0" fillId="3" borderId="0" xfId="0" applyFont="1" applyFill="1" applyBorder="1" applyAlignment="1">
      <alignment horizontal="left" indent="1"/>
    </xf>
    <xf numFmtId="0" fontId="0" fillId="3" borderId="5" xfId="0" applyFont="1" applyFill="1" applyBorder="1" applyAlignment="1">
      <alignment horizontal="left" indent="1"/>
    </xf>
    <xf numFmtId="3" fontId="13" fillId="3" borderId="7" xfId="0" applyNumberFormat="1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left" indent="1"/>
    </xf>
    <xf numFmtId="0" fontId="14" fillId="0" borderId="5" xfId="0" applyFont="1" applyBorder="1" applyAlignment="1">
      <alignment horizontal="left" vertical="center"/>
    </xf>
    <xf numFmtId="3" fontId="13" fillId="3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/>
    </xf>
    <xf numFmtId="0" fontId="7" fillId="2" borderId="4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indent="1"/>
    </xf>
    <xf numFmtId="172" fontId="0" fillId="0" borderId="0" xfId="3" applyNumberFormat="1" applyFont="1"/>
    <xf numFmtId="0" fontId="7" fillId="15" borderId="0" xfId="0" applyFont="1" applyFill="1" applyAlignment="1">
      <alignment horizontal="center" vertical="center" wrapText="1"/>
    </xf>
    <xf numFmtId="4" fontId="0" fillId="0" borderId="0" xfId="0" applyNumberFormat="1"/>
    <xf numFmtId="43" fontId="0" fillId="0" borderId="0" xfId="0" applyNumberFormat="1" applyFont="1"/>
    <xf numFmtId="2" fontId="0" fillId="0" borderId="0" xfId="0" applyNumberFormat="1"/>
    <xf numFmtId="43" fontId="0" fillId="0" borderId="0" xfId="0" applyNumberFormat="1"/>
    <xf numFmtId="2" fontId="0" fillId="0" borderId="1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5" borderId="21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0" fillId="4" borderId="7" xfId="0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43" fontId="0" fillId="0" borderId="7" xfId="0" applyNumberFormat="1" applyBorder="1" applyAlignment="1">
      <alignment vertical="center"/>
    </xf>
    <xf numFmtId="43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vertical="center"/>
    </xf>
    <xf numFmtId="43" fontId="5" fillId="0" borderId="7" xfId="1" quotePrefix="1" applyFont="1" applyBorder="1" applyAlignment="1">
      <alignment horizontal="right" vertical="center"/>
    </xf>
    <xf numFmtId="0" fontId="5" fillId="17" borderId="14" xfId="0" applyFont="1" applyFill="1" applyBorder="1" applyAlignment="1">
      <alignment horizontal="left" vertical="center"/>
    </xf>
    <xf numFmtId="9" fontId="5" fillId="17" borderId="7" xfId="2" applyFont="1" applyFill="1" applyBorder="1" applyAlignment="1">
      <alignment horizontal="right" vertical="center"/>
    </xf>
    <xf numFmtId="173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9" fontId="5" fillId="7" borderId="7" xfId="2" applyFont="1" applyFill="1" applyBorder="1" applyAlignment="1">
      <alignment horizontal="right" vertical="center"/>
    </xf>
    <xf numFmtId="43" fontId="5" fillId="17" borderId="7" xfId="1" applyFont="1" applyFill="1" applyBorder="1" applyAlignment="1"/>
    <xf numFmtId="43" fontId="5" fillId="0" borderId="0" xfId="1" applyFont="1" applyFill="1" applyBorder="1" applyAlignment="1"/>
    <xf numFmtId="43" fontId="5" fillId="7" borderId="7" xfId="1" applyFont="1" applyFill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173" fontId="5" fillId="0" borderId="7" xfId="0" applyNumberFormat="1" applyFont="1" applyBorder="1" applyAlignment="1"/>
    <xf numFmtId="173" fontId="0" fillId="0" borderId="0" xfId="1" applyNumberFormat="1" applyFont="1" applyAlignment="1"/>
    <xf numFmtId="0" fontId="5" fillId="17" borderId="7" xfId="0" applyFont="1" applyFill="1" applyBorder="1" applyAlignment="1"/>
    <xf numFmtId="2" fontId="5" fillId="17" borderId="7" xfId="0" applyNumberFormat="1" applyFont="1" applyFill="1" applyBorder="1" applyAlignment="1"/>
    <xf numFmtId="2" fontId="5" fillId="0" borderId="0" xfId="0" applyNumberFormat="1" applyFont="1" applyAlignment="1"/>
    <xf numFmtId="2" fontId="5" fillId="7" borderId="7" xfId="0" applyNumberFormat="1" applyFont="1" applyFill="1" applyBorder="1" applyAlignment="1"/>
    <xf numFmtId="43" fontId="0" fillId="0" borderId="0" xfId="1" applyFont="1" applyAlignment="1"/>
    <xf numFmtId="4" fontId="0" fillId="0" borderId="7" xfId="0" applyNumberFormat="1" applyBorder="1" applyAlignment="1">
      <alignment horizontal="left" vertical="center"/>
    </xf>
    <xf numFmtId="0" fontId="4" fillId="18" borderId="8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5" fillId="18" borderId="7" xfId="0" applyFont="1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4" fontId="0" fillId="0" borderId="10" xfId="0" applyNumberFormat="1" applyBorder="1" applyAlignment="1">
      <alignment horizontal="left" vertical="center"/>
    </xf>
    <xf numFmtId="4" fontId="9" fillId="0" borderId="5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center"/>
    </xf>
    <xf numFmtId="43" fontId="16" fillId="7" borderId="7" xfId="1" applyFont="1" applyFill="1" applyBorder="1" applyAlignment="1">
      <alignment horizontal="left" indent="1"/>
    </xf>
    <xf numFmtId="43" fontId="17" fillId="17" borderId="7" xfId="1" applyFont="1" applyFill="1" applyBorder="1"/>
    <xf numFmtId="43" fontId="17" fillId="17" borderId="8" xfId="1" applyFont="1" applyFill="1" applyBorder="1"/>
    <xf numFmtId="14" fontId="5" fillId="18" borderId="7" xfId="0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/>
    </xf>
    <xf numFmtId="14" fontId="5" fillId="0" borderId="5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18" fillId="0" borderId="0" xfId="0" applyFont="1" applyAlignment="1">
      <alignment horizontal="center"/>
    </xf>
    <xf numFmtId="171" fontId="13" fillId="0" borderId="7" xfId="0" applyNumberFormat="1" applyFont="1" applyFill="1" applyBorder="1" applyAlignment="1">
      <alignment horizontal="center" vertical="center" wrapText="1"/>
    </xf>
    <xf numFmtId="2" fontId="7" fillId="15" borderId="0" xfId="0" applyNumberFormat="1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16" borderId="5" xfId="0" applyFont="1" applyFill="1" applyBorder="1" applyAlignment="1">
      <alignment horizontal="left" indent="1"/>
    </xf>
    <xf numFmtId="3" fontId="12" fillId="16" borderId="7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2" fillId="16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0" fillId="0" borderId="8" xfId="0" applyFont="1" applyFill="1" applyBorder="1" applyAlignment="1">
      <alignment horizontal="left" indent="1"/>
    </xf>
    <xf numFmtId="4" fontId="13" fillId="0" borderId="14" xfId="0" applyNumberFormat="1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/>
    </xf>
    <xf numFmtId="9" fontId="0" fillId="0" borderId="0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 indent="1"/>
    </xf>
    <xf numFmtId="0" fontId="0" fillId="0" borderId="7" xfId="0" applyFont="1" applyFill="1" applyBorder="1"/>
    <xf numFmtId="167" fontId="0" fillId="0" borderId="7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43" fontId="9" fillId="4" borderId="7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/>
    </xf>
    <xf numFmtId="3" fontId="12" fillId="18" borderId="7" xfId="0" applyNumberFormat="1" applyFont="1" applyFill="1" applyBorder="1" applyAlignment="1">
      <alignment horizontal="center" vertical="center" wrapText="1"/>
    </xf>
    <xf numFmtId="0" fontId="2" fillId="16" borderId="5" xfId="0" applyFont="1" applyFill="1" applyBorder="1"/>
    <xf numFmtId="3" fontId="12" fillId="16" borderId="5" xfId="0" applyNumberFormat="1" applyFont="1" applyFill="1" applyBorder="1" applyAlignment="1">
      <alignment horizontal="center" vertical="center" wrapText="1"/>
    </xf>
    <xf numFmtId="3" fontId="12" fillId="16" borderId="21" xfId="0" applyNumberFormat="1" applyFont="1" applyFill="1" applyBorder="1" applyAlignment="1">
      <alignment horizontal="center" vertical="center" wrapText="1"/>
    </xf>
    <xf numFmtId="0" fontId="0" fillId="18" borderId="7" xfId="0" applyFont="1" applyFill="1" applyBorder="1"/>
    <xf numFmtId="0" fontId="2" fillId="19" borderId="8" xfId="0" applyFont="1" applyFill="1" applyBorder="1" applyAlignment="1">
      <alignment horizontal="left" indent="1"/>
    </xf>
    <xf numFmtId="0" fontId="0" fillId="19" borderId="7" xfId="0" applyFont="1" applyFill="1" applyBorder="1" applyAlignment="1">
      <alignment horizontal="center" vertical="center"/>
    </xf>
    <xf numFmtId="3" fontId="13" fillId="19" borderId="7" xfId="0" applyNumberFormat="1" applyFont="1" applyFill="1" applyBorder="1" applyAlignment="1">
      <alignment horizontal="center" vertical="center" wrapText="1"/>
    </xf>
    <xf numFmtId="167" fontId="0" fillId="19" borderId="7" xfId="0" applyNumberFormat="1" applyFont="1" applyFill="1" applyBorder="1" applyAlignment="1">
      <alignment horizontal="center" vertical="center"/>
    </xf>
    <xf numFmtId="0" fontId="0" fillId="19" borderId="7" xfId="0" applyFont="1" applyFill="1" applyBorder="1" applyAlignment="1">
      <alignment horizontal="center"/>
    </xf>
    <xf numFmtId="9" fontId="13" fillId="19" borderId="7" xfId="2" applyFont="1" applyFill="1" applyBorder="1" applyAlignment="1">
      <alignment horizontal="center" vertical="center" wrapText="1"/>
    </xf>
    <xf numFmtId="0" fontId="0" fillId="0" borderId="0" xfId="0" applyFont="1" applyFill="1" applyBorder="1"/>
    <xf numFmtId="168" fontId="8" fillId="9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7" fillId="14" borderId="7" xfId="0" applyFont="1" applyFill="1" applyBorder="1" applyAlignment="1">
      <alignment horizontal="center" vertical="center" wrapText="1"/>
    </xf>
    <xf numFmtId="2" fontId="0" fillId="19" borderId="7" xfId="0" applyNumberFormat="1" applyFont="1" applyFill="1" applyBorder="1" applyAlignment="1">
      <alignment horizontal="center" vertical="center"/>
    </xf>
    <xf numFmtId="4" fontId="0" fillId="19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left"/>
    </xf>
    <xf numFmtId="168" fontId="11" fillId="0" borderId="10" xfId="0" applyNumberFormat="1" applyFont="1" applyFill="1" applyBorder="1" applyAlignment="1">
      <alignment horizontal="center"/>
    </xf>
    <xf numFmtId="170" fontId="8" fillId="0" borderId="18" xfId="1" applyNumberFormat="1" applyFont="1" applyFill="1" applyBorder="1" applyAlignment="1">
      <alignment horizontal="right"/>
    </xf>
    <xf numFmtId="170" fontId="8" fillId="0" borderId="15" xfId="1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/>
    </xf>
    <xf numFmtId="168" fontId="11" fillId="0" borderId="14" xfId="0" applyNumberFormat="1" applyFont="1" applyFill="1" applyBorder="1" applyAlignment="1">
      <alignment horizontal="center"/>
    </xf>
    <xf numFmtId="170" fontId="8" fillId="0" borderId="19" xfId="1" applyNumberFormat="1" applyFont="1" applyFill="1" applyBorder="1" applyAlignment="1">
      <alignment horizontal="right"/>
    </xf>
    <xf numFmtId="170" fontId="8" fillId="0" borderId="21" xfId="1" applyNumberFormat="1" applyFont="1" applyFill="1" applyBorder="1" applyAlignment="1">
      <alignment horizontal="right"/>
    </xf>
    <xf numFmtId="0" fontId="0" fillId="12" borderId="0" xfId="0" applyFont="1" applyFill="1" applyBorder="1"/>
    <xf numFmtId="2" fontId="0" fillId="12" borderId="0" xfId="0" applyNumberFormat="1" applyFont="1" applyFill="1" applyBorder="1" applyAlignment="1">
      <alignment horizontal="center" vertical="center"/>
    </xf>
    <xf numFmtId="3" fontId="13" fillId="12" borderId="18" xfId="0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1" fontId="11" fillId="0" borderId="5" xfId="2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indent="4"/>
    </xf>
    <xf numFmtId="10" fontId="11" fillId="0" borderId="10" xfId="0" applyNumberFormat="1" applyFont="1" applyFill="1" applyBorder="1" applyAlignment="1">
      <alignment horizontal="center"/>
    </xf>
    <xf numFmtId="170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1" fontId="11" fillId="0" borderId="11" xfId="0" applyNumberFormat="1" applyFont="1" applyFill="1" applyBorder="1" applyAlignment="1">
      <alignment horizontal="right"/>
    </xf>
    <xf numFmtId="169" fontId="11" fillId="0" borderId="12" xfId="0" applyNumberFormat="1" applyFont="1" applyFill="1" applyBorder="1" applyAlignment="1">
      <alignment horizontal="center"/>
    </xf>
    <xf numFmtId="169" fontId="8" fillId="0" borderId="0" xfId="3" applyNumberFormat="1" applyFont="1" applyFill="1" applyBorder="1" applyAlignment="1">
      <alignment horizontal="right"/>
    </xf>
    <xf numFmtId="170" fontId="8" fillId="0" borderId="0" xfId="3" applyNumberFormat="1" applyFont="1" applyFill="1" applyAlignment="1">
      <alignment horizontal="right"/>
    </xf>
    <xf numFmtId="170" fontId="8" fillId="0" borderId="12" xfId="3" applyNumberFormat="1" applyFont="1" applyFill="1" applyBorder="1" applyAlignment="1">
      <alignment horizontal="right"/>
    </xf>
    <xf numFmtId="1" fontId="11" fillId="0" borderId="14" xfId="0" applyNumberFormat="1" applyFont="1" applyFill="1" applyBorder="1" applyAlignment="1">
      <alignment horizontal="right"/>
    </xf>
    <xf numFmtId="169" fontId="11" fillId="0" borderId="21" xfId="0" applyNumberFormat="1" applyFont="1" applyFill="1" applyBorder="1" applyAlignment="1">
      <alignment horizontal="center"/>
    </xf>
    <xf numFmtId="169" fontId="8" fillId="0" borderId="19" xfId="0" applyNumberFormat="1" applyFont="1" applyFill="1" applyBorder="1" applyAlignment="1">
      <alignment horizontal="right"/>
    </xf>
    <xf numFmtId="170" fontId="8" fillId="0" borderId="19" xfId="3" applyNumberFormat="1" applyFont="1" applyFill="1" applyBorder="1" applyAlignment="1">
      <alignment horizontal="right"/>
    </xf>
    <xf numFmtId="170" fontId="8" fillId="0" borderId="21" xfId="3" applyNumberFormat="1" applyFont="1" applyFill="1" applyBorder="1" applyAlignment="1">
      <alignment horizontal="right"/>
    </xf>
    <xf numFmtId="1" fontId="11" fillId="0" borderId="12" xfId="0" applyNumberFormat="1" applyFont="1" applyFill="1" applyBorder="1" applyAlignment="1">
      <alignment horizontal="right"/>
    </xf>
    <xf numFmtId="168" fontId="11" fillId="0" borderId="12" xfId="0" applyNumberFormat="1" applyFont="1" applyFill="1" applyBorder="1" applyAlignment="1">
      <alignment horizontal="center"/>
    </xf>
    <xf numFmtId="170" fontId="8" fillId="0" borderId="20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169" fontId="11" fillId="0" borderId="11" xfId="0" applyNumberFormat="1" applyFont="1" applyFill="1" applyBorder="1" applyAlignment="1">
      <alignment horizontal="center"/>
    </xf>
    <xf numFmtId="169" fontId="8" fillId="0" borderId="20" xfId="0" applyNumberFormat="1" applyFont="1" applyFill="1" applyBorder="1" applyAlignment="1">
      <alignment horizontal="right"/>
    </xf>
    <xf numFmtId="169" fontId="8" fillId="0" borderId="0" xfId="3" applyNumberFormat="1" applyFont="1" applyFill="1" applyAlignment="1">
      <alignment horizontal="right"/>
    </xf>
    <xf numFmtId="1" fontId="11" fillId="0" borderId="21" xfId="0" applyNumberFormat="1" applyFont="1" applyFill="1" applyBorder="1" applyAlignment="1">
      <alignment horizontal="right"/>
    </xf>
    <xf numFmtId="169" fontId="8" fillId="0" borderId="17" xfId="0" applyNumberFormat="1" applyFont="1" applyFill="1" applyBorder="1" applyAlignment="1">
      <alignment horizontal="right"/>
    </xf>
    <xf numFmtId="169" fontId="8" fillId="0" borderId="19" xfId="3" applyNumberFormat="1" applyFont="1" applyFill="1" applyBorder="1" applyAlignment="1">
      <alignment horizontal="right"/>
    </xf>
    <xf numFmtId="3" fontId="8" fillId="0" borderId="18" xfId="0" applyNumberFormat="1" applyFont="1" applyFill="1" applyBorder="1" applyAlignment="1">
      <alignment horizontal="right"/>
    </xf>
    <xf numFmtId="1" fontId="8" fillId="0" borderId="21" xfId="0" applyNumberFormat="1" applyFont="1" applyFill="1" applyBorder="1" applyAlignment="1">
      <alignment horizontal="right"/>
    </xf>
    <xf numFmtId="169" fontId="8" fillId="0" borderId="21" xfId="0" applyNumberFormat="1" applyFont="1" applyFill="1" applyBorder="1" applyAlignment="1">
      <alignment horizontal="right"/>
    </xf>
    <xf numFmtId="0" fontId="11" fillId="13" borderId="7" xfId="0" applyFont="1" applyFill="1" applyBorder="1" applyAlignment="1">
      <alignment horizontal="left" indent="1"/>
    </xf>
    <xf numFmtId="0" fontId="2" fillId="0" borderId="5" xfId="0" applyFont="1" applyFill="1" applyBorder="1"/>
    <xf numFmtId="169" fontId="0" fillId="0" borderId="7" xfId="0" applyNumberFormat="1" applyFont="1" applyFill="1" applyBorder="1" applyAlignment="1">
      <alignment horizontal="center"/>
    </xf>
    <xf numFmtId="0" fontId="0" fillId="0" borderId="12" xfId="0" applyFont="1" applyFill="1" applyBorder="1"/>
    <xf numFmtId="169" fontId="0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5" xfId="0" applyFont="1" applyFill="1" applyBorder="1"/>
    <xf numFmtId="170" fontId="0" fillId="0" borderId="7" xfId="1" applyNumberFormat="1" applyFont="1" applyFill="1" applyBorder="1" applyAlignment="1">
      <alignment horizontal="right" vertical="center"/>
    </xf>
    <xf numFmtId="0" fontId="11" fillId="19" borderId="16" xfId="0" applyFont="1" applyFill="1" applyBorder="1" applyAlignment="1">
      <alignment horizontal="left"/>
    </xf>
    <xf numFmtId="169" fontId="8" fillId="19" borderId="7" xfId="0" applyNumberFormat="1" applyFont="1" applyFill="1" applyBorder="1" applyAlignment="1">
      <alignment horizontal="center"/>
    </xf>
    <xf numFmtId="0" fontId="8" fillId="0" borderId="15" xfId="0" applyFont="1" applyFill="1" applyBorder="1"/>
    <xf numFmtId="10" fontId="8" fillId="0" borderId="13" xfId="2" applyNumberFormat="1" applyFont="1" applyFill="1" applyBorder="1" applyAlignment="1">
      <alignment horizontal="center"/>
    </xf>
    <xf numFmtId="170" fontId="8" fillId="0" borderId="7" xfId="0" applyNumberFormat="1" applyFont="1" applyFill="1" applyBorder="1" applyAlignment="1">
      <alignment horizontal="center"/>
    </xf>
    <xf numFmtId="0" fontId="2" fillId="16" borderId="8" xfId="0" applyFont="1" applyFill="1" applyBorder="1" applyAlignment="1">
      <alignment horizontal="left" vertical="center"/>
    </xf>
    <xf numFmtId="0" fontId="0" fillId="16" borderId="16" xfId="0" applyFont="1" applyFill="1" applyBorder="1"/>
    <xf numFmtId="2" fontId="0" fillId="16" borderId="16" xfId="0" applyNumberFormat="1" applyFont="1" applyFill="1" applyBorder="1" applyAlignment="1">
      <alignment horizontal="center" vertical="center"/>
    </xf>
    <xf numFmtId="3" fontId="13" fillId="16" borderId="16" xfId="0" applyNumberFormat="1" applyFont="1" applyFill="1" applyBorder="1" applyAlignment="1">
      <alignment horizontal="center" vertical="center" wrapText="1"/>
    </xf>
    <xf numFmtId="3" fontId="13" fillId="16" borderId="5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2" fontId="8" fillId="19" borderId="7" xfId="2" applyNumberFormat="1" applyFont="1" applyFill="1" applyBorder="1" applyAlignment="1">
      <alignment horizontal="center"/>
    </xf>
    <xf numFmtId="2" fontId="8" fillId="0" borderId="7" xfId="2" applyNumberFormat="1" applyFont="1" applyFill="1" applyBorder="1" applyAlignment="1">
      <alignment horizontal="center"/>
    </xf>
    <xf numFmtId="165" fontId="19" fillId="9" borderId="0" xfId="0" applyNumberFormat="1" applyFont="1" applyFill="1" applyBorder="1" applyAlignment="1">
      <alignment horizontal="center"/>
    </xf>
    <xf numFmtId="10" fontId="19" fillId="9" borderId="0" xfId="0" applyNumberFormat="1" applyFont="1" applyFill="1" applyAlignment="1">
      <alignment horizontal="center"/>
    </xf>
    <xf numFmtId="0" fontId="2" fillId="3" borderId="8" xfId="0" applyFont="1" applyFill="1" applyBorder="1" applyAlignment="1">
      <alignment horizontal="left" indent="1"/>
    </xf>
    <xf numFmtId="0" fontId="0" fillId="3" borderId="7" xfId="0" applyFont="1" applyFill="1" applyBorder="1" applyAlignment="1">
      <alignment horizontal="center"/>
    </xf>
    <xf numFmtId="9" fontId="13" fillId="3" borderId="7" xfId="2" applyFont="1" applyFill="1" applyBorder="1" applyAlignment="1">
      <alignment horizontal="center" vertical="center" wrapText="1"/>
    </xf>
    <xf numFmtId="9" fontId="0" fillId="3" borderId="7" xfId="2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0" borderId="0" xfId="0" applyBorder="1" applyAlignment="1"/>
    <xf numFmtId="4" fontId="0" fillId="11" borderId="0" xfId="0" applyNumberFormat="1" applyFill="1" applyBorder="1" applyAlignment="1">
      <alignment horizontal="center" vertical="center"/>
    </xf>
    <xf numFmtId="0" fontId="2" fillId="0" borderId="0" xfId="0" applyFont="1" applyBorder="1" applyAlignment="1"/>
    <xf numFmtId="2" fontId="0" fillId="0" borderId="0" xfId="0" applyNumberFormat="1" applyFill="1"/>
    <xf numFmtId="0" fontId="5" fillId="4" borderId="5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indent="1"/>
    </xf>
    <xf numFmtId="0" fontId="2" fillId="19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173" fontId="0" fillId="0" borderId="0" xfId="0" applyNumberFormat="1"/>
    <xf numFmtId="0" fontId="24" fillId="21" borderId="0" xfId="6" applyFont="1" applyFill="1"/>
    <xf numFmtId="14" fontId="5" fillId="16" borderId="7" xfId="0" applyNumberFormat="1" applyFont="1" applyFill="1" applyBorder="1" applyAlignment="1">
      <alignment horizontal="center" vertical="center"/>
    </xf>
    <xf numFmtId="0" fontId="7" fillId="5" borderId="0" xfId="0" applyFont="1" applyFill="1"/>
    <xf numFmtId="0" fontId="26" fillId="0" borderId="0" xfId="0" applyFont="1"/>
    <xf numFmtId="9" fontId="2" fillId="0" borderId="0" xfId="2" applyFont="1"/>
    <xf numFmtId="9" fontId="0" fillId="0" borderId="0" xfId="2" applyFont="1"/>
    <xf numFmtId="172" fontId="2" fillId="0" borderId="0" xfId="3" applyNumberFormat="1" applyFont="1"/>
    <xf numFmtId="0" fontId="0" fillId="0" borderId="0" xfId="0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3" applyNumberFormat="1" applyFont="1" applyFill="1" applyAlignment="1">
      <alignment horizontal="center" vertical="center"/>
    </xf>
    <xf numFmtId="165" fontId="0" fillId="9" borderId="0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9" fontId="0" fillId="9" borderId="0" xfId="0" applyNumberFormat="1" applyFill="1"/>
    <xf numFmtId="165" fontId="0" fillId="21" borderId="0" xfId="2" applyNumberFormat="1" applyFont="1" applyFill="1" applyAlignment="1">
      <alignment horizontal="center"/>
    </xf>
    <xf numFmtId="173" fontId="0" fillId="0" borderId="0" xfId="1" applyNumberFormat="1" applyFont="1"/>
    <xf numFmtId="9" fontId="13" fillId="19" borderId="7" xfId="2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8" fontId="8" fillId="9" borderId="0" xfId="0" applyNumberFormat="1" applyFont="1" applyFill="1" applyAlignment="1">
      <alignment horizontal="center"/>
    </xf>
    <xf numFmtId="9" fontId="0" fillId="9" borderId="0" xfId="0" applyNumberFormat="1" applyFill="1" applyAlignment="1">
      <alignment horizontal="center"/>
    </xf>
    <xf numFmtId="165" fontId="19" fillId="9" borderId="0" xfId="0" applyNumberFormat="1" applyFont="1" applyFill="1" applyAlignment="1">
      <alignment horizontal="center"/>
    </xf>
    <xf numFmtId="174" fontId="0" fillId="0" borderId="0" xfId="3" applyNumberFormat="1" applyFont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4" fontId="0" fillId="0" borderId="0" xfId="0" applyNumberForma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/>
    <xf numFmtId="1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7" fillId="22" borderId="0" xfId="0" applyFont="1" applyFill="1" applyBorder="1" applyAlignment="1">
      <alignment horizontal="center" vertical="center"/>
    </xf>
    <xf numFmtId="0" fontId="0" fillId="23" borderId="0" xfId="0" applyFill="1"/>
    <xf numFmtId="0" fontId="2" fillId="0" borderId="0" xfId="0" applyFont="1" applyAlignment="1">
      <alignment horizontal="center"/>
    </xf>
    <xf numFmtId="10" fontId="2" fillId="0" borderId="0" xfId="2" applyNumberFormat="1" applyFont="1"/>
    <xf numFmtId="10" fontId="1" fillId="0" borderId="0" xfId="2" applyNumberFormat="1" applyFont="1"/>
    <xf numFmtId="0" fontId="0" fillId="6" borderId="0" xfId="0" applyFill="1"/>
    <xf numFmtId="0" fontId="0" fillId="6" borderId="0" xfId="0" applyFill="1" applyAlignment="1">
      <alignment horizontal="center"/>
    </xf>
    <xf numFmtId="10" fontId="2" fillId="6" borderId="0" xfId="2" applyNumberFormat="1" applyFont="1" applyFill="1"/>
    <xf numFmtId="0" fontId="2" fillId="6" borderId="0" xfId="0" applyFont="1" applyFill="1"/>
    <xf numFmtId="2" fontId="2" fillId="6" borderId="0" xfId="0" applyNumberFormat="1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2" fontId="0" fillId="14" borderId="0" xfId="0" applyNumberFormat="1" applyFill="1"/>
    <xf numFmtId="0" fontId="19" fillId="0" borderId="0" xfId="0" applyFont="1"/>
    <xf numFmtId="0" fontId="19" fillId="0" borderId="0" xfId="0" applyFont="1" applyAlignment="1">
      <alignment horizontal="center"/>
    </xf>
    <xf numFmtId="2" fontId="19" fillId="0" borderId="0" xfId="0" applyNumberFormat="1" applyFont="1"/>
    <xf numFmtId="2" fontId="0" fillId="11" borderId="0" xfId="0" applyNumberFormat="1" applyFill="1" applyAlignment="1">
      <alignment horizontal="center" vertical="center"/>
    </xf>
    <xf numFmtId="9" fontId="0" fillId="0" borderId="0" xfId="0" applyNumberFormat="1"/>
    <xf numFmtId="166" fontId="0" fillId="0" borderId="0" xfId="0" applyNumberFormat="1"/>
    <xf numFmtId="43" fontId="0" fillId="0" borderId="7" xfId="1" applyFont="1" applyFill="1" applyBorder="1" applyAlignment="1">
      <alignment vertical="center"/>
    </xf>
    <xf numFmtId="0" fontId="2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19" borderId="13" xfId="0" applyFont="1" applyFill="1" applyBorder="1" applyAlignment="1">
      <alignment horizontal="left" vertical="center" indent="1"/>
    </xf>
    <xf numFmtId="0" fontId="2" fillId="19" borderId="11" xfId="0" applyFont="1" applyFill="1" applyBorder="1" applyAlignment="1">
      <alignment horizontal="left" vertical="center" indent="1"/>
    </xf>
    <xf numFmtId="0" fontId="2" fillId="19" borderId="10" xfId="0" applyFont="1" applyFill="1" applyBorder="1" applyAlignment="1">
      <alignment horizontal="left" vertical="center" indent="1"/>
    </xf>
    <xf numFmtId="0" fontId="9" fillId="0" borderId="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15" fillId="16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16" xfId="0" applyFont="1" applyFill="1" applyBorder="1" applyAlignment="1">
      <alignment horizontal="center" vertical="center"/>
    </xf>
    <xf numFmtId="0" fontId="15" fillId="16" borderId="5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7" fillId="15" borderId="0" xfId="6" applyFont="1" applyFill="1" applyAlignment="1">
      <alignment horizontal="left"/>
    </xf>
    <xf numFmtId="0" fontId="25" fillId="6" borderId="7" xfId="0" applyFont="1" applyFill="1" applyBorder="1" applyAlignment="1">
      <alignment horizontal="center" vertical="center"/>
    </xf>
  </cellXfs>
  <cellStyles count="9">
    <cellStyle name="Comma" xfId="1" builtinId="3"/>
    <cellStyle name="Comma 5" xfId="8" xr:uid="{00000000-0005-0000-0000-000001000000}"/>
    <cellStyle name="Currency" xfId="3" builtinId="4"/>
    <cellStyle name="Normal" xfId="0" builtinId="0"/>
    <cellStyle name="Normal 2" xfId="6" xr:uid="{00000000-0005-0000-0000-000004000000}"/>
    <cellStyle name="Normal 3" xfId="5" xr:uid="{00000000-0005-0000-0000-000005000000}"/>
    <cellStyle name="Normal 6" xfId="7" xr:uid="{00000000-0005-0000-0000-000006000000}"/>
    <cellStyle name="Normal 9" xfId="4" xr:uid="{00000000-0005-0000-0000-000007000000}"/>
    <cellStyle name="Percent" xfId="2" builtinId="5"/>
  </cellStyles>
  <dxfs count="0"/>
  <tableStyles count="0" defaultTableStyle="TableStyleMedium2" defaultPivotStyle="PivotStyleLight16"/>
  <colors>
    <mruColors>
      <color rgb="FF72C4F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opLeftCell="M1" zoomScale="64" zoomScaleNormal="64" workbookViewId="0">
      <selection activeCell="V22" sqref="V22:W22"/>
    </sheetView>
  </sheetViews>
  <sheetFormatPr defaultRowHeight="15" x14ac:dyDescent="0.25"/>
  <cols>
    <col min="1" max="1" width="34.5703125" style="114" customWidth="1"/>
    <col min="2" max="6" width="18.7109375" customWidth="1"/>
    <col min="7" max="7" width="25" customWidth="1"/>
    <col min="8" max="9" width="18.7109375" customWidth="1"/>
    <col min="10" max="10" width="18.7109375" style="56" customWidth="1"/>
    <col min="11" max="18" width="18.7109375" customWidth="1"/>
  </cols>
  <sheetData>
    <row r="1" spans="1:18" x14ac:dyDescent="0.25">
      <c r="B1" s="302" t="s">
        <v>94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</row>
    <row r="2" spans="1:18" s="114" customFormat="1" ht="91.5" customHeight="1" x14ac:dyDescent="0.25">
      <c r="A2" s="53" t="s">
        <v>130</v>
      </c>
      <c r="B2" s="53" t="s">
        <v>73</v>
      </c>
      <c r="C2" s="53" t="s">
        <v>159</v>
      </c>
      <c r="D2" s="53" t="s">
        <v>71</v>
      </c>
      <c r="E2" s="53" t="s">
        <v>72</v>
      </c>
      <c r="F2" s="53" t="s">
        <v>92</v>
      </c>
      <c r="G2" s="53" t="s">
        <v>93</v>
      </c>
      <c r="H2" s="53" t="s">
        <v>88</v>
      </c>
      <c r="I2" s="53" t="s">
        <v>84</v>
      </c>
      <c r="J2" s="53" t="s">
        <v>95</v>
      </c>
      <c r="K2" s="53" t="s">
        <v>96</v>
      </c>
      <c r="L2" s="53" t="s">
        <v>108</v>
      </c>
      <c r="M2" s="53" t="s">
        <v>102</v>
      </c>
      <c r="N2" s="53" t="s">
        <v>97</v>
      </c>
      <c r="O2" s="53" t="s">
        <v>77</v>
      </c>
      <c r="P2" s="109" t="s">
        <v>113</v>
      </c>
      <c r="Q2" s="109" t="s">
        <v>120</v>
      </c>
      <c r="R2" s="109" t="s">
        <v>121</v>
      </c>
    </row>
    <row r="3" spans="1:18" x14ac:dyDescent="0.25">
      <c r="A3" s="114" t="s">
        <v>0</v>
      </c>
      <c r="B3" s="274">
        <f>SUM('Minigrids - BF'!$D$25:$R$26)</f>
        <v>17064688.498093128</v>
      </c>
      <c r="C3" s="274">
        <f>SUM('Minigrids - BF'!$C$23:$H$23)</f>
        <v>10944444.444444444</v>
      </c>
      <c r="D3" s="274">
        <f>SUM('Minigrids - BF'!$C$94:$Q$94)</f>
        <v>16081461.430929553</v>
      </c>
      <c r="E3" s="274">
        <f>SUM('Minigrids - BF'!$D$30:$R$30)</f>
        <v>14632665.364714976</v>
      </c>
      <c r="F3" s="274">
        <f>SUM('Minigrids - BF'!$D$42:$AC$42)</f>
        <v>34357295.358769409</v>
      </c>
      <c r="G3" s="274">
        <f>SUM('Minigrids - BF'!$D$43:$AC$43)</f>
        <v>6664765.5844744174</v>
      </c>
      <c r="H3" s="275">
        <f>'Minigrids - BF'!$C$50</f>
        <v>14371678.386049602</v>
      </c>
      <c r="I3" s="275">
        <f>'Minigrids - BF'!$C$51</f>
        <v>-478469.10414938245</v>
      </c>
      <c r="J3" s="257">
        <f>'Minigrids - BF'!$C$60</f>
        <v>0.19338572978973384</v>
      </c>
      <c r="K3" s="257">
        <f>'Minigrids - BF'!$C$62</f>
        <v>4.401724338531493E-2</v>
      </c>
      <c r="L3" s="254">
        <f>'Minigrids - BF'!$C$56</f>
        <v>1.9268735704632109</v>
      </c>
      <c r="M3" s="254">
        <f>'Minigrids - BF'!$C$58</f>
        <v>0.76365331708470163</v>
      </c>
      <c r="N3" s="262">
        <f>'Minigrids - BF'!$C$64</f>
        <v>6</v>
      </c>
      <c r="O3" s="254">
        <f>'Minigrids - BF'!$C$66</f>
        <v>9</v>
      </c>
      <c r="P3" s="263">
        <f>AVERAGE('Minigrids - BF'!$D$108:$O$108)</f>
        <v>1.2734664883284934</v>
      </c>
      <c r="Q3" s="255">
        <f>'Minigrids - BF'!$C$111</f>
        <v>1.2734664883284934</v>
      </c>
      <c r="R3" s="255">
        <f>'Minigrids - BF'!$C$113</f>
        <v>1.2734664883284934</v>
      </c>
    </row>
    <row r="4" spans="1:18" x14ac:dyDescent="0.25">
      <c r="A4" s="114" t="s">
        <v>123</v>
      </c>
      <c r="B4" s="274">
        <f>SUM('Minigrids - GH'!$D$25:$R$26)</f>
        <v>12798516.373569852</v>
      </c>
      <c r="C4" s="274">
        <f>SUM('Minigrids - GH'!$C$23:$H$23)</f>
        <v>8208333.333333334</v>
      </c>
      <c r="D4" s="274">
        <f>SUM('Minigrids - GH'!$C$94:$Q$94)</f>
        <v>14473315.287836598</v>
      </c>
      <c r="E4" s="274">
        <f>SUM('Minigrids - GH'!$D$30:$R$30)</f>
        <v>10974499.023536235</v>
      </c>
      <c r="F4" s="274">
        <f>SUM('Minigrids - GH'!$D$42:$AC$42)</f>
        <v>30638202.122536447</v>
      </c>
      <c r="G4" s="274">
        <f>SUM('Minigrids - GH'!$D$43:$AC$43)</f>
        <v>9868804.7918152008</v>
      </c>
      <c r="H4" s="275">
        <f>'Minigrids - GH'!$C$50</f>
        <v>6337832.2853811253</v>
      </c>
      <c r="I4" s="275">
        <f>'Minigrids - GH'!$C$51</f>
        <v>-431338.50517948234</v>
      </c>
      <c r="J4" s="257">
        <f>'Minigrids - GH'!$C$60</f>
        <v>0.22513742923736568</v>
      </c>
      <c r="K4" s="257">
        <f>'Minigrids - GH'!$C$62</f>
        <v>8.4977364540100075E-2</v>
      </c>
      <c r="L4" s="254">
        <f>'Minigrids - GH'!$C$56</f>
        <v>1.6693640561044087</v>
      </c>
      <c r="M4" s="254">
        <f>'Minigrids - GH'!$C$58</f>
        <v>0.62007757572899069</v>
      </c>
      <c r="N4" s="262">
        <f>'Minigrids - GH'!$C$64</f>
        <v>5</v>
      </c>
      <c r="O4" s="254">
        <f>'Minigrids - GH'!$C$66</f>
        <v>8</v>
      </c>
      <c r="P4" s="263">
        <f>AVERAGE('Minigrids - GH'!$D$108:$O$108)</f>
        <v>1.2175930189897934</v>
      </c>
      <c r="Q4" s="255">
        <f>'Minigrids - GH'!$C$111</f>
        <v>1.2175930189897934</v>
      </c>
      <c r="R4" s="255">
        <f>'Minigrids - GH'!$C$113</f>
        <v>1.2175930189897934</v>
      </c>
    </row>
    <row r="5" spans="1:18" x14ac:dyDescent="0.25">
      <c r="A5" s="114" t="s">
        <v>124</v>
      </c>
      <c r="B5" s="274">
        <f>SUM('Minigrids - CIV'!$D$25:$R$26)</f>
        <v>12798516.373569852</v>
      </c>
      <c r="C5" s="274">
        <f>SUM('Minigrids - CIV'!$C$23:$H$23)</f>
        <v>8208333.333333334</v>
      </c>
      <c r="D5" s="274">
        <f>SUM('Minigrids - CIV'!$C$94:$Q$94)</f>
        <v>11562016.235685561</v>
      </c>
      <c r="E5" s="274">
        <f>SUM('Minigrids - CIV'!$D$30:$R$30)</f>
        <v>10974499.023536235</v>
      </c>
      <c r="F5" s="274">
        <f>SUM('Minigrids - CIV'!$D$42:$AC$42)</f>
        <v>24760337.60111995</v>
      </c>
      <c r="G5" s="274">
        <f>SUM('Minigrids - CIV'!$D$43:$AC$43)</f>
        <v>3990940.2703987001</v>
      </c>
      <c r="H5" s="275">
        <f>'Minigrids - CIV'!$C$50</f>
        <v>12279862.212833442</v>
      </c>
      <c r="I5" s="275">
        <f>'Minigrids - CIV'!$C$51</f>
        <v>-355482.60760023323</v>
      </c>
      <c r="J5" s="257">
        <f>'Minigrids - CIV'!$C$60</f>
        <v>0.18675755977630615</v>
      </c>
      <c r="K5" s="257">
        <f>'Minigrids - CIV'!$C$62</f>
        <v>3.4500260353088383E-2</v>
      </c>
      <c r="L5" s="254">
        <f>'Minigrids - CIV'!$C$56</f>
        <v>1.9725940411551115</v>
      </c>
      <c r="M5" s="254">
        <f>'Minigrids - CIV'!$C$58</f>
        <v>0.80473403466760707</v>
      </c>
      <c r="N5" s="262">
        <f>'Minigrids - CIV'!$C$64</f>
        <v>6</v>
      </c>
      <c r="O5" s="254">
        <f>'Minigrids - CIV'!$C$66</f>
        <v>9</v>
      </c>
      <c r="P5" s="263">
        <f>AVERAGE('Minigrids - CIV'!$D$108:$O$108)</f>
        <v>1.1350297778629563</v>
      </c>
      <c r="Q5" s="255">
        <f>'Minigrids - CIV'!$C$111</f>
        <v>1.1350297778629563</v>
      </c>
      <c r="R5" s="255">
        <f>'Minigrids - CIV'!$C$113</f>
        <v>1.1350297778629563</v>
      </c>
    </row>
    <row r="6" spans="1:18" x14ac:dyDescent="0.25">
      <c r="A6" s="114" t="s">
        <v>14</v>
      </c>
      <c r="B6" s="274">
        <f>SUM('Minigrids - ML'!$D$25:$R$26)</f>
        <v>17064688.498093128</v>
      </c>
      <c r="C6" s="274">
        <f>SUM('Minigrids - ML'!$C$23:$H$23)</f>
        <v>10944444.444444444</v>
      </c>
      <c r="D6" s="274">
        <f>SUM('Minigrids - ML'!$C$94:$Q$94)</f>
        <v>15416021.647580748</v>
      </c>
      <c r="E6" s="274">
        <f>SUM('Minigrids - ML'!$D$30:$R$30)</f>
        <v>14632665.364714976</v>
      </c>
      <c r="F6" s="274">
        <f>SUM('Minigrids - ML'!$D$42:$AC$42)</f>
        <v>33013783.468159933</v>
      </c>
      <c r="G6" s="274">
        <f>SUM('Minigrids - ML'!$D$43:$AC$43)</f>
        <v>5321253.6938649295</v>
      </c>
      <c r="H6" s="275">
        <f>'Minigrids - ML'!$C$50</f>
        <v>16373149.617111256</v>
      </c>
      <c r="I6" s="275">
        <f>'Minigrids - ML'!$C$51</f>
        <v>-473976.81013364351</v>
      </c>
      <c r="J6" s="257">
        <f>'Minigrids - ML'!$C$60</f>
        <v>0.18675755977630615</v>
      </c>
      <c r="K6" s="257">
        <f>'Minigrids - ML'!$C$62</f>
        <v>3.4500260353088383E-2</v>
      </c>
      <c r="L6" s="254">
        <f>'Minigrids - ML'!$C$56</f>
        <v>1.9725940411551122</v>
      </c>
      <c r="M6" s="254">
        <f>'Minigrids - ML'!$C$58</f>
        <v>0.80473403466760696</v>
      </c>
      <c r="N6" s="262">
        <f>'Minigrids - ML'!$C$64</f>
        <v>6</v>
      </c>
      <c r="O6" s="254">
        <f>'Minigrids - ML'!$C$66</f>
        <v>9</v>
      </c>
      <c r="P6" s="263">
        <f>AVERAGE('Minigrids - ML'!$D$108:$O$108)</f>
        <v>1.3274472113176699</v>
      </c>
      <c r="Q6" s="255">
        <f>'Minigrids - ML'!$C$111</f>
        <v>1.3274472113176699</v>
      </c>
      <c r="R6" s="255">
        <f>'Minigrids - ML'!$C$113</f>
        <v>1.3274472113176699</v>
      </c>
    </row>
    <row r="7" spans="1:18" x14ac:dyDescent="0.25">
      <c r="A7" s="114" t="s">
        <v>125</v>
      </c>
      <c r="B7" s="274">
        <f>SUM('Minigrids - SN'!$D$25:$R$26)</f>
        <v>17064688.498093128</v>
      </c>
      <c r="C7" s="274">
        <f>SUM('Minigrids - SN'!$C$23:$H$23)</f>
        <v>10944444.444444444</v>
      </c>
      <c r="D7" s="274">
        <f>SUM('Minigrids - SN'!$C$94:$Q$94)</f>
        <v>15416021.647580748</v>
      </c>
      <c r="E7" s="274">
        <f>SUM('Minigrids - SN'!$D$30:$R$30)</f>
        <v>14632665.364714976</v>
      </c>
      <c r="F7" s="274">
        <f>SUM('Minigrids - SN'!$D$42:$AC$42)</f>
        <v>33013783.468159933</v>
      </c>
      <c r="G7" s="274">
        <f>SUM('Minigrids - SN'!$D$43:$AC$43)</f>
        <v>5321253.6938649295</v>
      </c>
      <c r="H7" s="275">
        <f>'Minigrids - SN'!$C$50</f>
        <v>16373149.617111256</v>
      </c>
      <c r="I7" s="275">
        <f>'Minigrids - SN'!$C$51</f>
        <v>-473976.81013364351</v>
      </c>
      <c r="J7" s="257">
        <f>'Minigrids - SN'!$C$60</f>
        <v>0.18675755977630615</v>
      </c>
      <c r="K7" s="257">
        <f>'Minigrids - SN'!$C$62</f>
        <v>3.4500260353088383E-2</v>
      </c>
      <c r="L7" s="254">
        <f>'Minigrids - SN'!$C$56</f>
        <v>1.9725940411551122</v>
      </c>
      <c r="M7" s="254">
        <f>'Minigrids - SN'!$C$58</f>
        <v>0.80473403466760696</v>
      </c>
      <c r="N7" s="262">
        <f>'Minigrids - SN'!$C$64</f>
        <v>6</v>
      </c>
      <c r="O7" s="254">
        <f>'Minigrids - SN'!$C$66</f>
        <v>9</v>
      </c>
      <c r="P7" s="263">
        <f>AVERAGE('Minigrids - SN'!$D$108:$O$108)</f>
        <v>1.2531808334930437</v>
      </c>
      <c r="Q7" s="255">
        <f>'Minigrids - SN'!$C$111</f>
        <v>1.2531808334930437</v>
      </c>
      <c r="R7" s="255">
        <f>'Minigrids - SN'!$C$113</f>
        <v>1.2531808334930437</v>
      </c>
    </row>
    <row r="13" spans="1:18" x14ac:dyDescent="0.25">
      <c r="B13" s="301" t="s">
        <v>160</v>
      </c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</row>
    <row r="14" spans="1:18" s="114" customFormat="1" ht="30" x14ac:dyDescent="0.25">
      <c r="A14" s="53" t="s">
        <v>130</v>
      </c>
      <c r="B14" s="53" t="s">
        <v>73</v>
      </c>
      <c r="C14" s="53" t="s">
        <v>159</v>
      </c>
      <c r="D14" s="53" t="s">
        <v>71</v>
      </c>
      <c r="E14" s="53" t="s">
        <v>72</v>
      </c>
      <c r="F14" s="53" t="s">
        <v>84</v>
      </c>
      <c r="G14" s="53" t="s">
        <v>90</v>
      </c>
      <c r="H14" s="53" t="s">
        <v>86</v>
      </c>
      <c r="I14" s="53" t="s">
        <v>87</v>
      </c>
      <c r="J14" s="109" t="s">
        <v>83</v>
      </c>
      <c r="K14" s="109" t="s">
        <v>85</v>
      </c>
      <c r="L14" s="53" t="s">
        <v>77</v>
      </c>
      <c r="M14" s="53" t="s">
        <v>91</v>
      </c>
    </row>
    <row r="15" spans="1:18" x14ac:dyDescent="0.25">
      <c r="A15" s="252" t="s">
        <v>0</v>
      </c>
      <c r="B15" s="274">
        <f>'Minigrids - 1 item'!$AC$10</f>
        <v>95763.499999999985</v>
      </c>
      <c r="C15" s="274">
        <f>'Minigrids - 1 item'!C8</f>
        <v>27361</v>
      </c>
      <c r="D15" s="274">
        <f>'Minigrids - 1 item'!$AC$20</f>
        <v>117578.18000000004</v>
      </c>
      <c r="E15" s="274">
        <f>'Minigrids - 1 item'!$AC$14</f>
        <v>100660.88100523554</v>
      </c>
      <c r="F15" s="275">
        <f>'Minigrids - 1 item'!$B$27</f>
        <v>353.81455155617391</v>
      </c>
      <c r="G15" s="275">
        <f>'Minigrids - 1 item'!$B$28</f>
        <v>56419.621524205737</v>
      </c>
      <c r="H15" s="254">
        <f>'Minigrids - 1 item'!$B$25</f>
        <v>1.0053679988176105</v>
      </c>
      <c r="I15" s="255">
        <f>'Minigrids - 1 item'!$B$26</f>
        <v>1.8559864491154936</v>
      </c>
      <c r="J15" s="256">
        <f>'Minigrids - 1 item'!$B$23</f>
        <v>5.1285788416862488E-2</v>
      </c>
      <c r="K15" s="257">
        <f>'Minigrids - 1 item'!$B$24</f>
        <v>0.21213086247444154</v>
      </c>
      <c r="L15" s="253">
        <f>'Minigrids - 1 item'!$B$29</f>
        <v>14</v>
      </c>
      <c r="M15" s="253">
        <f>'Minigrids - 1 item'!$B$30</f>
        <v>5</v>
      </c>
    </row>
    <row r="16" spans="1:18" x14ac:dyDescent="0.25">
      <c r="A16" s="252" t="s">
        <v>123</v>
      </c>
      <c r="B16" s="274">
        <f>'Minigrids - 1 item'!$AC$43</f>
        <v>95763.499999999985</v>
      </c>
      <c r="C16" s="274">
        <f>'Minigrids - 1 item'!C41</f>
        <v>27361</v>
      </c>
      <c r="D16" s="274">
        <f>'Minigrids - 1 item'!$AC$53</f>
        <v>141093.81600000005</v>
      </c>
      <c r="E16" s="274">
        <f>'Minigrids - 1 item'!$AC$47</f>
        <v>100660.88100523554</v>
      </c>
      <c r="F16" s="275">
        <f>'Minigrids - 1 item'!$B$60</f>
        <v>68.041671670934704</v>
      </c>
      <c r="G16" s="275">
        <f>'Minigrids - 1 item'!$B$61</f>
        <v>37274.842852621587</v>
      </c>
      <c r="H16" s="254">
        <f>'Minigrids - 1 item'!$B$58</f>
        <v>1.0012796590904536</v>
      </c>
      <c r="I16" s="255">
        <f>'Minigrids - 1 item'!$B$59</f>
        <v>1.7010276251334862</v>
      </c>
      <c r="J16" s="256">
        <f>'Minigrids - 1 item'!$B$56</f>
        <v>9.5314869284629816E-2</v>
      </c>
      <c r="K16" s="257">
        <f>'Minigrids - 1 item'!$B$57</f>
        <v>0.2468866288661957</v>
      </c>
      <c r="L16" s="253">
        <f>'Minigrids - 1 item'!$B$62</f>
        <v>10</v>
      </c>
      <c r="M16" s="253">
        <f>'Minigrids - 1 item'!$B$63</f>
        <v>5</v>
      </c>
    </row>
    <row r="17" spans="1:16" x14ac:dyDescent="0.25">
      <c r="A17" s="252" t="s">
        <v>124</v>
      </c>
      <c r="B17" s="274">
        <f>'Minigrids - 1 item'!$AC$76</f>
        <v>95763.499999999985</v>
      </c>
      <c r="C17" s="274">
        <f>'Minigrids - 1 item'!C74</f>
        <v>27361</v>
      </c>
      <c r="D17" s="274">
        <f>'Minigrids - 1 item'!$AC$86</f>
        <v>112712.87599999997</v>
      </c>
      <c r="E17" s="274">
        <f>'Minigrids - 1 item'!$AC$80</f>
        <v>100660.88100523554</v>
      </c>
      <c r="F17" s="275">
        <f>'Minigrids - 1 item'!$B$93</f>
        <v>320.74777924536522</v>
      </c>
      <c r="G17" s="276">
        <f>'Minigrids - 1 item'!$B$94</f>
        <v>62606.57411452513</v>
      </c>
      <c r="H17" s="259">
        <f>'Minigrids - 1 item'!$B$91</f>
        <v>1.0045759876928111</v>
      </c>
      <c r="I17" s="260">
        <f>'Minigrids - 1 item'!$B$92</f>
        <v>1.8931843996274966</v>
      </c>
      <c r="J17" s="256">
        <f>'Minigrids - 1 item'!$B$89</f>
        <v>4.1105356812477123E-2</v>
      </c>
      <c r="K17" s="261">
        <f>'Minigrids - 1 item'!$B$90</f>
        <v>0.20489134192466738</v>
      </c>
      <c r="L17" s="258">
        <f>'Minigrids - 1 item'!$B$95</f>
        <v>16</v>
      </c>
      <c r="M17" s="258">
        <f>'Minigrids - 1 item'!$B$96</f>
        <v>5</v>
      </c>
      <c r="N17" s="106"/>
      <c r="O17" s="106"/>
      <c r="P17" s="106"/>
    </row>
    <row r="18" spans="1:16" x14ac:dyDescent="0.25">
      <c r="A18" s="252" t="s">
        <v>14</v>
      </c>
      <c r="B18" s="274">
        <f>'Minigrids - 1 item'!$AC$109</f>
        <v>95763.499999999985</v>
      </c>
      <c r="C18" s="274">
        <f>'Minigrids - 1 item'!C107</f>
        <v>27361</v>
      </c>
      <c r="D18" s="274">
        <f>'Minigrids - 1 item'!$AC$119</f>
        <v>112712.87599999997</v>
      </c>
      <c r="E18" s="274">
        <f>'Minigrids - 1 item'!$AC$113</f>
        <v>100660.88100523554</v>
      </c>
      <c r="F18" s="275">
        <f>'Minigrids - 1 item'!$B$126</f>
        <v>320.74777924536522</v>
      </c>
      <c r="G18" s="276">
        <f>'Minigrids - 1 item'!$B$127</f>
        <v>62606.57411452513</v>
      </c>
      <c r="H18" s="259">
        <f>'Minigrids - 1 item'!$B$124</f>
        <v>1.0045759876928111</v>
      </c>
      <c r="I18" s="260">
        <f>'Minigrids - 1 item'!$B$125</f>
        <v>1.8931843996274966</v>
      </c>
      <c r="J18" s="256">
        <f>'Minigrids - 1 item'!$B$122</f>
        <v>4.1105356812477123E-2</v>
      </c>
      <c r="K18" s="261">
        <f>'Minigrids - 1 item'!$B$123</f>
        <v>0.20489134192466738</v>
      </c>
      <c r="L18" s="258">
        <f>'Minigrids - 1 item'!$B$128</f>
        <v>16</v>
      </c>
      <c r="M18" s="258">
        <f>'Minigrids - 1 item'!$B$129</f>
        <v>5</v>
      </c>
      <c r="N18" s="106"/>
      <c r="O18" s="106"/>
      <c r="P18" s="106"/>
    </row>
    <row r="19" spans="1:16" x14ac:dyDescent="0.25">
      <c r="A19" s="252" t="s">
        <v>125</v>
      </c>
      <c r="B19" s="274">
        <f>'Minigrids - 1 item'!$AC$142</f>
        <v>95763.499999999985</v>
      </c>
      <c r="C19" s="274">
        <f>'Minigrids - 1 item'!C140</f>
        <v>27361</v>
      </c>
      <c r="D19" s="274">
        <f>'Minigrids - 1 item'!$AC$152</f>
        <v>112712.87599999997</v>
      </c>
      <c r="E19" s="274">
        <f>'Minigrids - 1 item'!$AC$146</f>
        <v>100660.88100523554</v>
      </c>
      <c r="F19" s="275">
        <f>'Minigrids - 1 item'!$B$159</f>
        <v>320.74777924536522</v>
      </c>
      <c r="G19" s="276">
        <f>'Minigrids - 1 item'!$B$160</f>
        <v>62606.57411452513</v>
      </c>
      <c r="H19" s="259">
        <f>'Minigrids - 1 item'!$B$157</f>
        <v>1.0045759876928111</v>
      </c>
      <c r="I19" s="260">
        <f>'Minigrids - 1 item'!$B$158</f>
        <v>1.8931843996274966</v>
      </c>
      <c r="J19" s="256">
        <f>'Minigrids - 1 item'!$B$155</f>
        <v>4.1105356812477123E-2</v>
      </c>
      <c r="K19" s="261">
        <f>'Minigrids - 1 item'!$B$156</f>
        <v>0.20489134192466738</v>
      </c>
      <c r="L19" s="258">
        <f>'Minigrids - 1 item'!$B$161</f>
        <v>16</v>
      </c>
      <c r="M19" s="258">
        <f>'Minigrids - 1 item'!$B$162</f>
        <v>5</v>
      </c>
      <c r="N19" s="106"/>
      <c r="O19" s="106"/>
      <c r="P19" s="106"/>
    </row>
    <row r="20" spans="1:16" x14ac:dyDescent="0.25">
      <c r="G20" s="106"/>
      <c r="H20" s="106"/>
      <c r="I20" s="106"/>
      <c r="J20" s="238"/>
      <c r="K20" s="106"/>
      <c r="L20" s="106"/>
      <c r="M20" s="106"/>
      <c r="N20" s="106"/>
      <c r="O20" s="106"/>
      <c r="P20" s="106"/>
    </row>
    <row r="21" spans="1:16" x14ac:dyDescent="0.25">
      <c r="G21" s="106"/>
      <c r="H21" s="106"/>
      <c r="I21" s="106"/>
      <c r="J21" s="238"/>
      <c r="K21" s="106"/>
      <c r="L21" s="106"/>
      <c r="M21" s="106"/>
      <c r="N21" s="106"/>
      <c r="O21" s="106"/>
      <c r="P21" s="106"/>
    </row>
    <row r="22" spans="1:16" x14ac:dyDescent="0.25">
      <c r="G22" s="106"/>
      <c r="H22" s="106"/>
      <c r="I22" s="106"/>
      <c r="J22" s="238"/>
      <c r="K22" s="106"/>
      <c r="L22" s="106"/>
      <c r="M22" s="106"/>
      <c r="N22" s="106"/>
      <c r="O22" s="106"/>
      <c r="P22" s="106"/>
    </row>
  </sheetData>
  <mergeCells count="2">
    <mergeCell ref="B13:M13"/>
    <mergeCell ref="B1: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89C1-6A42-48D6-AB42-3D5CF6566CB3}">
  <dimension ref="A1:AE63"/>
  <sheetViews>
    <sheetView topLeftCell="A55" workbookViewId="0">
      <selection activeCell="C58" sqref="C58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24" t="s">
        <v>130</v>
      </c>
      <c r="B1" s="324"/>
      <c r="C1" s="248"/>
      <c r="E1" s="246">
        <v>44197</v>
      </c>
      <c r="F1" s="246">
        <v>44562</v>
      </c>
      <c r="G1" s="246">
        <v>44927</v>
      </c>
      <c r="H1" s="246">
        <v>45292</v>
      </c>
      <c r="I1" s="246">
        <v>45658</v>
      </c>
      <c r="J1" s="246">
        <v>46023</v>
      </c>
      <c r="K1" s="246">
        <v>46388</v>
      </c>
      <c r="L1" s="246">
        <v>46753</v>
      </c>
      <c r="M1" s="246">
        <v>47119</v>
      </c>
      <c r="N1" s="246">
        <v>47484</v>
      </c>
      <c r="O1" s="246">
        <v>47849</v>
      </c>
      <c r="P1" s="246">
        <v>48214</v>
      </c>
      <c r="Q1" s="246">
        <v>48580</v>
      </c>
      <c r="R1" s="246">
        <v>48945</v>
      </c>
      <c r="S1" s="246">
        <v>49310</v>
      </c>
      <c r="T1" s="246">
        <v>49675</v>
      </c>
      <c r="U1" s="246">
        <v>50041</v>
      </c>
      <c r="V1" s="246">
        <v>50406</v>
      </c>
      <c r="W1" s="246">
        <v>50771</v>
      </c>
      <c r="X1" s="246">
        <v>51136</v>
      </c>
      <c r="Y1" s="246">
        <v>51502</v>
      </c>
      <c r="Z1" s="246">
        <v>51867</v>
      </c>
      <c r="AA1" s="246">
        <v>52232</v>
      </c>
      <c r="AB1" s="246">
        <v>52597</v>
      </c>
      <c r="AC1" s="246">
        <v>52963</v>
      </c>
      <c r="AD1" s="246">
        <v>53328</v>
      </c>
      <c r="AE1" s="243"/>
    </row>
    <row r="2" spans="1:31" s="106" customFormat="1" ht="15.75" customHeight="1" x14ac:dyDescent="0.25">
      <c r="A2" s="277"/>
      <c r="B2" s="277"/>
      <c r="C2" s="278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80"/>
    </row>
    <row r="3" spans="1:31" s="106" customFormat="1" ht="15.75" customHeight="1" x14ac:dyDescent="0.25">
      <c r="A3" s="281" t="s">
        <v>161</v>
      </c>
      <c r="B3" s="277">
        <v>0.8</v>
      </c>
      <c r="C3" s="278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80"/>
    </row>
    <row r="4" spans="1:31" ht="14.25" customHeight="1" x14ac:dyDescent="0.25"/>
    <row r="5" spans="1:31" x14ac:dyDescent="0.25">
      <c r="A5" s="323" t="s">
        <v>148</v>
      </c>
      <c r="B5" s="323"/>
      <c r="C5" s="323"/>
      <c r="D5" s="245">
        <v>1.81</v>
      </c>
    </row>
    <row r="6" spans="1:31" x14ac:dyDescent="0.25">
      <c r="A6" s="247" t="s">
        <v>0</v>
      </c>
    </row>
    <row r="7" spans="1:31" x14ac:dyDescent="0.25">
      <c r="A7" s="4" t="s">
        <v>127</v>
      </c>
      <c r="E7" s="54">
        <f>'Minigrids - 1 item'!C10</f>
        <v>27361</v>
      </c>
      <c r="F7" s="54">
        <f>'Minigrids - 1 item'!D10</f>
        <v>2736.1000000000004</v>
      </c>
      <c r="G7" s="54">
        <f>'Minigrids - 1 item'!E10</f>
        <v>2736.1000000000004</v>
      </c>
      <c r="H7" s="54">
        <f>'Minigrids - 1 item'!F10</f>
        <v>2736.1000000000004</v>
      </c>
      <c r="I7" s="54">
        <f>'Minigrids - 1 item'!G10</f>
        <v>2736.1000000000004</v>
      </c>
      <c r="J7" s="54">
        <f>'Minigrids - 1 item'!H10</f>
        <v>2736.1000000000004</v>
      </c>
      <c r="K7" s="54">
        <f>'Minigrids - 1 item'!I10</f>
        <v>2736.1000000000004</v>
      </c>
      <c r="L7" s="54">
        <f>'Minigrids - 1 item'!J10</f>
        <v>2736.1000000000004</v>
      </c>
      <c r="M7" s="54">
        <f>'Minigrids - 1 item'!K10</f>
        <v>2736.1000000000004</v>
      </c>
      <c r="N7" s="54">
        <f>'Minigrids - 1 item'!L10</f>
        <v>2736.1000000000004</v>
      </c>
      <c r="O7" s="54">
        <f>'Minigrids - 1 item'!M10</f>
        <v>2736.1000000000004</v>
      </c>
      <c r="P7" s="54">
        <f>'Minigrids - 1 item'!N10</f>
        <v>2736.1000000000004</v>
      </c>
      <c r="Q7" s="54">
        <f>'Minigrids - 1 item'!O10</f>
        <v>2736.1000000000004</v>
      </c>
      <c r="R7" s="54">
        <f>'Minigrids - 1 item'!P10</f>
        <v>2736.1000000000004</v>
      </c>
      <c r="S7" s="54">
        <f>'Minigrids - 1 item'!Q10</f>
        <v>2736.1000000000004</v>
      </c>
      <c r="T7" s="54">
        <f>'Minigrids - 1 item'!R10</f>
        <v>2736.1000000000004</v>
      </c>
      <c r="U7" s="54">
        <f>'Minigrids - 1 item'!S10</f>
        <v>2736.1000000000004</v>
      </c>
      <c r="V7" s="54">
        <f>'Minigrids - 1 item'!T10</f>
        <v>2736.1000000000004</v>
      </c>
      <c r="W7" s="54">
        <f>'Minigrids - 1 item'!U10</f>
        <v>2736.1000000000004</v>
      </c>
      <c r="X7" s="54">
        <f>'Minigrids - 1 item'!V10</f>
        <v>2736.1000000000004</v>
      </c>
      <c r="Y7" s="54">
        <f>'Minigrids - 1 item'!W10</f>
        <v>2736.1000000000004</v>
      </c>
      <c r="Z7" s="54">
        <f>'Minigrids - 1 item'!X10</f>
        <v>2736.1000000000004</v>
      </c>
      <c r="AA7" s="54">
        <f>'Minigrids - 1 item'!Y10</f>
        <v>2736.1000000000004</v>
      </c>
      <c r="AB7" s="54">
        <f>'Minigrids - 1 item'!Z10</f>
        <v>2736.1000000000004</v>
      </c>
      <c r="AC7" s="54">
        <f>'Minigrids - 1 item'!AA10</f>
        <v>2736.1000000000004</v>
      </c>
      <c r="AD7" s="54">
        <f>'Minigrids - 1 item'!AB10</f>
        <v>2736.1000000000004</v>
      </c>
      <c r="AE7" s="4" t="s">
        <v>12</v>
      </c>
    </row>
    <row r="8" spans="1:31" x14ac:dyDescent="0.25">
      <c r="A8" s="4" t="s">
        <v>128</v>
      </c>
      <c r="E8" s="244">
        <f>'Minigrids - 1 item'!C20*$D$5*$B$3</f>
        <v>0</v>
      </c>
      <c r="F8" s="244">
        <f>'Minigrids - 1 item'!D20*$D$5*$B$3</f>
        <v>6810.1281856000005</v>
      </c>
      <c r="G8" s="244">
        <f>'Minigrids - 1 item'!E20*$D$5*$B$3</f>
        <v>6810.1281856000005</v>
      </c>
      <c r="H8" s="244">
        <f>'Minigrids - 1 item'!F20*$D$5*$B$3</f>
        <v>6810.1281856000005</v>
      </c>
      <c r="I8" s="244">
        <f>'Minigrids - 1 item'!G20*$D$5*$B$3</f>
        <v>6810.1281856000005</v>
      </c>
      <c r="J8" s="244">
        <f>'Minigrids - 1 item'!H20*$D$5*$B$3</f>
        <v>6810.1281856000005</v>
      </c>
      <c r="K8" s="244">
        <f>'Minigrids - 1 item'!I20*$D$5*$B$3</f>
        <v>6810.1281856000005</v>
      </c>
      <c r="L8" s="244">
        <f>'Minigrids - 1 item'!J20*$D$5*$B$3</f>
        <v>6810.1281856000005</v>
      </c>
      <c r="M8" s="244">
        <f>'Minigrids - 1 item'!K20*$D$5*$B$3</f>
        <v>6810.1281856000005</v>
      </c>
      <c r="N8" s="244">
        <f>'Minigrids - 1 item'!L20*$D$5*$B$3</f>
        <v>6810.1281856000005</v>
      </c>
      <c r="O8" s="244">
        <f>'Minigrids - 1 item'!M20*$D$5*$B$3</f>
        <v>6810.1281856000005</v>
      </c>
      <c r="P8" s="244">
        <f>'Minigrids - 1 item'!N20*$D$5*$B$3</f>
        <v>6810.1281856000005</v>
      </c>
      <c r="Q8" s="244">
        <f>'Minigrids - 1 item'!O20*$D$5*$B$3</f>
        <v>6810.1281856000005</v>
      </c>
      <c r="R8" s="244">
        <f>'Minigrids - 1 item'!P20*$D$5*$B$3</f>
        <v>6810.1281856000005</v>
      </c>
      <c r="S8" s="244">
        <f>'Minigrids - 1 item'!Q20*$D$5*$B$3</f>
        <v>6810.1281856000005</v>
      </c>
      <c r="T8" s="244">
        <f>'Minigrids - 1 item'!R20*$D$5*$B$3</f>
        <v>6810.1281856000005</v>
      </c>
      <c r="U8" s="244">
        <f>'Minigrids - 1 item'!S20*$D$5*$B$3</f>
        <v>6810.1281856000005</v>
      </c>
      <c r="V8" s="244">
        <f>'Minigrids - 1 item'!T20*$D$5*$B$3</f>
        <v>6810.1281856000005</v>
      </c>
      <c r="W8" s="244">
        <f>'Minigrids - 1 item'!U20*$D$5*$B$3</f>
        <v>6810.1281856000005</v>
      </c>
      <c r="X8" s="244">
        <f>'Minigrids - 1 item'!V20*$D$5*$B$3</f>
        <v>6810.1281856000005</v>
      </c>
      <c r="Y8" s="244">
        <f>'Minigrids - 1 item'!W20*$D$5*$B$3</f>
        <v>6810.1281856000005</v>
      </c>
      <c r="Z8" s="244">
        <f>'Minigrids - 1 item'!X20*$D$5*$B$3</f>
        <v>6810.1281856000005</v>
      </c>
      <c r="AA8" s="244">
        <f>'Minigrids - 1 item'!Y20*$D$5*$B$3</f>
        <v>6810.1281856000005</v>
      </c>
      <c r="AB8" s="244">
        <f>'Minigrids - 1 item'!Z20*$D$5*$B$3</f>
        <v>6810.1281856000005</v>
      </c>
      <c r="AC8" s="244">
        <f>'Minigrids - 1 item'!AA20*$D$5*$B$3</f>
        <v>6810.1281856000005</v>
      </c>
      <c r="AD8" s="244">
        <f>'Minigrids - 1 item'!AB20*$D$5*$B$3</f>
        <v>6810.1281856000005</v>
      </c>
      <c r="AE8" s="4" t="s">
        <v>12</v>
      </c>
    </row>
    <row r="9" spans="1:31" x14ac:dyDescent="0.25">
      <c r="A9" s="4" t="s">
        <v>129</v>
      </c>
      <c r="E9" s="244">
        <f>E8-E7</f>
        <v>-27361</v>
      </c>
      <c r="F9" s="244">
        <f>F8-F7</f>
        <v>4074.0281856000001</v>
      </c>
      <c r="G9" s="244">
        <f t="shared" ref="G9:AD9" si="0">G8-G7</f>
        <v>4074.0281856000001</v>
      </c>
      <c r="H9" s="244">
        <f t="shared" si="0"/>
        <v>4074.0281856000001</v>
      </c>
      <c r="I9" s="244">
        <f t="shared" si="0"/>
        <v>4074.0281856000001</v>
      </c>
      <c r="J9" s="244">
        <f t="shared" si="0"/>
        <v>4074.0281856000001</v>
      </c>
      <c r="K9" s="244">
        <f t="shared" si="0"/>
        <v>4074.0281856000001</v>
      </c>
      <c r="L9" s="244">
        <f t="shared" si="0"/>
        <v>4074.0281856000001</v>
      </c>
      <c r="M9" s="244">
        <f t="shared" si="0"/>
        <v>4074.0281856000001</v>
      </c>
      <c r="N9" s="244">
        <f t="shared" si="0"/>
        <v>4074.0281856000001</v>
      </c>
      <c r="O9" s="244">
        <f t="shared" si="0"/>
        <v>4074.0281856000001</v>
      </c>
      <c r="P9" s="244">
        <f t="shared" si="0"/>
        <v>4074.0281856000001</v>
      </c>
      <c r="Q9" s="244">
        <f t="shared" si="0"/>
        <v>4074.0281856000001</v>
      </c>
      <c r="R9" s="244">
        <f t="shared" si="0"/>
        <v>4074.0281856000001</v>
      </c>
      <c r="S9" s="244">
        <f t="shared" si="0"/>
        <v>4074.0281856000001</v>
      </c>
      <c r="T9" s="244">
        <f t="shared" si="0"/>
        <v>4074.0281856000001</v>
      </c>
      <c r="U9" s="244">
        <f t="shared" si="0"/>
        <v>4074.0281856000001</v>
      </c>
      <c r="V9" s="244">
        <f t="shared" si="0"/>
        <v>4074.0281856000001</v>
      </c>
      <c r="W9" s="244">
        <f t="shared" si="0"/>
        <v>4074.0281856000001</v>
      </c>
      <c r="X9" s="244">
        <f t="shared" si="0"/>
        <v>4074.0281856000001</v>
      </c>
      <c r="Y9" s="244">
        <f t="shared" si="0"/>
        <v>4074.0281856000001</v>
      </c>
      <c r="Z9" s="244">
        <f t="shared" si="0"/>
        <v>4074.0281856000001</v>
      </c>
      <c r="AA9" s="244">
        <f t="shared" si="0"/>
        <v>4074.0281856000001</v>
      </c>
      <c r="AB9" s="244">
        <f t="shared" si="0"/>
        <v>4074.0281856000001</v>
      </c>
      <c r="AC9" s="244">
        <f t="shared" si="0"/>
        <v>4074.0281856000001</v>
      </c>
      <c r="AD9" s="244">
        <f t="shared" si="0"/>
        <v>4074.0281856000001</v>
      </c>
      <c r="AE9" s="4" t="s">
        <v>12</v>
      </c>
    </row>
    <row r="11" spans="1:31" x14ac:dyDescent="0.25">
      <c r="A11" s="4" t="s">
        <v>84</v>
      </c>
      <c r="C11" s="12">
        <f>XNPV(B$13,E9:AD9,$E$1:$AD$1)</f>
        <v>30040.81713893784</v>
      </c>
    </row>
    <row r="12" spans="1:31" x14ac:dyDescent="0.25">
      <c r="A12" s="4" t="s">
        <v>83</v>
      </c>
      <c r="C12" s="249">
        <f>XIRR(E9:AD9,$E$1:$AD$1,0.1)</f>
        <v>0.14362886548042303</v>
      </c>
    </row>
    <row r="13" spans="1:31" x14ac:dyDescent="0.25">
      <c r="A13" s="4" t="s">
        <v>79</v>
      </c>
      <c r="B13">
        <v>0.05</v>
      </c>
    </row>
    <row r="14" spans="1:31" x14ac:dyDescent="0.25">
      <c r="A14" s="4"/>
    </row>
    <row r="15" spans="1:31" x14ac:dyDescent="0.25">
      <c r="A15" s="323" t="s">
        <v>148</v>
      </c>
      <c r="B15" s="323"/>
      <c r="C15" s="323"/>
      <c r="D15" s="245">
        <v>2.1800000000000002</v>
      </c>
    </row>
    <row r="16" spans="1:31" x14ac:dyDescent="0.25">
      <c r="A16" s="247" t="s">
        <v>123</v>
      </c>
    </row>
    <row r="17" spans="1:31" x14ac:dyDescent="0.25">
      <c r="A17" s="4" t="s">
        <v>127</v>
      </c>
      <c r="E17" s="54">
        <f>'Minigrids - 1 item'!C43</f>
        <v>27361</v>
      </c>
      <c r="F17" s="54">
        <f>'Minigrids - 1 item'!D43</f>
        <v>2736.1000000000004</v>
      </c>
      <c r="G17" s="54">
        <f>'Minigrids - 1 item'!E43</f>
        <v>2736.1000000000004</v>
      </c>
      <c r="H17" s="54">
        <f>'Minigrids - 1 item'!F43</f>
        <v>2736.1000000000004</v>
      </c>
      <c r="I17" s="54">
        <f>'Minigrids - 1 item'!G43</f>
        <v>2736.1000000000004</v>
      </c>
      <c r="J17" s="54">
        <f>'Minigrids - 1 item'!H43</f>
        <v>2736.1000000000004</v>
      </c>
      <c r="K17" s="54">
        <f>'Minigrids - 1 item'!I43</f>
        <v>2736.1000000000004</v>
      </c>
      <c r="L17" s="54">
        <f>'Minigrids - 1 item'!J43</f>
        <v>2736.1000000000004</v>
      </c>
      <c r="M17" s="54">
        <f>'Minigrids - 1 item'!K43</f>
        <v>2736.1000000000004</v>
      </c>
      <c r="N17" s="54">
        <f>'Minigrids - 1 item'!L43</f>
        <v>2736.1000000000004</v>
      </c>
      <c r="O17" s="54">
        <f>'Minigrids - 1 item'!M43</f>
        <v>2736.1000000000004</v>
      </c>
      <c r="P17" s="54">
        <f>'Minigrids - 1 item'!N43</f>
        <v>2736.1000000000004</v>
      </c>
      <c r="Q17" s="54">
        <f>'Minigrids - 1 item'!O43</f>
        <v>2736.1000000000004</v>
      </c>
      <c r="R17" s="54">
        <f>'Minigrids - 1 item'!P43</f>
        <v>2736.1000000000004</v>
      </c>
      <c r="S17" s="54">
        <f>'Minigrids - 1 item'!Q43</f>
        <v>2736.1000000000004</v>
      </c>
      <c r="T17" s="54">
        <f>'Minigrids - 1 item'!R43</f>
        <v>2736.1000000000004</v>
      </c>
      <c r="U17" s="54">
        <f>'Minigrids - 1 item'!S43</f>
        <v>2736.1000000000004</v>
      </c>
      <c r="V17" s="54">
        <f>'Minigrids - 1 item'!T43</f>
        <v>2736.1000000000004</v>
      </c>
      <c r="W17" s="54">
        <f>'Minigrids - 1 item'!U43</f>
        <v>2736.1000000000004</v>
      </c>
      <c r="X17" s="54">
        <f>'Minigrids - 1 item'!V43</f>
        <v>2736.1000000000004</v>
      </c>
      <c r="Y17" s="54">
        <f>'Minigrids - 1 item'!W43</f>
        <v>2736.1000000000004</v>
      </c>
      <c r="Z17" s="54">
        <f>'Minigrids - 1 item'!X43</f>
        <v>2736.1000000000004</v>
      </c>
      <c r="AA17" s="54">
        <f>'Minigrids - 1 item'!Y43</f>
        <v>2736.1000000000004</v>
      </c>
      <c r="AB17" s="54">
        <f>'Minigrids - 1 item'!Z43</f>
        <v>2736.1000000000004</v>
      </c>
      <c r="AC17" s="54">
        <f>'Minigrids - 1 item'!AA43</f>
        <v>2736.1000000000004</v>
      </c>
      <c r="AD17" s="54">
        <f>'Minigrids - 1 item'!AB43</f>
        <v>2736.1000000000004</v>
      </c>
      <c r="AE17" s="4" t="s">
        <v>12</v>
      </c>
    </row>
    <row r="18" spans="1:31" x14ac:dyDescent="0.25">
      <c r="A18" s="4" t="s">
        <v>128</v>
      </c>
      <c r="E18" s="57">
        <f>'Minigrids - 1 item'!C53*$D$15*$B$3</f>
        <v>0</v>
      </c>
      <c r="F18" s="57">
        <f>'Minigrids - 1 item'!D53*$D$15*$B$3</f>
        <v>9842.7046041600024</v>
      </c>
      <c r="G18" s="57">
        <f>'Minigrids - 1 item'!E53*$D$15*$B$3</f>
        <v>9842.7046041600024</v>
      </c>
      <c r="H18" s="57">
        <f>'Minigrids - 1 item'!F53*$D$15*$B$3</f>
        <v>9842.7046041600024</v>
      </c>
      <c r="I18" s="57">
        <f>'Minigrids - 1 item'!G53*$D$15*$B$3</f>
        <v>9842.7046041600024</v>
      </c>
      <c r="J18" s="57">
        <f>'Minigrids - 1 item'!H53*$D$15*$B$3</f>
        <v>9842.7046041600024</v>
      </c>
      <c r="K18" s="57">
        <f>'Minigrids - 1 item'!I53*$D$15*$B$3</f>
        <v>9842.7046041600024</v>
      </c>
      <c r="L18" s="57">
        <f>'Minigrids - 1 item'!J53*$D$15*$B$3</f>
        <v>9842.7046041600024</v>
      </c>
      <c r="M18" s="57">
        <f>'Minigrids - 1 item'!K53*$D$15*$B$3</f>
        <v>9842.7046041600024</v>
      </c>
      <c r="N18" s="57">
        <f>'Minigrids - 1 item'!L53*$D$15*$B$3</f>
        <v>9842.7046041600024</v>
      </c>
      <c r="O18" s="57">
        <f>'Minigrids - 1 item'!M53*$D$15*$B$3</f>
        <v>9842.7046041600024</v>
      </c>
      <c r="P18" s="57">
        <f>'Minigrids - 1 item'!N53*$D$15*$B$3</f>
        <v>9842.7046041600024</v>
      </c>
      <c r="Q18" s="57">
        <f>'Minigrids - 1 item'!O53*$D$15*$B$3</f>
        <v>9842.7046041600024</v>
      </c>
      <c r="R18" s="57">
        <f>'Minigrids - 1 item'!P53*$D$15*$B$3</f>
        <v>9842.7046041600024</v>
      </c>
      <c r="S18" s="57">
        <f>'Minigrids - 1 item'!Q53*$D$15*$B$3</f>
        <v>9842.7046041600024</v>
      </c>
      <c r="T18" s="57">
        <f>'Minigrids - 1 item'!R53*$D$15*$B$3</f>
        <v>9842.7046041600024</v>
      </c>
      <c r="U18" s="57">
        <f>'Minigrids - 1 item'!S53*$D$15*$B$3</f>
        <v>9842.7046041600024</v>
      </c>
      <c r="V18" s="57">
        <f>'Minigrids - 1 item'!T53*$D$15*$B$3</f>
        <v>9842.7046041600024</v>
      </c>
      <c r="W18" s="57">
        <f>'Minigrids - 1 item'!U53*$D$15*$B$3</f>
        <v>9842.7046041600024</v>
      </c>
      <c r="X18" s="57">
        <f>'Minigrids - 1 item'!V53*$D$15*$B$3</f>
        <v>9842.7046041600024</v>
      </c>
      <c r="Y18" s="57">
        <f>'Minigrids - 1 item'!W53*$D$15*$B$3</f>
        <v>9842.7046041600024</v>
      </c>
      <c r="Z18" s="57">
        <f>'Minigrids - 1 item'!X53*$D$15*$B$3</f>
        <v>9842.7046041600024</v>
      </c>
      <c r="AA18" s="57">
        <f>'Minigrids - 1 item'!Y53*$D$15*$B$3</f>
        <v>9842.7046041600024</v>
      </c>
      <c r="AB18" s="57">
        <f>'Minigrids - 1 item'!Z53*$D$15*$B$3</f>
        <v>9842.7046041600024</v>
      </c>
      <c r="AC18" s="57">
        <f>'Minigrids - 1 item'!AA53*$D$15*$B$3</f>
        <v>9842.7046041600024</v>
      </c>
      <c r="AD18" s="57">
        <f>'Minigrids - 1 item'!AB53*$D$15*$B$3</f>
        <v>9842.7046041600024</v>
      </c>
      <c r="AE18" s="4" t="s">
        <v>12</v>
      </c>
    </row>
    <row r="19" spans="1:31" x14ac:dyDescent="0.25">
      <c r="A19" s="4" t="s">
        <v>129</v>
      </c>
      <c r="E19" s="57">
        <f>E18-E17</f>
        <v>-27361</v>
      </c>
      <c r="F19" s="57">
        <f t="shared" ref="F19:AD19" si="1">F18-F17</f>
        <v>7106.6046041600021</v>
      </c>
      <c r="G19" s="57">
        <f t="shared" si="1"/>
        <v>7106.6046041600021</v>
      </c>
      <c r="H19" s="57">
        <f t="shared" si="1"/>
        <v>7106.6046041600021</v>
      </c>
      <c r="I19" s="57">
        <f t="shared" si="1"/>
        <v>7106.6046041600021</v>
      </c>
      <c r="J19" s="57">
        <f t="shared" si="1"/>
        <v>7106.6046041600021</v>
      </c>
      <c r="K19" s="57">
        <f t="shared" si="1"/>
        <v>7106.6046041600021</v>
      </c>
      <c r="L19" s="57">
        <f t="shared" si="1"/>
        <v>7106.6046041600021</v>
      </c>
      <c r="M19" s="57">
        <f t="shared" si="1"/>
        <v>7106.6046041600021</v>
      </c>
      <c r="N19" s="57">
        <f t="shared" si="1"/>
        <v>7106.6046041600021</v>
      </c>
      <c r="O19" s="57">
        <f t="shared" si="1"/>
        <v>7106.6046041600021</v>
      </c>
      <c r="P19" s="57">
        <f t="shared" si="1"/>
        <v>7106.6046041600021</v>
      </c>
      <c r="Q19" s="57">
        <f t="shared" si="1"/>
        <v>7106.6046041600021</v>
      </c>
      <c r="R19" s="57">
        <f t="shared" si="1"/>
        <v>7106.6046041600021</v>
      </c>
      <c r="S19" s="57">
        <f t="shared" si="1"/>
        <v>7106.6046041600021</v>
      </c>
      <c r="T19" s="57">
        <f t="shared" si="1"/>
        <v>7106.6046041600021</v>
      </c>
      <c r="U19" s="57">
        <f t="shared" si="1"/>
        <v>7106.6046041600021</v>
      </c>
      <c r="V19" s="57">
        <f t="shared" si="1"/>
        <v>7106.6046041600021</v>
      </c>
      <c r="W19" s="57">
        <f t="shared" si="1"/>
        <v>7106.6046041600021</v>
      </c>
      <c r="X19" s="57">
        <f t="shared" si="1"/>
        <v>7106.6046041600021</v>
      </c>
      <c r="Y19" s="57">
        <f t="shared" si="1"/>
        <v>7106.6046041600021</v>
      </c>
      <c r="Z19" s="57">
        <f t="shared" si="1"/>
        <v>7106.6046041600021</v>
      </c>
      <c r="AA19" s="57">
        <f t="shared" si="1"/>
        <v>7106.6046041600021</v>
      </c>
      <c r="AB19" s="57">
        <f t="shared" si="1"/>
        <v>7106.6046041600021</v>
      </c>
      <c r="AC19" s="57">
        <f t="shared" si="1"/>
        <v>7106.6046041600021</v>
      </c>
      <c r="AD19" s="57">
        <f t="shared" si="1"/>
        <v>7106.6046041600021</v>
      </c>
      <c r="AE19" s="4" t="s">
        <v>12</v>
      </c>
    </row>
    <row r="21" spans="1:31" x14ac:dyDescent="0.25">
      <c r="A21" s="4" t="s">
        <v>84</v>
      </c>
      <c r="C21" s="12">
        <f>XNPV(B$23,E19:AD19,$E$1:$AD$1)</f>
        <v>39678.422505293893</v>
      </c>
    </row>
    <row r="22" spans="1:31" x14ac:dyDescent="0.25">
      <c r="A22" s="4" t="s">
        <v>83</v>
      </c>
      <c r="C22" s="249">
        <f>XIRR(E19:AD19,$E$1:$AD$1,0.1)</f>
        <v>0.25877836346626282</v>
      </c>
    </row>
    <row r="23" spans="1:31" x14ac:dyDescent="0.25">
      <c r="A23" s="4" t="s">
        <v>79</v>
      </c>
      <c r="B23">
        <v>9.5000000000000001E-2</v>
      </c>
    </row>
    <row r="24" spans="1:31" x14ac:dyDescent="0.25">
      <c r="A24" s="4"/>
    </row>
    <row r="25" spans="1:31" x14ac:dyDescent="0.25">
      <c r="A25" s="323" t="s">
        <v>148</v>
      </c>
      <c r="B25" s="323"/>
      <c r="C25" s="323"/>
      <c r="D25" s="245">
        <v>1.73</v>
      </c>
    </row>
    <row r="26" spans="1:31" x14ac:dyDescent="0.25">
      <c r="A26" s="247" t="s">
        <v>124</v>
      </c>
    </row>
    <row r="27" spans="1:31" x14ac:dyDescent="0.25">
      <c r="A27" s="4" t="s">
        <v>127</v>
      </c>
      <c r="E27" s="54">
        <f>'Minigrids - 1 item'!C76</f>
        <v>27361</v>
      </c>
      <c r="F27" s="54">
        <f>'Minigrids - 1 item'!D76</f>
        <v>2736.1000000000004</v>
      </c>
      <c r="G27" s="54">
        <f>'Minigrids - 1 item'!E76</f>
        <v>2736.1000000000004</v>
      </c>
      <c r="H27" s="54">
        <f>'Minigrids - 1 item'!F76</f>
        <v>2736.1000000000004</v>
      </c>
      <c r="I27" s="54">
        <f>'Minigrids - 1 item'!G76</f>
        <v>2736.1000000000004</v>
      </c>
      <c r="J27" s="54">
        <f>'Minigrids - 1 item'!H76</f>
        <v>2736.1000000000004</v>
      </c>
      <c r="K27" s="54">
        <f>'Minigrids - 1 item'!I76</f>
        <v>2736.1000000000004</v>
      </c>
      <c r="L27" s="54">
        <f>'Minigrids - 1 item'!J76</f>
        <v>2736.1000000000004</v>
      </c>
      <c r="M27" s="54">
        <f>'Minigrids - 1 item'!K76</f>
        <v>2736.1000000000004</v>
      </c>
      <c r="N27" s="54">
        <f>'Minigrids - 1 item'!L76</f>
        <v>2736.1000000000004</v>
      </c>
      <c r="O27" s="54">
        <f>'Minigrids - 1 item'!M76</f>
        <v>2736.1000000000004</v>
      </c>
      <c r="P27" s="54">
        <f>'Minigrids - 1 item'!N76</f>
        <v>2736.1000000000004</v>
      </c>
      <c r="Q27" s="54">
        <f>'Minigrids - 1 item'!O76</f>
        <v>2736.1000000000004</v>
      </c>
      <c r="R27" s="54">
        <f>'Minigrids - 1 item'!P76</f>
        <v>2736.1000000000004</v>
      </c>
      <c r="S27" s="54">
        <f>'Minigrids - 1 item'!Q76</f>
        <v>2736.1000000000004</v>
      </c>
      <c r="T27" s="54">
        <f>'Minigrids - 1 item'!R76</f>
        <v>2736.1000000000004</v>
      </c>
      <c r="U27" s="54">
        <f>'Minigrids - 1 item'!S76</f>
        <v>2736.1000000000004</v>
      </c>
      <c r="V27" s="54">
        <f>'Minigrids - 1 item'!T76</f>
        <v>2736.1000000000004</v>
      </c>
      <c r="W27" s="54">
        <f>'Minigrids - 1 item'!U76</f>
        <v>2736.1000000000004</v>
      </c>
      <c r="X27" s="54">
        <f>'Minigrids - 1 item'!V76</f>
        <v>2736.1000000000004</v>
      </c>
      <c r="Y27" s="54">
        <f>'Minigrids - 1 item'!W76</f>
        <v>2736.1000000000004</v>
      </c>
      <c r="Z27" s="54">
        <f>'Minigrids - 1 item'!X76</f>
        <v>2736.1000000000004</v>
      </c>
      <c r="AA27" s="54">
        <f>'Minigrids - 1 item'!Y76</f>
        <v>2736.1000000000004</v>
      </c>
      <c r="AB27" s="54">
        <f>'Minigrids - 1 item'!Z76</f>
        <v>2736.1000000000004</v>
      </c>
      <c r="AC27" s="54">
        <f>'Minigrids - 1 item'!AA76</f>
        <v>2736.1000000000004</v>
      </c>
      <c r="AD27" s="54">
        <f>'Minigrids - 1 item'!AB76</f>
        <v>2736.1000000000004</v>
      </c>
      <c r="AE27" s="4" t="s">
        <v>12</v>
      </c>
    </row>
    <row r="28" spans="1:31" x14ac:dyDescent="0.25">
      <c r="A28" s="4" t="s">
        <v>128</v>
      </c>
      <c r="E28" s="57">
        <f>'Minigrids - 1 item'!C86*$D$25*$B$3</f>
        <v>0</v>
      </c>
      <c r="F28" s="57">
        <f>'Minigrids - 1 item'!D86*$D$25*$B$3</f>
        <v>6239.7848153600007</v>
      </c>
      <c r="G28" s="57">
        <f>'Minigrids - 1 item'!E86*$D$25*$B$3</f>
        <v>6239.7848153600007</v>
      </c>
      <c r="H28" s="57">
        <f>'Minigrids - 1 item'!F86*$D$25*$B$3</f>
        <v>6239.7848153600007</v>
      </c>
      <c r="I28" s="57">
        <f>'Minigrids - 1 item'!G86*$D$25*$B$3</f>
        <v>6239.7848153600007</v>
      </c>
      <c r="J28" s="57">
        <f>'Minigrids - 1 item'!H86*$D$25*$B$3</f>
        <v>6239.7848153600007</v>
      </c>
      <c r="K28" s="57">
        <f>'Minigrids - 1 item'!I86*$D$25*$B$3</f>
        <v>6239.7848153600007</v>
      </c>
      <c r="L28" s="57">
        <f>'Minigrids - 1 item'!J86*$D$25*$B$3</f>
        <v>6239.7848153600007</v>
      </c>
      <c r="M28" s="57">
        <f>'Minigrids - 1 item'!K86*$D$25*$B$3</f>
        <v>6239.7848153600007</v>
      </c>
      <c r="N28" s="57">
        <f>'Minigrids - 1 item'!L86*$D$25*$B$3</f>
        <v>6239.7848153600007</v>
      </c>
      <c r="O28" s="57">
        <f>'Minigrids - 1 item'!M86*$D$25*$B$3</f>
        <v>6239.7848153600007</v>
      </c>
      <c r="P28" s="57">
        <f>'Minigrids - 1 item'!N86*$D$25*$B$3</f>
        <v>6239.7848153600007</v>
      </c>
      <c r="Q28" s="57">
        <f>'Minigrids - 1 item'!O86*$D$25*$B$3</f>
        <v>6239.7848153600007</v>
      </c>
      <c r="R28" s="57">
        <f>'Minigrids - 1 item'!P86*$D$25*$B$3</f>
        <v>6239.7848153600007</v>
      </c>
      <c r="S28" s="57">
        <f>'Minigrids - 1 item'!Q86*$D$25*$B$3</f>
        <v>6239.7848153600007</v>
      </c>
      <c r="T28" s="57">
        <f>'Minigrids - 1 item'!R86*$D$25*$B$3</f>
        <v>6239.7848153600007</v>
      </c>
      <c r="U28" s="57">
        <f>'Minigrids - 1 item'!S86*$D$25*$B$3</f>
        <v>6239.7848153600007</v>
      </c>
      <c r="V28" s="57">
        <f>'Minigrids - 1 item'!T86*$D$25*$B$3</f>
        <v>6239.7848153600007</v>
      </c>
      <c r="W28" s="57">
        <f>'Minigrids - 1 item'!U86*$D$25*$B$3</f>
        <v>6239.7848153600007</v>
      </c>
      <c r="X28" s="57">
        <f>'Minigrids - 1 item'!V86*$D$25*$B$3</f>
        <v>6239.7848153600007</v>
      </c>
      <c r="Y28" s="57">
        <f>'Minigrids - 1 item'!W86*$D$25*$B$3</f>
        <v>6239.7848153600007</v>
      </c>
      <c r="Z28" s="57">
        <f>'Minigrids - 1 item'!X86*$D$25*$B$3</f>
        <v>6239.7848153600007</v>
      </c>
      <c r="AA28" s="57">
        <f>'Minigrids - 1 item'!Y86*$D$25*$B$3</f>
        <v>6239.7848153600007</v>
      </c>
      <c r="AB28" s="57">
        <f>'Minigrids - 1 item'!Z86*$D$25*$B$3</f>
        <v>6239.7848153600007</v>
      </c>
      <c r="AC28" s="57">
        <f>'Minigrids - 1 item'!AA86*$D$25*$B$3</f>
        <v>6239.7848153600007</v>
      </c>
      <c r="AD28" s="57">
        <f>'Minigrids - 1 item'!AB86*$D$25*$B$3</f>
        <v>6239.7848153600007</v>
      </c>
      <c r="AE28" s="4" t="s">
        <v>12</v>
      </c>
    </row>
    <row r="29" spans="1:31" x14ac:dyDescent="0.25">
      <c r="A29" s="4" t="s">
        <v>129</v>
      </c>
      <c r="E29" s="57">
        <f>E28-E27</f>
        <v>-27361</v>
      </c>
      <c r="F29" s="57">
        <f t="shared" ref="F29:AD29" si="2">F28-F27</f>
        <v>3503.6848153600004</v>
      </c>
      <c r="G29" s="57">
        <f t="shared" si="2"/>
        <v>3503.6848153600004</v>
      </c>
      <c r="H29" s="57">
        <f t="shared" si="2"/>
        <v>3503.6848153600004</v>
      </c>
      <c r="I29" s="57">
        <f t="shared" si="2"/>
        <v>3503.6848153600004</v>
      </c>
      <c r="J29" s="57">
        <f t="shared" si="2"/>
        <v>3503.6848153600004</v>
      </c>
      <c r="K29" s="57">
        <f t="shared" si="2"/>
        <v>3503.6848153600004</v>
      </c>
      <c r="L29" s="57">
        <f t="shared" si="2"/>
        <v>3503.6848153600004</v>
      </c>
      <c r="M29" s="57">
        <f t="shared" si="2"/>
        <v>3503.6848153600004</v>
      </c>
      <c r="N29" s="57">
        <f t="shared" si="2"/>
        <v>3503.6848153600004</v>
      </c>
      <c r="O29" s="57">
        <f t="shared" si="2"/>
        <v>3503.6848153600004</v>
      </c>
      <c r="P29" s="57">
        <f t="shared" si="2"/>
        <v>3503.6848153600004</v>
      </c>
      <c r="Q29" s="57">
        <f t="shared" si="2"/>
        <v>3503.6848153600004</v>
      </c>
      <c r="R29" s="57">
        <f t="shared" si="2"/>
        <v>3503.6848153600004</v>
      </c>
      <c r="S29" s="57">
        <f t="shared" si="2"/>
        <v>3503.6848153600004</v>
      </c>
      <c r="T29" s="57">
        <f t="shared" si="2"/>
        <v>3503.6848153600004</v>
      </c>
      <c r="U29" s="57">
        <f t="shared" si="2"/>
        <v>3503.6848153600004</v>
      </c>
      <c r="V29" s="57">
        <f t="shared" si="2"/>
        <v>3503.6848153600004</v>
      </c>
      <c r="W29" s="57">
        <f t="shared" si="2"/>
        <v>3503.6848153600004</v>
      </c>
      <c r="X29" s="57">
        <f t="shared" si="2"/>
        <v>3503.6848153600004</v>
      </c>
      <c r="Y29" s="57">
        <f t="shared" si="2"/>
        <v>3503.6848153600004</v>
      </c>
      <c r="Z29" s="57">
        <f t="shared" si="2"/>
        <v>3503.6848153600004</v>
      </c>
      <c r="AA29" s="57">
        <f t="shared" si="2"/>
        <v>3503.6848153600004</v>
      </c>
      <c r="AB29" s="57">
        <f t="shared" si="2"/>
        <v>3503.6848153600004</v>
      </c>
      <c r="AC29" s="57">
        <f t="shared" si="2"/>
        <v>3503.6848153600004</v>
      </c>
      <c r="AD29" s="57">
        <f t="shared" si="2"/>
        <v>3503.6848153600004</v>
      </c>
      <c r="AE29" s="4" t="s">
        <v>12</v>
      </c>
    </row>
    <row r="31" spans="1:31" x14ac:dyDescent="0.25">
      <c r="A31" s="4" t="s">
        <v>84</v>
      </c>
      <c r="C31" s="12">
        <f>XNPV(B$33,E29:AD29,$E$1:$AD$1)</f>
        <v>27359.884876246255</v>
      </c>
    </row>
    <row r="32" spans="1:31" x14ac:dyDescent="0.25">
      <c r="A32" s="4" t="s">
        <v>83</v>
      </c>
      <c r="C32" s="249">
        <f>XIRR(E29:AD29,$E$1:$AD$1,0.1)</f>
        <v>0.12055564522743223</v>
      </c>
    </row>
    <row r="33" spans="1:31" x14ac:dyDescent="0.25">
      <c r="A33" s="4" t="s">
        <v>79</v>
      </c>
      <c r="B33">
        <v>0.04</v>
      </c>
    </row>
    <row r="34" spans="1:31" x14ac:dyDescent="0.25">
      <c r="A34" s="4"/>
    </row>
    <row r="35" spans="1:31" x14ac:dyDescent="0.25">
      <c r="A35" s="323" t="s">
        <v>148</v>
      </c>
      <c r="B35" s="323"/>
      <c r="C35" s="323"/>
      <c r="D35" s="245">
        <v>1.73</v>
      </c>
    </row>
    <row r="36" spans="1:31" x14ac:dyDescent="0.25">
      <c r="A36" s="247" t="s">
        <v>14</v>
      </c>
    </row>
    <row r="37" spans="1:31" x14ac:dyDescent="0.25">
      <c r="A37" s="4" t="s">
        <v>127</v>
      </c>
      <c r="E37" s="54">
        <f>'Minigrids - 1 item'!C109</f>
        <v>27361</v>
      </c>
      <c r="F37" s="54">
        <f>'Minigrids - 1 item'!D109</f>
        <v>2736.1000000000004</v>
      </c>
      <c r="G37" s="54">
        <f>'Minigrids - 1 item'!E109</f>
        <v>2736.1000000000004</v>
      </c>
      <c r="H37" s="54">
        <f>'Minigrids - 1 item'!F109</f>
        <v>2736.1000000000004</v>
      </c>
      <c r="I37" s="54">
        <f>'Minigrids - 1 item'!G109</f>
        <v>2736.1000000000004</v>
      </c>
      <c r="J37" s="54">
        <f>'Minigrids - 1 item'!H109</f>
        <v>2736.1000000000004</v>
      </c>
      <c r="K37" s="54">
        <f>'Minigrids - 1 item'!I109</f>
        <v>2736.1000000000004</v>
      </c>
      <c r="L37" s="54">
        <f>'Minigrids - 1 item'!J109</f>
        <v>2736.1000000000004</v>
      </c>
      <c r="M37" s="54">
        <f>'Minigrids - 1 item'!K109</f>
        <v>2736.1000000000004</v>
      </c>
      <c r="N37" s="54">
        <f>'Minigrids - 1 item'!L109</f>
        <v>2736.1000000000004</v>
      </c>
      <c r="O37" s="54">
        <f>'Minigrids - 1 item'!M109</f>
        <v>2736.1000000000004</v>
      </c>
      <c r="P37" s="54">
        <f>'Minigrids - 1 item'!N109</f>
        <v>2736.1000000000004</v>
      </c>
      <c r="Q37" s="54">
        <f>'Minigrids - 1 item'!O109</f>
        <v>2736.1000000000004</v>
      </c>
      <c r="R37" s="54">
        <f>'Minigrids - 1 item'!P109</f>
        <v>2736.1000000000004</v>
      </c>
      <c r="S37" s="54">
        <f>'Minigrids - 1 item'!Q109</f>
        <v>2736.1000000000004</v>
      </c>
      <c r="T37" s="54">
        <f>'Minigrids - 1 item'!R109</f>
        <v>2736.1000000000004</v>
      </c>
      <c r="U37" s="54">
        <f>'Minigrids - 1 item'!S109</f>
        <v>2736.1000000000004</v>
      </c>
      <c r="V37" s="54">
        <f>'Minigrids - 1 item'!T109</f>
        <v>2736.1000000000004</v>
      </c>
      <c r="W37" s="54">
        <f>'Minigrids - 1 item'!U109</f>
        <v>2736.1000000000004</v>
      </c>
      <c r="X37" s="54">
        <f>'Minigrids - 1 item'!V109</f>
        <v>2736.1000000000004</v>
      </c>
      <c r="Y37" s="54">
        <f>'Minigrids - 1 item'!W109</f>
        <v>2736.1000000000004</v>
      </c>
      <c r="Z37" s="54">
        <f>'Minigrids - 1 item'!X109</f>
        <v>2736.1000000000004</v>
      </c>
      <c r="AA37" s="54">
        <f>'Minigrids - 1 item'!Y109</f>
        <v>2736.1000000000004</v>
      </c>
      <c r="AB37" s="54">
        <f>'Minigrids - 1 item'!Z109</f>
        <v>2736.1000000000004</v>
      </c>
      <c r="AC37" s="54">
        <f>'Minigrids - 1 item'!AA109</f>
        <v>2736.1000000000004</v>
      </c>
      <c r="AD37" s="54">
        <f>'Minigrids - 1 item'!AB109</f>
        <v>2736.1000000000004</v>
      </c>
      <c r="AE37" s="4" t="s">
        <v>12</v>
      </c>
    </row>
    <row r="38" spans="1:31" x14ac:dyDescent="0.25">
      <c r="A38" s="4" t="s">
        <v>128</v>
      </c>
      <c r="E38" s="57">
        <f>'Minigrids - 1 item'!C119*$D$35*$B$3</f>
        <v>0</v>
      </c>
      <c r="F38" s="57">
        <f>'Minigrids - 1 item'!D119*$D$35*$B$3</f>
        <v>6239.7848153600007</v>
      </c>
      <c r="G38" s="57">
        <f>'Minigrids - 1 item'!E119*$D$35*$B$3</f>
        <v>6239.7848153600007</v>
      </c>
      <c r="H38" s="57">
        <f>'Minigrids - 1 item'!F119*$D$35*$B$3</f>
        <v>6239.7848153600007</v>
      </c>
      <c r="I38" s="57">
        <f>'Minigrids - 1 item'!G119*$D$35*$B$3</f>
        <v>6239.7848153600007</v>
      </c>
      <c r="J38" s="57">
        <f>'Minigrids - 1 item'!H119*$D$35*$B$3</f>
        <v>6239.7848153600007</v>
      </c>
      <c r="K38" s="57">
        <f>'Minigrids - 1 item'!I119*$D$35*$B$3</f>
        <v>6239.7848153600007</v>
      </c>
      <c r="L38" s="57">
        <f>'Minigrids - 1 item'!J119*$D$35*$B$3</f>
        <v>6239.7848153600007</v>
      </c>
      <c r="M38" s="57">
        <f>'Minigrids - 1 item'!K119*$D$35*$B$3</f>
        <v>6239.7848153600007</v>
      </c>
      <c r="N38" s="57">
        <f>'Minigrids - 1 item'!L119*$D$35*$B$3</f>
        <v>6239.7848153600007</v>
      </c>
      <c r="O38" s="57">
        <f>'Minigrids - 1 item'!M119*$D$35*$B$3</f>
        <v>6239.7848153600007</v>
      </c>
      <c r="P38" s="57">
        <f>'Minigrids - 1 item'!N119*$D$35*$B$3</f>
        <v>6239.7848153600007</v>
      </c>
      <c r="Q38" s="57">
        <f>'Minigrids - 1 item'!O119*$D$35*$B$3</f>
        <v>6239.7848153600007</v>
      </c>
      <c r="R38" s="57">
        <f>'Minigrids - 1 item'!P119*$D$35*$B$3</f>
        <v>6239.7848153600007</v>
      </c>
      <c r="S38" s="57">
        <f>'Minigrids - 1 item'!Q119*$D$35*$B$3</f>
        <v>6239.7848153600007</v>
      </c>
      <c r="T38" s="57">
        <f>'Minigrids - 1 item'!R119*$D$35*$B$3</f>
        <v>6239.7848153600007</v>
      </c>
      <c r="U38" s="57">
        <f>'Minigrids - 1 item'!S119*$D$35*$B$3</f>
        <v>6239.7848153600007</v>
      </c>
      <c r="V38" s="57">
        <f>'Minigrids - 1 item'!T119*$D$35*$B$3</f>
        <v>6239.7848153600007</v>
      </c>
      <c r="W38" s="57">
        <f>'Minigrids - 1 item'!U119*$D$35*$B$3</f>
        <v>6239.7848153600007</v>
      </c>
      <c r="X38" s="57">
        <f>'Minigrids - 1 item'!V119*$D$35*$B$3</f>
        <v>6239.7848153600007</v>
      </c>
      <c r="Y38" s="57">
        <f>'Minigrids - 1 item'!W119*$D$35*$B$3</f>
        <v>6239.7848153600007</v>
      </c>
      <c r="Z38" s="57">
        <f>'Minigrids - 1 item'!X119*$D$35*$B$3</f>
        <v>6239.7848153600007</v>
      </c>
      <c r="AA38" s="57">
        <f>'Minigrids - 1 item'!Y119*$D$35*$B$3</f>
        <v>6239.7848153600007</v>
      </c>
      <c r="AB38" s="57">
        <f>'Minigrids - 1 item'!Z119*$D$35*$B$3</f>
        <v>6239.7848153600007</v>
      </c>
      <c r="AC38" s="57">
        <f>'Minigrids - 1 item'!AA119*$D$35*$B$3</f>
        <v>6239.7848153600007</v>
      </c>
      <c r="AD38" s="57">
        <f>'Minigrids - 1 item'!AB119*$D$35*$B$3</f>
        <v>6239.7848153600007</v>
      </c>
      <c r="AE38" s="4" t="s">
        <v>12</v>
      </c>
    </row>
    <row r="39" spans="1:31" x14ac:dyDescent="0.25">
      <c r="A39" s="4" t="s">
        <v>129</v>
      </c>
      <c r="E39" s="57">
        <f>E38-E37</f>
        <v>-27361</v>
      </c>
      <c r="F39" s="57">
        <f t="shared" ref="F39:AD39" si="3">F38-F37</f>
        <v>3503.6848153600004</v>
      </c>
      <c r="G39" s="57">
        <f t="shared" si="3"/>
        <v>3503.6848153600004</v>
      </c>
      <c r="H39" s="57">
        <f t="shared" si="3"/>
        <v>3503.6848153600004</v>
      </c>
      <c r="I39" s="57">
        <f t="shared" si="3"/>
        <v>3503.6848153600004</v>
      </c>
      <c r="J39" s="57">
        <f t="shared" si="3"/>
        <v>3503.6848153600004</v>
      </c>
      <c r="K39" s="57">
        <f t="shared" si="3"/>
        <v>3503.6848153600004</v>
      </c>
      <c r="L39" s="57">
        <f t="shared" si="3"/>
        <v>3503.6848153600004</v>
      </c>
      <c r="M39" s="57">
        <f t="shared" si="3"/>
        <v>3503.6848153600004</v>
      </c>
      <c r="N39" s="57">
        <f t="shared" si="3"/>
        <v>3503.6848153600004</v>
      </c>
      <c r="O39" s="57">
        <f t="shared" si="3"/>
        <v>3503.6848153600004</v>
      </c>
      <c r="P39" s="57">
        <f t="shared" si="3"/>
        <v>3503.6848153600004</v>
      </c>
      <c r="Q39" s="57">
        <f t="shared" si="3"/>
        <v>3503.6848153600004</v>
      </c>
      <c r="R39" s="57">
        <f t="shared" si="3"/>
        <v>3503.6848153600004</v>
      </c>
      <c r="S39" s="57">
        <f t="shared" si="3"/>
        <v>3503.6848153600004</v>
      </c>
      <c r="T39" s="57">
        <f t="shared" si="3"/>
        <v>3503.6848153600004</v>
      </c>
      <c r="U39" s="57">
        <f t="shared" si="3"/>
        <v>3503.6848153600004</v>
      </c>
      <c r="V39" s="57">
        <f t="shared" si="3"/>
        <v>3503.6848153600004</v>
      </c>
      <c r="W39" s="57">
        <f t="shared" si="3"/>
        <v>3503.6848153600004</v>
      </c>
      <c r="X39" s="57">
        <f t="shared" si="3"/>
        <v>3503.6848153600004</v>
      </c>
      <c r="Y39" s="57">
        <f t="shared" si="3"/>
        <v>3503.6848153600004</v>
      </c>
      <c r="Z39" s="57">
        <f t="shared" si="3"/>
        <v>3503.6848153600004</v>
      </c>
      <c r="AA39" s="57">
        <f t="shared" si="3"/>
        <v>3503.6848153600004</v>
      </c>
      <c r="AB39" s="57">
        <f t="shared" si="3"/>
        <v>3503.6848153600004</v>
      </c>
      <c r="AC39" s="57">
        <f t="shared" si="3"/>
        <v>3503.6848153600004</v>
      </c>
      <c r="AD39" s="57">
        <f t="shared" si="3"/>
        <v>3503.6848153600004</v>
      </c>
      <c r="AE39" s="4" t="s">
        <v>12</v>
      </c>
    </row>
    <row r="41" spans="1:31" x14ac:dyDescent="0.25">
      <c r="A41" s="4" t="s">
        <v>84</v>
      </c>
      <c r="C41" s="12">
        <f>XNPV(B$43,E39:AD39,$E$1:$AD$1)</f>
        <v>27359.884876246255</v>
      </c>
    </row>
    <row r="42" spans="1:31" x14ac:dyDescent="0.25">
      <c r="A42" s="4" t="s">
        <v>83</v>
      </c>
      <c r="C42" s="249">
        <f>XIRR(E39:AD39,$E$1:$AD$1,0.1)</f>
        <v>0.12055564522743223</v>
      </c>
    </row>
    <row r="43" spans="1:31" x14ac:dyDescent="0.25">
      <c r="A43" s="4" t="s">
        <v>79</v>
      </c>
      <c r="B43">
        <v>0.04</v>
      </c>
    </row>
    <row r="44" spans="1:31" x14ac:dyDescent="0.25">
      <c r="A44" s="4"/>
    </row>
    <row r="45" spans="1:31" x14ac:dyDescent="0.25">
      <c r="A45" s="323" t="s">
        <v>148</v>
      </c>
      <c r="B45" s="323"/>
      <c r="C45" s="323"/>
      <c r="D45" s="245">
        <v>1.73</v>
      </c>
    </row>
    <row r="46" spans="1:31" x14ac:dyDescent="0.25">
      <c r="A46" s="247" t="s">
        <v>125</v>
      </c>
    </row>
    <row r="47" spans="1:31" x14ac:dyDescent="0.25">
      <c r="A47" s="4" t="s">
        <v>127</v>
      </c>
      <c r="E47" s="54">
        <f>'Minigrids - 1 item'!C142</f>
        <v>27361</v>
      </c>
      <c r="F47" s="54">
        <f>'Minigrids - 1 item'!D142</f>
        <v>2736.1000000000004</v>
      </c>
      <c r="G47" s="54">
        <f>'Minigrids - 1 item'!E142</f>
        <v>2736.1000000000004</v>
      </c>
      <c r="H47" s="54">
        <f>'Minigrids - 1 item'!F142</f>
        <v>2736.1000000000004</v>
      </c>
      <c r="I47" s="54">
        <f>'Minigrids - 1 item'!G142</f>
        <v>2736.1000000000004</v>
      </c>
      <c r="J47" s="54">
        <f>'Minigrids - 1 item'!H142</f>
        <v>2736.1000000000004</v>
      </c>
      <c r="K47" s="54">
        <f>'Minigrids - 1 item'!I142</f>
        <v>2736.1000000000004</v>
      </c>
      <c r="L47" s="54">
        <f>'Minigrids - 1 item'!J142</f>
        <v>2736.1000000000004</v>
      </c>
      <c r="M47" s="54">
        <f>'Minigrids - 1 item'!K142</f>
        <v>2736.1000000000004</v>
      </c>
      <c r="N47" s="54">
        <f>'Minigrids - 1 item'!L142</f>
        <v>2736.1000000000004</v>
      </c>
      <c r="O47" s="54">
        <f>'Minigrids - 1 item'!M142</f>
        <v>2736.1000000000004</v>
      </c>
      <c r="P47" s="54">
        <f>'Minigrids - 1 item'!N142</f>
        <v>2736.1000000000004</v>
      </c>
      <c r="Q47" s="54">
        <f>'Minigrids - 1 item'!O142</f>
        <v>2736.1000000000004</v>
      </c>
      <c r="R47" s="54">
        <f>'Minigrids - 1 item'!P142</f>
        <v>2736.1000000000004</v>
      </c>
      <c r="S47" s="54">
        <f>'Minigrids - 1 item'!Q142</f>
        <v>2736.1000000000004</v>
      </c>
      <c r="T47" s="54">
        <f>'Minigrids - 1 item'!R142</f>
        <v>2736.1000000000004</v>
      </c>
      <c r="U47" s="54">
        <f>'Minigrids - 1 item'!S142</f>
        <v>2736.1000000000004</v>
      </c>
      <c r="V47" s="54">
        <f>'Minigrids - 1 item'!T142</f>
        <v>2736.1000000000004</v>
      </c>
      <c r="W47" s="54">
        <f>'Minigrids - 1 item'!U142</f>
        <v>2736.1000000000004</v>
      </c>
      <c r="X47" s="54">
        <f>'Minigrids - 1 item'!V142</f>
        <v>2736.1000000000004</v>
      </c>
      <c r="Y47" s="54">
        <f>'Minigrids - 1 item'!W142</f>
        <v>2736.1000000000004</v>
      </c>
      <c r="Z47" s="54">
        <f>'Minigrids - 1 item'!X142</f>
        <v>2736.1000000000004</v>
      </c>
      <c r="AA47" s="54">
        <f>'Minigrids - 1 item'!Y142</f>
        <v>2736.1000000000004</v>
      </c>
      <c r="AB47" s="54">
        <f>'Minigrids - 1 item'!Z142</f>
        <v>2736.1000000000004</v>
      </c>
      <c r="AC47" s="54">
        <f>'Minigrids - 1 item'!AA142</f>
        <v>2736.1000000000004</v>
      </c>
      <c r="AD47" s="54">
        <f>'Minigrids - 1 item'!AB142</f>
        <v>2736.1000000000004</v>
      </c>
      <c r="AE47" s="4" t="s">
        <v>12</v>
      </c>
    </row>
    <row r="48" spans="1:31" x14ac:dyDescent="0.25">
      <c r="A48" s="4" t="s">
        <v>128</v>
      </c>
      <c r="E48" s="57">
        <f>'Minigrids - 1 item'!C152*$D$45*$B$3</f>
        <v>0</v>
      </c>
      <c r="F48" s="57">
        <f>'Minigrids - 1 item'!D152*$D$45*$B$3</f>
        <v>6239.7848153600007</v>
      </c>
      <c r="G48" s="57">
        <f>'Minigrids - 1 item'!E152*$D$45*$B$3</f>
        <v>6239.7848153600007</v>
      </c>
      <c r="H48" s="57">
        <f>'Minigrids - 1 item'!F152*$D$45*$B$3</f>
        <v>6239.7848153600007</v>
      </c>
      <c r="I48" s="57">
        <f>'Minigrids - 1 item'!G152*$D$45*$B$3</f>
        <v>6239.7848153600007</v>
      </c>
      <c r="J48" s="57">
        <f>'Minigrids - 1 item'!H152*$D$45*$B$3</f>
        <v>6239.7848153600007</v>
      </c>
      <c r="K48" s="57">
        <f>'Minigrids - 1 item'!I152*$D$45*$B$3</f>
        <v>6239.7848153600007</v>
      </c>
      <c r="L48" s="57">
        <f>'Minigrids - 1 item'!J152*$D$45*$B$3</f>
        <v>6239.7848153600007</v>
      </c>
      <c r="M48" s="57">
        <f>'Minigrids - 1 item'!K152*$D$45*$B$3</f>
        <v>6239.7848153600007</v>
      </c>
      <c r="N48" s="57">
        <f>'Minigrids - 1 item'!L152*$D$45*$B$3</f>
        <v>6239.7848153600007</v>
      </c>
      <c r="O48" s="57">
        <f>'Minigrids - 1 item'!M152*$D$45*$B$3</f>
        <v>6239.7848153600007</v>
      </c>
      <c r="P48" s="57">
        <f>'Minigrids - 1 item'!N152*$D$45*$B$3</f>
        <v>6239.7848153600007</v>
      </c>
      <c r="Q48" s="57">
        <f>'Minigrids - 1 item'!O152*$D$45*$B$3</f>
        <v>6239.7848153600007</v>
      </c>
      <c r="R48" s="57">
        <f>'Minigrids - 1 item'!P152*$D$45*$B$3</f>
        <v>6239.7848153600007</v>
      </c>
      <c r="S48" s="57">
        <f>'Minigrids - 1 item'!Q152*$D$45*$B$3</f>
        <v>6239.7848153600007</v>
      </c>
      <c r="T48" s="57">
        <f>'Minigrids - 1 item'!R152*$D$45*$B$3</f>
        <v>6239.7848153600007</v>
      </c>
      <c r="U48" s="57">
        <f>'Minigrids - 1 item'!S152*$D$45*$B$3</f>
        <v>6239.7848153600007</v>
      </c>
      <c r="V48" s="57">
        <f>'Minigrids - 1 item'!T152*$D$45*$B$3</f>
        <v>6239.7848153600007</v>
      </c>
      <c r="W48" s="57">
        <f>'Minigrids - 1 item'!U152*$D$45*$B$3</f>
        <v>6239.7848153600007</v>
      </c>
      <c r="X48" s="57">
        <f>'Minigrids - 1 item'!V152*$D$45*$B$3</f>
        <v>6239.7848153600007</v>
      </c>
      <c r="Y48" s="57">
        <f>'Minigrids - 1 item'!W152*$D$45*$B$3</f>
        <v>6239.7848153600007</v>
      </c>
      <c r="Z48" s="57">
        <f>'Minigrids - 1 item'!X152*$D$45*$B$3</f>
        <v>6239.7848153600007</v>
      </c>
      <c r="AA48" s="57">
        <f>'Minigrids - 1 item'!Y152*$D$45*$B$3</f>
        <v>6239.7848153600007</v>
      </c>
      <c r="AB48" s="57">
        <f>'Minigrids - 1 item'!Z152*$D$45*$B$3</f>
        <v>6239.7848153600007</v>
      </c>
      <c r="AC48" s="57">
        <f>'Minigrids - 1 item'!AA152*$D$45*$B$3</f>
        <v>6239.7848153600007</v>
      </c>
      <c r="AD48" s="57">
        <f>'Minigrids - 1 item'!AB152*$D$45*$B$3</f>
        <v>6239.7848153600007</v>
      </c>
      <c r="AE48" s="4" t="s">
        <v>12</v>
      </c>
    </row>
    <row r="49" spans="1:31" x14ac:dyDescent="0.25">
      <c r="A49" s="4" t="s">
        <v>129</v>
      </c>
      <c r="E49" s="57">
        <f>E48-E47</f>
        <v>-27361</v>
      </c>
      <c r="F49" s="57">
        <f t="shared" ref="F49:AD49" si="4">F48-F47</f>
        <v>3503.6848153600004</v>
      </c>
      <c r="G49" s="57">
        <f t="shared" si="4"/>
        <v>3503.6848153600004</v>
      </c>
      <c r="H49" s="57">
        <f t="shared" si="4"/>
        <v>3503.6848153600004</v>
      </c>
      <c r="I49" s="57">
        <f t="shared" si="4"/>
        <v>3503.6848153600004</v>
      </c>
      <c r="J49" s="57">
        <f t="shared" si="4"/>
        <v>3503.6848153600004</v>
      </c>
      <c r="K49" s="57">
        <f t="shared" si="4"/>
        <v>3503.6848153600004</v>
      </c>
      <c r="L49" s="57">
        <f t="shared" si="4"/>
        <v>3503.6848153600004</v>
      </c>
      <c r="M49" s="57">
        <f t="shared" si="4"/>
        <v>3503.6848153600004</v>
      </c>
      <c r="N49" s="57">
        <f t="shared" si="4"/>
        <v>3503.6848153600004</v>
      </c>
      <c r="O49" s="57">
        <f t="shared" si="4"/>
        <v>3503.6848153600004</v>
      </c>
      <c r="P49" s="57">
        <f t="shared" si="4"/>
        <v>3503.6848153600004</v>
      </c>
      <c r="Q49" s="57">
        <f t="shared" si="4"/>
        <v>3503.6848153600004</v>
      </c>
      <c r="R49" s="57">
        <f t="shared" si="4"/>
        <v>3503.6848153600004</v>
      </c>
      <c r="S49" s="57">
        <f t="shared" si="4"/>
        <v>3503.6848153600004</v>
      </c>
      <c r="T49" s="57">
        <f t="shared" si="4"/>
        <v>3503.6848153600004</v>
      </c>
      <c r="U49" s="57">
        <f t="shared" si="4"/>
        <v>3503.6848153600004</v>
      </c>
      <c r="V49" s="57">
        <f t="shared" si="4"/>
        <v>3503.6848153600004</v>
      </c>
      <c r="W49" s="57">
        <f t="shared" si="4"/>
        <v>3503.6848153600004</v>
      </c>
      <c r="X49" s="57">
        <f t="shared" si="4"/>
        <v>3503.6848153600004</v>
      </c>
      <c r="Y49" s="57">
        <f t="shared" si="4"/>
        <v>3503.6848153600004</v>
      </c>
      <c r="Z49" s="57">
        <f t="shared" si="4"/>
        <v>3503.6848153600004</v>
      </c>
      <c r="AA49" s="57">
        <f t="shared" si="4"/>
        <v>3503.6848153600004</v>
      </c>
      <c r="AB49" s="57">
        <f t="shared" si="4"/>
        <v>3503.6848153600004</v>
      </c>
      <c r="AC49" s="57">
        <f t="shared" si="4"/>
        <v>3503.6848153600004</v>
      </c>
      <c r="AD49" s="57">
        <f t="shared" si="4"/>
        <v>3503.6848153600004</v>
      </c>
      <c r="AE49" s="4" t="s">
        <v>12</v>
      </c>
    </row>
    <row r="51" spans="1:31" x14ac:dyDescent="0.25">
      <c r="A51" s="4" t="s">
        <v>84</v>
      </c>
      <c r="C51" s="12">
        <f>XNPV(B$53,E49:AD49,$E$1:$AD$1)</f>
        <v>27359.884876246255</v>
      </c>
    </row>
    <row r="52" spans="1:31" x14ac:dyDescent="0.25">
      <c r="A52" s="4" t="s">
        <v>83</v>
      </c>
      <c r="C52" s="249">
        <f>XIRR(E49:AD49,$E$1:$AD$1,0.1)</f>
        <v>0.12055564522743223</v>
      </c>
    </row>
    <row r="53" spans="1:31" x14ac:dyDescent="0.25">
      <c r="A53" s="4" t="s">
        <v>79</v>
      </c>
      <c r="B53">
        <v>0.04</v>
      </c>
    </row>
    <row r="57" spans="1:31" x14ac:dyDescent="0.25">
      <c r="B57" s="242" t="s">
        <v>83</v>
      </c>
      <c r="C57" s="242" t="s">
        <v>84</v>
      </c>
    </row>
    <row r="58" spans="1:31" x14ac:dyDescent="0.25">
      <c r="A58" s="247" t="s">
        <v>0</v>
      </c>
      <c r="B58" s="250">
        <f>C12</f>
        <v>0.14362886548042303</v>
      </c>
      <c r="C58" s="52">
        <f>C11</f>
        <v>30040.81713893784</v>
      </c>
    </row>
    <row r="59" spans="1:31" x14ac:dyDescent="0.25">
      <c r="A59" s="247" t="s">
        <v>123</v>
      </c>
      <c r="B59" s="270">
        <f>C22</f>
        <v>0.25877836346626282</v>
      </c>
      <c r="C59" s="52">
        <f>C21</f>
        <v>39678.422505293893</v>
      </c>
    </row>
    <row r="60" spans="1:31" x14ac:dyDescent="0.25">
      <c r="A60" s="247" t="s">
        <v>124</v>
      </c>
      <c r="B60" s="250">
        <f>C32</f>
        <v>0.12055564522743223</v>
      </c>
      <c r="C60" s="52">
        <f>C31</f>
        <v>27359.884876246255</v>
      </c>
    </row>
    <row r="61" spans="1:31" x14ac:dyDescent="0.25">
      <c r="A61" s="247" t="s">
        <v>14</v>
      </c>
      <c r="B61" s="250">
        <f>C42</f>
        <v>0.12055564522743223</v>
      </c>
      <c r="C61" s="52">
        <f>C41</f>
        <v>27359.884876246255</v>
      </c>
    </row>
    <row r="62" spans="1:31" x14ac:dyDescent="0.25">
      <c r="A62" s="247" t="s">
        <v>125</v>
      </c>
      <c r="B62" s="250">
        <f>C52</f>
        <v>0.12055564522743223</v>
      </c>
      <c r="C62" s="52">
        <f>C51</f>
        <v>27359.884876246255</v>
      </c>
    </row>
    <row r="63" spans="1:31" x14ac:dyDescent="0.25">
      <c r="C63" s="251"/>
    </row>
  </sheetData>
  <mergeCells count="6">
    <mergeCell ref="A45:C45"/>
    <mergeCell ref="A1:B1"/>
    <mergeCell ref="A5:C5"/>
    <mergeCell ref="A15:C15"/>
    <mergeCell ref="A25:C25"/>
    <mergeCell ref="A35:C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86F3-E430-4D8D-8161-AA9B06B1907C}">
  <dimension ref="A1:AC12"/>
  <sheetViews>
    <sheetView zoomScale="57" zoomScaleNormal="57" workbookViewId="0">
      <selection activeCell="E9" sqref="E9:AC9"/>
    </sheetView>
  </sheetViews>
  <sheetFormatPr defaultRowHeight="15" x14ac:dyDescent="0.25"/>
  <cols>
    <col min="1" max="1" width="39.28515625" customWidth="1"/>
    <col min="2" max="2" width="14.7109375" style="8" bestFit="1" customWidth="1"/>
    <col min="4" max="4" width="10.85546875" bestFit="1" customWidth="1"/>
    <col min="5" max="5" width="10" bestFit="1" customWidth="1"/>
    <col min="6" max="9" width="9.5703125" bestFit="1" customWidth="1"/>
    <col min="10" max="24" width="10.5703125" bestFit="1" customWidth="1"/>
  </cols>
  <sheetData>
    <row r="1" spans="1:29" s="4" customFormat="1" x14ac:dyDescent="0.25">
      <c r="B1" s="8"/>
      <c r="D1" s="282" t="s">
        <v>162</v>
      </c>
      <c r="E1" s="282">
        <v>1</v>
      </c>
      <c r="F1" s="282">
        <v>2</v>
      </c>
      <c r="G1" s="282">
        <v>3</v>
      </c>
      <c r="H1" s="282">
        <v>4</v>
      </c>
      <c r="I1" s="282">
        <v>5</v>
      </c>
      <c r="J1" s="282">
        <v>6</v>
      </c>
      <c r="K1" s="282">
        <v>7</v>
      </c>
      <c r="L1" s="282">
        <v>8</v>
      </c>
      <c r="M1" s="282">
        <v>9</v>
      </c>
      <c r="N1" s="282">
        <v>10</v>
      </c>
      <c r="O1" s="282">
        <v>11</v>
      </c>
      <c r="P1" s="282">
        <v>12</v>
      </c>
      <c r="Q1" s="282">
        <v>13</v>
      </c>
      <c r="R1" s="282">
        <v>14</v>
      </c>
      <c r="S1" s="282">
        <v>15</v>
      </c>
      <c r="T1" s="282">
        <v>16</v>
      </c>
      <c r="U1" s="282">
        <v>17</v>
      </c>
      <c r="V1" s="282">
        <v>18</v>
      </c>
      <c r="W1" s="282">
        <v>19</v>
      </c>
      <c r="X1" s="282">
        <v>20</v>
      </c>
      <c r="Y1" s="282">
        <v>21</v>
      </c>
      <c r="Z1" s="282">
        <v>22</v>
      </c>
      <c r="AA1" s="282">
        <v>23</v>
      </c>
      <c r="AB1" s="282">
        <v>24</v>
      </c>
      <c r="AC1" s="282">
        <v>25</v>
      </c>
    </row>
    <row r="2" spans="1:29" s="4" customFormat="1" x14ac:dyDescent="0.25">
      <c r="A2" s="4" t="s">
        <v>163</v>
      </c>
      <c r="B2" s="283"/>
    </row>
    <row r="3" spans="1:29" s="4" customFormat="1" x14ac:dyDescent="0.25">
      <c r="A3" t="s">
        <v>164</v>
      </c>
      <c r="B3" s="8" t="s">
        <v>165</v>
      </c>
      <c r="C3">
        <v>40</v>
      </c>
      <c r="D3" s="284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s="4" customFormat="1" x14ac:dyDescent="0.25">
      <c r="A4" t="s">
        <v>166</v>
      </c>
      <c r="B4" s="8" t="s">
        <v>167</v>
      </c>
      <c r="C4" s="285">
        <v>2.5000000000000001E-2</v>
      </c>
      <c r="D4" s="284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s="4" customFormat="1" x14ac:dyDescent="0.25">
      <c r="A5" s="286" t="s">
        <v>168</v>
      </c>
      <c r="B5" s="287" t="s">
        <v>165</v>
      </c>
      <c r="C5" s="286"/>
      <c r="D5" s="288"/>
      <c r="E5" s="289">
        <f>C3</f>
        <v>40</v>
      </c>
      <c r="F5" s="290">
        <f t="shared" ref="F5:X5" si="0">E5*(1+$C$4)</f>
        <v>41</v>
      </c>
      <c r="G5" s="290">
        <f t="shared" si="0"/>
        <v>42.024999999999999</v>
      </c>
      <c r="H5" s="290">
        <f t="shared" si="0"/>
        <v>43.075624999999995</v>
      </c>
      <c r="I5" s="290">
        <f t="shared" si="0"/>
        <v>44.152515624999992</v>
      </c>
      <c r="J5" s="290">
        <f t="shared" si="0"/>
        <v>45.256328515624986</v>
      </c>
      <c r="K5" s="290">
        <f t="shared" si="0"/>
        <v>46.387736728515605</v>
      </c>
      <c r="L5" s="290">
        <f t="shared" si="0"/>
        <v>47.547430146728495</v>
      </c>
      <c r="M5" s="290">
        <f t="shared" si="0"/>
        <v>48.736115900396705</v>
      </c>
      <c r="N5" s="290">
        <f t="shared" si="0"/>
        <v>49.954518797906616</v>
      </c>
      <c r="O5" s="290">
        <f t="shared" si="0"/>
        <v>51.203381767854275</v>
      </c>
      <c r="P5" s="290">
        <f t="shared" si="0"/>
        <v>52.483466312050624</v>
      </c>
      <c r="Q5" s="290">
        <f t="shared" si="0"/>
        <v>53.795552969851883</v>
      </c>
      <c r="R5" s="290">
        <f t="shared" si="0"/>
        <v>55.140441794098173</v>
      </c>
      <c r="S5" s="290">
        <f t="shared" si="0"/>
        <v>56.518952838950625</v>
      </c>
      <c r="T5" s="290">
        <f t="shared" si="0"/>
        <v>57.931926659924386</v>
      </c>
      <c r="U5" s="290">
        <f t="shared" si="0"/>
        <v>59.380224826422491</v>
      </c>
      <c r="V5" s="290">
        <f t="shared" si="0"/>
        <v>60.864730447083048</v>
      </c>
      <c r="W5" s="290">
        <f t="shared" si="0"/>
        <v>62.386348708260115</v>
      </c>
      <c r="X5" s="290">
        <f t="shared" si="0"/>
        <v>63.946007425966613</v>
      </c>
      <c r="Y5" s="290">
        <f t="shared" ref="Y5" si="1">X5*(1+$C$4)</f>
        <v>65.544657611615776</v>
      </c>
      <c r="Z5" s="290">
        <f t="shared" ref="Z5" si="2">Y5*(1+$C$4)</f>
        <v>67.183274051906167</v>
      </c>
      <c r="AA5" s="290">
        <f t="shared" ref="AA5" si="3">Z5*(1+$C$4)</f>
        <v>68.862855903203823</v>
      </c>
      <c r="AB5" s="290">
        <f t="shared" ref="AB5" si="4">AA5*(1+$C$4)</f>
        <v>70.584427300783915</v>
      </c>
      <c r="AC5" s="290">
        <f t="shared" ref="AC5" si="5">AB5*(1+$C$4)</f>
        <v>72.349037983303504</v>
      </c>
    </row>
    <row r="6" spans="1:29" s="4" customFormat="1" x14ac:dyDescent="0.25">
      <c r="B6" s="283"/>
      <c r="D6" s="28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4" customFormat="1" x14ac:dyDescent="0.25">
      <c r="B7" s="283"/>
      <c r="D7" s="284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x14ac:dyDescent="0.25">
      <c r="A8" s="14" t="s">
        <v>169</v>
      </c>
      <c r="B8" s="283"/>
    </row>
    <row r="9" spans="1:29" s="294" customFormat="1" x14ac:dyDescent="0.25">
      <c r="A9" s="294" t="s">
        <v>130</v>
      </c>
      <c r="B9" s="295" t="s">
        <v>176</v>
      </c>
      <c r="E9" s="296">
        <f>Interventions!$L$13*Interventions!$L$15</f>
        <v>14.389760000000001</v>
      </c>
      <c r="F9" s="296">
        <f>Interventions!$L$13*Interventions!$L$15</f>
        <v>14.389760000000001</v>
      </c>
      <c r="G9" s="296">
        <f>Interventions!$L$13*Interventions!$L$15</f>
        <v>14.389760000000001</v>
      </c>
      <c r="H9" s="296">
        <f>Interventions!$L$13*Interventions!$L$15</f>
        <v>14.389760000000001</v>
      </c>
      <c r="I9" s="296">
        <f>Interventions!$L$13*Interventions!$L$15</f>
        <v>14.389760000000001</v>
      </c>
      <c r="J9" s="296">
        <f>Interventions!$L$13*Interventions!$L$15</f>
        <v>14.389760000000001</v>
      </c>
      <c r="K9" s="296">
        <f>Interventions!$L$13*Interventions!$L$15</f>
        <v>14.389760000000001</v>
      </c>
      <c r="L9" s="296">
        <f>Interventions!$L$13*Interventions!$L$15</f>
        <v>14.389760000000001</v>
      </c>
      <c r="M9" s="296">
        <f>Interventions!$L$13*Interventions!$L$15</f>
        <v>14.389760000000001</v>
      </c>
      <c r="N9" s="296">
        <f>Interventions!$L$13*Interventions!$L$15</f>
        <v>14.389760000000001</v>
      </c>
      <c r="O9" s="296">
        <f>Interventions!$L$13*Interventions!$L$15</f>
        <v>14.389760000000001</v>
      </c>
      <c r="P9" s="296">
        <f>Interventions!$L$13*Interventions!$L$15</f>
        <v>14.389760000000001</v>
      </c>
      <c r="Q9" s="296">
        <f>Interventions!$L$13*Interventions!$L$15</f>
        <v>14.389760000000001</v>
      </c>
      <c r="R9" s="296">
        <f>Interventions!$L$13*Interventions!$L$15</f>
        <v>14.389760000000001</v>
      </c>
      <c r="S9" s="296">
        <f>Interventions!$L$13*Interventions!$L$15</f>
        <v>14.389760000000001</v>
      </c>
      <c r="T9" s="296">
        <f>Interventions!$L$13*Interventions!$L$15</f>
        <v>14.389760000000001</v>
      </c>
      <c r="U9" s="296">
        <f>Interventions!$L$13*Interventions!$L$15</f>
        <v>14.389760000000001</v>
      </c>
      <c r="V9" s="296">
        <f>Interventions!$L$13*Interventions!$L$15</f>
        <v>14.389760000000001</v>
      </c>
      <c r="W9" s="296">
        <f>Interventions!$L$13*Interventions!$L$15</f>
        <v>14.389760000000001</v>
      </c>
      <c r="X9" s="296">
        <f>Interventions!$L$13*Interventions!$L$15</f>
        <v>14.389760000000001</v>
      </c>
      <c r="Y9" s="296">
        <f>Interventions!$L$13*Interventions!$L$15</f>
        <v>14.389760000000001</v>
      </c>
      <c r="Z9" s="296">
        <f>Interventions!$L$13*Interventions!$L$15</f>
        <v>14.389760000000001</v>
      </c>
      <c r="AA9" s="296">
        <f>Interventions!$L$13*Interventions!$L$15</f>
        <v>14.389760000000001</v>
      </c>
      <c r="AB9" s="296">
        <f>Interventions!$L$13*Interventions!$L$15</f>
        <v>14.389760000000001</v>
      </c>
      <c r="AC9" s="296">
        <f>Interventions!$L$13*Interventions!$L$15</f>
        <v>14.389760000000001</v>
      </c>
    </row>
    <row r="11" spans="1:29" x14ac:dyDescent="0.25">
      <c r="A11" s="4" t="s">
        <v>175</v>
      </c>
      <c r="B11" s="283"/>
    </row>
    <row r="12" spans="1:29" x14ac:dyDescent="0.25">
      <c r="A12" s="291" t="s">
        <v>130</v>
      </c>
      <c r="B12" s="292" t="s">
        <v>177</v>
      </c>
      <c r="C12" s="291"/>
      <c r="D12" s="291"/>
      <c r="E12" s="293">
        <f t="shared" ref="E12:X12" si="6">E9*E5</f>
        <v>575.59040000000005</v>
      </c>
      <c r="F12" s="293">
        <f t="shared" si="6"/>
        <v>589.98016000000007</v>
      </c>
      <c r="G12" s="293">
        <f t="shared" si="6"/>
        <v>604.72966399999996</v>
      </c>
      <c r="H12" s="293">
        <f t="shared" si="6"/>
        <v>619.84790559999999</v>
      </c>
      <c r="I12" s="293">
        <f t="shared" si="6"/>
        <v>635.34410323999998</v>
      </c>
      <c r="J12" s="293">
        <f t="shared" si="6"/>
        <v>651.22770582099986</v>
      </c>
      <c r="K12" s="293">
        <f t="shared" si="6"/>
        <v>667.5083984665248</v>
      </c>
      <c r="L12" s="293">
        <f t="shared" si="6"/>
        <v>684.19610842818781</v>
      </c>
      <c r="M12" s="293">
        <f t="shared" si="6"/>
        <v>701.30101113889248</v>
      </c>
      <c r="N12" s="293">
        <f t="shared" si="6"/>
        <v>718.83353641736471</v>
      </c>
      <c r="O12" s="293">
        <f t="shared" si="6"/>
        <v>736.80437482779871</v>
      </c>
      <c r="P12" s="293">
        <f t="shared" si="6"/>
        <v>755.22448419849366</v>
      </c>
      <c r="Q12" s="293">
        <f t="shared" si="6"/>
        <v>774.10509630345587</v>
      </c>
      <c r="R12" s="293">
        <f t="shared" si="6"/>
        <v>793.45772371104215</v>
      </c>
      <c r="S12" s="293">
        <f t="shared" si="6"/>
        <v>813.29416680381814</v>
      </c>
      <c r="T12" s="293">
        <f t="shared" si="6"/>
        <v>833.62652097391356</v>
      </c>
      <c r="U12" s="293">
        <f t="shared" si="6"/>
        <v>854.46718399826136</v>
      </c>
      <c r="V12" s="293">
        <f t="shared" si="6"/>
        <v>875.82886359821782</v>
      </c>
      <c r="W12" s="293">
        <f t="shared" si="6"/>
        <v>897.72458518817314</v>
      </c>
      <c r="X12" s="293">
        <f t="shared" si="6"/>
        <v>920.16769981787741</v>
      </c>
      <c r="Y12" s="293">
        <f t="shared" ref="Y12:AC12" si="7">Y9*Y5</f>
        <v>943.17189231332429</v>
      </c>
      <c r="Z12" s="293">
        <f t="shared" si="7"/>
        <v>966.75118962115732</v>
      </c>
      <c r="AA12" s="293">
        <f t="shared" si="7"/>
        <v>990.9199693616863</v>
      </c>
      <c r="AB12" s="293">
        <f t="shared" si="7"/>
        <v>1015.6929685957284</v>
      </c>
      <c r="AC12" s="293">
        <f t="shared" si="7"/>
        <v>1041.0852928106215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114"/>
  <sheetViews>
    <sheetView topLeftCell="A41" zoomScale="66" zoomScaleNormal="66" workbookViewId="0">
      <selection activeCell="C62" sqref="C62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47" t="s">
        <v>3</v>
      </c>
      <c r="G1" s="47" t="s">
        <v>4</v>
      </c>
      <c r="H1" s="47" t="s">
        <v>5</v>
      </c>
      <c r="I1" s="47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7">
        <v>0.1</v>
      </c>
      <c r="C3" s="268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0.95</v>
      </c>
      <c r="E8" s="49">
        <f t="shared" ref="E8:AB8" si="0">1*((1-$B$6)^E7)</f>
        <v>0.90249999999999997</v>
      </c>
      <c r="F8" s="49">
        <f t="shared" si="0"/>
        <v>0.85737499999999989</v>
      </c>
      <c r="G8" s="49">
        <f t="shared" si="0"/>
        <v>0.81450624999999999</v>
      </c>
      <c r="H8" s="49">
        <f t="shared" si="0"/>
        <v>0.77378093749999999</v>
      </c>
      <c r="I8" s="49">
        <f t="shared" si="0"/>
        <v>0.73509189062499991</v>
      </c>
      <c r="J8" s="49">
        <f t="shared" si="0"/>
        <v>0.69833729609374995</v>
      </c>
      <c r="K8" s="49">
        <f t="shared" si="0"/>
        <v>0.66342043128906247</v>
      </c>
      <c r="L8" s="49">
        <f t="shared" si="0"/>
        <v>0.6302494097246093</v>
      </c>
      <c r="M8" s="49">
        <f t="shared" si="0"/>
        <v>0.5987369392383789</v>
      </c>
      <c r="N8" s="49">
        <f t="shared" si="0"/>
        <v>0.56880009227645989</v>
      </c>
      <c r="O8" s="49">
        <f t="shared" si="0"/>
        <v>0.54036008766263688</v>
      </c>
      <c r="P8" s="49">
        <f t="shared" si="0"/>
        <v>0.51334208327950503</v>
      </c>
      <c r="Q8" s="49">
        <f t="shared" si="0"/>
        <v>0.48767497911552976</v>
      </c>
      <c r="R8" s="49">
        <f t="shared" si="0"/>
        <v>0.46329123015975332</v>
      </c>
      <c r="S8" s="49">
        <f t="shared" si="0"/>
        <v>0.44012666865176564</v>
      </c>
      <c r="T8" s="49">
        <f t="shared" si="0"/>
        <v>0.41812033521917735</v>
      </c>
      <c r="U8" s="49">
        <f t="shared" si="0"/>
        <v>0.39721431845821847</v>
      </c>
      <c r="V8" s="49">
        <f t="shared" si="0"/>
        <v>0.37735360253530753</v>
      </c>
      <c r="W8" s="49">
        <f t="shared" si="0"/>
        <v>0.35848592240854216</v>
      </c>
      <c r="X8" s="49">
        <f t="shared" si="0"/>
        <v>0.34056162628811509</v>
      </c>
      <c r="Y8" s="49">
        <f t="shared" si="0"/>
        <v>0.32353354497370929</v>
      </c>
      <c r="Z8" s="49">
        <f t="shared" si="0"/>
        <v>0.30735686772502385</v>
      </c>
      <c r="AA8" s="49">
        <f t="shared" si="0"/>
        <v>0.29198902433877266</v>
      </c>
      <c r="AB8" s="49">
        <f t="shared" si="0"/>
        <v>0.27738957312183399</v>
      </c>
      <c r="AC8" s="49">
        <f t="shared" ref="AC8:AD8" si="1">1*((1-$B$6)^AC7)</f>
        <v>0.26352009446574232</v>
      </c>
      <c r="AD8" s="49">
        <f t="shared" si="1"/>
        <v>0.2503440897424552</v>
      </c>
      <c r="AE8" s="49">
        <f t="shared" ref="AE8:AH8" si="2">1*((1-$B$6)^AE7)</f>
        <v>0.23782688525533241</v>
      </c>
      <c r="AF8" s="49">
        <f t="shared" si="2"/>
        <v>0.2259355409925658</v>
      </c>
      <c r="AG8" s="49">
        <f t="shared" si="2"/>
        <v>0.21463876394293749</v>
      </c>
      <c r="AH8" s="49">
        <f t="shared" si="2"/>
        <v>0.20390682574579064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B10" si="3">1*((1-$B$9)^F7)</f>
        <v>1</v>
      </c>
      <c r="G10" s="49">
        <f t="shared" si="3"/>
        <v>1</v>
      </c>
      <c r="H10" s="49">
        <f t="shared" si="3"/>
        <v>1</v>
      </c>
      <c r="I10" s="49">
        <f t="shared" si="3"/>
        <v>1</v>
      </c>
      <c r="J10" s="49">
        <f t="shared" si="3"/>
        <v>1</v>
      </c>
      <c r="K10" s="49">
        <f t="shared" si="3"/>
        <v>1</v>
      </c>
      <c r="L10" s="49">
        <f t="shared" si="3"/>
        <v>1</v>
      </c>
      <c r="M10" s="49">
        <f t="shared" si="3"/>
        <v>1</v>
      </c>
      <c r="N10" s="49">
        <f t="shared" si="3"/>
        <v>1</v>
      </c>
      <c r="O10" s="49">
        <f t="shared" si="3"/>
        <v>1</v>
      </c>
      <c r="P10" s="49">
        <f t="shared" si="3"/>
        <v>1</v>
      </c>
      <c r="Q10" s="49">
        <f t="shared" si="3"/>
        <v>1</v>
      </c>
      <c r="R10" s="49">
        <f t="shared" si="3"/>
        <v>1</v>
      </c>
      <c r="S10" s="49">
        <f t="shared" si="3"/>
        <v>1</v>
      </c>
      <c r="T10" s="49">
        <f t="shared" si="3"/>
        <v>1</v>
      </c>
      <c r="U10" s="49">
        <f t="shared" si="3"/>
        <v>1</v>
      </c>
      <c r="V10" s="49">
        <f t="shared" si="3"/>
        <v>1</v>
      </c>
      <c r="W10" s="49">
        <f t="shared" si="3"/>
        <v>1</v>
      </c>
      <c r="X10" s="49">
        <f t="shared" si="3"/>
        <v>1</v>
      </c>
      <c r="Y10" s="49">
        <f t="shared" si="3"/>
        <v>1</v>
      </c>
      <c r="Z10" s="49">
        <f t="shared" si="3"/>
        <v>1</v>
      </c>
      <c r="AA10" s="49">
        <f t="shared" si="3"/>
        <v>1</v>
      </c>
      <c r="AB10" s="49">
        <f t="shared" si="3"/>
        <v>1</v>
      </c>
      <c r="AC10" s="49">
        <f t="shared" ref="AC10:AD10" si="4">1*((1-$B$9)^AC7)</f>
        <v>1</v>
      </c>
      <c r="AD10" s="49">
        <f t="shared" si="4"/>
        <v>1</v>
      </c>
      <c r="AE10" s="49">
        <f t="shared" ref="AE10:AH10" si="5">1*((1-$B$9)^AE7)</f>
        <v>1</v>
      </c>
      <c r="AF10" s="49">
        <f t="shared" si="5"/>
        <v>1</v>
      </c>
      <c r="AG10" s="49">
        <f t="shared" si="5"/>
        <v>1</v>
      </c>
      <c r="AH10" s="49">
        <f t="shared" si="5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0.05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0.05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4">
        <v>0.13500000000000001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3" t="s">
        <v>13</v>
      </c>
      <c r="C20" s="110"/>
      <c r="D20" s="304" t="s">
        <v>1</v>
      </c>
      <c r="E20" s="305"/>
      <c r="F20" s="305"/>
      <c r="G20" s="305"/>
      <c r="H20" s="305"/>
      <c r="I20" s="306"/>
      <c r="J20" s="50"/>
    </row>
    <row r="21" spans="1:34" x14ac:dyDescent="0.25">
      <c r="B21" s="303"/>
      <c r="C21" s="111"/>
      <c r="D21" s="46">
        <v>1</v>
      </c>
      <c r="E21" s="47">
        <v>2</v>
      </c>
      <c r="F21" s="46">
        <v>3</v>
      </c>
      <c r="G21" s="47">
        <v>4</v>
      </c>
      <c r="H21" s="46">
        <v>5</v>
      </c>
      <c r="I21" s="47">
        <v>6</v>
      </c>
      <c r="J21" s="46">
        <v>7</v>
      </c>
      <c r="K21" s="47">
        <v>8</v>
      </c>
      <c r="L21" s="46">
        <v>9</v>
      </c>
      <c r="M21" s="47">
        <v>10</v>
      </c>
      <c r="N21" s="46">
        <v>11</v>
      </c>
      <c r="O21" s="47">
        <v>12</v>
      </c>
      <c r="P21" s="46">
        <v>13</v>
      </c>
      <c r="Q21" s="47">
        <v>14</v>
      </c>
      <c r="R21" s="46">
        <v>15</v>
      </c>
      <c r="S21" s="47">
        <v>16</v>
      </c>
      <c r="T21" s="46">
        <v>17</v>
      </c>
      <c r="U21" s="47">
        <v>18</v>
      </c>
      <c r="V21" s="46">
        <v>19</v>
      </c>
      <c r="W21" s="47">
        <v>20</v>
      </c>
      <c r="X21" s="46">
        <v>21</v>
      </c>
      <c r="Y21" s="47">
        <v>22</v>
      </c>
      <c r="Z21" s="46">
        <v>23</v>
      </c>
      <c r="AA21" s="47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6">SUM(E25:E26)</f>
        <v>1824074.0740740739</v>
      </c>
      <c r="F24" s="139">
        <f t="shared" si="6"/>
        <v>1824074.0740740739</v>
      </c>
      <c r="G24" s="139">
        <f t="shared" si="6"/>
        <v>1824074.0740740742</v>
      </c>
      <c r="H24" s="139">
        <f t="shared" si="6"/>
        <v>1824074.0740740742</v>
      </c>
      <c r="I24" s="139">
        <f>I26</f>
        <v>794431.81277227646</v>
      </c>
      <c r="J24" s="139">
        <f t="shared" ref="J24:AH24" si="7">J26</f>
        <v>794431.81277227646</v>
      </c>
      <c r="K24" s="139">
        <f t="shared" si="7"/>
        <v>794431.81277227646</v>
      </c>
      <c r="L24" s="139">
        <f t="shared" si="7"/>
        <v>794431.81277227646</v>
      </c>
      <c r="M24" s="139">
        <f t="shared" si="7"/>
        <v>794431.81277227646</v>
      </c>
      <c r="N24" s="139">
        <f t="shared" si="7"/>
        <v>794431.81277227646</v>
      </c>
      <c r="O24" s="139">
        <f t="shared" si="7"/>
        <v>794431.81277227646</v>
      </c>
      <c r="P24" s="139">
        <f t="shared" si="7"/>
        <v>794431.81277227646</v>
      </c>
      <c r="Q24" s="139">
        <f t="shared" si="7"/>
        <v>794431.81277227646</v>
      </c>
      <c r="R24" s="139">
        <f t="shared" si="7"/>
        <v>794431.81277227646</v>
      </c>
      <c r="S24" s="139">
        <f t="shared" si="7"/>
        <v>794431.81277227646</v>
      </c>
      <c r="T24" s="139">
        <f t="shared" si="7"/>
        <v>794431.81277227646</v>
      </c>
      <c r="U24" s="139">
        <f t="shared" si="7"/>
        <v>794431.81277227646</v>
      </c>
      <c r="V24" s="139">
        <f t="shared" si="7"/>
        <v>794431.81277227646</v>
      </c>
      <c r="W24" s="139">
        <f t="shared" si="7"/>
        <v>794431.81277227646</v>
      </c>
      <c r="X24" s="139">
        <f t="shared" si="7"/>
        <v>794431.81277227646</v>
      </c>
      <c r="Y24" s="139">
        <f t="shared" si="7"/>
        <v>794431.81277227646</v>
      </c>
      <c r="Z24" s="139">
        <f t="shared" si="7"/>
        <v>794431.81277227646</v>
      </c>
      <c r="AA24" s="139">
        <f t="shared" si="7"/>
        <v>794431.81277227646</v>
      </c>
      <c r="AB24" s="139">
        <f t="shared" si="7"/>
        <v>794431.81277227646</v>
      </c>
      <c r="AC24" s="139">
        <f t="shared" si="7"/>
        <v>794431.81277227646</v>
      </c>
      <c r="AD24" s="139">
        <f t="shared" si="7"/>
        <v>628606.8969473606</v>
      </c>
      <c r="AE24" s="139">
        <f t="shared" si="7"/>
        <v>477856.9734701644</v>
      </c>
      <c r="AF24" s="139">
        <f t="shared" si="7"/>
        <v>340811.58849089511</v>
      </c>
      <c r="AG24" s="139">
        <f t="shared" si="7"/>
        <v>216224.87487337762</v>
      </c>
      <c r="AH24" s="139">
        <f t="shared" si="7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8">E23-E26</f>
        <v>1507499.2347719618</v>
      </c>
      <c r="F25" s="24">
        <f t="shared" si="8"/>
        <v>1370453.8497926926</v>
      </c>
      <c r="G25" s="24">
        <f t="shared" si="8"/>
        <v>1245867.1361751752</v>
      </c>
      <c r="H25" s="24">
        <f t="shared" si="8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C28*(Interventions!$E$7)</f>
        <v>165824.91582491584</v>
      </c>
      <c r="E26" s="27">
        <f>D28*(Interventions!$E$7)</f>
        <v>316574.83930211206</v>
      </c>
      <c r="F26" s="27">
        <f>E28*(Interventions!$E$7)</f>
        <v>453620.22428138135</v>
      </c>
      <c r="G26" s="27">
        <f>F28*(Interventions!$E$7)</f>
        <v>578206.93789889885</v>
      </c>
      <c r="H26" s="27">
        <f>G28*(Interventions!$E$7)</f>
        <v>691467.58664209663</v>
      </c>
      <c r="I26" s="27">
        <f>H28*(Interventions!$E$7)</f>
        <v>794431.81277227646</v>
      </c>
      <c r="J26" s="27">
        <f>I28*(Interventions!$E$7)</f>
        <v>794431.81277227646</v>
      </c>
      <c r="K26" s="27">
        <f>J28*(Interventions!$E$7)</f>
        <v>794431.81277227646</v>
      </c>
      <c r="L26" s="27">
        <f>K28*(Interventions!$E$7)</f>
        <v>794431.81277227646</v>
      </c>
      <c r="M26" s="27">
        <f>L28*(Interventions!$E$7)</f>
        <v>794431.81277227646</v>
      </c>
      <c r="N26" s="27">
        <f>M28*(Interventions!$E$7)</f>
        <v>794431.81277227646</v>
      </c>
      <c r="O26" s="27">
        <f>N28*(Interventions!$E$7)</f>
        <v>794431.81277227646</v>
      </c>
      <c r="P26" s="27">
        <f>O28*(Interventions!$E$7)</f>
        <v>794431.81277227646</v>
      </c>
      <c r="Q26" s="27">
        <f>P28*(Interventions!$E$7)</f>
        <v>794431.81277227646</v>
      </c>
      <c r="R26" s="27">
        <f>Q28*(Interventions!$E$7)</f>
        <v>794431.81277227646</v>
      </c>
      <c r="S26" s="27">
        <f>R28*(Interventions!$E$7)</f>
        <v>794431.81277227646</v>
      </c>
      <c r="T26" s="27">
        <f>S28*(Interventions!$E$7)</f>
        <v>794431.81277227646</v>
      </c>
      <c r="U26" s="27">
        <f>T28*(Interventions!$E$7)</f>
        <v>794431.81277227646</v>
      </c>
      <c r="V26" s="27">
        <f>U28*(Interventions!$E$7)</f>
        <v>794431.81277227646</v>
      </c>
      <c r="W26" s="27">
        <f>V28*(Interventions!$E$7)</f>
        <v>794431.81277227646</v>
      </c>
      <c r="X26" s="27">
        <f>W28*(Interventions!$E$7)</f>
        <v>794431.81277227646</v>
      </c>
      <c r="Y26" s="27">
        <f>X28*(Interventions!$E$7)</f>
        <v>794431.81277227646</v>
      </c>
      <c r="Z26" s="27">
        <f>Y28*(Interventions!$E$7)</f>
        <v>794431.81277227646</v>
      </c>
      <c r="AA26" s="27">
        <f>Z28*(Interventions!$E$7)</f>
        <v>794431.81277227646</v>
      </c>
      <c r="AB26" s="27">
        <f>AA28*(Interventions!$E$7)</f>
        <v>794431.81277227646</v>
      </c>
      <c r="AC26" s="27">
        <f>AB28*(Interventions!$E$7)</f>
        <v>794431.81277227646</v>
      </c>
      <c r="AD26" s="27">
        <f>AC28*(Interventions!$E$7)</f>
        <v>628606.8969473606</v>
      </c>
      <c r="AE26" s="27">
        <f>AD28*(Interventions!$E$7)</f>
        <v>477856.9734701644</v>
      </c>
      <c r="AF26" s="27">
        <f>AE28*(Interventions!$E$7)</f>
        <v>340811.58849089511</v>
      </c>
      <c r="AG26" s="27">
        <f>AF28*(Interventions!$E$7)</f>
        <v>216224.87487337762</v>
      </c>
      <c r="AH26" s="27">
        <f>AG28*(Interventions!$E$7)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D25/(Interventions!$E$6+Interventions!$E$7)</f>
        <v>55.096642475492928</v>
      </c>
      <c r="E27" s="45">
        <f>E25/(Interventions!$E$6+Interventions!$E$7)</f>
        <v>50.08785679590266</v>
      </c>
      <c r="F27" s="45">
        <f>F25/(Interventions!$E$6+Interventions!$E$7)</f>
        <v>45.534415269002416</v>
      </c>
      <c r="G27" s="45">
        <f>G25/(Interventions!$E$6+Interventions!$E$7)</f>
        <v>41.394922971820385</v>
      </c>
      <c r="H27" s="45">
        <f>H25/(Interventions!$E$6+Interventions!$E$7)</f>
        <v>37.631748156200345</v>
      </c>
      <c r="I27" s="45">
        <f>I25/(Interventions!$E$6+Interventions!$E$7)</f>
        <v>0</v>
      </c>
      <c r="J27" s="45">
        <f>J25/(Interventions!$E$6+Interventions!$E$7)</f>
        <v>0</v>
      </c>
      <c r="K27" s="45">
        <f>K25/(Interventions!$E$6+Interventions!$E$7)</f>
        <v>0</v>
      </c>
      <c r="L27" s="45">
        <f>L25/(Interventions!$E$6+Interventions!$E$7)</f>
        <v>0</v>
      </c>
      <c r="M27" s="45">
        <f>M25/(Interventions!$E$6+Interventions!$E$7)</f>
        <v>0</v>
      </c>
      <c r="N27" s="45">
        <f>N25/(Interventions!$E$6+Interventions!$E$7)</f>
        <v>0</v>
      </c>
      <c r="O27" s="45">
        <f>O25/(Interventions!$E$6+Interventions!$E$7)</f>
        <v>0</v>
      </c>
      <c r="P27" s="45">
        <f>P25/(Interventions!$E$6+Interventions!$E$7)</f>
        <v>0</v>
      </c>
      <c r="Q27" s="45">
        <f>Q25/(Interventions!$E$6+Interventions!$E$7)</f>
        <v>0</v>
      </c>
      <c r="R27" s="45">
        <f>R25/(Interventions!$E$6+Interventions!$E$7)</f>
        <v>0</v>
      </c>
      <c r="S27" s="45">
        <f>S25/(Interventions!$E$6+Interventions!$E$7)</f>
        <v>0</v>
      </c>
      <c r="T27" s="45">
        <f>T25/(Interventions!$E$6+Interventions!$E$7)</f>
        <v>0</v>
      </c>
      <c r="U27" s="45">
        <f>U25/(Interventions!$E$6+Interventions!$E$7)</f>
        <v>0</v>
      </c>
      <c r="V27" s="45">
        <f>V25/(Interventions!$E$6+Interventions!$E$7)</f>
        <v>0</v>
      </c>
      <c r="W27" s="45">
        <f>W25/(Interventions!$E$6+Interventions!$E$7)</f>
        <v>0</v>
      </c>
      <c r="X27" s="45">
        <f>X25/(Interventions!$E$6+Interventions!$E$7)</f>
        <v>0</v>
      </c>
      <c r="Y27" s="45">
        <f>Y25/(Interventions!$E$6+Interventions!$E$7)</f>
        <v>0</v>
      </c>
      <c r="Z27" s="45">
        <f>Z25/(Interventions!$E$6+Interventions!$E$7)</f>
        <v>0</v>
      </c>
      <c r="AA27" s="45">
        <f>AA25/(Interventions!$E$6+Interventions!$E$7)</f>
        <v>0</v>
      </c>
      <c r="AB27" s="45">
        <f>AB25/(Interventions!$E$6+Interventions!$E$7)</f>
        <v>0</v>
      </c>
      <c r="AC27" s="45">
        <f>AC25/(Interventions!$E$6+Interventions!$E$7)</f>
        <v>0</v>
      </c>
      <c r="AD27" s="45">
        <f>AD25/(Interventions!$E$6+Interventions!$E$7)</f>
        <v>0</v>
      </c>
      <c r="AE27" s="45">
        <f>AE25/(Interventions!$E$6+Interventions!$E$7)</f>
        <v>0</v>
      </c>
      <c r="AF27" s="45">
        <f>AF25/(Interventions!$E$6+Interventions!$E$7)</f>
        <v>0</v>
      </c>
      <c r="AG27" s="45">
        <f>AG25/(Interventions!$E$6+Interventions!$E$7)</f>
        <v>0</v>
      </c>
      <c r="AH27" s="45">
        <f>AH25/(Interventions!$E$6+Interventions!$E$7)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H28" si="9">D28+E27</f>
        <v>165.79080599443782</v>
      </c>
      <c r="F28" s="42">
        <f t="shared" si="9"/>
        <v>211.32522126344023</v>
      </c>
      <c r="G28" s="42">
        <f t="shared" si="9"/>
        <v>252.72014423526062</v>
      </c>
      <c r="H28" s="42">
        <f t="shared" si="9"/>
        <v>290.35189239146098</v>
      </c>
      <c r="I28" s="42">
        <f t="shared" ref="I28" si="10">H28+I27</f>
        <v>290.35189239146098</v>
      </c>
      <c r="J28" s="42">
        <f t="shared" ref="J28" si="11">I28+J27</f>
        <v>290.35189239146098</v>
      </c>
      <c r="K28" s="42">
        <f t="shared" ref="K28" si="12">J28+K27</f>
        <v>290.35189239146098</v>
      </c>
      <c r="L28" s="42">
        <f t="shared" ref="L28" si="13">K28+L27</f>
        <v>290.35189239146098</v>
      </c>
      <c r="M28" s="42">
        <f t="shared" ref="M28" si="14">L28+M27</f>
        <v>290.35189239146098</v>
      </c>
      <c r="N28" s="42">
        <f t="shared" ref="N28" si="15">M28+N27</f>
        <v>290.35189239146098</v>
      </c>
      <c r="O28" s="42">
        <f t="shared" ref="O28" si="16">N28+O27</f>
        <v>290.35189239146098</v>
      </c>
      <c r="P28" s="42">
        <f t="shared" ref="P28" si="17">O28+P27</f>
        <v>290.35189239146098</v>
      </c>
      <c r="Q28" s="42">
        <f t="shared" ref="Q28" si="18">P28+Q27</f>
        <v>290.35189239146098</v>
      </c>
      <c r="R28" s="42">
        <f t="shared" ref="R28" si="19">Q28+R27</f>
        <v>290.35189239146098</v>
      </c>
      <c r="S28" s="42">
        <f t="shared" ref="S28" si="20">R28+S27</f>
        <v>290.35189239146098</v>
      </c>
      <c r="T28" s="42">
        <f t="shared" ref="T28" si="21">S28+T27</f>
        <v>290.35189239146098</v>
      </c>
      <c r="U28" s="42">
        <f t="shared" ref="U28" si="22">T28+U27</f>
        <v>290.35189239146098</v>
      </c>
      <c r="V28" s="42">
        <f t="shared" ref="V28" si="23">U28+V27</f>
        <v>290.35189239146098</v>
      </c>
      <c r="W28" s="42">
        <f t="shared" ref="W28" si="24">V28+W27</f>
        <v>290.35189239146098</v>
      </c>
      <c r="X28" s="42">
        <f t="shared" ref="X28" si="25">W28+X27</f>
        <v>290.35189239146098</v>
      </c>
      <c r="Y28" s="42">
        <f t="shared" ref="Y28" si="26">X28+Y27</f>
        <v>290.35189239146098</v>
      </c>
      <c r="Z28" s="42">
        <f t="shared" ref="Z28" si="27">Y28+Z27</f>
        <v>290.35189239146098</v>
      </c>
      <c r="AA28" s="42">
        <f t="shared" ref="AA28" si="28">Z28+AA27</f>
        <v>290.35189239146098</v>
      </c>
      <c r="AB28" s="42">
        <f t="shared" ref="AB28" si="29">AA28+AB27</f>
        <v>290.35189239146098</v>
      </c>
      <c r="AC28" s="42">
        <f>AB28-C27</f>
        <v>229.74558566841876</v>
      </c>
      <c r="AD28" s="42">
        <f t="shared" ref="AD28:AH28" si="30">AC28-D27</f>
        <v>174.64894319292583</v>
      </c>
      <c r="AE28" s="42">
        <f t="shared" si="30"/>
        <v>124.56108639702316</v>
      </c>
      <c r="AF28" s="42">
        <f t="shared" si="30"/>
        <v>79.026671128020752</v>
      </c>
      <c r="AG28" s="42">
        <f t="shared" si="30"/>
        <v>37.631748156200366</v>
      </c>
      <c r="AH28" s="42">
        <f t="shared" si="30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C30" si="31">E31+E32</f>
        <v>443139.99988387752</v>
      </c>
      <c r="F30" s="116">
        <f t="shared" si="31"/>
        <v>637420.82982528408</v>
      </c>
      <c r="G30" s="116">
        <f t="shared" si="31"/>
        <v>815683.21269414632</v>
      </c>
      <c r="H30" s="116">
        <f t="shared" si="31"/>
        <v>979377.5207320794</v>
      </c>
      <c r="I30" s="116">
        <f t="shared" si="31"/>
        <v>1129825.3281112106</v>
      </c>
      <c r="J30" s="116">
        <f t="shared" si="31"/>
        <v>1134552.4580302825</v>
      </c>
      <c r="K30" s="116">
        <f t="shared" si="31"/>
        <v>1139397.766197331</v>
      </c>
      <c r="L30" s="116">
        <f t="shared" si="31"/>
        <v>1144364.207068556</v>
      </c>
      <c r="M30" s="116">
        <f t="shared" si="31"/>
        <v>1149454.8089615616</v>
      </c>
      <c r="N30" s="116">
        <f t="shared" si="31"/>
        <v>1154672.6759018921</v>
      </c>
      <c r="O30" s="116">
        <f t="shared" si="31"/>
        <v>1160020.9895157311</v>
      </c>
      <c r="P30" s="116">
        <f t="shared" si="31"/>
        <v>1165503.0109699161</v>
      </c>
      <c r="Q30" s="116">
        <f t="shared" si="31"/>
        <v>1171122.0829604557</v>
      </c>
      <c r="R30" s="116">
        <f t="shared" si="31"/>
        <v>1176881.6317507587</v>
      </c>
      <c r="S30" s="116">
        <f t="shared" si="31"/>
        <v>1182785.1692608192</v>
      </c>
      <c r="T30" s="116">
        <f t="shared" si="31"/>
        <v>1188836.2952086315</v>
      </c>
      <c r="U30" s="116">
        <f t="shared" si="31"/>
        <v>1195038.6993051388</v>
      </c>
      <c r="V30" s="116">
        <f t="shared" si="31"/>
        <v>1201396.163504059</v>
      </c>
      <c r="W30" s="116">
        <f t="shared" si="31"/>
        <v>1207912.5643079521</v>
      </c>
      <c r="X30" s="116">
        <f t="shared" si="31"/>
        <v>1214591.8751319426</v>
      </c>
      <c r="Y30" s="116">
        <f t="shared" si="31"/>
        <v>1221438.1687265327</v>
      </c>
      <c r="Z30" s="116">
        <f t="shared" si="31"/>
        <v>1228455.6196609878</v>
      </c>
      <c r="AA30" s="116">
        <f t="shared" si="31"/>
        <v>1235648.5068688041</v>
      </c>
      <c r="AB30" s="116">
        <f t="shared" si="31"/>
        <v>1243021.2162568157</v>
      </c>
      <c r="AC30" s="116">
        <f t="shared" si="31"/>
        <v>940740.13134833355</v>
      </c>
      <c r="AD30" s="116">
        <f t="shared" ref="AD30:AH30" si="32">AD31+AD32</f>
        <v>744375.69756567676</v>
      </c>
      <c r="AE30" s="116">
        <f t="shared" si="32"/>
        <v>565862.57594507968</v>
      </c>
      <c r="AF30" s="116">
        <f t="shared" si="32"/>
        <v>403577.91992635507</v>
      </c>
      <c r="AG30" s="116">
        <f t="shared" si="32"/>
        <v>256046.41445478724</v>
      </c>
      <c r="AH30" s="116">
        <f t="shared" si="32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C28*Interventions!$E$10</f>
        <v>196364.43378265679</v>
      </c>
      <c r="E32" s="42">
        <f>D28*Interventions!$E$10</f>
        <v>374877.55540325388</v>
      </c>
      <c r="F32" s="42">
        <f>E28*Interventions!$E$10</f>
        <v>537162.21142197854</v>
      </c>
      <c r="G32" s="42">
        <f>F28*Interventions!$E$10</f>
        <v>684693.71689354628</v>
      </c>
      <c r="H32" s="42">
        <f>G28*Interventions!$E$10</f>
        <v>818813.26732224436</v>
      </c>
      <c r="I32" s="42">
        <f>H28*Interventions!$E$10</f>
        <v>940740.13134833355</v>
      </c>
      <c r="J32" s="42">
        <f>I28*Interventions!$E$10</f>
        <v>940740.13134833355</v>
      </c>
      <c r="K32" s="42">
        <f>J28*Interventions!$E$10</f>
        <v>940740.13134833355</v>
      </c>
      <c r="L32" s="42">
        <f>K28*Interventions!$E$10</f>
        <v>940740.13134833355</v>
      </c>
      <c r="M32" s="42">
        <f>L28*Interventions!$E$10</f>
        <v>940740.13134833355</v>
      </c>
      <c r="N32" s="42">
        <f>M28*Interventions!$E$10</f>
        <v>940740.13134833355</v>
      </c>
      <c r="O32" s="42">
        <f>N28*Interventions!$E$10</f>
        <v>940740.13134833355</v>
      </c>
      <c r="P32" s="42">
        <f>O28*Interventions!$E$10</f>
        <v>940740.13134833355</v>
      </c>
      <c r="Q32" s="42">
        <f>P28*Interventions!$E$10</f>
        <v>940740.13134833355</v>
      </c>
      <c r="R32" s="42">
        <f>Q28*Interventions!$E$10</f>
        <v>940740.13134833355</v>
      </c>
      <c r="S32" s="42">
        <f>R28*Interventions!$E$10</f>
        <v>940740.13134833355</v>
      </c>
      <c r="T32" s="42">
        <f>S28*Interventions!$E$10</f>
        <v>940740.13134833355</v>
      </c>
      <c r="U32" s="42">
        <f>T28*Interventions!$E$10</f>
        <v>940740.13134833355</v>
      </c>
      <c r="V32" s="42">
        <f>U28*Interventions!$E$10</f>
        <v>940740.13134833355</v>
      </c>
      <c r="W32" s="42">
        <f>V28*Interventions!$E$10</f>
        <v>940740.13134833355</v>
      </c>
      <c r="X32" s="42">
        <f>W28*Interventions!$E$10</f>
        <v>940740.13134833355</v>
      </c>
      <c r="Y32" s="42">
        <f>X28*Interventions!$E$10</f>
        <v>940740.13134833355</v>
      </c>
      <c r="Z32" s="42">
        <f>Y28*Interventions!$E$10</f>
        <v>940740.13134833355</v>
      </c>
      <c r="AA32" s="42">
        <f>Z28*Interventions!$E$10</f>
        <v>940740.13134833355</v>
      </c>
      <c r="AB32" s="42">
        <f>AA28*Interventions!$E$10</f>
        <v>940740.13134833355</v>
      </c>
      <c r="AC32" s="42">
        <f>AB28*Interventions!$E$10</f>
        <v>940740.13134833355</v>
      </c>
      <c r="AD32" s="42">
        <f>AC28*Interventions!$E$10</f>
        <v>744375.69756567676</v>
      </c>
      <c r="AE32" s="42">
        <f>AD28*Interventions!$E$10</f>
        <v>565862.57594507968</v>
      </c>
      <c r="AF32" s="42">
        <f>AE28*Interventions!$E$10</f>
        <v>403577.91992635507</v>
      </c>
      <c r="AG32" s="42">
        <f>AF28*Interventions!$E$10</f>
        <v>256046.41445478724</v>
      </c>
      <c r="AH32" s="42">
        <f>AG28*Interventions!$E$10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33">SUM(C35:C37)</f>
        <v>0</v>
      </c>
      <c r="D34" s="116">
        <f>SUM(D35:D38)</f>
        <v>285039.16964068275</v>
      </c>
      <c r="E34" s="116">
        <f t="shared" ref="E34:AH34" si="34">SUM(E35:E38)</f>
        <v>544165.68749584886</v>
      </c>
      <c r="F34" s="116">
        <f t="shared" si="34"/>
        <v>779735.24918236351</v>
      </c>
      <c r="G34" s="116">
        <f t="shared" si="34"/>
        <v>993889.39617010404</v>
      </c>
      <c r="H34" s="116">
        <f t="shared" si="34"/>
        <v>1188574.9843407774</v>
      </c>
      <c r="I34" s="116">
        <f t="shared" si="34"/>
        <v>1365561.8826777532</v>
      </c>
      <c r="J34" s="116">
        <f t="shared" si="34"/>
        <v>1365561.8826777532</v>
      </c>
      <c r="K34" s="116">
        <f t="shared" si="34"/>
        <v>1365561.8826777532</v>
      </c>
      <c r="L34" s="116">
        <f t="shared" si="34"/>
        <v>1365561.8826777532</v>
      </c>
      <c r="M34" s="116">
        <f t="shared" si="34"/>
        <v>1365561.8826777532</v>
      </c>
      <c r="N34" s="116">
        <f t="shared" si="34"/>
        <v>1365561.8826777532</v>
      </c>
      <c r="O34" s="116">
        <f t="shared" si="34"/>
        <v>1365561.8826777532</v>
      </c>
      <c r="P34" s="116">
        <f t="shared" si="34"/>
        <v>1365561.8826777532</v>
      </c>
      <c r="Q34" s="116">
        <f t="shared" si="34"/>
        <v>1365561.8826777532</v>
      </c>
      <c r="R34" s="116">
        <f t="shared" si="34"/>
        <v>1365561.8826777532</v>
      </c>
      <c r="S34" s="116">
        <f t="shared" si="34"/>
        <v>1365561.8826777532</v>
      </c>
      <c r="T34" s="116">
        <f t="shared" si="34"/>
        <v>1365561.8826777532</v>
      </c>
      <c r="U34" s="116">
        <f t="shared" si="34"/>
        <v>1365561.8826777532</v>
      </c>
      <c r="V34" s="116">
        <f t="shared" si="34"/>
        <v>1365561.8826777532</v>
      </c>
      <c r="W34" s="116">
        <f t="shared" si="34"/>
        <v>1365561.8826777532</v>
      </c>
      <c r="X34" s="116">
        <f t="shared" si="34"/>
        <v>1365561.8826777532</v>
      </c>
      <c r="Y34" s="116">
        <f t="shared" si="34"/>
        <v>1365561.8826777532</v>
      </c>
      <c r="Z34" s="116">
        <f t="shared" si="34"/>
        <v>1365561.8826777532</v>
      </c>
      <c r="AA34" s="116">
        <f t="shared" si="34"/>
        <v>1365561.8826777532</v>
      </c>
      <c r="AB34" s="116">
        <f t="shared" si="34"/>
        <v>1365561.8826777532</v>
      </c>
      <c r="AC34" s="116">
        <f t="shared" si="34"/>
        <v>1365561.8826777532</v>
      </c>
      <c r="AD34" s="116">
        <f t="shared" si="34"/>
        <v>1080522.7130370704</v>
      </c>
      <c r="AE34" s="116">
        <f t="shared" si="34"/>
        <v>821396.19518190424</v>
      </c>
      <c r="AF34" s="116">
        <f t="shared" si="34"/>
        <v>585826.6334953896</v>
      </c>
      <c r="AG34" s="116">
        <f t="shared" si="34"/>
        <v>371672.48650764907</v>
      </c>
      <c r="AH34" s="116">
        <f t="shared" si="34"/>
        <v>176986.89833697578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C28*Interventions!$E$14</f>
        <v>285039.16964068275</v>
      </c>
      <c r="E38" s="42">
        <f>D28*Interventions!$E$14</f>
        <v>544165.68749584886</v>
      </c>
      <c r="F38" s="42">
        <f>E28*Interventions!$E$14</f>
        <v>779735.24918236351</v>
      </c>
      <c r="G38" s="42">
        <f>F28*Interventions!$E$14</f>
        <v>993889.39617010404</v>
      </c>
      <c r="H38" s="42">
        <f>G28*Interventions!$E$14</f>
        <v>1188574.9843407774</v>
      </c>
      <c r="I38" s="42">
        <f>H28*Interventions!$E$14</f>
        <v>1365561.8826777532</v>
      </c>
      <c r="J38" s="42">
        <f>I28*Interventions!$E$14</f>
        <v>1365561.8826777532</v>
      </c>
      <c r="K38" s="42">
        <f>J28*Interventions!$E$14</f>
        <v>1365561.8826777532</v>
      </c>
      <c r="L38" s="42">
        <f>K28*Interventions!$E$14</f>
        <v>1365561.8826777532</v>
      </c>
      <c r="M38" s="42">
        <f>L28*Interventions!$E$14</f>
        <v>1365561.8826777532</v>
      </c>
      <c r="N38" s="42">
        <f>M28*Interventions!$E$14</f>
        <v>1365561.8826777532</v>
      </c>
      <c r="O38" s="42">
        <f>N28*Interventions!$E$14</f>
        <v>1365561.8826777532</v>
      </c>
      <c r="P38" s="42">
        <f>O28*Interventions!$E$14</f>
        <v>1365561.8826777532</v>
      </c>
      <c r="Q38" s="42">
        <f>P28*Interventions!$E$14</f>
        <v>1365561.8826777532</v>
      </c>
      <c r="R38" s="42">
        <f>Q28*Interventions!$E$14</f>
        <v>1365561.8826777532</v>
      </c>
      <c r="S38" s="42">
        <f>R28*Interventions!$E$14</f>
        <v>1365561.8826777532</v>
      </c>
      <c r="T38" s="42">
        <f>S28*Interventions!$E$14</f>
        <v>1365561.8826777532</v>
      </c>
      <c r="U38" s="42">
        <f>T28*Interventions!$E$14</f>
        <v>1365561.8826777532</v>
      </c>
      <c r="V38" s="42">
        <f>U28*Interventions!$E$14</f>
        <v>1365561.8826777532</v>
      </c>
      <c r="W38" s="42">
        <f>V28*Interventions!$E$14</f>
        <v>1365561.8826777532</v>
      </c>
      <c r="X38" s="42">
        <f>W28*Interventions!$E$14</f>
        <v>1365561.8826777532</v>
      </c>
      <c r="Y38" s="42">
        <f>X28*Interventions!$E$14</f>
        <v>1365561.8826777532</v>
      </c>
      <c r="Z38" s="42">
        <f>Y28*Interventions!$E$14</f>
        <v>1365561.8826777532</v>
      </c>
      <c r="AA38" s="42">
        <f>Z28*Interventions!$E$14</f>
        <v>1365561.8826777532</v>
      </c>
      <c r="AB38" s="42">
        <f>AA28*Interventions!$E$14</f>
        <v>1365561.8826777532</v>
      </c>
      <c r="AC38" s="42">
        <f>AB28*Interventions!$E$14</f>
        <v>1365561.8826777532</v>
      </c>
      <c r="AD38" s="42">
        <f>AC28*Interventions!$E$14</f>
        <v>1080522.7130370704</v>
      </c>
      <c r="AE38" s="42">
        <f>AD28*Interventions!$E$14</f>
        <v>821396.19518190424</v>
      </c>
      <c r="AF38" s="42">
        <f>AE28*Interventions!$E$14</f>
        <v>585826.6334953896</v>
      </c>
      <c r="AG38" s="42">
        <f>AF28*Interventions!$E$14</f>
        <v>371672.48650764907</v>
      </c>
      <c r="AH38" s="42">
        <f>AG28*Interventions!$E$14</f>
        <v>176986.89833697578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C40" si="35">C30+C34</f>
        <v>0</v>
      </c>
      <c r="D40" s="116">
        <f t="shared" si="35"/>
        <v>516288.01175257808</v>
      </c>
      <c r="E40" s="116">
        <f t="shared" si="35"/>
        <v>987305.68737972644</v>
      </c>
      <c r="F40" s="116">
        <f t="shared" si="35"/>
        <v>1417156.0790076475</v>
      </c>
      <c r="G40" s="116">
        <f t="shared" si="35"/>
        <v>1809572.6088642504</v>
      </c>
      <c r="H40" s="116">
        <f t="shared" si="35"/>
        <v>2167952.5050728568</v>
      </c>
      <c r="I40" s="116">
        <f t="shared" si="35"/>
        <v>2495387.2107889638</v>
      </c>
      <c r="J40" s="116">
        <f t="shared" si="35"/>
        <v>2500114.340708036</v>
      </c>
      <c r="K40" s="116">
        <f t="shared" si="35"/>
        <v>2504959.6488750842</v>
      </c>
      <c r="L40" s="116">
        <f t="shared" si="35"/>
        <v>2509926.0897463094</v>
      </c>
      <c r="M40" s="116">
        <f t="shared" si="35"/>
        <v>2515016.6916393149</v>
      </c>
      <c r="N40" s="116">
        <f t="shared" si="35"/>
        <v>2520234.5585796451</v>
      </c>
      <c r="O40" s="116">
        <f t="shared" si="35"/>
        <v>2525582.8721934846</v>
      </c>
      <c r="P40" s="116">
        <f t="shared" si="35"/>
        <v>2531064.8936476693</v>
      </c>
      <c r="Q40" s="116">
        <f t="shared" si="35"/>
        <v>2536683.9656382091</v>
      </c>
      <c r="R40" s="116">
        <f t="shared" si="35"/>
        <v>2542443.5144285122</v>
      </c>
      <c r="S40" s="116">
        <f t="shared" si="35"/>
        <v>2548347.0519385724</v>
      </c>
      <c r="T40" s="116">
        <f t="shared" si="35"/>
        <v>2554398.1778863845</v>
      </c>
      <c r="U40" s="116">
        <f t="shared" si="35"/>
        <v>2560600.581982892</v>
      </c>
      <c r="V40" s="116">
        <f t="shared" si="35"/>
        <v>2566958.046181812</v>
      </c>
      <c r="W40" s="116">
        <f t="shared" si="35"/>
        <v>2573474.4469857053</v>
      </c>
      <c r="X40" s="116">
        <f t="shared" si="35"/>
        <v>2580153.7578096958</v>
      </c>
      <c r="Y40" s="116">
        <f t="shared" si="35"/>
        <v>2587000.0514042862</v>
      </c>
      <c r="Z40" s="116">
        <f t="shared" si="35"/>
        <v>2594017.502338741</v>
      </c>
      <c r="AA40" s="116">
        <f t="shared" si="35"/>
        <v>2601210.3895465573</v>
      </c>
      <c r="AB40" s="116">
        <f t="shared" si="35"/>
        <v>2608583.0989345689</v>
      </c>
      <c r="AC40" s="116">
        <f t="shared" si="35"/>
        <v>2306302.0140260868</v>
      </c>
      <c r="AD40" s="116">
        <f t="shared" ref="AD40:AH40" si="36">AD30+AD34</f>
        <v>1824898.410602747</v>
      </c>
      <c r="AE40" s="116">
        <f t="shared" si="36"/>
        <v>1387258.7711269839</v>
      </c>
      <c r="AF40" s="116">
        <f t="shared" si="36"/>
        <v>989404.55342174461</v>
      </c>
      <c r="AG40" s="116">
        <f t="shared" si="36"/>
        <v>627718.90096243634</v>
      </c>
      <c r="AH40" s="116">
        <f t="shared" si="36"/>
        <v>298913.76236306498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C42" si="37">C40-C24</f>
        <v>-1824074.0740740739</v>
      </c>
      <c r="D42" s="31">
        <f t="shared" si="37"/>
        <v>-1307786.0623214957</v>
      </c>
      <c r="E42" s="31">
        <f t="shared" si="37"/>
        <v>-836768.38669434749</v>
      </c>
      <c r="F42" s="31">
        <f t="shared" si="37"/>
        <v>-406917.99506642646</v>
      </c>
      <c r="G42" s="31">
        <f t="shared" si="37"/>
        <v>-14501.4652098238</v>
      </c>
      <c r="H42" s="31">
        <f t="shared" si="37"/>
        <v>343878.43099878263</v>
      </c>
      <c r="I42" s="31">
        <f t="shared" si="37"/>
        <v>1700955.3980166875</v>
      </c>
      <c r="J42" s="31">
        <f t="shared" si="37"/>
        <v>1705682.5279357596</v>
      </c>
      <c r="K42" s="31">
        <f t="shared" si="37"/>
        <v>1710527.8361028079</v>
      </c>
      <c r="L42" s="31">
        <f t="shared" si="37"/>
        <v>1715494.2769740331</v>
      </c>
      <c r="M42" s="31">
        <f t="shared" si="37"/>
        <v>1720584.8788670385</v>
      </c>
      <c r="N42" s="31">
        <f t="shared" si="37"/>
        <v>1725802.7458073688</v>
      </c>
      <c r="O42" s="31">
        <f t="shared" si="37"/>
        <v>1731151.0594212082</v>
      </c>
      <c r="P42" s="31">
        <f t="shared" si="37"/>
        <v>1736633.080875393</v>
      </c>
      <c r="Q42" s="31">
        <f t="shared" si="37"/>
        <v>1742252.1528659328</v>
      </c>
      <c r="R42" s="31">
        <f t="shared" si="37"/>
        <v>1748011.7016562358</v>
      </c>
      <c r="S42" s="31">
        <f t="shared" si="37"/>
        <v>1753915.2391662961</v>
      </c>
      <c r="T42" s="31">
        <f t="shared" si="37"/>
        <v>1759966.3651141082</v>
      </c>
      <c r="U42" s="31">
        <f t="shared" si="37"/>
        <v>1766168.7692106157</v>
      </c>
      <c r="V42" s="31">
        <f t="shared" si="37"/>
        <v>1772526.2334095356</v>
      </c>
      <c r="W42" s="31">
        <f t="shared" si="37"/>
        <v>1779042.6342134289</v>
      </c>
      <c r="X42" s="31">
        <f t="shared" si="37"/>
        <v>1785721.9450374194</v>
      </c>
      <c r="Y42" s="31">
        <f t="shared" si="37"/>
        <v>1792568.2386320098</v>
      </c>
      <c r="Z42" s="31">
        <f t="shared" si="37"/>
        <v>1799585.6895664646</v>
      </c>
      <c r="AA42" s="31">
        <f t="shared" si="37"/>
        <v>1806778.576774281</v>
      </c>
      <c r="AB42" s="31">
        <f t="shared" si="37"/>
        <v>1814151.2861622926</v>
      </c>
      <c r="AC42" s="31">
        <f t="shared" si="37"/>
        <v>1511870.2012538104</v>
      </c>
      <c r="AD42" s="31">
        <f t="shared" ref="AD42:AH42" si="38">AD40-AD24</f>
        <v>1196291.5136553864</v>
      </c>
      <c r="AE42" s="31">
        <f t="shared" si="38"/>
        <v>909401.79765681946</v>
      </c>
      <c r="AF42" s="31">
        <f t="shared" si="38"/>
        <v>648592.9649308495</v>
      </c>
      <c r="AG42" s="31">
        <f t="shared" si="38"/>
        <v>411494.02608905872</v>
      </c>
      <c r="AH42" s="31">
        <f t="shared" si="38"/>
        <v>195949.53623288515</v>
      </c>
    </row>
    <row r="43" spans="1:34" x14ac:dyDescent="0.25">
      <c r="A43" s="119" t="s">
        <v>93</v>
      </c>
      <c r="B43" s="28" t="s">
        <v>37</v>
      </c>
      <c r="C43" s="31">
        <f t="shared" ref="C43:AC43" si="39">C34-C24</f>
        <v>-1824074.0740740739</v>
      </c>
      <c r="D43" s="31">
        <f t="shared" si="39"/>
        <v>-1539034.9044333911</v>
      </c>
      <c r="E43" s="31">
        <f t="shared" si="39"/>
        <v>-1279908.3865782251</v>
      </c>
      <c r="F43" s="31">
        <f t="shared" si="39"/>
        <v>-1044338.8248917104</v>
      </c>
      <c r="G43" s="31">
        <f t="shared" si="39"/>
        <v>-830184.67790397012</v>
      </c>
      <c r="H43" s="31">
        <f t="shared" si="39"/>
        <v>-635499.08973329677</v>
      </c>
      <c r="I43" s="31">
        <f t="shared" si="39"/>
        <v>571130.06990547676</v>
      </c>
      <c r="J43" s="31">
        <f t="shared" si="39"/>
        <v>571130.06990547676</v>
      </c>
      <c r="K43" s="31">
        <f t="shared" si="39"/>
        <v>571130.06990547676</v>
      </c>
      <c r="L43" s="31">
        <f t="shared" si="39"/>
        <v>571130.06990547676</v>
      </c>
      <c r="M43" s="31">
        <f t="shared" si="39"/>
        <v>571130.06990547676</v>
      </c>
      <c r="N43" s="31">
        <f t="shared" si="39"/>
        <v>571130.06990547676</v>
      </c>
      <c r="O43" s="31">
        <f t="shared" si="39"/>
        <v>571130.06990547676</v>
      </c>
      <c r="P43" s="31">
        <f t="shared" si="39"/>
        <v>571130.06990547676</v>
      </c>
      <c r="Q43" s="31">
        <f t="shared" si="39"/>
        <v>571130.06990547676</v>
      </c>
      <c r="R43" s="31">
        <f t="shared" si="39"/>
        <v>571130.06990547676</v>
      </c>
      <c r="S43" s="31">
        <f t="shared" si="39"/>
        <v>571130.06990547676</v>
      </c>
      <c r="T43" s="31">
        <f t="shared" si="39"/>
        <v>571130.06990547676</v>
      </c>
      <c r="U43" s="31">
        <f t="shared" si="39"/>
        <v>571130.06990547676</v>
      </c>
      <c r="V43" s="31">
        <f t="shared" si="39"/>
        <v>571130.06990547676</v>
      </c>
      <c r="W43" s="31">
        <f t="shared" si="39"/>
        <v>571130.06990547676</v>
      </c>
      <c r="X43" s="31">
        <f t="shared" si="39"/>
        <v>571130.06990547676</v>
      </c>
      <c r="Y43" s="31">
        <f t="shared" si="39"/>
        <v>571130.06990547676</v>
      </c>
      <c r="Z43" s="31">
        <f t="shared" si="39"/>
        <v>571130.06990547676</v>
      </c>
      <c r="AA43" s="31">
        <f t="shared" si="39"/>
        <v>571130.06990547676</v>
      </c>
      <c r="AB43" s="31">
        <f t="shared" si="39"/>
        <v>571130.06990547676</v>
      </c>
      <c r="AC43" s="31">
        <f t="shared" si="39"/>
        <v>571130.06990547676</v>
      </c>
      <c r="AD43" s="31">
        <f t="shared" ref="AD43:AH43" si="40">AD34-AD24</f>
        <v>451915.81608970976</v>
      </c>
      <c r="AE43" s="31">
        <f t="shared" si="40"/>
        <v>343539.22171173984</v>
      </c>
      <c r="AF43" s="31">
        <f t="shared" si="40"/>
        <v>245015.04500449449</v>
      </c>
      <c r="AG43" s="31">
        <f t="shared" si="40"/>
        <v>155447.61163427145</v>
      </c>
      <c r="AH43" s="31">
        <f t="shared" si="40"/>
        <v>74022.672206795934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C45" si="41">(C25+C26)*C$8</f>
        <v>1824074.0740740739</v>
      </c>
      <c r="D45" s="31">
        <f t="shared" si="41"/>
        <v>1732870.3703703701</v>
      </c>
      <c r="E45" s="31">
        <f t="shared" si="41"/>
        <v>1646226.8518518517</v>
      </c>
      <c r="F45" s="31">
        <f t="shared" si="41"/>
        <v>1563915.5092592589</v>
      </c>
      <c r="G45" s="31">
        <f t="shared" si="41"/>
        <v>1485719.7337962964</v>
      </c>
      <c r="H45" s="31">
        <f t="shared" si="41"/>
        <v>1411433.7471064816</v>
      </c>
      <c r="I45" s="31">
        <f t="shared" si="41"/>
        <v>583980.38322341861</v>
      </c>
      <c r="J45" s="31">
        <f t="shared" si="41"/>
        <v>554781.3640622478</v>
      </c>
      <c r="K45" s="31">
        <f t="shared" si="41"/>
        <v>527042.29585913534</v>
      </c>
      <c r="L45" s="31">
        <f t="shared" si="41"/>
        <v>500690.1810661786</v>
      </c>
      <c r="M45" s="31">
        <f t="shared" si="41"/>
        <v>475655.67201286968</v>
      </c>
      <c r="N45" s="31">
        <f t="shared" si="41"/>
        <v>451872.88841222617</v>
      </c>
      <c r="O45" s="31">
        <f t="shared" si="41"/>
        <v>429279.24399161484</v>
      </c>
      <c r="P45" s="31">
        <f t="shared" si="41"/>
        <v>407815.2817920341</v>
      </c>
      <c r="Q45" s="31">
        <f t="shared" si="41"/>
        <v>387424.51770243235</v>
      </c>
      <c r="R45" s="31">
        <f t="shared" si="41"/>
        <v>368053.29181731079</v>
      </c>
      <c r="S45" s="31">
        <f t="shared" si="41"/>
        <v>349650.62722644524</v>
      </c>
      <c r="T45" s="31">
        <f t="shared" si="41"/>
        <v>332168.09586512297</v>
      </c>
      <c r="U45" s="31">
        <f t="shared" si="41"/>
        <v>315559.69107186684</v>
      </c>
      <c r="V45" s="31">
        <f t="shared" si="41"/>
        <v>299781.70651827345</v>
      </c>
      <c r="W45" s="31">
        <f t="shared" si="41"/>
        <v>284792.62119235977</v>
      </c>
      <c r="X45" s="31">
        <f t="shared" si="41"/>
        <v>270552.99013274186</v>
      </c>
      <c r="Y45" s="31">
        <f t="shared" si="41"/>
        <v>257025.34062610471</v>
      </c>
      <c r="Z45" s="31">
        <f t="shared" si="41"/>
        <v>244174.0735947995</v>
      </c>
      <c r="AA45" s="31">
        <f t="shared" si="41"/>
        <v>231965.36991505951</v>
      </c>
      <c r="AB45" s="31">
        <f t="shared" si="41"/>
        <v>220367.10141930651</v>
      </c>
      <c r="AC45" s="31">
        <f t="shared" si="41"/>
        <v>209348.7463483412</v>
      </c>
      <c r="AD45" s="31">
        <f t="shared" ref="AD45:AH45" si="42">(AD25+AD26)*AD$8</f>
        <v>157368.02142211632</v>
      </c>
      <c r="AE45" s="31">
        <f t="shared" si="42"/>
        <v>113647.23559794921</v>
      </c>
      <c r="AF45" s="31">
        <f t="shared" si="42"/>
        <v>77001.450622226097</v>
      </c>
      <c r="AG45" s="31">
        <f t="shared" si="42"/>
        <v>46410.239876538093</v>
      </c>
      <c r="AH45" s="31">
        <f t="shared" si="42"/>
        <v>20995.108515576765</v>
      </c>
    </row>
    <row r="46" spans="1:34" x14ac:dyDescent="0.25">
      <c r="A46" s="51" t="s">
        <v>70</v>
      </c>
      <c r="B46" s="28" t="s">
        <v>37</v>
      </c>
      <c r="C46" s="31">
        <f t="shared" ref="C46:AC46" si="43">C34*C$8</f>
        <v>0</v>
      </c>
      <c r="D46" s="31">
        <f t="shared" si="43"/>
        <v>270787.2111586486</v>
      </c>
      <c r="E46" s="31">
        <f t="shared" si="43"/>
        <v>491109.53296500357</v>
      </c>
      <c r="F46" s="31">
        <f t="shared" si="43"/>
        <v>668525.50926772878</v>
      </c>
      <c r="G46" s="31">
        <f t="shared" si="43"/>
        <v>809529.12498927582</v>
      </c>
      <c r="H46" s="31">
        <f t="shared" si="43"/>
        <v>919696.66567225452</v>
      </c>
      <c r="I46" s="31">
        <f t="shared" si="43"/>
        <v>1003813.466103024</v>
      </c>
      <c r="J46" s="31">
        <f t="shared" si="43"/>
        <v>953622.7927978728</v>
      </c>
      <c r="K46" s="31">
        <f t="shared" si="43"/>
        <v>905941.65315797913</v>
      </c>
      <c r="L46" s="31">
        <f t="shared" si="43"/>
        <v>860644.57050008012</v>
      </c>
      <c r="M46" s="31">
        <f t="shared" si="43"/>
        <v>817612.34197507624</v>
      </c>
      <c r="N46" s="31">
        <f t="shared" si="43"/>
        <v>776731.72487632232</v>
      </c>
      <c r="O46" s="31">
        <f t="shared" si="43"/>
        <v>737895.13863250613</v>
      </c>
      <c r="P46" s="31">
        <f t="shared" si="43"/>
        <v>701000.38170088083</v>
      </c>
      <c r="Q46" s="31">
        <f t="shared" si="43"/>
        <v>665950.36261583678</v>
      </c>
      <c r="R46" s="31">
        <f t="shared" si="43"/>
        <v>632652.84448504506</v>
      </c>
      <c r="S46" s="31">
        <f t="shared" si="43"/>
        <v>601020.20226079272</v>
      </c>
      <c r="T46" s="31">
        <f t="shared" si="43"/>
        <v>570969.19214775309</v>
      </c>
      <c r="U46" s="31">
        <f t="shared" si="43"/>
        <v>542420.73254036542</v>
      </c>
      <c r="V46" s="31">
        <f t="shared" si="43"/>
        <v>515299.69591334712</v>
      </c>
      <c r="W46" s="31">
        <f t="shared" si="43"/>
        <v>489534.71111767978</v>
      </c>
      <c r="X46" s="31">
        <f t="shared" si="43"/>
        <v>465057.97556179587</v>
      </c>
      <c r="Y46" s="31">
        <f t="shared" si="43"/>
        <v>441805.07678370597</v>
      </c>
      <c r="Z46" s="31">
        <f t="shared" si="43"/>
        <v>419714.82294452074</v>
      </c>
      <c r="AA46" s="31">
        <f t="shared" si="43"/>
        <v>398729.08179729473</v>
      </c>
      <c r="AB46" s="31">
        <f t="shared" si="43"/>
        <v>378792.62770742993</v>
      </c>
      <c r="AC46" s="31">
        <f t="shared" si="43"/>
        <v>359852.99632205843</v>
      </c>
      <c r="AD46" s="31">
        <f t="shared" ref="AD46:AH46" si="44">AD34*AD$8</f>
        <v>270502.4750413135</v>
      </c>
      <c r="AE46" s="31">
        <f t="shared" si="44"/>
        <v>195350.09866069336</v>
      </c>
      <c r="AF46" s="31">
        <f t="shared" si="44"/>
        <v>132359.05736663443</v>
      </c>
      <c r="AG46" s="31">
        <f t="shared" si="44"/>
        <v>79775.323095599902</v>
      </c>
      <c r="AH46" s="31">
        <f t="shared" si="44"/>
        <v>36088.836638485685</v>
      </c>
    </row>
    <row r="47" spans="1:34" x14ac:dyDescent="0.25">
      <c r="A47" s="51" t="s">
        <v>152</v>
      </c>
      <c r="B47" s="28" t="s">
        <v>37</v>
      </c>
      <c r="C47" s="31">
        <f t="shared" ref="C47:AC47" si="45">C30*C$10</f>
        <v>0</v>
      </c>
      <c r="D47" s="31">
        <f t="shared" si="45"/>
        <v>231248.84211189536</v>
      </c>
      <c r="E47" s="31">
        <f t="shared" si="45"/>
        <v>443139.99988387752</v>
      </c>
      <c r="F47" s="31">
        <f t="shared" si="45"/>
        <v>637420.82982528408</v>
      </c>
      <c r="G47" s="31">
        <f t="shared" si="45"/>
        <v>815683.21269414632</v>
      </c>
      <c r="H47" s="31">
        <f t="shared" si="45"/>
        <v>979377.5207320794</v>
      </c>
      <c r="I47" s="31">
        <f t="shared" si="45"/>
        <v>1129825.3281112106</v>
      </c>
      <c r="J47" s="31">
        <f t="shared" si="45"/>
        <v>1134552.4580302825</v>
      </c>
      <c r="K47" s="31">
        <f t="shared" si="45"/>
        <v>1139397.766197331</v>
      </c>
      <c r="L47" s="31">
        <f t="shared" si="45"/>
        <v>1144364.207068556</v>
      </c>
      <c r="M47" s="31">
        <f t="shared" si="45"/>
        <v>1149454.8089615616</v>
      </c>
      <c r="N47" s="31">
        <f t="shared" si="45"/>
        <v>1154672.6759018921</v>
      </c>
      <c r="O47" s="31">
        <f t="shared" si="45"/>
        <v>1160020.9895157311</v>
      </c>
      <c r="P47" s="31">
        <f t="shared" si="45"/>
        <v>1165503.0109699161</v>
      </c>
      <c r="Q47" s="31">
        <f t="shared" si="45"/>
        <v>1171122.0829604557</v>
      </c>
      <c r="R47" s="31">
        <f t="shared" si="45"/>
        <v>1176881.6317507587</v>
      </c>
      <c r="S47" s="31">
        <f t="shared" si="45"/>
        <v>1182785.1692608192</v>
      </c>
      <c r="T47" s="31">
        <f t="shared" si="45"/>
        <v>1188836.2952086315</v>
      </c>
      <c r="U47" s="31">
        <f t="shared" si="45"/>
        <v>1195038.6993051388</v>
      </c>
      <c r="V47" s="31">
        <f t="shared" si="45"/>
        <v>1201396.163504059</v>
      </c>
      <c r="W47" s="31">
        <f t="shared" si="45"/>
        <v>1207912.5643079521</v>
      </c>
      <c r="X47" s="31">
        <f t="shared" si="45"/>
        <v>1214591.8751319426</v>
      </c>
      <c r="Y47" s="31">
        <f t="shared" si="45"/>
        <v>1221438.1687265327</v>
      </c>
      <c r="Z47" s="31">
        <f t="shared" si="45"/>
        <v>1228455.6196609878</v>
      </c>
      <c r="AA47" s="31">
        <f t="shared" si="45"/>
        <v>1235648.5068688041</v>
      </c>
      <c r="AB47" s="31">
        <f t="shared" si="45"/>
        <v>1243021.2162568157</v>
      </c>
      <c r="AC47" s="31">
        <f t="shared" si="45"/>
        <v>940740.13134833355</v>
      </c>
      <c r="AD47" s="31">
        <f t="shared" ref="AD47:AH47" si="46">AD30*AD$10</f>
        <v>744375.69756567676</v>
      </c>
      <c r="AE47" s="31">
        <f t="shared" si="46"/>
        <v>565862.57594507968</v>
      </c>
      <c r="AF47" s="31">
        <f t="shared" si="46"/>
        <v>403577.91992635507</v>
      </c>
      <c r="AG47" s="31">
        <f t="shared" si="46"/>
        <v>256046.41445478724</v>
      </c>
      <c r="AH47" s="31">
        <f t="shared" si="46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-1230834.3170998262</v>
      </c>
      <c r="E48" s="31">
        <f>E47+E46-E45</f>
        <v>-711977.31900297059</v>
      </c>
      <c r="F48" s="31">
        <f t="shared" ref="F48:AC48" si="47">F47+F46-F45</f>
        <v>-257969.17016624613</v>
      </c>
      <c r="G48" s="31">
        <f t="shared" si="47"/>
        <v>139492.60388712562</v>
      </c>
      <c r="H48" s="31">
        <f t="shared" si="47"/>
        <v>487640.43929785234</v>
      </c>
      <c r="I48" s="31">
        <f t="shared" si="47"/>
        <v>1549658.4109908161</v>
      </c>
      <c r="J48" s="31">
        <f t="shared" si="47"/>
        <v>1533393.8867659075</v>
      </c>
      <c r="K48" s="31">
        <f t="shared" si="47"/>
        <v>1518297.1234961748</v>
      </c>
      <c r="L48" s="31">
        <f t="shared" si="47"/>
        <v>1504318.5965024573</v>
      </c>
      <c r="M48" s="31">
        <f t="shared" si="47"/>
        <v>1491411.4789237683</v>
      </c>
      <c r="N48" s="31">
        <f t="shared" si="47"/>
        <v>1479531.5123659882</v>
      </c>
      <c r="O48" s="31">
        <f t="shared" si="47"/>
        <v>1468636.8841566225</v>
      </c>
      <c r="P48" s="31">
        <f t="shared" si="47"/>
        <v>1458688.1108787628</v>
      </c>
      <c r="Q48" s="31">
        <f t="shared" si="47"/>
        <v>1449647.9278738601</v>
      </c>
      <c r="R48" s="31">
        <f t="shared" si="47"/>
        <v>1441481.184418493</v>
      </c>
      <c r="S48" s="31">
        <f t="shared" si="47"/>
        <v>1434154.7442951668</v>
      </c>
      <c r="T48" s="31">
        <f t="shared" si="47"/>
        <v>1427637.3914912618</v>
      </c>
      <c r="U48" s="31">
        <f t="shared" si="47"/>
        <v>1421899.7407736375</v>
      </c>
      <c r="V48" s="31">
        <f t="shared" si="47"/>
        <v>1416914.1528991326</v>
      </c>
      <c r="W48" s="31">
        <f t="shared" si="47"/>
        <v>1412654.654233272</v>
      </c>
      <c r="X48" s="31">
        <f t="shared" si="47"/>
        <v>1409096.8605609967</v>
      </c>
      <c r="Y48" s="31">
        <f t="shared" si="47"/>
        <v>1406217.904884134</v>
      </c>
      <c r="Z48" s="31">
        <f t="shared" si="47"/>
        <v>1403996.369010709</v>
      </c>
      <c r="AA48" s="31">
        <f t="shared" si="47"/>
        <v>1402412.2187510394</v>
      </c>
      <c r="AB48" s="31">
        <f t="shared" si="47"/>
        <v>1401446.742544939</v>
      </c>
      <c r="AC48" s="31">
        <f t="shared" si="47"/>
        <v>1091244.3813220507</v>
      </c>
      <c r="AD48" s="31">
        <f t="shared" ref="AD48:AH48" si="48">AD47+AD46-AD45</f>
        <v>857510.15118487389</v>
      </c>
      <c r="AE48" s="31">
        <f t="shared" si="48"/>
        <v>647565.43900782382</v>
      </c>
      <c r="AF48" s="31">
        <f t="shared" si="48"/>
        <v>458935.52667076339</v>
      </c>
      <c r="AG48" s="31">
        <f t="shared" si="48"/>
        <v>289411.49767384905</v>
      </c>
      <c r="AH48" s="31">
        <f t="shared" si="48"/>
        <v>137020.59214899811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14371678.386049602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-478469.10414938245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C53" si="49">(XNPV($B$6,D30,D$22)+XNPV($B$6,D34,D$22))/(XNPV($B$6,D24,D$22))</f>
        <v>0.28304114349887532</v>
      </c>
      <c r="E53" s="32">
        <f t="shared" si="49"/>
        <v>0.54126403165995163</v>
      </c>
      <c r="F53" s="32">
        <f t="shared" si="49"/>
        <v>0.77691805346612153</v>
      </c>
      <c r="G53" s="32">
        <f t="shared" si="49"/>
        <v>0.99204995815908137</v>
      </c>
      <c r="H53" s="32">
        <f t="shared" si="49"/>
        <v>1.1885221855221753</v>
      </c>
      <c r="I53" s="32">
        <f t="shared" si="49"/>
        <v>3.1410967822159277</v>
      </c>
      <c r="J53" s="32">
        <f t="shared" si="49"/>
        <v>3.1470471102907513</v>
      </c>
      <c r="K53" s="32">
        <f t="shared" si="49"/>
        <v>3.153146196567445</v>
      </c>
      <c r="L53" s="32">
        <f t="shared" si="49"/>
        <v>3.159397760001057</v>
      </c>
      <c r="M53" s="32">
        <f t="shared" si="49"/>
        <v>3.1658056125205087</v>
      </c>
      <c r="N53" s="32">
        <f t="shared" si="49"/>
        <v>3.1723736613529465</v>
      </c>
      <c r="O53" s="32">
        <f t="shared" si="49"/>
        <v>3.1791059114061961</v>
      </c>
      <c r="P53" s="32">
        <f t="shared" si="49"/>
        <v>3.1860064677107762</v>
      </c>
      <c r="Q53" s="32">
        <f t="shared" si="49"/>
        <v>3.1930795379229715</v>
      </c>
      <c r="R53" s="32">
        <f t="shared" si="49"/>
        <v>3.2003294348904712</v>
      </c>
      <c r="S53" s="32">
        <f t="shared" si="49"/>
        <v>3.2077605792821582</v>
      </c>
      <c r="T53" s="32">
        <f t="shared" si="49"/>
        <v>3.2153775022836375</v>
      </c>
      <c r="U53" s="32">
        <f t="shared" si="49"/>
        <v>3.223184848360154</v>
      </c>
      <c r="V53" s="32">
        <f t="shared" si="49"/>
        <v>3.2311873780885829</v>
      </c>
      <c r="W53" s="32">
        <f t="shared" si="49"/>
        <v>3.239389971060223</v>
      </c>
      <c r="X53" s="32">
        <f t="shared" si="49"/>
        <v>3.2477976288561541</v>
      </c>
      <c r="Y53" s="32">
        <f t="shared" si="49"/>
        <v>3.2564154780969838</v>
      </c>
      <c r="Z53" s="32">
        <f t="shared" si="49"/>
        <v>3.2652487735688336</v>
      </c>
      <c r="AA53" s="32">
        <f t="shared" si="49"/>
        <v>3.2743029014274798</v>
      </c>
      <c r="AB53" s="32">
        <f t="shared" si="49"/>
        <v>3.2835833824825924</v>
      </c>
      <c r="AC53" s="32">
        <f t="shared" si="49"/>
        <v>2.9030836592229812</v>
      </c>
      <c r="AD53" s="32">
        <f t="shared" ref="AD53:AH53" si="50">(XNPV($B$6,AD30,AD$22)+XNPV($B$6,AD34,AD$22))/(XNPV($B$6,AD24,AD$22))</f>
        <v>2.9030836592229812</v>
      </c>
      <c r="AE53" s="32">
        <f t="shared" si="50"/>
        <v>2.9030836592229812</v>
      </c>
      <c r="AF53" s="32">
        <f t="shared" si="50"/>
        <v>2.9030836592229812</v>
      </c>
      <c r="AG53" s="32">
        <f t="shared" si="50"/>
        <v>2.9030836592229812</v>
      </c>
      <c r="AH53" s="32">
        <f t="shared" si="50"/>
        <v>2.9030836592229812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1.6283040527012007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C55" si="51">(XNPV($B$14,D47,D$22)+XNPV($B$14,D46,D$22))/(XNPV($B$14,D45,D$22))</f>
        <v>0.28971356533913306</v>
      </c>
      <c r="E55" s="32">
        <f t="shared" si="51"/>
        <v>0.56750959431741588</v>
      </c>
      <c r="F55" s="32">
        <f t="shared" si="51"/>
        <v>0.83504916433213705</v>
      </c>
      <c r="G55" s="32">
        <f t="shared" si="51"/>
        <v>1.0938889083277472</v>
      </c>
      <c r="H55" s="32">
        <f t="shared" si="51"/>
        <v>1.3454929714537027</v>
      </c>
      <c r="I55" s="32">
        <f>(XNPV($B$14,I47,I$22)+XNPV($B$14,I46,I$22))/(XNPV($B$14,I45,I$22))</f>
        <v>3.653613812226205</v>
      </c>
      <c r="J55" s="32">
        <f t="shared" si="51"/>
        <v>3.7639606989283387</v>
      </c>
      <c r="K55" s="32">
        <f t="shared" si="51"/>
        <v>3.8807880039707019</v>
      </c>
      <c r="L55" s="32">
        <f t="shared" si="51"/>
        <v>4.0044899089076091</v>
      </c>
      <c r="M55" s="32">
        <f t="shared" si="51"/>
        <v>4.1354855343413535</v>
      </c>
      <c r="N55" s="32">
        <f t="shared" si="51"/>
        <v>4.2742205835023874</v>
      </c>
      <c r="O55" s="32">
        <f t="shared" si="51"/>
        <v>4.4211690984652163</v>
      </c>
      <c r="P55" s="32">
        <f t="shared" si="51"/>
        <v>4.5768353369911789</v>
      </c>
      <c r="Q55" s="32">
        <f t="shared" si="51"/>
        <v>4.7417557785728102</v>
      </c>
      <c r="R55" s="32">
        <f t="shared" si="51"/>
        <v>4.9165012688814516</v>
      </c>
      <c r="S55" s="32">
        <f t="shared" si="51"/>
        <v>5.1016793124937276</v>
      </c>
      <c r="T55" s="32">
        <f t="shared" si="51"/>
        <v>5.2979365244967855</v>
      </c>
      <c r="U55" s="32">
        <f t="shared" si="51"/>
        <v>5.5059612523508532</v>
      </c>
      <c r="V55" s="32">
        <f t="shared" si="51"/>
        <v>5.7264863802246833</v>
      </c>
      <c r="W55" s="32">
        <f t="shared" si="51"/>
        <v>5.9602923289192642</v>
      </c>
      <c r="X55" s="32">
        <f t="shared" si="51"/>
        <v>6.2082102654627809</v>
      </c>
      <c r="Y55" s="32">
        <f t="shared" si="51"/>
        <v>6.4711255375000638</v>
      </c>
      <c r="Z55" s="32">
        <f t="shared" si="51"/>
        <v>6.7499813487184737</v>
      </c>
      <c r="AA55" s="32">
        <f t="shared" si="51"/>
        <v>7.0457826927552638</v>
      </c>
      <c r="AB55" s="32">
        <f t="shared" si="51"/>
        <v>7.3596005643252402</v>
      </c>
      <c r="AC55" s="32">
        <f t="shared" si="51"/>
        <v>6.2125670698132529</v>
      </c>
      <c r="AD55" s="32">
        <f t="shared" ref="AD55:AH55" si="52">(XNPV($B$14,AD47,AD$22)+XNPV($B$14,AD46,AD$22))/(XNPV($B$14,AD45,AD$22))</f>
        <v>6.4490749990732263</v>
      </c>
      <c r="AE55" s="32">
        <f t="shared" si="52"/>
        <v>6.6980307140837247</v>
      </c>
      <c r="AF55" s="32">
        <f t="shared" si="52"/>
        <v>6.9600893614631962</v>
      </c>
      <c r="AG55" s="32">
        <f t="shared" si="52"/>
        <v>7.2359405692310617</v>
      </c>
      <c r="AH55" s="32">
        <f t="shared" si="52"/>
        <v>7.5263102616182858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1.9268735704632109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C57" si="53">(XNPV($B$6,D46,D$22))/(XNPV($B$6,D45,D$22))</f>
        <v>0.15626512853397836</v>
      </c>
      <c r="E57" s="32">
        <f t="shared" si="53"/>
        <v>0.2983243362921405</v>
      </c>
      <c r="F57" s="32">
        <f t="shared" si="53"/>
        <v>0.42746907061774247</v>
      </c>
      <c r="G57" s="32">
        <f t="shared" si="53"/>
        <v>0.54487337455010776</v>
      </c>
      <c r="H57" s="32">
        <f t="shared" si="53"/>
        <v>0.65160455994316724</v>
      </c>
      <c r="I57" s="32">
        <f t="shared" si="53"/>
        <v>1.718916413873762</v>
      </c>
      <c r="J57" s="32">
        <f t="shared" si="53"/>
        <v>1.7189164138737616</v>
      </c>
      <c r="K57" s="32">
        <f t="shared" si="53"/>
        <v>1.7189164138737618</v>
      </c>
      <c r="L57" s="32">
        <f t="shared" si="53"/>
        <v>1.7189164138737616</v>
      </c>
      <c r="M57" s="32">
        <f t="shared" si="53"/>
        <v>1.7189164138737618</v>
      </c>
      <c r="N57" s="32">
        <f t="shared" si="53"/>
        <v>1.7189164138737618</v>
      </c>
      <c r="O57" s="32">
        <f t="shared" si="53"/>
        <v>1.7189164138737616</v>
      </c>
      <c r="P57" s="32">
        <f t="shared" si="53"/>
        <v>1.7189164138737616</v>
      </c>
      <c r="Q57" s="32">
        <f t="shared" si="53"/>
        <v>1.7189164138737618</v>
      </c>
      <c r="R57" s="32">
        <f t="shared" si="53"/>
        <v>1.7189164138737618</v>
      </c>
      <c r="S57" s="32">
        <f t="shared" si="53"/>
        <v>1.7189164138737616</v>
      </c>
      <c r="T57" s="32">
        <f t="shared" si="53"/>
        <v>1.7189164138737618</v>
      </c>
      <c r="U57" s="32">
        <f t="shared" si="53"/>
        <v>1.7189164138737616</v>
      </c>
      <c r="V57" s="32">
        <f t="shared" si="53"/>
        <v>1.7189164138737618</v>
      </c>
      <c r="W57" s="32">
        <f t="shared" si="53"/>
        <v>1.7189164138737618</v>
      </c>
      <c r="X57" s="32">
        <f t="shared" si="53"/>
        <v>1.7189164138737616</v>
      </c>
      <c r="Y57" s="32">
        <f t="shared" si="53"/>
        <v>1.7189164138737616</v>
      </c>
      <c r="Z57" s="32">
        <f t="shared" si="53"/>
        <v>1.7189164138737618</v>
      </c>
      <c r="AA57" s="32">
        <f t="shared" si="53"/>
        <v>1.718916413873762</v>
      </c>
      <c r="AB57" s="32">
        <f t="shared" si="53"/>
        <v>1.7189164138737618</v>
      </c>
      <c r="AC57" s="32">
        <f t="shared" si="53"/>
        <v>1.7189164138737618</v>
      </c>
      <c r="AD57" s="32">
        <f t="shared" ref="AD57:AH57" si="54">(XNPV($B$6,AD46,AD$22))/(XNPV($B$6,AD45,AD$22))</f>
        <v>1.7189164138737618</v>
      </c>
      <c r="AE57" s="32">
        <f t="shared" si="54"/>
        <v>1.7189164138737616</v>
      </c>
      <c r="AF57" s="32">
        <f t="shared" si="54"/>
        <v>1.7189164138737618</v>
      </c>
      <c r="AG57" s="32">
        <f t="shared" si="54"/>
        <v>1.7189164138737616</v>
      </c>
      <c r="AH57" s="32">
        <f t="shared" si="54"/>
        <v>1.7189164138737616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0.76365331708470163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0.19338572978973384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4.401724338531493E-2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7" t="s">
        <v>89</v>
      </c>
      <c r="B64" s="145" t="s">
        <v>69</v>
      </c>
      <c r="C64" s="151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8"/>
      <c r="B65" s="129" t="s">
        <v>69</v>
      </c>
      <c r="C65" s="130">
        <f>(D34+D30)/C25</f>
        <v>0.28304114349887532</v>
      </c>
      <c r="D65" s="121">
        <f>(SUM($D$34:E34)+SUM($D$30:E30))/SUM($C$25:D25)</f>
        <v>0.43177890127367125</v>
      </c>
      <c r="E65" s="121">
        <f>(SUM($D$34:F34)+SUM($D$30:F30))/SUM($C$25:E25)</f>
        <v>0.58534142194446748</v>
      </c>
      <c r="F65" s="121">
        <f>(SUM($D$34:G34)+SUM($D$30:G30))/SUM($C$25:F25)</f>
        <v>0.7437290695129376</v>
      </c>
      <c r="G65" s="121">
        <f>(SUM($D$34:H34)+SUM($D$30:H30))/SUM($C$25:G25)</f>
        <v>0.90693462917782086</v>
      </c>
      <c r="H65" s="121">
        <f>(SUM($D$34:I34)+SUM($D$30:I30))/SUM($C$25:H25)</f>
        <v>1.0749434606586172</v>
      </c>
      <c r="I65" s="121">
        <f>(SUM($D$34:J34)+SUM($D$30:J30))/SUM($C$25:I25)</f>
        <v>1.361038652503231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9" t="s">
        <v>105</v>
      </c>
      <c r="B66" s="145" t="s">
        <v>69</v>
      </c>
      <c r="C66" s="152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8"/>
      <c r="B67" s="28" t="s">
        <v>69</v>
      </c>
      <c r="C67" s="131">
        <f>D34/C25</f>
        <v>0.15626512853397836</v>
      </c>
      <c r="D67" s="32">
        <f>SUM($D$34:E34)/SUM($C$25:D25)</f>
        <v>0.23811829109939561</v>
      </c>
      <c r="E67" s="32">
        <f>SUM($D$34:F34)/SUM($C$25:E25)</f>
        <v>0.32244435887826955</v>
      </c>
      <c r="F67" s="32">
        <f>SUM($D$34:G34)/SUM($C$25:F25)</f>
        <v>0.4092321422542497</v>
      </c>
      <c r="G67" s="32">
        <f>SUM($D$34:H34)/SUM($C$25:G25)</f>
        <v>0.49846607682674504</v>
      </c>
      <c r="H67" s="32">
        <f>SUM($D$34:I34)/SUM($C$25:H25)</f>
        <v>0.59012632294355294</v>
      </c>
      <c r="I67" s="32">
        <f>SUM($D$34:J34)/SUM($C$25:I25)</f>
        <v>0.74639145147753128</v>
      </c>
      <c r="J67" s="32">
        <f>SUM($D$34:K34)/SUM($C$25:J25)</f>
        <v>0.90265658001150972</v>
      </c>
      <c r="K67" s="32">
        <f>SUM($D$34:L34)/SUM($C$25:K25)</f>
        <v>1.0589217085454881</v>
      </c>
      <c r="L67" s="32">
        <f>SUM($D$34:M34)/SUM($C$25:L25)</f>
        <v>1.2151868370794663</v>
      </c>
      <c r="M67" s="32">
        <f>SUM($D$34:N34)/SUM($C$25:M25)</f>
        <v>1.3714519656134445</v>
      </c>
      <c r="N67" s="32">
        <f>SUM($D$34:O34)/SUM($C$25:N25)</f>
        <v>1.527717094147423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B70" si="55">E76+E79+E82+E85+E88+E91</f>
        <v>0</v>
      </c>
      <c r="F70" s="156">
        <f t="shared" si="55"/>
        <v>364814.81481481477</v>
      </c>
      <c r="G70" s="156">
        <f>G76+G79+G82+G85+G88+G91</f>
        <v>729629.62962962955</v>
      </c>
      <c r="H70" s="156">
        <f t="shared" si="55"/>
        <v>1094444.4444444443</v>
      </c>
      <c r="I70" s="156">
        <f t="shared" si="55"/>
        <v>1459259.2592592591</v>
      </c>
      <c r="J70" s="156">
        <f t="shared" si="55"/>
        <v>1824074.0740740739</v>
      </c>
      <c r="K70" s="156">
        <f t="shared" si="55"/>
        <v>1824074.0740740739</v>
      </c>
      <c r="L70" s="156">
        <f t="shared" si="55"/>
        <v>1459259.2592592593</v>
      </c>
      <c r="M70" s="156">
        <f t="shared" si="55"/>
        <v>1094444.4444444445</v>
      </c>
      <c r="N70" s="156">
        <f t="shared" si="55"/>
        <v>729629.62962962966</v>
      </c>
      <c r="O70" s="156">
        <f t="shared" si="55"/>
        <v>364814.81481481483</v>
      </c>
      <c r="P70" s="156">
        <f t="shared" si="55"/>
        <v>0</v>
      </c>
      <c r="Q70" s="156">
        <f t="shared" si="55"/>
        <v>0</v>
      </c>
      <c r="R70" s="156">
        <f t="shared" si="55"/>
        <v>0</v>
      </c>
      <c r="S70" s="156">
        <f t="shared" si="55"/>
        <v>0</v>
      </c>
      <c r="T70" s="156">
        <f t="shared" si="55"/>
        <v>0</v>
      </c>
      <c r="U70" s="156">
        <f t="shared" si="55"/>
        <v>0</v>
      </c>
      <c r="V70" s="156">
        <f t="shared" si="55"/>
        <v>0</v>
      </c>
      <c r="W70" s="156">
        <f t="shared" si="55"/>
        <v>0</v>
      </c>
      <c r="X70" s="156">
        <f t="shared" si="55"/>
        <v>0</v>
      </c>
      <c r="Y70" s="156">
        <f t="shared" si="55"/>
        <v>0</v>
      </c>
      <c r="Z70" s="156">
        <f t="shared" si="55"/>
        <v>0</v>
      </c>
      <c r="AA70" s="156">
        <f t="shared" si="55"/>
        <v>0</v>
      </c>
      <c r="AB70" s="157">
        <f t="shared" si="55"/>
        <v>0</v>
      </c>
      <c r="AC70" s="157">
        <f t="shared" ref="AC70:AD70" si="56">AC76+AC79+AC82+AC85+AC88+AC91</f>
        <v>0</v>
      </c>
      <c r="AD70" s="157">
        <f t="shared" si="56"/>
        <v>0</v>
      </c>
      <c r="AE70" s="157">
        <f t="shared" ref="AE70:AH70" si="57">AE76+AE79+AE82+AE85+AE88+AE91</f>
        <v>0</v>
      </c>
      <c r="AF70" s="157">
        <f t="shared" si="57"/>
        <v>0</v>
      </c>
      <c r="AG70" s="157">
        <f t="shared" si="57"/>
        <v>0</v>
      </c>
      <c r="AH70" s="157">
        <f t="shared" si="57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91203.703703703708</v>
      </c>
      <c r="E71" s="160">
        <f t="shared" ref="E71:AB71" si="58">E77+E80+E83+E86+E89+E92</f>
        <v>182407.40740740742</v>
      </c>
      <c r="F71" s="160">
        <f t="shared" si="58"/>
        <v>273611.11111111112</v>
      </c>
      <c r="G71" s="160">
        <f t="shared" si="58"/>
        <v>346574.0740740741</v>
      </c>
      <c r="H71" s="160">
        <f t="shared" si="58"/>
        <v>401296.29629629629</v>
      </c>
      <c r="I71" s="160">
        <f t="shared" si="58"/>
        <v>437777.77777777781</v>
      </c>
      <c r="J71" s="160">
        <f t="shared" si="58"/>
        <v>364814.81481481483</v>
      </c>
      <c r="K71" s="160">
        <f t="shared" si="58"/>
        <v>273611.11111111112</v>
      </c>
      <c r="L71" s="160">
        <f t="shared" si="58"/>
        <v>182407.40740740742</v>
      </c>
      <c r="M71" s="160">
        <f t="shared" si="58"/>
        <v>109444.44444444444</v>
      </c>
      <c r="N71" s="160">
        <f t="shared" si="58"/>
        <v>54722.222222222219</v>
      </c>
      <c r="O71" s="160">
        <f t="shared" si="58"/>
        <v>18240.740740740741</v>
      </c>
      <c r="P71" s="160">
        <f t="shared" si="58"/>
        <v>0</v>
      </c>
      <c r="Q71" s="160">
        <f t="shared" si="58"/>
        <v>0</v>
      </c>
      <c r="R71" s="160">
        <f t="shared" si="58"/>
        <v>0</v>
      </c>
      <c r="S71" s="160">
        <f t="shared" si="58"/>
        <v>0</v>
      </c>
      <c r="T71" s="160">
        <f t="shared" si="58"/>
        <v>0</v>
      </c>
      <c r="U71" s="160">
        <f t="shared" si="58"/>
        <v>0</v>
      </c>
      <c r="V71" s="160">
        <f t="shared" si="58"/>
        <v>0</v>
      </c>
      <c r="W71" s="160">
        <f t="shared" si="58"/>
        <v>0</v>
      </c>
      <c r="X71" s="160">
        <f t="shared" si="58"/>
        <v>0</v>
      </c>
      <c r="Y71" s="160">
        <f t="shared" si="58"/>
        <v>0</v>
      </c>
      <c r="Z71" s="160">
        <f t="shared" si="58"/>
        <v>0</v>
      </c>
      <c r="AA71" s="160">
        <f t="shared" si="58"/>
        <v>0</v>
      </c>
      <c r="AB71" s="161">
        <f t="shared" si="58"/>
        <v>0</v>
      </c>
      <c r="AC71" s="161">
        <f t="shared" ref="AC71:AD71" si="59">AC77+AC80+AC83+AC86+AC89+AC92</f>
        <v>0</v>
      </c>
      <c r="AD71" s="161">
        <f t="shared" si="59"/>
        <v>0</v>
      </c>
      <c r="AE71" s="161">
        <f t="shared" ref="AE71:AH71" si="60">AE77+AE80+AE83+AE86+AE89+AE92</f>
        <v>0</v>
      </c>
      <c r="AF71" s="161">
        <f t="shared" si="60"/>
        <v>0</v>
      </c>
      <c r="AG71" s="161">
        <f t="shared" si="60"/>
        <v>0</v>
      </c>
      <c r="AH71" s="161">
        <f t="shared" si="6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61">C24</f>
        <v>1824074.0740740739</v>
      </c>
      <c r="D72" s="37">
        <f t="shared" si="61"/>
        <v>1824074.0740740739</v>
      </c>
      <c r="E72" s="37">
        <f t="shared" si="61"/>
        <v>1824074.0740740739</v>
      </c>
      <c r="F72" s="37">
        <f t="shared" si="61"/>
        <v>1824074.0740740739</v>
      </c>
      <c r="G72" s="37">
        <f t="shared" si="61"/>
        <v>1824074.0740740742</v>
      </c>
      <c r="H72" s="37">
        <f t="shared" si="61"/>
        <v>1824074.0740740742</v>
      </c>
      <c r="I72" s="37">
        <f t="shared" ref="I72:AC72" si="62">I25</f>
        <v>0</v>
      </c>
      <c r="J72" s="37">
        <f t="shared" si="62"/>
        <v>0</v>
      </c>
      <c r="K72" s="37">
        <f t="shared" si="62"/>
        <v>0</v>
      </c>
      <c r="L72" s="37">
        <f t="shared" si="62"/>
        <v>0</v>
      </c>
      <c r="M72" s="37">
        <f t="shared" si="62"/>
        <v>0</v>
      </c>
      <c r="N72" s="37">
        <f t="shared" si="62"/>
        <v>0</v>
      </c>
      <c r="O72" s="37">
        <f t="shared" si="62"/>
        <v>0</v>
      </c>
      <c r="P72" s="37">
        <f t="shared" si="62"/>
        <v>0</v>
      </c>
      <c r="Q72" s="37">
        <f t="shared" si="62"/>
        <v>0</v>
      </c>
      <c r="R72" s="37">
        <f t="shared" si="62"/>
        <v>0</v>
      </c>
      <c r="S72" s="37">
        <f t="shared" si="62"/>
        <v>0</v>
      </c>
      <c r="T72" s="37">
        <f t="shared" si="62"/>
        <v>0</v>
      </c>
      <c r="U72" s="37">
        <f t="shared" si="62"/>
        <v>0</v>
      </c>
      <c r="V72" s="37">
        <f t="shared" si="62"/>
        <v>0</v>
      </c>
      <c r="W72" s="37">
        <f t="shared" si="62"/>
        <v>0</v>
      </c>
      <c r="X72" s="37">
        <f t="shared" si="62"/>
        <v>0</v>
      </c>
      <c r="Y72" s="37">
        <f t="shared" si="62"/>
        <v>0</v>
      </c>
      <c r="Z72" s="37">
        <f t="shared" si="62"/>
        <v>0</v>
      </c>
      <c r="AA72" s="37">
        <f t="shared" si="62"/>
        <v>0</v>
      </c>
      <c r="AB72" s="38">
        <f t="shared" si="62"/>
        <v>0</v>
      </c>
      <c r="AC72" s="38">
        <f t="shared" si="62"/>
        <v>0</v>
      </c>
      <c r="AD72" s="38">
        <f t="shared" ref="AD72:AH72" si="63">AD25</f>
        <v>0</v>
      </c>
      <c r="AE72" s="38">
        <f t="shared" si="63"/>
        <v>0</v>
      </c>
      <c r="AF72" s="38">
        <f t="shared" si="63"/>
        <v>0</v>
      </c>
      <c r="AG72" s="38">
        <f t="shared" si="63"/>
        <v>0</v>
      </c>
      <c r="AH72" s="38">
        <f t="shared" si="63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" si="64">E75+1</f>
        <v>3</v>
      </c>
      <c r="G75" s="172">
        <f t="shared" ref="G75" si="65">F75+1</f>
        <v>4</v>
      </c>
      <c r="H75" s="172">
        <f t="shared" ref="H75" si="66">G75+1</f>
        <v>5</v>
      </c>
      <c r="I75" s="172">
        <f t="shared" ref="I75" si="67">H75+1</f>
        <v>6</v>
      </c>
      <c r="J75" s="172">
        <f t="shared" ref="J75" si="68">I75+1</f>
        <v>7</v>
      </c>
      <c r="K75" s="172">
        <f t="shared" ref="K75" si="69">J75+1</f>
        <v>8</v>
      </c>
      <c r="L75" s="172">
        <f t="shared" ref="L75" si="70">K75+1</f>
        <v>9</v>
      </c>
      <c r="M75" s="172">
        <f t="shared" ref="M75" si="71">L75+1</f>
        <v>10</v>
      </c>
      <c r="N75" s="172">
        <f t="shared" ref="N75" si="72">M75+1</f>
        <v>11</v>
      </c>
      <c r="O75" s="172">
        <f t="shared" ref="O75" si="73">N75+1</f>
        <v>12</v>
      </c>
      <c r="P75" s="172">
        <f t="shared" ref="P75" si="74">O75+1</f>
        <v>13</v>
      </c>
      <c r="Q75" s="172">
        <f t="shared" ref="Q75" si="75">P75+1</f>
        <v>14</v>
      </c>
      <c r="R75" s="172">
        <f t="shared" ref="R75" si="76">Q75+1</f>
        <v>15</v>
      </c>
      <c r="S75" s="172">
        <f t="shared" ref="S75" si="77">R75+1</f>
        <v>16</v>
      </c>
      <c r="T75" s="172">
        <f t="shared" ref="T75" si="78">S75+1</f>
        <v>17</v>
      </c>
      <c r="U75" s="172">
        <f t="shared" ref="U75" si="79">T75+1</f>
        <v>18</v>
      </c>
      <c r="V75" s="172">
        <f t="shared" ref="V75" si="80">U75+1</f>
        <v>19</v>
      </c>
      <c r="W75" s="172">
        <f t="shared" ref="W75" si="81">V75+1</f>
        <v>20</v>
      </c>
      <c r="X75" s="172">
        <f t="shared" ref="X75" si="82">W75+1</f>
        <v>21</v>
      </c>
      <c r="Y75" s="172">
        <f t="shared" ref="Y75" si="83">X75+1</f>
        <v>22</v>
      </c>
      <c r="Z75" s="172">
        <f t="shared" ref="Z75" si="84">Y75+1</f>
        <v>23</v>
      </c>
      <c r="AA75" s="172">
        <f t="shared" ref="AA75" si="85">Z75+1</f>
        <v>24</v>
      </c>
      <c r="AB75" s="173">
        <f t="shared" ref="AB75:AC75" si="86">AA75+1</f>
        <v>25</v>
      </c>
      <c r="AC75" s="173">
        <f t="shared" si="86"/>
        <v>26</v>
      </c>
      <c r="AD75" s="173">
        <f t="shared" ref="AD75" si="87">AC75+1</f>
        <v>27</v>
      </c>
      <c r="AE75" s="173">
        <f t="shared" ref="AE75" si="88">AD75+1</f>
        <v>28</v>
      </c>
      <c r="AF75" s="173">
        <f t="shared" ref="AF75" si="89">AE75+1</f>
        <v>29</v>
      </c>
      <c r="AG75" s="173">
        <f t="shared" ref="AG75" si="90">AF75+1</f>
        <v>30</v>
      </c>
      <c r="AH75" s="173">
        <f t="shared" ref="AH75" si="91">AG75+1</f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91203.703703703708</v>
      </c>
      <c r="E77" s="182">
        <f>($C$72-SUM($C$76:D76))*$B$14</f>
        <v>91203.703703703708</v>
      </c>
      <c r="F77" s="182">
        <f>($C$72-SUM($C$76:E76))*$B$14</f>
        <v>91203.703703703708</v>
      </c>
      <c r="G77" s="182">
        <f>($C$72-SUM($C$76:F76))*$B$14</f>
        <v>72962.962962962964</v>
      </c>
      <c r="H77" s="182">
        <f>($C$72-SUM($C$76:G76))*$B$14</f>
        <v>54722.222222222226</v>
      </c>
      <c r="I77" s="182">
        <f>($C$72-SUM($C$76:H76))*$B$14</f>
        <v>36481.481481481482</v>
      </c>
      <c r="J77" s="182">
        <f>($C$72-SUM($C$76:I76))*$B$14</f>
        <v>18240.740740740741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" si="92">F78+1</f>
        <v>3</v>
      </c>
      <c r="H78" s="172">
        <f t="shared" ref="H78" si="93">G78+1</f>
        <v>4</v>
      </c>
      <c r="I78" s="172">
        <f t="shared" ref="I78" si="94">H78+1</f>
        <v>5</v>
      </c>
      <c r="J78" s="172">
        <f t="shared" ref="J78" si="95">I78+1</f>
        <v>6</v>
      </c>
      <c r="K78" s="172">
        <f t="shared" ref="K78" si="96">J78+1</f>
        <v>7</v>
      </c>
      <c r="L78" s="172">
        <f t="shared" ref="L78" si="97">K78+1</f>
        <v>8</v>
      </c>
      <c r="M78" s="172">
        <f t="shared" ref="M78" si="98">L78+1</f>
        <v>9</v>
      </c>
      <c r="N78" s="172">
        <f t="shared" ref="N78" si="99">M78+1</f>
        <v>10</v>
      </c>
      <c r="O78" s="172">
        <f t="shared" ref="O78" si="100">N78+1</f>
        <v>11</v>
      </c>
      <c r="P78" s="172">
        <f t="shared" ref="P78" si="101">O78+1</f>
        <v>12</v>
      </c>
      <c r="Q78" s="172">
        <f t="shared" ref="Q78" si="102">P78+1</f>
        <v>13</v>
      </c>
      <c r="R78" s="172">
        <f t="shared" ref="R78" si="103">Q78+1</f>
        <v>14</v>
      </c>
      <c r="S78" s="172">
        <f t="shared" ref="S78" si="104">R78+1</f>
        <v>15</v>
      </c>
      <c r="T78" s="172">
        <f t="shared" ref="T78" si="105">S78+1</f>
        <v>16</v>
      </c>
      <c r="U78" s="172">
        <f t="shared" ref="U78" si="106">T78+1</f>
        <v>17</v>
      </c>
      <c r="V78" s="172">
        <f t="shared" ref="V78" si="107">U78+1</f>
        <v>18</v>
      </c>
      <c r="W78" s="172">
        <f t="shared" ref="W78" si="108">V78+1</f>
        <v>19</v>
      </c>
      <c r="X78" s="172">
        <f t="shared" ref="X78" si="109">W78+1</f>
        <v>20</v>
      </c>
      <c r="Y78" s="172">
        <f t="shared" ref="Y78" si="110">X78+1</f>
        <v>21</v>
      </c>
      <c r="Z78" s="172">
        <f t="shared" ref="Z78" si="111">Y78+1</f>
        <v>22</v>
      </c>
      <c r="AA78" s="172">
        <f t="shared" ref="AA78" si="112">Z78+1</f>
        <v>23</v>
      </c>
      <c r="AB78" s="173">
        <f t="shared" ref="AB78:AC78" si="113">AA78+1</f>
        <v>24</v>
      </c>
      <c r="AC78" s="173">
        <f t="shared" si="113"/>
        <v>25</v>
      </c>
      <c r="AD78" s="173">
        <f t="shared" ref="AD78" si="114">AC78+1</f>
        <v>26</v>
      </c>
      <c r="AE78" s="173">
        <f t="shared" ref="AE78" si="115">AD78+1</f>
        <v>27</v>
      </c>
      <c r="AF78" s="173">
        <f t="shared" ref="AF78" si="116">AE78+1</f>
        <v>28</v>
      </c>
      <c r="AG78" s="173">
        <f t="shared" ref="AG78" si="117">AF78+1</f>
        <v>29</v>
      </c>
      <c r="AH78" s="173">
        <f t="shared" ref="AH78" si="118">AG78+1</f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91203.703703703708</v>
      </c>
      <c r="F80" s="182">
        <f>($D$72-SUM($C$79:E79))*$B$14</f>
        <v>91203.703703703708</v>
      </c>
      <c r="G80" s="182">
        <f>($D$72-SUM($C$79:F79))*$B$14</f>
        <v>91203.703703703708</v>
      </c>
      <c r="H80" s="182">
        <f>($D$72-SUM($C$79:G79))*$B$14</f>
        <v>72962.962962962964</v>
      </c>
      <c r="I80" s="182">
        <f>($D$72-SUM($C$79:H79))*$B$14</f>
        <v>54722.222222222226</v>
      </c>
      <c r="J80" s="182">
        <f>($D$72-SUM($C$79:I79))*$B$14</f>
        <v>36481.481481481482</v>
      </c>
      <c r="K80" s="182">
        <f>($D$72-SUM($C$79:J79))*$B$14</f>
        <v>18240.740740740741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" si="119">G81+1</f>
        <v>3</v>
      </c>
      <c r="I81" s="172">
        <f t="shared" ref="I81" si="120">H81+1</f>
        <v>4</v>
      </c>
      <c r="J81" s="172">
        <f t="shared" ref="J81" si="121">I81+1</f>
        <v>5</v>
      </c>
      <c r="K81" s="172">
        <f t="shared" ref="K81" si="122">J81+1</f>
        <v>6</v>
      </c>
      <c r="L81" s="172">
        <f t="shared" ref="L81" si="123">K81+1</f>
        <v>7</v>
      </c>
      <c r="M81" s="172">
        <f t="shared" ref="M81" si="124">L81+1</f>
        <v>8</v>
      </c>
      <c r="N81" s="172">
        <f t="shared" ref="N81" si="125">M81+1</f>
        <v>9</v>
      </c>
      <c r="O81" s="172">
        <f t="shared" ref="O81" si="126">N81+1</f>
        <v>10</v>
      </c>
      <c r="P81" s="172">
        <f t="shared" ref="P81" si="127">O81+1</f>
        <v>11</v>
      </c>
      <c r="Q81" s="172">
        <f t="shared" ref="Q81" si="128">P81+1</f>
        <v>12</v>
      </c>
      <c r="R81" s="172">
        <f t="shared" ref="R81" si="129">Q81+1</f>
        <v>13</v>
      </c>
      <c r="S81" s="172">
        <f t="shared" ref="S81" si="130">R81+1</f>
        <v>14</v>
      </c>
      <c r="T81" s="172">
        <f t="shared" ref="T81" si="131">S81+1</f>
        <v>15</v>
      </c>
      <c r="U81" s="172">
        <f t="shared" ref="U81" si="132">T81+1</f>
        <v>16</v>
      </c>
      <c r="V81" s="172">
        <f t="shared" ref="V81" si="133">U81+1</f>
        <v>17</v>
      </c>
      <c r="W81" s="172">
        <f t="shared" ref="W81" si="134">V81+1</f>
        <v>18</v>
      </c>
      <c r="X81" s="172">
        <f t="shared" ref="X81" si="135">W81+1</f>
        <v>19</v>
      </c>
      <c r="Y81" s="172">
        <f t="shared" ref="Y81" si="136">X81+1</f>
        <v>20</v>
      </c>
      <c r="Z81" s="172">
        <f t="shared" ref="Z81" si="137">Y81+1</f>
        <v>21</v>
      </c>
      <c r="AA81" s="172">
        <f t="shared" ref="AA81" si="138">Z81+1</f>
        <v>22</v>
      </c>
      <c r="AB81" s="173">
        <f t="shared" ref="AB81:AC81" si="139">AA81+1</f>
        <v>23</v>
      </c>
      <c r="AC81" s="173">
        <f t="shared" si="139"/>
        <v>24</v>
      </c>
      <c r="AD81" s="173">
        <f t="shared" ref="AD81" si="140">AC81+1</f>
        <v>25</v>
      </c>
      <c r="AE81" s="173">
        <f t="shared" ref="AE81" si="141">AD81+1</f>
        <v>26</v>
      </c>
      <c r="AF81" s="173">
        <f t="shared" ref="AF81" si="142">AE81+1</f>
        <v>27</v>
      </c>
      <c r="AG81" s="173">
        <f t="shared" ref="AG81" si="143">AF81+1</f>
        <v>28</v>
      </c>
      <c r="AH81" s="173">
        <f t="shared" ref="AH81" si="144">AG81+1</f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91203.703703703708</v>
      </c>
      <c r="G83" s="182">
        <f>($E$72-SUM($C$82:F82))*$B$14</f>
        <v>91203.703703703708</v>
      </c>
      <c r="H83" s="182">
        <f>($E$72-SUM($C$82:G82))*$B$14</f>
        <v>91203.703703703708</v>
      </c>
      <c r="I83" s="182">
        <f>($E$72-SUM($C$82:H82))*$B$14</f>
        <v>72962.962962962964</v>
      </c>
      <c r="J83" s="182">
        <f>($E$72-SUM($C$82:I82))*$B$14</f>
        <v>54722.222222222226</v>
      </c>
      <c r="K83" s="182">
        <f>($E$72-SUM($C$82:J82))*$B$14</f>
        <v>36481.481481481482</v>
      </c>
      <c r="L83" s="182">
        <f>($E$72-SUM($C$82:K82))*$B$14</f>
        <v>18240.740740740741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" si="145">H84+1</f>
        <v>3</v>
      </c>
      <c r="J84" s="172">
        <f t="shared" ref="J84" si="146">I84+1</f>
        <v>4</v>
      </c>
      <c r="K84" s="172">
        <f t="shared" ref="K84" si="147">J84+1</f>
        <v>5</v>
      </c>
      <c r="L84" s="172">
        <f t="shared" ref="L84" si="148">K84+1</f>
        <v>6</v>
      </c>
      <c r="M84" s="172">
        <f t="shared" ref="M84" si="149">L84+1</f>
        <v>7</v>
      </c>
      <c r="N84" s="172">
        <f t="shared" ref="N84" si="150">M84+1</f>
        <v>8</v>
      </c>
      <c r="O84" s="172">
        <f t="shared" ref="O84" si="151">N84+1</f>
        <v>9</v>
      </c>
      <c r="P84" s="172">
        <f t="shared" ref="P84" si="152">O84+1</f>
        <v>10</v>
      </c>
      <c r="Q84" s="172">
        <f t="shared" ref="Q84" si="153">P84+1</f>
        <v>11</v>
      </c>
      <c r="R84" s="172">
        <f t="shared" ref="R84" si="154">Q84+1</f>
        <v>12</v>
      </c>
      <c r="S84" s="172">
        <f t="shared" ref="S84" si="155">R84+1</f>
        <v>13</v>
      </c>
      <c r="T84" s="172">
        <f t="shared" ref="T84" si="156">S84+1</f>
        <v>14</v>
      </c>
      <c r="U84" s="172">
        <f t="shared" ref="U84" si="157">T84+1</f>
        <v>15</v>
      </c>
      <c r="V84" s="172">
        <f t="shared" ref="V84" si="158">U84+1</f>
        <v>16</v>
      </c>
      <c r="W84" s="172">
        <f t="shared" ref="W84" si="159">V84+1</f>
        <v>17</v>
      </c>
      <c r="X84" s="172">
        <f t="shared" ref="X84" si="160">W84+1</f>
        <v>18</v>
      </c>
      <c r="Y84" s="172">
        <f t="shared" ref="Y84" si="161">X84+1</f>
        <v>19</v>
      </c>
      <c r="Z84" s="172">
        <f t="shared" ref="Z84" si="162">Y84+1</f>
        <v>20</v>
      </c>
      <c r="AA84" s="172">
        <f t="shared" ref="AA84" si="163">Z84+1</f>
        <v>21</v>
      </c>
      <c r="AB84" s="173">
        <f t="shared" ref="AB84:AC84" si="164">AA84+1</f>
        <v>22</v>
      </c>
      <c r="AC84" s="173">
        <f t="shared" si="164"/>
        <v>23</v>
      </c>
      <c r="AD84" s="173">
        <f t="shared" ref="AD84" si="165">AC84+1</f>
        <v>24</v>
      </c>
      <c r="AE84" s="173">
        <f t="shared" ref="AE84" si="166">AD84+1</f>
        <v>25</v>
      </c>
      <c r="AF84" s="173">
        <f t="shared" ref="AF84" si="167">AE84+1</f>
        <v>26</v>
      </c>
      <c r="AG84" s="173">
        <f t="shared" ref="AG84" si="168">AF84+1</f>
        <v>27</v>
      </c>
      <c r="AH84" s="173">
        <f t="shared" ref="AH84" si="169">AG84+1</f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91203.703703703708</v>
      </c>
      <c r="H86" s="182">
        <f>($F$72-SUM($C$85:G85))*$B$14</f>
        <v>91203.703703703708</v>
      </c>
      <c r="I86" s="182">
        <f>($F$72-SUM($C$85:H85))*$B$14</f>
        <v>91203.703703703708</v>
      </c>
      <c r="J86" s="182">
        <f>($F$72-SUM($C$85:I85))*$B$14</f>
        <v>72962.962962962964</v>
      </c>
      <c r="K86" s="182">
        <f>($F$72-SUM($C$85:J85))*$B$14</f>
        <v>54722.222222222226</v>
      </c>
      <c r="L86" s="182">
        <f>($F$72-SUM($C$85:K85))*$B$14</f>
        <v>36481.481481481482</v>
      </c>
      <c r="M86" s="182">
        <f>($F$72-SUM($C$85:L85))*$B$14</f>
        <v>18240.740740740741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" si="170">I87+1</f>
        <v>3</v>
      </c>
      <c r="K87" s="172">
        <f t="shared" ref="K87" si="171">J87+1</f>
        <v>4</v>
      </c>
      <c r="L87" s="172">
        <f t="shared" ref="L87" si="172">K87+1</f>
        <v>5</v>
      </c>
      <c r="M87" s="172">
        <f t="shared" ref="M87" si="173">L87+1</f>
        <v>6</v>
      </c>
      <c r="N87" s="172">
        <f t="shared" ref="N87" si="174">M87+1</f>
        <v>7</v>
      </c>
      <c r="O87" s="172">
        <f t="shared" ref="O87" si="175">N87+1</f>
        <v>8</v>
      </c>
      <c r="P87" s="172">
        <f t="shared" ref="P87" si="176">O87+1</f>
        <v>9</v>
      </c>
      <c r="Q87" s="172">
        <f t="shared" ref="Q87" si="177">P87+1</f>
        <v>10</v>
      </c>
      <c r="R87" s="172">
        <f t="shared" ref="R87" si="178">Q87+1</f>
        <v>11</v>
      </c>
      <c r="S87" s="172">
        <f t="shared" ref="S87" si="179">R87+1</f>
        <v>12</v>
      </c>
      <c r="T87" s="172">
        <f t="shared" ref="T87" si="180">S87+1</f>
        <v>13</v>
      </c>
      <c r="U87" s="172">
        <f t="shared" ref="U87" si="181">T87+1</f>
        <v>14</v>
      </c>
      <c r="V87" s="172">
        <f t="shared" ref="V87" si="182">U87+1</f>
        <v>15</v>
      </c>
      <c r="W87" s="172">
        <f t="shared" ref="W87" si="183">V87+1</f>
        <v>16</v>
      </c>
      <c r="X87" s="172">
        <f t="shared" ref="X87" si="184">W87+1</f>
        <v>17</v>
      </c>
      <c r="Y87" s="172">
        <f t="shared" ref="Y87" si="185">X87+1</f>
        <v>18</v>
      </c>
      <c r="Z87" s="172">
        <f t="shared" ref="Z87" si="186">Y87+1</f>
        <v>19</v>
      </c>
      <c r="AA87" s="172">
        <f t="shared" ref="AA87" si="187">Z87+1</f>
        <v>20</v>
      </c>
      <c r="AB87" s="173">
        <f t="shared" ref="AB87:AC87" si="188">AA87+1</f>
        <v>21</v>
      </c>
      <c r="AC87" s="173">
        <f t="shared" si="188"/>
        <v>22</v>
      </c>
      <c r="AD87" s="173">
        <f t="shared" ref="AD87" si="189">AC87+1</f>
        <v>23</v>
      </c>
      <c r="AE87" s="173">
        <f t="shared" ref="AE87" si="190">AD87+1</f>
        <v>24</v>
      </c>
      <c r="AF87" s="173">
        <f t="shared" ref="AF87" si="191">AE87+1</f>
        <v>25</v>
      </c>
      <c r="AG87" s="173">
        <f t="shared" ref="AG87" si="192">AF87+1</f>
        <v>26</v>
      </c>
      <c r="AH87" s="173">
        <f t="shared" ref="AH87" si="193">AG87+1</f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91203.703703703708</v>
      </c>
      <c r="I89" s="182">
        <f>($G$72-SUM($C$88:H88))*$B$14</f>
        <v>91203.703703703708</v>
      </c>
      <c r="J89" s="182">
        <f>($G$72-SUM($C$88:I88))*$B$14</f>
        <v>91203.703703703708</v>
      </c>
      <c r="K89" s="182">
        <f>($G$72-SUM($C$88:J88))*$B$14</f>
        <v>72962.962962962964</v>
      </c>
      <c r="L89" s="182">
        <f>($G$72-SUM($C$88:K88))*$B$14</f>
        <v>54722.222222222226</v>
      </c>
      <c r="M89" s="182">
        <f>($G$72-SUM($C$88:L88))*$B$14</f>
        <v>36481.481481481482</v>
      </c>
      <c r="N89" s="182">
        <f>($G$72-SUM($C$88:M88))*$B$14</f>
        <v>18240.740740740741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" si="194">J90+1</f>
        <v>3</v>
      </c>
      <c r="L90" s="172">
        <f t="shared" ref="L90" si="195">K90+1</f>
        <v>4</v>
      </c>
      <c r="M90" s="172">
        <f t="shared" ref="M90" si="196">L90+1</f>
        <v>5</v>
      </c>
      <c r="N90" s="172">
        <f t="shared" ref="N90" si="197">M90+1</f>
        <v>6</v>
      </c>
      <c r="O90" s="172">
        <f t="shared" ref="O90" si="198">N90+1</f>
        <v>7</v>
      </c>
      <c r="P90" s="172">
        <f t="shared" ref="P90" si="199">O90+1</f>
        <v>8</v>
      </c>
      <c r="Q90" s="172">
        <f t="shared" ref="Q90" si="200">P90+1</f>
        <v>9</v>
      </c>
      <c r="R90" s="172">
        <f t="shared" ref="R90" si="201">Q90+1</f>
        <v>10</v>
      </c>
      <c r="S90" s="172">
        <f t="shared" ref="S90" si="202">R90+1</f>
        <v>11</v>
      </c>
      <c r="T90" s="172">
        <f t="shared" ref="T90" si="203">S90+1</f>
        <v>12</v>
      </c>
      <c r="U90" s="172">
        <f t="shared" ref="U90" si="204">T90+1</f>
        <v>13</v>
      </c>
      <c r="V90" s="172">
        <f t="shared" ref="V90" si="205">U90+1</f>
        <v>14</v>
      </c>
      <c r="W90" s="172">
        <f t="shared" ref="W90" si="206">V90+1</f>
        <v>15</v>
      </c>
      <c r="X90" s="172">
        <f t="shared" ref="X90" si="207">W90+1</f>
        <v>16</v>
      </c>
      <c r="Y90" s="172">
        <f t="shared" ref="Y90" si="208">X90+1</f>
        <v>17</v>
      </c>
      <c r="Z90" s="172">
        <f t="shared" ref="Z90" si="209">Y90+1</f>
        <v>18</v>
      </c>
      <c r="AA90" s="172">
        <f t="shared" ref="AA90" si="210">Z90+1</f>
        <v>19</v>
      </c>
      <c r="AB90" s="173">
        <f t="shared" ref="AB90:AC90" si="211">AA90+1</f>
        <v>20</v>
      </c>
      <c r="AC90" s="173">
        <f t="shared" si="211"/>
        <v>21</v>
      </c>
      <c r="AD90" s="173">
        <f t="shared" ref="AD90" si="212">AC90+1</f>
        <v>22</v>
      </c>
      <c r="AE90" s="173">
        <f t="shared" ref="AE90" si="213">AD90+1</f>
        <v>23</v>
      </c>
      <c r="AF90" s="173">
        <f t="shared" ref="AF90" si="214">AE90+1</f>
        <v>24</v>
      </c>
      <c r="AG90" s="173">
        <f t="shared" ref="AG90" si="215">AF90+1</f>
        <v>25</v>
      </c>
      <c r="AH90" s="173">
        <f t="shared" ref="AH90" si="216">AG90+1</f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91203.703703703708</v>
      </c>
      <c r="J92" s="182">
        <f>($H$72-SUM($C$91:I91))*$B$14</f>
        <v>91203.703703703708</v>
      </c>
      <c r="K92" s="182">
        <f>($H$72-SUM($C$91:J91))*$B$14</f>
        <v>91203.703703703708</v>
      </c>
      <c r="L92" s="182">
        <f>($H$72-SUM($C$91:K91))*$B$14</f>
        <v>72962.962962962964</v>
      </c>
      <c r="M92" s="182">
        <f>($H$72-SUM($C$91:L91))*$B$14</f>
        <v>54722.222222222226</v>
      </c>
      <c r="N92" s="182">
        <f>($H$72-SUM($C$91:M91))*$B$14</f>
        <v>36481.481481481482</v>
      </c>
      <c r="O92" s="182">
        <f>($H$72-SUM($C$91:N91))*$B$14</f>
        <v>18240.740740740741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C94" si="217">C34</f>
        <v>0</v>
      </c>
      <c r="D94" s="204">
        <f t="shared" si="217"/>
        <v>285039.16964068275</v>
      </c>
      <c r="E94" s="204">
        <f t="shared" si="217"/>
        <v>544165.68749584886</v>
      </c>
      <c r="F94" s="204">
        <f t="shared" si="217"/>
        <v>779735.24918236351</v>
      </c>
      <c r="G94" s="204">
        <f t="shared" si="217"/>
        <v>993889.39617010404</v>
      </c>
      <c r="H94" s="204">
        <f t="shared" si="217"/>
        <v>1188574.9843407774</v>
      </c>
      <c r="I94" s="204">
        <f t="shared" si="217"/>
        <v>1365561.8826777532</v>
      </c>
      <c r="J94" s="204">
        <f t="shared" si="217"/>
        <v>1365561.8826777532</v>
      </c>
      <c r="K94" s="204">
        <f t="shared" si="217"/>
        <v>1365561.8826777532</v>
      </c>
      <c r="L94" s="204">
        <f t="shared" si="217"/>
        <v>1365561.8826777532</v>
      </c>
      <c r="M94" s="204">
        <f t="shared" si="217"/>
        <v>1365561.8826777532</v>
      </c>
      <c r="N94" s="204">
        <f t="shared" si="217"/>
        <v>1365561.8826777532</v>
      </c>
      <c r="O94" s="204">
        <f t="shared" si="217"/>
        <v>1365561.8826777532</v>
      </c>
      <c r="P94" s="204">
        <f t="shared" si="217"/>
        <v>1365561.8826777532</v>
      </c>
      <c r="Q94" s="204">
        <f t="shared" si="217"/>
        <v>1365561.8826777532</v>
      </c>
      <c r="R94" s="204">
        <f t="shared" si="217"/>
        <v>1365561.8826777532</v>
      </c>
      <c r="S94" s="204">
        <f t="shared" si="217"/>
        <v>1365561.8826777532</v>
      </c>
      <c r="T94" s="204">
        <f t="shared" si="217"/>
        <v>1365561.8826777532</v>
      </c>
      <c r="U94" s="204">
        <f t="shared" si="217"/>
        <v>1365561.8826777532</v>
      </c>
      <c r="V94" s="204">
        <f t="shared" si="217"/>
        <v>1365561.8826777532</v>
      </c>
      <c r="W94" s="204">
        <f t="shared" si="217"/>
        <v>1365561.8826777532</v>
      </c>
      <c r="X94" s="204">
        <f t="shared" si="217"/>
        <v>1365561.8826777532</v>
      </c>
      <c r="Y94" s="204">
        <f t="shared" si="217"/>
        <v>1365561.8826777532</v>
      </c>
      <c r="Z94" s="204">
        <f t="shared" si="217"/>
        <v>1365561.8826777532</v>
      </c>
      <c r="AA94" s="204">
        <f t="shared" si="217"/>
        <v>1365561.8826777532</v>
      </c>
      <c r="AB94" s="204">
        <f t="shared" si="217"/>
        <v>1365561.8826777532</v>
      </c>
      <c r="AC94" s="204">
        <f t="shared" si="217"/>
        <v>1365561.8826777532</v>
      </c>
      <c r="AD94" s="204">
        <f t="shared" ref="AD94:AH94" si="218">AD34</f>
        <v>1080522.7130370704</v>
      </c>
      <c r="AE94" s="204">
        <f t="shared" si="218"/>
        <v>821396.19518190424</v>
      </c>
      <c r="AF94" s="204">
        <f t="shared" si="218"/>
        <v>585826.6334953896</v>
      </c>
      <c r="AG94" s="204">
        <f t="shared" si="218"/>
        <v>371672.48650764907</v>
      </c>
      <c r="AH94" s="204">
        <f t="shared" si="218"/>
        <v>176986.89833697578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C95" si="219">C26</f>
        <v>0</v>
      </c>
      <c r="D95" s="204">
        <f t="shared" si="219"/>
        <v>165824.91582491584</v>
      </c>
      <c r="E95" s="204">
        <f t="shared" si="219"/>
        <v>316574.83930211206</v>
      </c>
      <c r="F95" s="204">
        <f t="shared" si="219"/>
        <v>453620.22428138135</v>
      </c>
      <c r="G95" s="204">
        <f t="shared" si="219"/>
        <v>578206.93789889885</v>
      </c>
      <c r="H95" s="204">
        <f t="shared" si="219"/>
        <v>691467.58664209663</v>
      </c>
      <c r="I95" s="204">
        <f t="shared" si="219"/>
        <v>794431.81277227646</v>
      </c>
      <c r="J95" s="204">
        <f t="shared" si="219"/>
        <v>794431.81277227646</v>
      </c>
      <c r="K95" s="204">
        <f t="shared" si="219"/>
        <v>794431.81277227646</v>
      </c>
      <c r="L95" s="204">
        <f t="shared" si="219"/>
        <v>794431.81277227646</v>
      </c>
      <c r="M95" s="204">
        <f t="shared" si="219"/>
        <v>794431.81277227646</v>
      </c>
      <c r="N95" s="204">
        <f t="shared" si="219"/>
        <v>794431.81277227646</v>
      </c>
      <c r="O95" s="204">
        <f t="shared" si="219"/>
        <v>794431.81277227646</v>
      </c>
      <c r="P95" s="204">
        <f t="shared" si="219"/>
        <v>794431.81277227646</v>
      </c>
      <c r="Q95" s="204">
        <f t="shared" si="219"/>
        <v>794431.81277227646</v>
      </c>
      <c r="R95" s="204">
        <f t="shared" si="219"/>
        <v>794431.81277227646</v>
      </c>
      <c r="S95" s="204">
        <f t="shared" si="219"/>
        <v>794431.81277227646</v>
      </c>
      <c r="T95" s="204">
        <f t="shared" si="219"/>
        <v>794431.81277227646</v>
      </c>
      <c r="U95" s="204">
        <f t="shared" si="219"/>
        <v>794431.81277227646</v>
      </c>
      <c r="V95" s="204">
        <f t="shared" si="219"/>
        <v>794431.81277227646</v>
      </c>
      <c r="W95" s="204">
        <f t="shared" si="219"/>
        <v>794431.81277227646</v>
      </c>
      <c r="X95" s="204">
        <f t="shared" si="219"/>
        <v>794431.81277227646</v>
      </c>
      <c r="Y95" s="204">
        <f t="shared" si="219"/>
        <v>794431.81277227646</v>
      </c>
      <c r="Z95" s="204">
        <f t="shared" si="219"/>
        <v>794431.81277227646</v>
      </c>
      <c r="AA95" s="204">
        <f t="shared" si="219"/>
        <v>794431.81277227646</v>
      </c>
      <c r="AB95" s="204">
        <f t="shared" si="219"/>
        <v>794431.81277227646</v>
      </c>
      <c r="AC95" s="204">
        <f t="shared" si="219"/>
        <v>794431.81277227646</v>
      </c>
      <c r="AD95" s="204">
        <f t="shared" ref="AD95:AH95" si="220">AD26</f>
        <v>628606.8969473606</v>
      </c>
      <c r="AE95" s="204">
        <f t="shared" si="220"/>
        <v>477856.9734701644</v>
      </c>
      <c r="AF95" s="204">
        <f t="shared" si="220"/>
        <v>340811.58849089511</v>
      </c>
      <c r="AG95" s="204">
        <f t="shared" si="220"/>
        <v>216224.87487337762</v>
      </c>
      <c r="AH95" s="204">
        <f t="shared" si="22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221">C94-C95</f>
        <v>0</v>
      </c>
      <c r="D96" s="204">
        <f>D94-D95</f>
        <v>119214.25381576692</v>
      </c>
      <c r="E96" s="204">
        <f t="shared" ref="E96:AC96" si="222">E94-E95</f>
        <v>227590.84819373681</v>
      </c>
      <c r="F96" s="204">
        <f t="shared" si="222"/>
        <v>326115.02490098216</v>
      </c>
      <c r="G96" s="204">
        <f t="shared" si="222"/>
        <v>415682.45827120519</v>
      </c>
      <c r="H96" s="204">
        <f t="shared" si="222"/>
        <v>497107.39769868075</v>
      </c>
      <c r="I96" s="204">
        <f t="shared" si="222"/>
        <v>571130.06990547676</v>
      </c>
      <c r="J96" s="204">
        <f t="shared" si="222"/>
        <v>571130.06990547676</v>
      </c>
      <c r="K96" s="204">
        <f t="shared" si="222"/>
        <v>571130.06990547676</v>
      </c>
      <c r="L96" s="204">
        <f t="shared" si="222"/>
        <v>571130.06990547676</v>
      </c>
      <c r="M96" s="204">
        <f t="shared" si="222"/>
        <v>571130.06990547676</v>
      </c>
      <c r="N96" s="204">
        <f t="shared" si="222"/>
        <v>571130.06990547676</v>
      </c>
      <c r="O96" s="204">
        <f t="shared" si="222"/>
        <v>571130.06990547676</v>
      </c>
      <c r="P96" s="204">
        <f t="shared" si="222"/>
        <v>571130.06990547676</v>
      </c>
      <c r="Q96" s="204">
        <f t="shared" si="222"/>
        <v>571130.06990547676</v>
      </c>
      <c r="R96" s="204">
        <f t="shared" si="222"/>
        <v>571130.06990547676</v>
      </c>
      <c r="S96" s="204">
        <f t="shared" si="222"/>
        <v>571130.06990547676</v>
      </c>
      <c r="T96" s="204">
        <f t="shared" si="222"/>
        <v>571130.06990547676</v>
      </c>
      <c r="U96" s="204">
        <f t="shared" si="222"/>
        <v>571130.06990547676</v>
      </c>
      <c r="V96" s="204">
        <f t="shared" si="222"/>
        <v>571130.06990547676</v>
      </c>
      <c r="W96" s="204">
        <f t="shared" si="222"/>
        <v>571130.06990547676</v>
      </c>
      <c r="X96" s="204">
        <f t="shared" si="222"/>
        <v>571130.06990547676</v>
      </c>
      <c r="Y96" s="204">
        <f t="shared" si="222"/>
        <v>571130.06990547676</v>
      </c>
      <c r="Z96" s="204">
        <f t="shared" si="222"/>
        <v>571130.06990547676</v>
      </c>
      <c r="AA96" s="204">
        <f t="shared" si="222"/>
        <v>571130.06990547676</v>
      </c>
      <c r="AB96" s="204">
        <f t="shared" si="222"/>
        <v>571130.06990547676</v>
      </c>
      <c r="AC96" s="204">
        <f t="shared" si="222"/>
        <v>571130.06990547676</v>
      </c>
      <c r="AD96" s="204">
        <f t="shared" ref="AD96:AH96" si="223">AD94-AD95</f>
        <v>451915.81608970976</v>
      </c>
      <c r="AE96" s="204">
        <f t="shared" si="223"/>
        <v>343539.22171173984</v>
      </c>
      <c r="AF96" s="204">
        <f t="shared" si="223"/>
        <v>245015.04500449449</v>
      </c>
      <c r="AG96" s="204">
        <f t="shared" si="223"/>
        <v>155447.61163427145</v>
      </c>
      <c r="AH96" s="204">
        <f t="shared" si="223"/>
        <v>74022.672206795934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C97" si="224">D71</f>
        <v>91203.703703703708</v>
      </c>
      <c r="E97" s="204">
        <f t="shared" si="224"/>
        <v>182407.40740740742</v>
      </c>
      <c r="F97" s="204">
        <f t="shared" si="224"/>
        <v>273611.11111111112</v>
      </c>
      <c r="G97" s="204">
        <f t="shared" si="224"/>
        <v>346574.0740740741</v>
      </c>
      <c r="H97" s="204">
        <f t="shared" si="224"/>
        <v>401296.29629629629</v>
      </c>
      <c r="I97" s="204">
        <f t="shared" si="224"/>
        <v>437777.77777777781</v>
      </c>
      <c r="J97" s="204">
        <f t="shared" si="224"/>
        <v>364814.81481481483</v>
      </c>
      <c r="K97" s="204">
        <f t="shared" si="224"/>
        <v>273611.11111111112</v>
      </c>
      <c r="L97" s="204">
        <f t="shared" si="224"/>
        <v>182407.40740740742</v>
      </c>
      <c r="M97" s="204">
        <f t="shared" si="224"/>
        <v>109444.44444444444</v>
      </c>
      <c r="N97" s="204">
        <f t="shared" si="224"/>
        <v>54722.222222222219</v>
      </c>
      <c r="O97" s="204">
        <f t="shared" si="224"/>
        <v>18240.740740740741</v>
      </c>
      <c r="P97" s="204">
        <f t="shared" si="224"/>
        <v>0</v>
      </c>
      <c r="Q97" s="204">
        <f t="shared" si="224"/>
        <v>0</v>
      </c>
      <c r="R97" s="204">
        <f t="shared" si="224"/>
        <v>0</v>
      </c>
      <c r="S97" s="204">
        <f t="shared" si="224"/>
        <v>0</v>
      </c>
      <c r="T97" s="204">
        <f t="shared" si="224"/>
        <v>0</v>
      </c>
      <c r="U97" s="204">
        <f t="shared" si="224"/>
        <v>0</v>
      </c>
      <c r="V97" s="204">
        <f t="shared" si="224"/>
        <v>0</v>
      </c>
      <c r="W97" s="204">
        <f t="shared" si="224"/>
        <v>0</v>
      </c>
      <c r="X97" s="204">
        <f t="shared" si="224"/>
        <v>0</v>
      </c>
      <c r="Y97" s="204">
        <f t="shared" si="224"/>
        <v>0</v>
      </c>
      <c r="Z97" s="204">
        <f t="shared" si="224"/>
        <v>0</v>
      </c>
      <c r="AA97" s="204">
        <f t="shared" si="224"/>
        <v>0</v>
      </c>
      <c r="AB97" s="204">
        <f t="shared" si="224"/>
        <v>0</v>
      </c>
      <c r="AC97" s="204">
        <f t="shared" si="224"/>
        <v>0</v>
      </c>
      <c r="AD97" s="204">
        <f t="shared" ref="AD97:AH97" si="225">AD71</f>
        <v>0</v>
      </c>
      <c r="AE97" s="204">
        <f t="shared" si="225"/>
        <v>0</v>
      </c>
      <c r="AF97" s="204">
        <f t="shared" si="225"/>
        <v>0</v>
      </c>
      <c r="AG97" s="204">
        <f t="shared" si="225"/>
        <v>0</v>
      </c>
      <c r="AH97" s="204">
        <f t="shared" si="225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28010.550112063211</v>
      </c>
      <c r="E98" s="204">
        <f t="shared" ref="E98:AC98" si="226">E96-E97</f>
        <v>45183.440786329389</v>
      </c>
      <c r="F98" s="204">
        <f t="shared" si="226"/>
        <v>52503.913789871032</v>
      </c>
      <c r="G98" s="204">
        <f t="shared" si="226"/>
        <v>69108.38419713109</v>
      </c>
      <c r="H98" s="204">
        <f t="shared" si="226"/>
        <v>95811.101402384462</v>
      </c>
      <c r="I98" s="204">
        <f t="shared" si="226"/>
        <v>133352.29212769895</v>
      </c>
      <c r="J98" s="204">
        <f t="shared" si="226"/>
        <v>206315.25509066193</v>
      </c>
      <c r="K98" s="204">
        <f t="shared" si="226"/>
        <v>297518.95879436564</v>
      </c>
      <c r="L98" s="204">
        <f t="shared" si="226"/>
        <v>388722.66249806935</v>
      </c>
      <c r="M98" s="204">
        <f t="shared" si="226"/>
        <v>461685.62546103232</v>
      </c>
      <c r="N98" s="204">
        <f t="shared" si="226"/>
        <v>516407.84768325451</v>
      </c>
      <c r="O98" s="204">
        <f t="shared" si="226"/>
        <v>552889.32916473597</v>
      </c>
      <c r="P98" s="204">
        <f t="shared" si="226"/>
        <v>571130.06990547676</v>
      </c>
      <c r="Q98" s="204">
        <f t="shared" si="226"/>
        <v>571130.06990547676</v>
      </c>
      <c r="R98" s="204">
        <f t="shared" si="226"/>
        <v>571130.06990547676</v>
      </c>
      <c r="S98" s="204">
        <f t="shared" si="226"/>
        <v>571130.06990547676</v>
      </c>
      <c r="T98" s="204">
        <f t="shared" si="226"/>
        <v>571130.06990547676</v>
      </c>
      <c r="U98" s="204">
        <f t="shared" si="226"/>
        <v>571130.06990547676</v>
      </c>
      <c r="V98" s="204">
        <f t="shared" si="226"/>
        <v>571130.06990547676</v>
      </c>
      <c r="W98" s="204">
        <f t="shared" si="226"/>
        <v>571130.06990547676</v>
      </c>
      <c r="X98" s="204">
        <f t="shared" si="226"/>
        <v>571130.06990547676</v>
      </c>
      <c r="Y98" s="204">
        <f t="shared" si="226"/>
        <v>571130.06990547676</v>
      </c>
      <c r="Z98" s="204">
        <f t="shared" si="226"/>
        <v>571130.06990547676</v>
      </c>
      <c r="AA98" s="204">
        <f t="shared" si="226"/>
        <v>571130.06990547676</v>
      </c>
      <c r="AB98" s="204">
        <f t="shared" si="226"/>
        <v>571130.06990547676</v>
      </c>
      <c r="AC98" s="204">
        <f t="shared" si="226"/>
        <v>571130.06990547676</v>
      </c>
      <c r="AD98" s="204">
        <f t="shared" ref="AD98:AH98" si="227">AD96-AD97</f>
        <v>451915.81608970976</v>
      </c>
      <c r="AE98" s="204">
        <f t="shared" si="227"/>
        <v>343539.22171173984</v>
      </c>
      <c r="AF98" s="204">
        <f t="shared" si="227"/>
        <v>245015.04500449449</v>
      </c>
      <c r="AG98" s="204">
        <f t="shared" si="227"/>
        <v>155447.61163427145</v>
      </c>
      <c r="AH98" s="204">
        <f t="shared" si="227"/>
        <v>74022.672206795934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28010.550112063211</v>
      </c>
      <c r="E100" s="204">
        <f t="shared" ref="E100:AC100" si="228">E98+E99</f>
        <v>45183.440786329389</v>
      </c>
      <c r="F100" s="204">
        <f t="shared" si="228"/>
        <v>52503.913789871032</v>
      </c>
      <c r="G100" s="204">
        <f t="shared" si="228"/>
        <v>69108.38419713109</v>
      </c>
      <c r="H100" s="204">
        <f t="shared" si="228"/>
        <v>95811.101402384462</v>
      </c>
      <c r="I100" s="204">
        <f t="shared" si="228"/>
        <v>133352.29212769895</v>
      </c>
      <c r="J100" s="204">
        <f t="shared" si="228"/>
        <v>206315.25509066193</v>
      </c>
      <c r="K100" s="204">
        <f t="shared" si="228"/>
        <v>297518.95879436564</v>
      </c>
      <c r="L100" s="204">
        <f t="shared" si="228"/>
        <v>388722.66249806935</v>
      </c>
      <c r="M100" s="204">
        <f t="shared" si="228"/>
        <v>461685.62546103232</v>
      </c>
      <c r="N100" s="204">
        <f t="shared" si="228"/>
        <v>516407.84768325451</v>
      </c>
      <c r="O100" s="204">
        <f t="shared" si="228"/>
        <v>552889.32916473597</v>
      </c>
      <c r="P100" s="204">
        <f t="shared" si="228"/>
        <v>571130.06990547676</v>
      </c>
      <c r="Q100" s="204">
        <f t="shared" si="228"/>
        <v>571130.06990547676</v>
      </c>
      <c r="R100" s="204">
        <f t="shared" si="228"/>
        <v>571130.06990547676</v>
      </c>
      <c r="S100" s="204">
        <f t="shared" si="228"/>
        <v>571130.06990547676</v>
      </c>
      <c r="T100" s="204">
        <f t="shared" si="228"/>
        <v>571130.06990547676</v>
      </c>
      <c r="U100" s="204">
        <f t="shared" si="228"/>
        <v>571130.06990547676</v>
      </c>
      <c r="V100" s="204">
        <f t="shared" si="228"/>
        <v>571130.06990547676</v>
      </c>
      <c r="W100" s="204">
        <f t="shared" si="228"/>
        <v>571130.06990547676</v>
      </c>
      <c r="X100" s="204">
        <f t="shared" si="228"/>
        <v>571130.06990547676</v>
      </c>
      <c r="Y100" s="204">
        <f t="shared" si="228"/>
        <v>571130.06990547676</v>
      </c>
      <c r="Z100" s="204">
        <f t="shared" si="228"/>
        <v>571130.06990547676</v>
      </c>
      <c r="AA100" s="204">
        <f t="shared" si="228"/>
        <v>571130.06990547676</v>
      </c>
      <c r="AB100" s="204">
        <f t="shared" si="228"/>
        <v>571130.06990547676</v>
      </c>
      <c r="AC100" s="204">
        <f t="shared" si="228"/>
        <v>571130.06990547676</v>
      </c>
      <c r="AD100" s="204">
        <f t="shared" ref="AD100:AH100" si="229">AD98+AD99</f>
        <v>451915.81608970976</v>
      </c>
      <c r="AE100" s="204">
        <f t="shared" si="229"/>
        <v>343539.22171173984</v>
      </c>
      <c r="AF100" s="204">
        <f t="shared" si="229"/>
        <v>245015.04500449449</v>
      </c>
      <c r="AG100" s="204">
        <f t="shared" si="229"/>
        <v>155447.61163427145</v>
      </c>
      <c r="AH100" s="204">
        <f t="shared" si="229"/>
        <v>74022.672206795934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3781.4242651285335</v>
      </c>
      <c r="E101" s="204">
        <f t="shared" ref="E101:AC101" si="230">IF(E100*$B$17&gt;0,E100*$B$17,0)</f>
        <v>6099.7645061544681</v>
      </c>
      <c r="F101" s="204">
        <f t="shared" si="230"/>
        <v>7088.0283616325896</v>
      </c>
      <c r="G101" s="204">
        <f t="shared" si="230"/>
        <v>9329.6318666126972</v>
      </c>
      <c r="H101" s="204">
        <f t="shared" si="230"/>
        <v>12934.498689321903</v>
      </c>
      <c r="I101" s="204">
        <f t="shared" si="230"/>
        <v>18002.559437239361</v>
      </c>
      <c r="J101" s="204">
        <f t="shared" si="230"/>
        <v>27852.559437239361</v>
      </c>
      <c r="K101" s="204">
        <f t="shared" si="230"/>
        <v>40165.059437239361</v>
      </c>
      <c r="L101" s="204">
        <f t="shared" si="230"/>
        <v>52477.559437239368</v>
      </c>
      <c r="M101" s="204">
        <f t="shared" si="230"/>
        <v>62327.559437239368</v>
      </c>
      <c r="N101" s="204">
        <f t="shared" si="230"/>
        <v>69715.059437239368</v>
      </c>
      <c r="O101" s="204">
        <f t="shared" si="230"/>
        <v>74640.059437239368</v>
      </c>
      <c r="P101" s="204">
        <f t="shared" si="230"/>
        <v>77102.559437239368</v>
      </c>
      <c r="Q101" s="204">
        <f t="shared" si="230"/>
        <v>77102.559437239368</v>
      </c>
      <c r="R101" s="204">
        <f t="shared" si="230"/>
        <v>77102.559437239368</v>
      </c>
      <c r="S101" s="204">
        <f t="shared" si="230"/>
        <v>77102.559437239368</v>
      </c>
      <c r="T101" s="204">
        <f t="shared" si="230"/>
        <v>77102.559437239368</v>
      </c>
      <c r="U101" s="204">
        <f t="shared" si="230"/>
        <v>77102.559437239368</v>
      </c>
      <c r="V101" s="204">
        <f t="shared" si="230"/>
        <v>77102.559437239368</v>
      </c>
      <c r="W101" s="204">
        <f t="shared" si="230"/>
        <v>77102.559437239368</v>
      </c>
      <c r="X101" s="204">
        <f t="shared" si="230"/>
        <v>77102.559437239368</v>
      </c>
      <c r="Y101" s="204">
        <f t="shared" si="230"/>
        <v>77102.559437239368</v>
      </c>
      <c r="Z101" s="204">
        <f t="shared" si="230"/>
        <v>77102.559437239368</v>
      </c>
      <c r="AA101" s="204">
        <f t="shared" si="230"/>
        <v>77102.559437239368</v>
      </c>
      <c r="AB101" s="204">
        <f t="shared" si="230"/>
        <v>77102.559437239368</v>
      </c>
      <c r="AC101" s="204">
        <f t="shared" si="230"/>
        <v>77102.559437239368</v>
      </c>
      <c r="AD101" s="204">
        <f t="shared" ref="AD101:AH101" si="231">IF(AD100*$B$17&gt;0,AD100*$B$17,0)</f>
        <v>61008.635172110822</v>
      </c>
      <c r="AE101" s="204">
        <f t="shared" si="231"/>
        <v>46377.794931084878</v>
      </c>
      <c r="AF101" s="204">
        <f t="shared" si="231"/>
        <v>33077.031075606756</v>
      </c>
      <c r="AG101" s="204">
        <f t="shared" si="231"/>
        <v>20985.427570626649</v>
      </c>
      <c r="AH101" s="204">
        <f t="shared" si="231"/>
        <v>9993.0607479174523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24229.125846934676</v>
      </c>
      <c r="E102" s="204">
        <f t="shared" ref="E102:AC102" si="232">E100-E101</f>
        <v>39083.676280174921</v>
      </c>
      <c r="F102" s="204">
        <f t="shared" si="232"/>
        <v>45415.885428238442</v>
      </c>
      <c r="G102" s="204">
        <f t="shared" si="232"/>
        <v>59778.752330518393</v>
      </c>
      <c r="H102" s="204">
        <f t="shared" si="232"/>
        <v>82876.602713062559</v>
      </c>
      <c r="I102" s="204">
        <f t="shared" si="232"/>
        <v>115349.73269045958</v>
      </c>
      <c r="J102" s="204">
        <f t="shared" si="232"/>
        <v>178462.69565342256</v>
      </c>
      <c r="K102" s="204">
        <f t="shared" si="232"/>
        <v>257353.89935712627</v>
      </c>
      <c r="L102" s="204">
        <f t="shared" si="232"/>
        <v>336245.10306082998</v>
      </c>
      <c r="M102" s="204">
        <f t="shared" si="232"/>
        <v>399358.06602379296</v>
      </c>
      <c r="N102" s="204">
        <f t="shared" si="232"/>
        <v>446692.78824601514</v>
      </c>
      <c r="O102" s="204">
        <f t="shared" si="232"/>
        <v>478249.2697274966</v>
      </c>
      <c r="P102" s="204">
        <f t="shared" si="232"/>
        <v>494027.51046823739</v>
      </c>
      <c r="Q102" s="204">
        <f t="shared" si="232"/>
        <v>494027.51046823739</v>
      </c>
      <c r="R102" s="204">
        <f t="shared" si="232"/>
        <v>494027.51046823739</v>
      </c>
      <c r="S102" s="204">
        <f t="shared" si="232"/>
        <v>494027.51046823739</v>
      </c>
      <c r="T102" s="204">
        <f t="shared" si="232"/>
        <v>494027.51046823739</v>
      </c>
      <c r="U102" s="204">
        <f t="shared" si="232"/>
        <v>494027.51046823739</v>
      </c>
      <c r="V102" s="204">
        <f t="shared" si="232"/>
        <v>494027.51046823739</v>
      </c>
      <c r="W102" s="204">
        <f t="shared" si="232"/>
        <v>494027.51046823739</v>
      </c>
      <c r="X102" s="204">
        <f t="shared" si="232"/>
        <v>494027.51046823739</v>
      </c>
      <c r="Y102" s="204">
        <f t="shared" si="232"/>
        <v>494027.51046823739</v>
      </c>
      <c r="Z102" s="204">
        <f t="shared" si="232"/>
        <v>494027.51046823739</v>
      </c>
      <c r="AA102" s="204">
        <f t="shared" si="232"/>
        <v>494027.51046823739</v>
      </c>
      <c r="AB102" s="204">
        <f t="shared" si="232"/>
        <v>494027.51046823739</v>
      </c>
      <c r="AC102" s="204">
        <f t="shared" si="232"/>
        <v>494027.51046823739</v>
      </c>
      <c r="AD102" s="204">
        <f t="shared" ref="AD102:AH102" si="233">AD100-AD101</f>
        <v>390907.18091759895</v>
      </c>
      <c r="AE102" s="204">
        <f t="shared" si="233"/>
        <v>297161.42678065493</v>
      </c>
      <c r="AF102" s="204">
        <f t="shared" si="233"/>
        <v>211938.01392888773</v>
      </c>
      <c r="AG102" s="204">
        <f t="shared" si="233"/>
        <v>134462.18406364479</v>
      </c>
      <c r="AH102" s="204">
        <f t="shared" si="233"/>
        <v>64029.611458878484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C103" si="234">D102-D72</f>
        <v>-1799844.9482271392</v>
      </c>
      <c r="E103" s="204">
        <f t="shared" si="234"/>
        <v>-1784990.3977938991</v>
      </c>
      <c r="F103" s="204">
        <f t="shared" si="234"/>
        <v>-1778658.1886458355</v>
      </c>
      <c r="G103" s="204">
        <f t="shared" si="234"/>
        <v>-1764295.3217435558</v>
      </c>
      <c r="H103" s="204">
        <f t="shared" si="234"/>
        <v>-1741197.4713610115</v>
      </c>
      <c r="I103" s="204">
        <f t="shared" si="234"/>
        <v>115349.73269045958</v>
      </c>
      <c r="J103" s="204">
        <f t="shared" si="234"/>
        <v>178462.69565342256</v>
      </c>
      <c r="K103" s="204">
        <f t="shared" si="234"/>
        <v>257353.89935712627</v>
      </c>
      <c r="L103" s="204">
        <f t="shared" si="234"/>
        <v>336245.10306082998</v>
      </c>
      <c r="M103" s="204">
        <f t="shared" si="234"/>
        <v>399358.06602379296</v>
      </c>
      <c r="N103" s="204">
        <f t="shared" si="234"/>
        <v>446692.78824601514</v>
      </c>
      <c r="O103" s="204">
        <f t="shared" si="234"/>
        <v>478249.2697274966</v>
      </c>
      <c r="P103" s="204">
        <f t="shared" si="234"/>
        <v>494027.51046823739</v>
      </c>
      <c r="Q103" s="204">
        <f t="shared" si="234"/>
        <v>494027.51046823739</v>
      </c>
      <c r="R103" s="204">
        <f t="shared" si="234"/>
        <v>494027.51046823739</v>
      </c>
      <c r="S103" s="204">
        <f t="shared" si="234"/>
        <v>494027.51046823739</v>
      </c>
      <c r="T103" s="204">
        <f t="shared" si="234"/>
        <v>494027.51046823739</v>
      </c>
      <c r="U103" s="204">
        <f t="shared" si="234"/>
        <v>494027.51046823739</v>
      </c>
      <c r="V103" s="204">
        <f t="shared" si="234"/>
        <v>494027.51046823739</v>
      </c>
      <c r="W103" s="204">
        <f t="shared" si="234"/>
        <v>494027.51046823739</v>
      </c>
      <c r="X103" s="204">
        <f t="shared" si="234"/>
        <v>494027.51046823739</v>
      </c>
      <c r="Y103" s="204">
        <f t="shared" si="234"/>
        <v>494027.51046823739</v>
      </c>
      <c r="Z103" s="204">
        <f t="shared" si="234"/>
        <v>494027.51046823739</v>
      </c>
      <c r="AA103" s="204">
        <f t="shared" si="234"/>
        <v>494027.51046823739</v>
      </c>
      <c r="AB103" s="204">
        <f t="shared" si="234"/>
        <v>494027.51046823739</v>
      </c>
      <c r="AC103" s="204">
        <f t="shared" si="234"/>
        <v>494027.51046823739</v>
      </c>
      <c r="AD103" s="204">
        <f t="shared" ref="AD103:AH103" si="235">AD102-AD72</f>
        <v>390907.18091759895</v>
      </c>
      <c r="AE103" s="204">
        <f t="shared" si="235"/>
        <v>297161.42678065493</v>
      </c>
      <c r="AF103" s="204">
        <f t="shared" si="235"/>
        <v>211938.01392888773</v>
      </c>
      <c r="AG103" s="204">
        <f t="shared" si="235"/>
        <v>134462.18406364479</v>
      </c>
      <c r="AH103" s="204">
        <f t="shared" si="235"/>
        <v>64029.611458878484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C104" si="236">C103+C31+C32</f>
        <v>-1824074.0740740739</v>
      </c>
      <c r="D104" s="204">
        <f t="shared" si="236"/>
        <v>-1568596.1061152439</v>
      </c>
      <c r="E104" s="204">
        <f t="shared" si="236"/>
        <v>-1341850.3979100217</v>
      </c>
      <c r="F104" s="204">
        <f t="shared" si="236"/>
        <v>-1141237.3588205515</v>
      </c>
      <c r="G104" s="204">
        <f t="shared" si="236"/>
        <v>-948612.10904940963</v>
      </c>
      <c r="H104" s="204">
        <f t="shared" si="236"/>
        <v>-761819.9506289321</v>
      </c>
      <c r="I104" s="204">
        <f t="shared" si="236"/>
        <v>1245175.06080167</v>
      </c>
      <c r="J104" s="204">
        <f t="shared" si="236"/>
        <v>1313015.153683705</v>
      </c>
      <c r="K104" s="204">
        <f t="shared" si="236"/>
        <v>1396751.6655544573</v>
      </c>
      <c r="L104" s="204">
        <f t="shared" si="236"/>
        <v>1480609.3101293859</v>
      </c>
      <c r="M104" s="204">
        <f t="shared" si="236"/>
        <v>1548812.8749853545</v>
      </c>
      <c r="N104" s="204">
        <f t="shared" si="236"/>
        <v>1601365.4641479074</v>
      </c>
      <c r="O104" s="204">
        <f t="shared" si="236"/>
        <v>1638270.2592432278</v>
      </c>
      <c r="P104" s="204">
        <f t="shared" si="236"/>
        <v>1659530.5214381535</v>
      </c>
      <c r="Q104" s="204">
        <f t="shared" si="236"/>
        <v>1665149.593428693</v>
      </c>
      <c r="R104" s="204">
        <f t="shared" si="236"/>
        <v>1670909.1422189961</v>
      </c>
      <c r="S104" s="204">
        <f t="shared" si="236"/>
        <v>1676812.6797290565</v>
      </c>
      <c r="T104" s="204">
        <f t="shared" si="236"/>
        <v>1682863.8056768689</v>
      </c>
      <c r="U104" s="204">
        <f t="shared" si="236"/>
        <v>1689066.2097733761</v>
      </c>
      <c r="V104" s="204">
        <f t="shared" si="236"/>
        <v>1695423.6739722963</v>
      </c>
      <c r="W104" s="204">
        <f t="shared" si="236"/>
        <v>1701940.0747761894</v>
      </c>
      <c r="X104" s="204">
        <f t="shared" si="236"/>
        <v>1708619.3856001799</v>
      </c>
      <c r="Y104" s="204">
        <f t="shared" si="236"/>
        <v>1715465.6791947701</v>
      </c>
      <c r="Z104" s="204">
        <f t="shared" si="236"/>
        <v>1722483.1301292251</v>
      </c>
      <c r="AA104" s="204">
        <f t="shared" si="236"/>
        <v>1729676.0173370414</v>
      </c>
      <c r="AB104" s="204">
        <f t="shared" si="236"/>
        <v>1737048.726725053</v>
      </c>
      <c r="AC104" s="204">
        <f t="shared" si="236"/>
        <v>1434767.6418165709</v>
      </c>
      <c r="AD104" s="204">
        <f t="shared" ref="AD104:AH104" si="237">AD103+AD31+AD32</f>
        <v>1135282.8784832757</v>
      </c>
      <c r="AE104" s="204">
        <f t="shared" si="237"/>
        <v>863024.00272573461</v>
      </c>
      <c r="AF104" s="204">
        <f t="shared" si="237"/>
        <v>615515.93385524279</v>
      </c>
      <c r="AG104" s="204">
        <f t="shared" si="237"/>
        <v>390508.598518432</v>
      </c>
      <c r="AH104" s="204">
        <f t="shared" si="237"/>
        <v>185956.47548496767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1.2656594509105528</v>
      </c>
      <c r="E108" s="216">
        <f t="shared" ref="E108:G108" si="238">(E102+E71+E70)/(E70+E71)</f>
        <v>1.2142658395055275</v>
      </c>
      <c r="F108" s="216">
        <f t="shared" si="238"/>
        <v>1.0711372824691769</v>
      </c>
      <c r="G108" s="216">
        <f t="shared" si="238"/>
        <v>1.0555459455536094</v>
      </c>
      <c r="H108" s="216">
        <f>(H102+H71+H70)/(H70+H71)</f>
        <v>1.055408400971962</v>
      </c>
      <c r="I108" s="216">
        <f>(I102+I71+I70)/(I70+I71)</f>
        <v>1.0608052085638893</v>
      </c>
      <c r="J108" s="216">
        <f t="shared" ref="J108:N108" si="239">(J102+J71+J70)/(J70+J71)</f>
        <v>1.0815311807553705</v>
      </c>
      <c r="K108" s="216">
        <f t="shared" si="239"/>
        <v>1.1226847103534303</v>
      </c>
      <c r="L108" s="216">
        <f t="shared" si="239"/>
        <v>1.204819352118272</v>
      </c>
      <c r="M108" s="216">
        <f t="shared" si="239"/>
        <v>1.3317233589491588</v>
      </c>
      <c r="N108" s="216">
        <f t="shared" si="239"/>
        <v>1.5695056207126623</v>
      </c>
      <c r="O108" s="216">
        <f>(O102+O71+O70)/(O70+O71)</f>
        <v>2.2485115090783085</v>
      </c>
      <c r="P108" s="216" t="e">
        <f t="shared" ref="P108:AB108" si="240">(P102+P71+P70)/(P70+P71)</f>
        <v>#DIV/0!</v>
      </c>
      <c r="Q108" s="216" t="e">
        <f t="shared" si="240"/>
        <v>#DIV/0!</v>
      </c>
      <c r="R108" s="216" t="e">
        <f t="shared" si="240"/>
        <v>#DIV/0!</v>
      </c>
      <c r="S108" s="216" t="e">
        <f t="shared" si="240"/>
        <v>#DIV/0!</v>
      </c>
      <c r="T108" s="216" t="e">
        <f t="shared" si="240"/>
        <v>#DIV/0!</v>
      </c>
      <c r="U108" s="216" t="e">
        <f t="shared" si="240"/>
        <v>#DIV/0!</v>
      </c>
      <c r="V108" s="216" t="e">
        <f t="shared" si="240"/>
        <v>#DIV/0!</v>
      </c>
      <c r="W108" s="216" t="e">
        <f t="shared" si="240"/>
        <v>#DIV/0!</v>
      </c>
      <c r="X108" s="216" t="e">
        <f t="shared" si="240"/>
        <v>#DIV/0!</v>
      </c>
      <c r="Y108" s="216" t="e">
        <f t="shared" si="240"/>
        <v>#DIV/0!</v>
      </c>
      <c r="Z108" s="216" t="e">
        <f t="shared" si="240"/>
        <v>#DIV/0!</v>
      </c>
      <c r="AA108" s="216" t="e">
        <f t="shared" si="240"/>
        <v>#DIV/0!</v>
      </c>
      <c r="AB108" s="216" t="e">
        <f t="shared" si="240"/>
        <v>#DIV/0!</v>
      </c>
      <c r="AC108" s="216" t="e">
        <f t="shared" ref="AC108:AD108" si="241">(AC102+AC71+AC70)/(AC70+AC71)</f>
        <v>#DIV/0!</v>
      </c>
      <c r="AD108" s="216" t="e">
        <f t="shared" si="241"/>
        <v>#DIV/0!</v>
      </c>
      <c r="AE108" s="216" t="e">
        <f t="shared" ref="AE108:AH108" si="242">(AE102+AE71+AE70)/(AE70+AE71)</f>
        <v>#DIV/0!</v>
      </c>
      <c r="AF108" s="216" t="e">
        <f t="shared" si="242"/>
        <v>#DIV/0!</v>
      </c>
      <c r="AG108" s="216" t="e">
        <f t="shared" si="242"/>
        <v>#DIV/0!</v>
      </c>
      <c r="AH108" s="216" t="e">
        <f t="shared" si="2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1.2734664883284934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C110" si="243">(C102+C71*$C15+C70)/(C70+C71*$C15)</f>
        <v>#DIV/0!</v>
      </c>
      <c r="D110" s="216">
        <f t="shared" si="243"/>
        <v>1.2656594509105528</v>
      </c>
      <c r="E110" s="216">
        <f t="shared" si="243"/>
        <v>1.2142658395055275</v>
      </c>
      <c r="F110" s="216">
        <f t="shared" si="243"/>
        <v>1.0711372824691769</v>
      </c>
      <c r="G110" s="216">
        <f t="shared" si="243"/>
        <v>1.0555459455536094</v>
      </c>
      <c r="H110" s="216">
        <f t="shared" si="243"/>
        <v>1.055408400971962</v>
      </c>
      <c r="I110" s="216">
        <f t="shared" si="243"/>
        <v>1.0608052085638893</v>
      </c>
      <c r="J110" s="216">
        <f t="shared" si="243"/>
        <v>1.0815311807553705</v>
      </c>
      <c r="K110" s="216">
        <f t="shared" si="243"/>
        <v>1.1226847103534303</v>
      </c>
      <c r="L110" s="216">
        <f t="shared" si="243"/>
        <v>1.204819352118272</v>
      </c>
      <c r="M110" s="216">
        <f t="shared" si="243"/>
        <v>1.3317233589491588</v>
      </c>
      <c r="N110" s="216">
        <f t="shared" si="243"/>
        <v>1.5695056207126623</v>
      </c>
      <c r="O110" s="216">
        <f t="shared" si="243"/>
        <v>2.2485115090783085</v>
      </c>
      <c r="P110" s="216" t="e">
        <f t="shared" si="243"/>
        <v>#DIV/0!</v>
      </c>
      <c r="Q110" s="216" t="e">
        <f t="shared" si="243"/>
        <v>#DIV/0!</v>
      </c>
      <c r="R110" s="216" t="e">
        <f t="shared" si="243"/>
        <v>#DIV/0!</v>
      </c>
      <c r="S110" s="216" t="e">
        <f t="shared" si="243"/>
        <v>#DIV/0!</v>
      </c>
      <c r="T110" s="216" t="e">
        <f t="shared" si="243"/>
        <v>#DIV/0!</v>
      </c>
      <c r="U110" s="216" t="e">
        <f t="shared" si="243"/>
        <v>#DIV/0!</v>
      </c>
      <c r="V110" s="216" t="e">
        <f t="shared" si="243"/>
        <v>#DIV/0!</v>
      </c>
      <c r="W110" s="216" t="e">
        <f t="shared" si="243"/>
        <v>#DIV/0!</v>
      </c>
      <c r="X110" s="216" t="e">
        <f t="shared" si="243"/>
        <v>#DIV/0!</v>
      </c>
      <c r="Y110" s="216" t="e">
        <f t="shared" si="243"/>
        <v>#DIV/0!</v>
      </c>
      <c r="Z110" s="216" t="e">
        <f t="shared" si="243"/>
        <v>#DIV/0!</v>
      </c>
      <c r="AA110" s="216" t="e">
        <f t="shared" si="243"/>
        <v>#DIV/0!</v>
      </c>
      <c r="AB110" s="216" t="e">
        <f t="shared" si="243"/>
        <v>#DIV/0!</v>
      </c>
      <c r="AC110" s="216" t="e">
        <f t="shared" si="243"/>
        <v>#DIV/0!</v>
      </c>
      <c r="AD110" s="216" t="e">
        <f t="shared" ref="AD110:AH110" si="244">(AD102+AD71*$C15+AD70)/(AD70+AD71*$C15)</f>
        <v>#DIV/0!</v>
      </c>
      <c r="AE110" s="216" t="e">
        <f t="shared" si="244"/>
        <v>#DIV/0!</v>
      </c>
      <c r="AF110" s="216" t="e">
        <f t="shared" si="244"/>
        <v>#DIV/0!</v>
      </c>
      <c r="AG110" s="216" t="e">
        <f t="shared" si="244"/>
        <v>#DIV/0!</v>
      </c>
      <c r="AH110" s="216" t="e">
        <f t="shared" si="244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1.2734664883284934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C112" si="245">(C102+C71*$C16+C70)/(C70+C71*$C16)</f>
        <v>#DIV/0!</v>
      </c>
      <c r="D112" s="216">
        <f t="shared" si="245"/>
        <v>1.2656594509105528</v>
      </c>
      <c r="E112" s="216">
        <f t="shared" si="245"/>
        <v>1.2142658395055275</v>
      </c>
      <c r="F112" s="216">
        <f t="shared" si="245"/>
        <v>1.0711372824691769</v>
      </c>
      <c r="G112" s="216">
        <f t="shared" si="245"/>
        <v>1.0555459455536094</v>
      </c>
      <c r="H112" s="216">
        <f t="shared" si="245"/>
        <v>1.055408400971962</v>
      </c>
      <c r="I112" s="216">
        <f t="shared" si="245"/>
        <v>1.0608052085638893</v>
      </c>
      <c r="J112" s="216">
        <f t="shared" si="245"/>
        <v>1.0815311807553705</v>
      </c>
      <c r="K112" s="216">
        <f t="shared" si="245"/>
        <v>1.1226847103534303</v>
      </c>
      <c r="L112" s="216">
        <f t="shared" si="245"/>
        <v>1.204819352118272</v>
      </c>
      <c r="M112" s="216">
        <f t="shared" si="245"/>
        <v>1.3317233589491588</v>
      </c>
      <c r="N112" s="216">
        <f t="shared" si="245"/>
        <v>1.5695056207126623</v>
      </c>
      <c r="O112" s="216">
        <f t="shared" si="245"/>
        <v>2.2485115090783085</v>
      </c>
      <c r="P112" s="216" t="e">
        <f t="shared" si="245"/>
        <v>#DIV/0!</v>
      </c>
      <c r="Q112" s="216" t="e">
        <f t="shared" si="245"/>
        <v>#DIV/0!</v>
      </c>
      <c r="R112" s="216" t="e">
        <f t="shared" si="245"/>
        <v>#DIV/0!</v>
      </c>
      <c r="S112" s="216" t="e">
        <f t="shared" si="245"/>
        <v>#DIV/0!</v>
      </c>
      <c r="T112" s="216" t="e">
        <f t="shared" si="245"/>
        <v>#DIV/0!</v>
      </c>
      <c r="U112" s="216" t="e">
        <f t="shared" si="245"/>
        <v>#DIV/0!</v>
      </c>
      <c r="V112" s="216" t="e">
        <f t="shared" si="245"/>
        <v>#DIV/0!</v>
      </c>
      <c r="W112" s="216" t="e">
        <f t="shared" si="245"/>
        <v>#DIV/0!</v>
      </c>
      <c r="X112" s="216" t="e">
        <f t="shared" si="245"/>
        <v>#DIV/0!</v>
      </c>
      <c r="Y112" s="216" t="e">
        <f t="shared" si="245"/>
        <v>#DIV/0!</v>
      </c>
      <c r="Z112" s="216" t="e">
        <f t="shared" si="245"/>
        <v>#DIV/0!</v>
      </c>
      <c r="AA112" s="216" t="e">
        <f t="shared" si="245"/>
        <v>#DIV/0!</v>
      </c>
      <c r="AB112" s="216" t="e">
        <f t="shared" si="245"/>
        <v>#DIV/0!</v>
      </c>
      <c r="AC112" s="216" t="e">
        <f t="shared" si="245"/>
        <v>#DIV/0!</v>
      </c>
      <c r="AD112" s="216" t="e">
        <f t="shared" ref="AD112:AH112" si="246">(AD102+AD71*$C16+AD70)/(AD70+AD71*$C16)</f>
        <v>#DIV/0!</v>
      </c>
      <c r="AE112" s="216" t="e">
        <f t="shared" si="246"/>
        <v>#DIV/0!</v>
      </c>
      <c r="AF112" s="216" t="e">
        <f t="shared" si="246"/>
        <v>#DIV/0!</v>
      </c>
      <c r="AG112" s="216" t="e">
        <f t="shared" si="246"/>
        <v>#DIV/0!</v>
      </c>
      <c r="AH112" s="216" t="e">
        <f t="shared" si="246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1.2734664883284934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932-3E95-4ECB-95D8-56174FC16254}">
  <dimension ref="A1:BV114"/>
  <sheetViews>
    <sheetView topLeftCell="A36" zoomScale="53" zoomScaleNormal="53" workbookViewId="0">
      <selection activeCell="C58" sqref="C58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7">
        <v>0.1</v>
      </c>
      <c r="C3" s="268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9.5000000000000001E-2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0.90500000000000003</v>
      </c>
      <c r="E8" s="49">
        <f t="shared" ref="E8:AH8" si="0">1*((1-$B$6)^E7)</f>
        <v>0.819025</v>
      </c>
      <c r="F8" s="49">
        <f t="shared" si="0"/>
        <v>0.74121762499999999</v>
      </c>
      <c r="G8" s="49">
        <f t="shared" si="0"/>
        <v>0.67080195062500003</v>
      </c>
      <c r="H8" s="49">
        <f t="shared" si="0"/>
        <v>0.60707576531562502</v>
      </c>
      <c r="I8" s="49">
        <f t="shared" si="0"/>
        <v>0.54940356761064069</v>
      </c>
      <c r="J8" s="49">
        <f t="shared" si="0"/>
        <v>0.49721022868762976</v>
      </c>
      <c r="K8" s="49">
        <f t="shared" si="0"/>
        <v>0.449975256962305</v>
      </c>
      <c r="L8" s="49">
        <f t="shared" si="0"/>
        <v>0.40722760755088605</v>
      </c>
      <c r="M8" s="49">
        <f t="shared" si="0"/>
        <v>0.36854098483355185</v>
      </c>
      <c r="N8" s="49">
        <f t="shared" si="0"/>
        <v>0.33352959127436443</v>
      </c>
      <c r="O8" s="49">
        <f t="shared" si="0"/>
        <v>0.30184428010329983</v>
      </c>
      <c r="P8" s="49">
        <f t="shared" si="0"/>
        <v>0.27316907349348635</v>
      </c>
      <c r="Q8" s="49">
        <f t="shared" si="0"/>
        <v>0.24721801151160516</v>
      </c>
      <c r="R8" s="49">
        <f t="shared" si="0"/>
        <v>0.22373230041800263</v>
      </c>
      <c r="S8" s="49">
        <f t="shared" si="0"/>
        <v>0.20247773187829241</v>
      </c>
      <c r="T8" s="49">
        <f t="shared" si="0"/>
        <v>0.18324234734985465</v>
      </c>
      <c r="U8" s="49">
        <f t="shared" si="0"/>
        <v>0.16583432435161843</v>
      </c>
      <c r="V8" s="49">
        <f t="shared" si="0"/>
        <v>0.15008006353821468</v>
      </c>
      <c r="W8" s="49">
        <f t="shared" si="0"/>
        <v>0.1358224575020843</v>
      </c>
      <c r="X8" s="49">
        <f t="shared" si="0"/>
        <v>0.12291932403938628</v>
      </c>
      <c r="Y8" s="49">
        <f t="shared" si="0"/>
        <v>0.1112419882556446</v>
      </c>
      <c r="Z8" s="49">
        <f t="shared" si="0"/>
        <v>0.10067399937135835</v>
      </c>
      <c r="AA8" s="49">
        <f t="shared" si="0"/>
        <v>9.1109969431079324E-2</v>
      </c>
      <c r="AB8" s="49">
        <f t="shared" si="0"/>
        <v>8.245452233512679E-2</v>
      </c>
      <c r="AC8" s="49">
        <f t="shared" si="0"/>
        <v>7.462134271328974E-2</v>
      </c>
      <c r="AD8" s="49">
        <f t="shared" si="0"/>
        <v>6.7532315155527212E-2</v>
      </c>
      <c r="AE8" s="49">
        <f t="shared" si="0"/>
        <v>6.1116745215752132E-2</v>
      </c>
      <c r="AF8" s="49">
        <f t="shared" si="0"/>
        <v>5.5310654420255678E-2</v>
      </c>
      <c r="AG8" s="49">
        <f t="shared" si="0"/>
        <v>5.0056142250331392E-2</v>
      </c>
      <c r="AH8" s="49">
        <f t="shared" si="0"/>
        <v>4.5300808736549902E-2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271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271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9">
        <v>9.5000000000000001E-2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9">
        <v>9.5000000000000001E-2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9">
        <v>9.5000000000000001E-2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2">
        <v>0.3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3" t="s">
        <v>13</v>
      </c>
      <c r="C20" s="110"/>
      <c r="D20" s="304" t="s">
        <v>1</v>
      </c>
      <c r="E20" s="305"/>
      <c r="F20" s="305"/>
      <c r="G20" s="305"/>
      <c r="H20" s="305"/>
      <c r="I20" s="306"/>
      <c r="J20" s="50"/>
    </row>
    <row r="21" spans="1:34" x14ac:dyDescent="0.25">
      <c r="B21" s="303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C28*(Interventions!$F$7)</f>
        <v>124368.68686868688</v>
      </c>
      <c r="E26" s="27">
        <f>D28*(Interventions!$F$7)</f>
        <v>237431.12947658403</v>
      </c>
      <c r="F26" s="27">
        <f>E28*(Interventions!$F$7)</f>
        <v>340215.16821103601</v>
      </c>
      <c r="G26" s="27">
        <f>F28*(Interventions!$F$7)</f>
        <v>433655.20342417416</v>
      </c>
      <c r="H26" s="27">
        <f>G28*(Interventions!$F$7)</f>
        <v>518600.6899815725</v>
      </c>
      <c r="I26" s="27">
        <f>H28*(Interventions!$F$7)</f>
        <v>595823.85957920738</v>
      </c>
      <c r="J26" s="27">
        <f>I28*(Interventions!$F$7)</f>
        <v>595823.85957920738</v>
      </c>
      <c r="K26" s="27">
        <f>J28*(Interventions!$F$7)</f>
        <v>595823.85957920738</v>
      </c>
      <c r="L26" s="27">
        <f>K28*(Interventions!$F$7)</f>
        <v>595823.85957920738</v>
      </c>
      <c r="M26" s="27">
        <f>L28*(Interventions!$F$7)</f>
        <v>595823.85957920738</v>
      </c>
      <c r="N26" s="27">
        <f>M28*(Interventions!$F$7)</f>
        <v>595823.85957920738</v>
      </c>
      <c r="O26" s="27">
        <f>N28*(Interventions!$F$7)</f>
        <v>595823.85957920738</v>
      </c>
      <c r="P26" s="27">
        <f>O28*(Interventions!$F$7)</f>
        <v>595823.85957920738</v>
      </c>
      <c r="Q26" s="27">
        <f>P28*(Interventions!$F$7)</f>
        <v>595823.85957920738</v>
      </c>
      <c r="R26" s="27">
        <f>Q28*(Interventions!$F$7)</f>
        <v>595823.85957920738</v>
      </c>
      <c r="S26" s="27">
        <f>R28*(Interventions!$F$7)</f>
        <v>595823.85957920738</v>
      </c>
      <c r="T26" s="27">
        <f>S28*(Interventions!$F$7)</f>
        <v>595823.85957920738</v>
      </c>
      <c r="U26" s="27">
        <f>T28*(Interventions!$F$7)</f>
        <v>595823.85957920738</v>
      </c>
      <c r="V26" s="27">
        <f>U28*(Interventions!$F$7)</f>
        <v>595823.85957920738</v>
      </c>
      <c r="W26" s="27">
        <f>V28*(Interventions!$F$7)</f>
        <v>595823.85957920738</v>
      </c>
      <c r="X26" s="27">
        <f>W28*(Interventions!$F$7)</f>
        <v>595823.85957920738</v>
      </c>
      <c r="Y26" s="27">
        <f>X28*(Interventions!$F$7)</f>
        <v>595823.85957920738</v>
      </c>
      <c r="Z26" s="27">
        <f>Y28*(Interventions!$F$7)</f>
        <v>595823.85957920738</v>
      </c>
      <c r="AA26" s="27">
        <f>Z28*(Interventions!$F$7)</f>
        <v>595823.85957920738</v>
      </c>
      <c r="AB26" s="27">
        <f>AA28*(Interventions!$F$7)</f>
        <v>595823.85957920738</v>
      </c>
      <c r="AC26" s="27">
        <f>AB28*(Interventions!$F$7)</f>
        <v>595823.85957920738</v>
      </c>
      <c r="AD26" s="27">
        <f>AC28*(Interventions!$F$7)</f>
        <v>471455.17271052051</v>
      </c>
      <c r="AE26" s="27">
        <f>AD28*(Interventions!$F$7)</f>
        <v>358392.73010262335</v>
      </c>
      <c r="AF26" s="27">
        <f>AE28*(Interventions!$F$7)</f>
        <v>255608.69136817136</v>
      </c>
      <c r="AG26" s="27">
        <f>AF28*(Interventions!$F$7)</f>
        <v>162168.65615503321</v>
      </c>
      <c r="AH26" s="27">
        <f>AG28*(Interventions!$F$7)</f>
        <v>77223.169597634886</v>
      </c>
    </row>
    <row r="27" spans="1:34" x14ac:dyDescent="0.25">
      <c r="A27" s="41" t="s">
        <v>146</v>
      </c>
      <c r="B27" s="10" t="s">
        <v>134</v>
      </c>
      <c r="C27" s="45">
        <f>E3</f>
        <v>45.454730042281668</v>
      </c>
      <c r="D27" s="45">
        <f>D25/(Interventions!$F$6+Interventions!$F$7)</f>
        <v>41.322481856619696</v>
      </c>
      <c r="E27" s="45">
        <f>E25/(Interventions!$F$6+Interventions!$F$7)</f>
        <v>37.565892596927</v>
      </c>
      <c r="F27" s="45">
        <f>F25/(Interventions!$F$6+Interventions!$F$7)</f>
        <v>34.150811451751814</v>
      </c>
      <c r="G27" s="45">
        <f>G25/(Interventions!$F$6+Interventions!$F$7)</f>
        <v>31.046192228865287</v>
      </c>
      <c r="H27" s="45">
        <f>H25/(Interventions!$F$6+Interventions!$F$7)</f>
        <v>28.223811117150255</v>
      </c>
      <c r="I27" s="45">
        <f>I25/(Interventions!$F$6+Interventions!$F$7)</f>
        <v>0</v>
      </c>
      <c r="J27" s="45">
        <f>J25/(Interventions!$F$6+Interventions!$F$7)</f>
        <v>0</v>
      </c>
      <c r="K27" s="45">
        <f>K25/(Interventions!$F$6+Interventions!$F$7)</f>
        <v>0</v>
      </c>
      <c r="L27" s="45">
        <f>L25/(Interventions!$F$6+Interventions!$F$7)</f>
        <v>0</v>
      </c>
      <c r="M27" s="45">
        <f>M25/(Interventions!$F$6+Interventions!$F$7)</f>
        <v>0</v>
      </c>
      <c r="N27" s="45">
        <f>N25/(Interventions!$F$6+Interventions!$F$7)</f>
        <v>0</v>
      </c>
      <c r="O27" s="45">
        <f>O25/(Interventions!$F$6+Interventions!$F$7)</f>
        <v>0</v>
      </c>
      <c r="P27" s="45">
        <f>P25/(Interventions!$F$6+Interventions!$F$7)</f>
        <v>0</v>
      </c>
      <c r="Q27" s="45">
        <f>Q25/(Interventions!$F$6+Interventions!$F$7)</f>
        <v>0</v>
      </c>
      <c r="R27" s="45">
        <f>R25/(Interventions!$F$6+Interventions!$F$7)</f>
        <v>0</v>
      </c>
      <c r="S27" s="45">
        <f>S25/(Interventions!$F$6+Interventions!$F$7)</f>
        <v>0</v>
      </c>
      <c r="T27" s="45">
        <f>T25/(Interventions!$F$6+Interventions!$F$7)</f>
        <v>0</v>
      </c>
      <c r="U27" s="45">
        <f>U25/(Interventions!$F$6+Interventions!$F$7)</f>
        <v>0</v>
      </c>
      <c r="V27" s="45">
        <f>V25/(Interventions!$F$6+Interventions!$F$7)</f>
        <v>0</v>
      </c>
      <c r="W27" s="45">
        <f>W25/(Interventions!$F$6+Interventions!$F$7)</f>
        <v>0</v>
      </c>
      <c r="X27" s="45">
        <f>X25/(Interventions!$F$6+Interventions!$F$7)</f>
        <v>0</v>
      </c>
      <c r="Y27" s="45">
        <f>Y25/(Interventions!$F$6+Interventions!$F$7)</f>
        <v>0</v>
      </c>
      <c r="Z27" s="45">
        <f>Z25/(Interventions!$F$6+Interventions!$F$7)</f>
        <v>0</v>
      </c>
      <c r="AA27" s="45">
        <f>AA25/(Interventions!$F$6+Interventions!$F$7)</f>
        <v>0</v>
      </c>
      <c r="AB27" s="45">
        <f>AB25/(Interventions!$F$6+Interventions!$F$7)</f>
        <v>0</v>
      </c>
      <c r="AC27" s="45">
        <f>AC25/(Interventions!$F$6+Interventions!$F$7)</f>
        <v>0</v>
      </c>
      <c r="AD27" s="45">
        <f>AD25/(Interventions!$F$6+Interventions!$F$7)</f>
        <v>0</v>
      </c>
      <c r="AE27" s="45">
        <f>AE25/(Interventions!$F$6+Interventions!$F$7)</f>
        <v>0</v>
      </c>
      <c r="AF27" s="45">
        <f>AF25/(Interventions!$F$6+Interventions!$F$7)</f>
        <v>0</v>
      </c>
      <c r="AG27" s="45">
        <f>AG25/(Interventions!$F$6+Interventions!$F$7)</f>
        <v>0</v>
      </c>
      <c r="AH27" s="45">
        <f>AH25/(Interventions!$F$6+Interventions!$F$7)</f>
        <v>0</v>
      </c>
    </row>
    <row r="28" spans="1:34" x14ac:dyDescent="0.25">
      <c r="A28" s="43" t="s">
        <v>147</v>
      </c>
      <c r="B28" s="10" t="s">
        <v>134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C28*Interventions!$F$10</f>
        <v>147273.3253369926</v>
      </c>
      <c r="E32" s="42">
        <f>D28*Interventions!$F$10</f>
        <v>281158.16655244038</v>
      </c>
      <c r="F32" s="42">
        <f>E28*Interventions!$F$10</f>
        <v>402871.65856648388</v>
      </c>
      <c r="G32" s="42">
        <f>F28*Interventions!$F$10</f>
        <v>513520.28767015977</v>
      </c>
      <c r="H32" s="42">
        <f>G28*Interventions!$F$10</f>
        <v>614109.95049168332</v>
      </c>
      <c r="I32" s="42">
        <f>H28*Interventions!$F$10</f>
        <v>705555.09851125022</v>
      </c>
      <c r="J32" s="42">
        <f>I28*Interventions!$F$10</f>
        <v>705555.09851125022</v>
      </c>
      <c r="K32" s="42">
        <f>J28*Interventions!$F$10</f>
        <v>705555.09851125022</v>
      </c>
      <c r="L32" s="42">
        <f>K28*Interventions!$F$10</f>
        <v>705555.09851125022</v>
      </c>
      <c r="M32" s="42">
        <f>L28*Interventions!$F$10</f>
        <v>705555.09851125022</v>
      </c>
      <c r="N32" s="42">
        <f>M28*Interventions!$F$10</f>
        <v>705555.09851125022</v>
      </c>
      <c r="O32" s="42">
        <f>N28*Interventions!$F$10</f>
        <v>705555.09851125022</v>
      </c>
      <c r="P32" s="42">
        <f>O28*Interventions!$F$10</f>
        <v>705555.09851125022</v>
      </c>
      <c r="Q32" s="42">
        <f>P28*Interventions!$F$10</f>
        <v>705555.09851125022</v>
      </c>
      <c r="R32" s="42">
        <f>Q28*Interventions!$F$10</f>
        <v>705555.09851125022</v>
      </c>
      <c r="S32" s="42">
        <f>R28*Interventions!$F$10</f>
        <v>705555.09851125022</v>
      </c>
      <c r="T32" s="42">
        <f>S28*Interventions!$F$10</f>
        <v>705555.09851125022</v>
      </c>
      <c r="U32" s="42">
        <f>T28*Interventions!$F$10</f>
        <v>705555.09851125022</v>
      </c>
      <c r="V32" s="42">
        <f>U28*Interventions!$F$10</f>
        <v>705555.09851125022</v>
      </c>
      <c r="W32" s="42">
        <f>V28*Interventions!$F$10</f>
        <v>705555.09851125022</v>
      </c>
      <c r="X32" s="42">
        <f>W28*Interventions!$F$10</f>
        <v>705555.09851125022</v>
      </c>
      <c r="Y32" s="42">
        <f>X28*Interventions!$F$10</f>
        <v>705555.09851125022</v>
      </c>
      <c r="Z32" s="42">
        <f>Y28*Interventions!$F$10</f>
        <v>705555.09851125022</v>
      </c>
      <c r="AA32" s="42">
        <f>Z28*Interventions!$F$10</f>
        <v>705555.09851125022</v>
      </c>
      <c r="AB32" s="42">
        <f>AA28*Interventions!$F$10</f>
        <v>705555.09851125022</v>
      </c>
      <c r="AC32" s="42">
        <f>AB28*Interventions!$F$10</f>
        <v>705555.09851125022</v>
      </c>
      <c r="AD32" s="42">
        <f>AC28*Interventions!$F$10</f>
        <v>558281.7731742576</v>
      </c>
      <c r="AE32" s="42">
        <f>AD28*Interventions!$F$10</f>
        <v>424396.93195880979</v>
      </c>
      <c r="AF32" s="42">
        <f>AE28*Interventions!$F$10</f>
        <v>302683.43994476629</v>
      </c>
      <c r="AG32" s="42">
        <f>AF28*Interventions!$F$10</f>
        <v>192034.81084109042</v>
      </c>
      <c r="AH32" s="42">
        <f>AG28*Interventions!$F$10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SUM(D35:D38)</f>
        <v>256535.2526766145</v>
      </c>
      <c r="E34" s="116">
        <f t="shared" ref="E34:AH34" si="9">SUM(E35:E38)</f>
        <v>489749.11874626402</v>
      </c>
      <c r="F34" s="116">
        <f t="shared" si="9"/>
        <v>701761.7242641272</v>
      </c>
      <c r="G34" s="116">
        <f t="shared" si="9"/>
        <v>894500.45655309386</v>
      </c>
      <c r="H34" s="116">
        <f t="shared" si="9"/>
        <v>1069717.4859066999</v>
      </c>
      <c r="I34" s="116">
        <f t="shared" si="9"/>
        <v>1229005.6944099779</v>
      </c>
      <c r="J34" s="116">
        <f t="shared" si="9"/>
        <v>1229005.6944099779</v>
      </c>
      <c r="K34" s="116">
        <f t="shared" si="9"/>
        <v>1229005.6944099779</v>
      </c>
      <c r="L34" s="116">
        <f t="shared" si="9"/>
        <v>1229005.6944099779</v>
      </c>
      <c r="M34" s="116">
        <f t="shared" si="9"/>
        <v>1229005.6944099779</v>
      </c>
      <c r="N34" s="116">
        <f t="shared" si="9"/>
        <v>1229005.6944099779</v>
      </c>
      <c r="O34" s="116">
        <f t="shared" si="9"/>
        <v>1229005.6944099779</v>
      </c>
      <c r="P34" s="116">
        <f t="shared" si="9"/>
        <v>1229005.6944099779</v>
      </c>
      <c r="Q34" s="116">
        <f t="shared" si="9"/>
        <v>1229005.6944099779</v>
      </c>
      <c r="R34" s="116">
        <f t="shared" si="9"/>
        <v>1229005.6944099779</v>
      </c>
      <c r="S34" s="116">
        <f t="shared" si="9"/>
        <v>1229005.6944099779</v>
      </c>
      <c r="T34" s="116">
        <f t="shared" si="9"/>
        <v>1229005.6944099779</v>
      </c>
      <c r="U34" s="116">
        <f t="shared" si="9"/>
        <v>1229005.6944099779</v>
      </c>
      <c r="V34" s="116">
        <f t="shared" si="9"/>
        <v>1229005.6944099779</v>
      </c>
      <c r="W34" s="116">
        <f t="shared" si="9"/>
        <v>1229005.6944099779</v>
      </c>
      <c r="X34" s="116">
        <f t="shared" si="9"/>
        <v>1229005.6944099779</v>
      </c>
      <c r="Y34" s="116">
        <f t="shared" si="9"/>
        <v>1229005.6944099779</v>
      </c>
      <c r="Z34" s="116">
        <f t="shared" si="9"/>
        <v>1229005.6944099779</v>
      </c>
      <c r="AA34" s="116">
        <f t="shared" si="9"/>
        <v>1229005.6944099779</v>
      </c>
      <c r="AB34" s="116">
        <f t="shared" si="9"/>
        <v>1229005.6944099779</v>
      </c>
      <c r="AC34" s="116">
        <f t="shared" si="9"/>
        <v>1229005.6944099779</v>
      </c>
      <c r="AD34" s="116">
        <f t="shared" si="9"/>
        <v>972470.44173336355</v>
      </c>
      <c r="AE34" s="116">
        <f t="shared" si="9"/>
        <v>739256.57566371397</v>
      </c>
      <c r="AF34" s="116">
        <f t="shared" si="9"/>
        <v>527243.97014585079</v>
      </c>
      <c r="AG34" s="116">
        <f t="shared" si="9"/>
        <v>334505.2378568842</v>
      </c>
      <c r="AH34" s="116">
        <f t="shared" si="9"/>
        <v>159288.20850327823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C28*Interventions!$F$14</f>
        <v>256535.2526766145</v>
      </c>
      <c r="E38" s="42">
        <f>D28*Interventions!$F$14</f>
        <v>489749.11874626402</v>
      </c>
      <c r="F38" s="42">
        <f>E28*Interventions!$F$14</f>
        <v>701761.7242641272</v>
      </c>
      <c r="G38" s="42">
        <f>F28*Interventions!$F$14</f>
        <v>894500.45655309386</v>
      </c>
      <c r="H38" s="42">
        <f>G28*Interventions!$F$14</f>
        <v>1069717.4859066999</v>
      </c>
      <c r="I38" s="42">
        <f>H28*Interventions!$F$14</f>
        <v>1229005.6944099779</v>
      </c>
      <c r="J38" s="42">
        <f>I28*Interventions!$F$14</f>
        <v>1229005.6944099779</v>
      </c>
      <c r="K38" s="42">
        <f>J28*Interventions!$F$14</f>
        <v>1229005.6944099779</v>
      </c>
      <c r="L38" s="42">
        <f>K28*Interventions!$F$14</f>
        <v>1229005.6944099779</v>
      </c>
      <c r="M38" s="42">
        <f>L28*Interventions!$F$14</f>
        <v>1229005.6944099779</v>
      </c>
      <c r="N38" s="42">
        <f>M28*Interventions!$F$14</f>
        <v>1229005.6944099779</v>
      </c>
      <c r="O38" s="42">
        <f>N28*Interventions!$F$14</f>
        <v>1229005.6944099779</v>
      </c>
      <c r="P38" s="42">
        <f>O28*Interventions!$F$14</f>
        <v>1229005.6944099779</v>
      </c>
      <c r="Q38" s="42">
        <f>P28*Interventions!$F$14</f>
        <v>1229005.6944099779</v>
      </c>
      <c r="R38" s="42">
        <f>Q28*Interventions!$F$14</f>
        <v>1229005.6944099779</v>
      </c>
      <c r="S38" s="42">
        <f>R28*Interventions!$F$14</f>
        <v>1229005.6944099779</v>
      </c>
      <c r="T38" s="42">
        <f>S28*Interventions!$F$14</f>
        <v>1229005.6944099779</v>
      </c>
      <c r="U38" s="42">
        <f>T28*Interventions!$F$14</f>
        <v>1229005.6944099779</v>
      </c>
      <c r="V38" s="42">
        <f>U28*Interventions!$F$14</f>
        <v>1229005.6944099779</v>
      </c>
      <c r="W38" s="42">
        <f>V28*Interventions!$F$14</f>
        <v>1229005.6944099779</v>
      </c>
      <c r="X38" s="42">
        <f>W28*Interventions!$F$14</f>
        <v>1229005.6944099779</v>
      </c>
      <c r="Y38" s="42">
        <f>X28*Interventions!$F$14</f>
        <v>1229005.6944099779</v>
      </c>
      <c r="Z38" s="42">
        <f>Y28*Interventions!$F$14</f>
        <v>1229005.6944099779</v>
      </c>
      <c r="AA38" s="42">
        <f>Z28*Interventions!$F$14</f>
        <v>1229005.6944099779</v>
      </c>
      <c r="AB38" s="42">
        <f>AA28*Interventions!$F$14</f>
        <v>1229005.6944099779</v>
      </c>
      <c r="AC38" s="42">
        <f>AB28*Interventions!$F$14</f>
        <v>1229005.6944099779</v>
      </c>
      <c r="AD38" s="42">
        <f>AC28*Interventions!$F$14</f>
        <v>972470.44173336355</v>
      </c>
      <c r="AE38" s="42">
        <f>AD28*Interventions!$F$14</f>
        <v>739256.57566371397</v>
      </c>
      <c r="AF38" s="42">
        <f>AE28*Interventions!$F$14</f>
        <v>527243.97014585079</v>
      </c>
      <c r="AG38" s="42">
        <f>AF28*Interventions!$F$14</f>
        <v>334505.2378568842</v>
      </c>
      <c r="AH38" s="42">
        <f>AG28*Interventions!$F$14</f>
        <v>159288.20850327823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429971.88426053606</v>
      </c>
      <c r="E40" s="116">
        <f t="shared" si="10"/>
        <v>822104.11865917221</v>
      </c>
      <c r="F40" s="116">
        <f t="shared" si="10"/>
        <v>1179827.3466330902</v>
      </c>
      <c r="G40" s="116">
        <f t="shared" si="10"/>
        <v>1506262.8660737036</v>
      </c>
      <c r="H40" s="116">
        <f t="shared" si="10"/>
        <v>1804250.6264557596</v>
      </c>
      <c r="I40" s="116">
        <f t="shared" si="10"/>
        <v>2076374.6904933858</v>
      </c>
      <c r="J40" s="116">
        <f t="shared" si="10"/>
        <v>2079920.0379326898</v>
      </c>
      <c r="K40" s="116">
        <f t="shared" si="10"/>
        <v>2083554.0190579763</v>
      </c>
      <c r="L40" s="116">
        <f t="shared" si="10"/>
        <v>2087278.8497113949</v>
      </c>
      <c r="M40" s="116">
        <f t="shared" si="10"/>
        <v>2091096.8011311491</v>
      </c>
      <c r="N40" s="116">
        <f t="shared" si="10"/>
        <v>2095010.2013363971</v>
      </c>
      <c r="O40" s="116">
        <f t="shared" si="10"/>
        <v>2099021.4365467764</v>
      </c>
      <c r="P40" s="116">
        <f t="shared" si="10"/>
        <v>2103132.9526374149</v>
      </c>
      <c r="Q40" s="116">
        <f t="shared" si="10"/>
        <v>2107347.2566303196</v>
      </c>
      <c r="R40" s="116">
        <f t="shared" si="10"/>
        <v>2111666.9182230467</v>
      </c>
      <c r="S40" s="116">
        <f t="shared" si="10"/>
        <v>2116094.5713555925</v>
      </c>
      <c r="T40" s="116">
        <f t="shared" si="10"/>
        <v>2120632.9158164514</v>
      </c>
      <c r="U40" s="116">
        <f t="shared" si="10"/>
        <v>2125284.7188888323</v>
      </c>
      <c r="V40" s="116">
        <f t="shared" si="10"/>
        <v>2130052.817038022</v>
      </c>
      <c r="W40" s="116">
        <f t="shared" si="10"/>
        <v>2134940.1176409419</v>
      </c>
      <c r="X40" s="116">
        <f t="shared" si="10"/>
        <v>2139949.6007589349</v>
      </c>
      <c r="Y40" s="116">
        <f t="shared" si="10"/>
        <v>2145084.3209548774</v>
      </c>
      <c r="Z40" s="116">
        <f t="shared" si="10"/>
        <v>2150347.409155719</v>
      </c>
      <c r="AA40" s="116">
        <f t="shared" si="10"/>
        <v>2155742.074561581</v>
      </c>
      <c r="AB40" s="116">
        <f t="shared" si="10"/>
        <v>2161271.6066025896</v>
      </c>
      <c r="AC40" s="116">
        <f t="shared" si="10"/>
        <v>1934560.7929212281</v>
      </c>
      <c r="AD40" s="116">
        <f t="shared" si="10"/>
        <v>1530752.214907621</v>
      </c>
      <c r="AE40" s="116">
        <f t="shared" si="10"/>
        <v>1163653.5076225237</v>
      </c>
      <c r="AF40" s="116">
        <f t="shared" si="10"/>
        <v>829927.41009061714</v>
      </c>
      <c r="AG40" s="116">
        <f t="shared" si="10"/>
        <v>526540.04869797465</v>
      </c>
      <c r="AH40" s="116">
        <f t="shared" si="10"/>
        <v>250733.35652284513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-938083.67129501945</v>
      </c>
      <c r="E42" s="31">
        <f t="shared" si="11"/>
        <v>-545951.4368963833</v>
      </c>
      <c r="F42" s="31">
        <f t="shared" si="11"/>
        <v>-188228.20892246533</v>
      </c>
      <c r="G42" s="31">
        <f t="shared" si="11"/>
        <v>138207.31051814812</v>
      </c>
      <c r="H42" s="31">
        <f t="shared" si="11"/>
        <v>436195.07090020413</v>
      </c>
      <c r="I42" s="31">
        <f t="shared" si="11"/>
        <v>1480550.8309141784</v>
      </c>
      <c r="J42" s="31">
        <f t="shared" si="11"/>
        <v>1484096.1783534824</v>
      </c>
      <c r="K42" s="31">
        <f t="shared" si="11"/>
        <v>1487730.1594787689</v>
      </c>
      <c r="L42" s="31">
        <f t="shared" si="11"/>
        <v>1491454.9901321875</v>
      </c>
      <c r="M42" s="31">
        <f t="shared" si="11"/>
        <v>1495272.9415519417</v>
      </c>
      <c r="N42" s="31">
        <f t="shared" si="11"/>
        <v>1499186.3417571897</v>
      </c>
      <c r="O42" s="31">
        <f t="shared" si="11"/>
        <v>1503197.5769675691</v>
      </c>
      <c r="P42" s="31">
        <f t="shared" si="11"/>
        <v>1507309.0930582075</v>
      </c>
      <c r="Q42" s="31">
        <f t="shared" si="11"/>
        <v>1511523.3970511123</v>
      </c>
      <c r="R42" s="31">
        <f t="shared" si="11"/>
        <v>1515843.0586438393</v>
      </c>
      <c r="S42" s="31">
        <f t="shared" si="11"/>
        <v>1520270.7117763851</v>
      </c>
      <c r="T42" s="31">
        <f t="shared" si="11"/>
        <v>1524809.056237244</v>
      </c>
      <c r="U42" s="31">
        <f t="shared" si="11"/>
        <v>1529460.8593096249</v>
      </c>
      <c r="V42" s="31">
        <f t="shared" si="11"/>
        <v>1534228.9574588146</v>
      </c>
      <c r="W42" s="31">
        <f t="shared" si="11"/>
        <v>1539116.2580617345</v>
      </c>
      <c r="X42" s="31">
        <f t="shared" si="11"/>
        <v>1544125.7411797275</v>
      </c>
      <c r="Y42" s="31">
        <f t="shared" si="11"/>
        <v>1549260.46137567</v>
      </c>
      <c r="Z42" s="31">
        <f t="shared" si="11"/>
        <v>1554523.5495765116</v>
      </c>
      <c r="AA42" s="31">
        <f t="shared" si="11"/>
        <v>1559918.2149823736</v>
      </c>
      <c r="AB42" s="31">
        <f t="shared" si="11"/>
        <v>1565447.7470233822</v>
      </c>
      <c r="AC42" s="31">
        <f t="shared" si="11"/>
        <v>1338736.9333420207</v>
      </c>
      <c r="AD42" s="31">
        <f t="shared" si="11"/>
        <v>1059297.0421971006</v>
      </c>
      <c r="AE42" s="31">
        <f t="shared" si="11"/>
        <v>805260.77751990035</v>
      </c>
      <c r="AF42" s="31">
        <f t="shared" si="11"/>
        <v>574318.71872244577</v>
      </c>
      <c r="AG42" s="31">
        <f t="shared" si="11"/>
        <v>364371.39254294144</v>
      </c>
      <c r="AH42" s="31">
        <f t="shared" si="11"/>
        <v>173510.18692521023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-1111520.3028789409</v>
      </c>
      <c r="E43" s="31">
        <f t="shared" si="12"/>
        <v>-878306.43680929148</v>
      </c>
      <c r="F43" s="31">
        <f t="shared" si="12"/>
        <v>-666293.8312914283</v>
      </c>
      <c r="G43" s="31">
        <f t="shared" si="12"/>
        <v>-473555.09900246165</v>
      </c>
      <c r="H43" s="31">
        <f t="shared" si="12"/>
        <v>-298338.0696488556</v>
      </c>
      <c r="I43" s="31">
        <f t="shared" si="12"/>
        <v>633181.8348307705</v>
      </c>
      <c r="J43" s="31">
        <f t="shared" si="12"/>
        <v>633181.8348307705</v>
      </c>
      <c r="K43" s="31">
        <f t="shared" si="12"/>
        <v>633181.8348307705</v>
      </c>
      <c r="L43" s="31">
        <f t="shared" si="12"/>
        <v>633181.8348307705</v>
      </c>
      <c r="M43" s="31">
        <f t="shared" si="12"/>
        <v>633181.8348307705</v>
      </c>
      <c r="N43" s="31">
        <f t="shared" si="12"/>
        <v>633181.8348307705</v>
      </c>
      <c r="O43" s="31">
        <f t="shared" si="12"/>
        <v>633181.8348307705</v>
      </c>
      <c r="P43" s="31">
        <f t="shared" si="12"/>
        <v>633181.8348307705</v>
      </c>
      <c r="Q43" s="31">
        <f t="shared" si="12"/>
        <v>633181.8348307705</v>
      </c>
      <c r="R43" s="31">
        <f t="shared" si="12"/>
        <v>633181.8348307705</v>
      </c>
      <c r="S43" s="31">
        <f t="shared" si="12"/>
        <v>633181.8348307705</v>
      </c>
      <c r="T43" s="31">
        <f t="shared" si="12"/>
        <v>633181.8348307705</v>
      </c>
      <c r="U43" s="31">
        <f t="shared" si="12"/>
        <v>633181.8348307705</v>
      </c>
      <c r="V43" s="31">
        <f t="shared" si="12"/>
        <v>633181.8348307705</v>
      </c>
      <c r="W43" s="31">
        <f t="shared" si="12"/>
        <v>633181.8348307705</v>
      </c>
      <c r="X43" s="31">
        <f t="shared" si="12"/>
        <v>633181.8348307705</v>
      </c>
      <c r="Y43" s="31">
        <f t="shared" si="12"/>
        <v>633181.8348307705</v>
      </c>
      <c r="Z43" s="31">
        <f t="shared" si="12"/>
        <v>633181.8348307705</v>
      </c>
      <c r="AA43" s="31">
        <f t="shared" si="12"/>
        <v>633181.8348307705</v>
      </c>
      <c r="AB43" s="31">
        <f t="shared" si="12"/>
        <v>633181.8348307705</v>
      </c>
      <c r="AC43" s="31">
        <f t="shared" si="12"/>
        <v>633181.8348307705</v>
      </c>
      <c r="AD43" s="31">
        <f t="shared" si="12"/>
        <v>501015.26902284304</v>
      </c>
      <c r="AE43" s="31">
        <f t="shared" si="12"/>
        <v>380863.84556109062</v>
      </c>
      <c r="AF43" s="31">
        <f t="shared" si="12"/>
        <v>271635.27877767943</v>
      </c>
      <c r="AG43" s="31">
        <f t="shared" si="12"/>
        <v>172336.58170185098</v>
      </c>
      <c r="AH43" s="31">
        <f t="shared" si="12"/>
        <v>82065.038905643349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1238090.2777777778</v>
      </c>
      <c r="E45" s="31">
        <f t="shared" si="13"/>
        <v>1120471.7013888888</v>
      </c>
      <c r="F45" s="31">
        <f t="shared" si="13"/>
        <v>1014026.8897569444</v>
      </c>
      <c r="G45" s="31">
        <f t="shared" si="13"/>
        <v>917694.33523003478</v>
      </c>
      <c r="H45" s="31">
        <f t="shared" si="13"/>
        <v>830513.3733831814</v>
      </c>
      <c r="I45" s="31">
        <f t="shared" si="13"/>
        <v>327347.75412035792</v>
      </c>
      <c r="J45" s="31">
        <f t="shared" si="13"/>
        <v>296249.71747892391</v>
      </c>
      <c r="K45" s="31">
        <f t="shared" si="13"/>
        <v>268105.99431842618</v>
      </c>
      <c r="L45" s="31">
        <f t="shared" si="13"/>
        <v>242635.92485817571</v>
      </c>
      <c r="M45" s="31">
        <f t="shared" si="13"/>
        <v>219585.511996649</v>
      </c>
      <c r="N45" s="31">
        <f t="shared" si="13"/>
        <v>198724.88835696733</v>
      </c>
      <c r="O45" s="31">
        <f t="shared" si="13"/>
        <v>179846.02396305546</v>
      </c>
      <c r="P45" s="31">
        <f t="shared" si="13"/>
        <v>162760.65168656519</v>
      </c>
      <c r="Q45" s="31">
        <f t="shared" si="13"/>
        <v>147298.3897763415</v>
      </c>
      <c r="R45" s="31">
        <f t="shared" si="13"/>
        <v>133305.04274758903</v>
      </c>
      <c r="S45" s="31">
        <f t="shared" si="13"/>
        <v>120641.0636865681</v>
      </c>
      <c r="T45" s="31">
        <f t="shared" si="13"/>
        <v>109180.16263634413</v>
      </c>
      <c r="U45" s="31">
        <f t="shared" si="13"/>
        <v>98808.047185891439</v>
      </c>
      <c r="V45" s="31">
        <f t="shared" si="13"/>
        <v>89421.282703231744</v>
      </c>
      <c r="W45" s="31">
        <f t="shared" si="13"/>
        <v>80926.260846424731</v>
      </c>
      <c r="X45" s="31">
        <f t="shared" si="13"/>
        <v>73238.266066014388</v>
      </c>
      <c r="Y45" s="31">
        <f t="shared" si="13"/>
        <v>66280.630789743023</v>
      </c>
      <c r="Z45" s="31">
        <f t="shared" si="13"/>
        <v>59983.970864717427</v>
      </c>
      <c r="AA45" s="31">
        <f t="shared" si="13"/>
        <v>54285.493632569283</v>
      </c>
      <c r="AB45" s="31">
        <f t="shared" si="13"/>
        <v>49128.371737475201</v>
      </c>
      <c r="AC45" s="31">
        <f t="shared" si="13"/>
        <v>44461.176422415054</v>
      </c>
      <c r="AD45" s="31">
        <f t="shared" si="13"/>
        <v>31838.459305190383</v>
      </c>
      <c r="AE45" s="31">
        <f t="shared" si="13"/>
        <v>21903.79717285985</v>
      </c>
      <c r="AF45" s="31">
        <f t="shared" si="13"/>
        <v>14137.883995078717</v>
      </c>
      <c r="AG45" s="31">
        <f t="shared" si="13"/>
        <v>8117.5373210414218</v>
      </c>
      <c r="AH45" s="31">
        <f t="shared" si="13"/>
        <v>3498.2720359726131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232164.40367233614</v>
      </c>
      <c r="E46" s="31">
        <f t="shared" si="14"/>
        <v>401116.77198115888</v>
      </c>
      <c r="F46" s="31">
        <f t="shared" si="14"/>
        <v>520158.15857496124</v>
      </c>
      <c r="G46" s="31">
        <f t="shared" si="14"/>
        <v>600032.6510907684</v>
      </c>
      <c r="H46" s="31">
        <f t="shared" si="14"/>
        <v>649399.56142831617</v>
      </c>
      <c r="I46" s="31">
        <f t="shared" si="14"/>
        <v>675220.11312263471</v>
      </c>
      <c r="J46" s="31">
        <f t="shared" si="14"/>
        <v>611074.20237598429</v>
      </c>
      <c r="K46" s="31">
        <f t="shared" si="14"/>
        <v>553022.15315026592</v>
      </c>
      <c r="L46" s="31">
        <f t="shared" si="14"/>
        <v>500485.04860099067</v>
      </c>
      <c r="M46" s="31">
        <f t="shared" si="14"/>
        <v>452938.96898389654</v>
      </c>
      <c r="N46" s="31">
        <f t="shared" si="14"/>
        <v>409909.76693042635</v>
      </c>
      <c r="O46" s="31">
        <f t="shared" si="14"/>
        <v>370968.33907203586</v>
      </c>
      <c r="P46" s="31">
        <f t="shared" si="14"/>
        <v>335726.34686019248</v>
      </c>
      <c r="Q46" s="31">
        <f t="shared" si="14"/>
        <v>303832.3439084742</v>
      </c>
      <c r="R46" s="31">
        <f t="shared" si="14"/>
        <v>274968.2712371691</v>
      </c>
      <c r="S46" s="31">
        <f t="shared" si="14"/>
        <v>248846.28546963807</v>
      </c>
      <c r="T46" s="31">
        <f t="shared" si="14"/>
        <v>225205.88835002249</v>
      </c>
      <c r="U46" s="31">
        <f t="shared" si="14"/>
        <v>203811.32895677033</v>
      </c>
      <c r="V46" s="31">
        <f t="shared" si="14"/>
        <v>184449.25270587712</v>
      </c>
      <c r="W46" s="31">
        <f t="shared" si="14"/>
        <v>166926.57369881883</v>
      </c>
      <c r="X46" s="31">
        <f t="shared" si="14"/>
        <v>151068.54919743101</v>
      </c>
      <c r="Y46" s="31">
        <f t="shared" si="14"/>
        <v>136717.0370236751</v>
      </c>
      <c r="Z46" s="31">
        <f t="shared" si="14"/>
        <v>123728.91850642594</v>
      </c>
      <c r="AA46" s="31">
        <f t="shared" si="14"/>
        <v>111974.6712483155</v>
      </c>
      <c r="AB46" s="31">
        <f t="shared" si="14"/>
        <v>101337.07747972553</v>
      </c>
      <c r="AC46" s="31">
        <f t="shared" si="14"/>
        <v>91710.055119151599</v>
      </c>
      <c r="AD46" s="31">
        <f t="shared" si="14"/>
        <v>65673.180350572264</v>
      </c>
      <c r="AE46" s="31">
        <f t="shared" si="14"/>
        <v>45180.955783908597</v>
      </c>
      <c r="AF46" s="31">
        <f t="shared" si="14"/>
        <v>29162.209027900753</v>
      </c>
      <c r="AG46" s="31">
        <f t="shared" si="14"/>
        <v>16744.041769645133</v>
      </c>
      <c r="AH46" s="31">
        <f t="shared" si="14"/>
        <v>7215.8846673946891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-832489.24252152012</v>
      </c>
      <c r="E48" s="31">
        <f>E47+E46-E45</f>
        <v>-386999.9294948217</v>
      </c>
      <c r="F48" s="31">
        <f t="shared" ref="F48:AH48" si="16">F47+F46-F45</f>
        <v>-15803.108813020051</v>
      </c>
      <c r="G48" s="31">
        <f t="shared" si="16"/>
        <v>294100.72538134339</v>
      </c>
      <c r="H48" s="31">
        <f t="shared" si="16"/>
        <v>553419.32859419449</v>
      </c>
      <c r="I48" s="31">
        <f t="shared" si="16"/>
        <v>1195241.3550856849</v>
      </c>
      <c r="J48" s="31">
        <f t="shared" si="16"/>
        <v>1165738.8284197722</v>
      </c>
      <c r="K48" s="31">
        <f t="shared" si="16"/>
        <v>1139464.4834798384</v>
      </c>
      <c r="L48" s="31">
        <f t="shared" si="16"/>
        <v>1116122.2790442321</v>
      </c>
      <c r="M48" s="31">
        <f t="shared" si="16"/>
        <v>1095444.5637084187</v>
      </c>
      <c r="N48" s="31">
        <f t="shared" si="16"/>
        <v>1077189.3854998783</v>
      </c>
      <c r="O48" s="31">
        <f t="shared" si="16"/>
        <v>1061138.0572457789</v>
      </c>
      <c r="P48" s="31">
        <f t="shared" si="16"/>
        <v>1047092.9534010643</v>
      </c>
      <c r="Q48" s="31">
        <f t="shared" si="16"/>
        <v>1034875.5163524743</v>
      </c>
      <c r="R48" s="31">
        <f t="shared" si="16"/>
        <v>1024324.4523026492</v>
      </c>
      <c r="S48" s="31">
        <f t="shared" si="16"/>
        <v>1015294.0987286845</v>
      </c>
      <c r="T48" s="31">
        <f t="shared" si="16"/>
        <v>1007652.9471201522</v>
      </c>
      <c r="U48" s="31">
        <f t="shared" si="16"/>
        <v>1001282.306249733</v>
      </c>
      <c r="V48" s="31">
        <f t="shared" si="16"/>
        <v>996075.09263068973</v>
      </c>
      <c r="W48" s="31">
        <f t="shared" si="16"/>
        <v>991934.73608335818</v>
      </c>
      <c r="X48" s="31">
        <f t="shared" si="16"/>
        <v>988774.18948037352</v>
      </c>
      <c r="Y48" s="31">
        <f t="shared" si="16"/>
        <v>986515.03277883166</v>
      </c>
      <c r="Z48" s="31">
        <f t="shared" si="16"/>
        <v>985086.66238744941</v>
      </c>
      <c r="AA48" s="31">
        <f t="shared" si="16"/>
        <v>984425.5577673493</v>
      </c>
      <c r="AB48" s="31">
        <f t="shared" si="16"/>
        <v>984474.61793486227</v>
      </c>
      <c r="AC48" s="31">
        <f t="shared" si="16"/>
        <v>752803.97720798675</v>
      </c>
      <c r="AD48" s="31">
        <f t="shared" si="16"/>
        <v>592116.49421963945</v>
      </c>
      <c r="AE48" s="31">
        <f t="shared" si="16"/>
        <v>447674.09056985856</v>
      </c>
      <c r="AF48" s="31">
        <f t="shared" si="16"/>
        <v>317707.76497758832</v>
      </c>
      <c r="AG48" s="31">
        <f t="shared" si="16"/>
        <v>200661.31528969415</v>
      </c>
      <c r="AH48" s="31">
        <f t="shared" si="16"/>
        <v>95162.760650988974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6337832.2853811253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-431338.50517948234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0.31429416920567105</v>
      </c>
      <c r="E53" s="32">
        <f t="shared" si="17"/>
        <v>0.60092889891837975</v>
      </c>
      <c r="F53" s="32">
        <f t="shared" si="17"/>
        <v>0.86241186758967003</v>
      </c>
      <c r="G53" s="32">
        <f t="shared" si="17"/>
        <v>1.1010246330691031</v>
      </c>
      <c r="H53" s="32">
        <f t="shared" si="17"/>
        <v>1.3188430975108092</v>
      </c>
      <c r="I53" s="32">
        <f t="shared" si="17"/>
        <v>3.4848800649906795</v>
      </c>
      <c r="J53" s="32">
        <f t="shared" si="17"/>
        <v>3.4908303930655036</v>
      </c>
      <c r="K53" s="32">
        <f t="shared" si="17"/>
        <v>3.4969294793421977</v>
      </c>
      <c r="L53" s="32">
        <f t="shared" si="17"/>
        <v>3.5031810427758088</v>
      </c>
      <c r="M53" s="32">
        <f t="shared" si="17"/>
        <v>3.509588895295261</v>
      </c>
      <c r="N53" s="32">
        <f t="shared" si="17"/>
        <v>3.5161569441276992</v>
      </c>
      <c r="O53" s="32">
        <f t="shared" si="17"/>
        <v>3.5228891941809484</v>
      </c>
      <c r="P53" s="32">
        <f t="shared" si="17"/>
        <v>3.5297897504855285</v>
      </c>
      <c r="Q53" s="32">
        <f t="shared" si="17"/>
        <v>3.5368628206977233</v>
      </c>
      <c r="R53" s="32">
        <f t="shared" si="17"/>
        <v>3.5441127176652225</v>
      </c>
      <c r="S53" s="32">
        <f t="shared" si="17"/>
        <v>3.5515438620569104</v>
      </c>
      <c r="T53" s="32">
        <f t="shared" si="17"/>
        <v>3.5591607850583897</v>
      </c>
      <c r="U53" s="32">
        <f t="shared" si="17"/>
        <v>3.5669681311349066</v>
      </c>
      <c r="V53" s="32">
        <f t="shared" si="17"/>
        <v>3.5749706608633351</v>
      </c>
      <c r="W53" s="32">
        <f t="shared" si="17"/>
        <v>3.5831732538349752</v>
      </c>
      <c r="X53" s="32">
        <f t="shared" si="17"/>
        <v>3.5915809116309063</v>
      </c>
      <c r="Y53" s="32">
        <f t="shared" si="17"/>
        <v>3.6001987608717356</v>
      </c>
      <c r="Z53" s="32">
        <f t="shared" si="17"/>
        <v>3.6090320563435863</v>
      </c>
      <c r="AA53" s="32">
        <f t="shared" si="17"/>
        <v>3.618086184202232</v>
      </c>
      <c r="AB53" s="32">
        <f t="shared" si="17"/>
        <v>3.6273666652573442</v>
      </c>
      <c r="AC53" s="32">
        <f t="shared" si="17"/>
        <v>3.2468669419977338</v>
      </c>
      <c r="AD53" s="32">
        <f t="shared" si="17"/>
        <v>3.2468669419977334</v>
      </c>
      <c r="AE53" s="32">
        <f t="shared" si="17"/>
        <v>3.2468669419977334</v>
      </c>
      <c r="AF53" s="32">
        <f t="shared" si="17"/>
        <v>3.2468669419977338</v>
      </c>
      <c r="AG53" s="32">
        <f t="shared" si="17"/>
        <v>3.2468669419977338</v>
      </c>
      <c r="AH53" s="32">
        <f t="shared" si="17"/>
        <v>3.2468669419977334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1.5230238599147297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0.32760214867712428</v>
      </c>
      <c r="E55" s="32">
        <f t="shared" si="18"/>
        <v>0.65460981387114625</v>
      </c>
      <c r="F55" s="32">
        <f t="shared" si="18"/>
        <v>0.98441549334376333</v>
      </c>
      <c r="G55" s="32">
        <f t="shared" si="18"/>
        <v>1.3204778694723254</v>
      </c>
      <c r="H55" s="32">
        <f t="shared" si="18"/>
        <v>1.6663581181598366</v>
      </c>
      <c r="I55" s="32">
        <f>(XNPV($B$14,I47,I$22)+XNPV($B$14,I46,I$22))/(XNPV($B$14,I45,I$22))</f>
        <v>4.6512893094303109</v>
      </c>
      <c r="J55" s="32">
        <f t="shared" si="18"/>
        <v>4.9349871397015139</v>
      </c>
      <c r="K55" s="32">
        <f t="shared" si="18"/>
        <v>5.2500522465995685</v>
      </c>
      <c r="L55" s="32">
        <f t="shared" si="18"/>
        <v>5.599987737580995</v>
      </c>
      <c r="M55" s="32">
        <f t="shared" si="18"/>
        <v>5.9886923492709112</v>
      </c>
      <c r="N55" s="32">
        <f t="shared" si="18"/>
        <v>6.4205056769987205</v>
      </c>
      <c r="O55" s="32">
        <f t="shared" si="18"/>
        <v>6.900258642714066</v>
      </c>
      <c r="P55" s="32">
        <f t="shared" si="18"/>
        <v>7.4333298162107004</v>
      </c>
      <c r="Q55" s="32">
        <f t="shared" si="18"/>
        <v>8.0257082777607671</v>
      </c>
      <c r="R55" s="32">
        <f t="shared" si="18"/>
        <v>8.6840637922617159</v>
      </c>
      <c r="S55" s="32">
        <f t="shared" si="18"/>
        <v>9.415825156900743</v>
      </c>
      <c r="T55" s="32">
        <f t="shared" si="18"/>
        <v>10.229267687358458</v>
      </c>
      <c r="U55" s="32">
        <f t="shared" si="18"/>
        <v>11.133610923065623</v>
      </c>
      <c r="V55" s="32">
        <f t="shared" si="18"/>
        <v>12.139127761524394</v>
      </c>
      <c r="W55" s="32">
        <f t="shared" si="18"/>
        <v>13.257266376927648</v>
      </c>
      <c r="X55" s="32">
        <f t="shared" si="18"/>
        <v>14.500786441190831</v>
      </c>
      <c r="Y55" s="32">
        <f t="shared" si="18"/>
        <v>15.88391134822295</v>
      </c>
      <c r="Z55" s="32">
        <f t="shared" si="18"/>
        <v>17.422498347252255</v>
      </c>
      <c r="AA55" s="32">
        <f t="shared" si="18"/>
        <v>19.1342287210359</v>
      </c>
      <c r="AB55" s="32">
        <f t="shared" si="18"/>
        <v>21.038820402914013</v>
      </c>
      <c r="AC55" s="32">
        <f t="shared" si="18"/>
        <v>17.931715212745956</v>
      </c>
      <c r="AD55" s="32">
        <f t="shared" si="18"/>
        <v>19.597523471341816</v>
      </c>
      <c r="AE55" s="32">
        <f t="shared" si="18"/>
        <v>21.438195580287523</v>
      </c>
      <c r="AF55" s="32">
        <f t="shared" si="18"/>
        <v>23.472087413376702</v>
      </c>
      <c r="AG55" s="32">
        <f t="shared" si="18"/>
        <v>25.719481704082973</v>
      </c>
      <c r="AH55" s="32">
        <f t="shared" si="18"/>
        <v>28.202790312598196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1.6693640561044087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0.18751815424077406</v>
      </c>
      <c r="E57" s="32">
        <f t="shared" si="19"/>
        <v>0.35798920355056868</v>
      </c>
      <c r="F57" s="32">
        <f t="shared" si="19"/>
        <v>0.51296288474129104</v>
      </c>
      <c r="G57" s="32">
        <f t="shared" si="19"/>
        <v>0.65384804946012942</v>
      </c>
      <c r="H57" s="32">
        <f t="shared" si="19"/>
        <v>0.78192547193180095</v>
      </c>
      <c r="I57" s="32">
        <f t="shared" si="19"/>
        <v>2.0626996966485143</v>
      </c>
      <c r="J57" s="32">
        <f t="shared" si="19"/>
        <v>2.0626996966485138</v>
      </c>
      <c r="K57" s="32">
        <f t="shared" si="19"/>
        <v>2.0626996966485143</v>
      </c>
      <c r="L57" s="32">
        <f t="shared" si="19"/>
        <v>2.0626996966485138</v>
      </c>
      <c r="M57" s="32">
        <f t="shared" si="19"/>
        <v>2.0626996966485143</v>
      </c>
      <c r="N57" s="32">
        <f t="shared" si="19"/>
        <v>2.0626996966485143</v>
      </c>
      <c r="O57" s="32">
        <f t="shared" si="19"/>
        <v>2.0626996966485138</v>
      </c>
      <c r="P57" s="32">
        <f t="shared" si="19"/>
        <v>2.0626996966485143</v>
      </c>
      <c r="Q57" s="32">
        <f t="shared" si="19"/>
        <v>2.0626996966485143</v>
      </c>
      <c r="R57" s="32">
        <f t="shared" si="19"/>
        <v>2.0626996966485143</v>
      </c>
      <c r="S57" s="32">
        <f t="shared" si="19"/>
        <v>2.0626996966485138</v>
      </c>
      <c r="T57" s="32">
        <f t="shared" si="19"/>
        <v>2.0626996966485143</v>
      </c>
      <c r="U57" s="32">
        <f t="shared" si="19"/>
        <v>2.0626996966485138</v>
      </c>
      <c r="V57" s="32">
        <f t="shared" si="19"/>
        <v>2.0626996966485138</v>
      </c>
      <c r="W57" s="32">
        <f t="shared" si="19"/>
        <v>2.0626996966485143</v>
      </c>
      <c r="X57" s="32">
        <f t="shared" si="19"/>
        <v>2.0626996966485138</v>
      </c>
      <c r="Y57" s="32">
        <f t="shared" si="19"/>
        <v>2.0626996966485143</v>
      </c>
      <c r="Z57" s="32">
        <f t="shared" si="19"/>
        <v>2.0626996966485138</v>
      </c>
      <c r="AA57" s="32">
        <f t="shared" si="19"/>
        <v>2.0626996966485138</v>
      </c>
      <c r="AB57" s="32">
        <f t="shared" si="19"/>
        <v>2.0626996966485143</v>
      </c>
      <c r="AC57" s="32">
        <f t="shared" si="19"/>
        <v>2.0626996966485143</v>
      </c>
      <c r="AD57" s="32">
        <f t="shared" si="19"/>
        <v>2.0626996966485143</v>
      </c>
      <c r="AE57" s="32">
        <f t="shared" si="19"/>
        <v>2.0626996966485143</v>
      </c>
      <c r="AF57" s="32">
        <f t="shared" si="19"/>
        <v>2.0626996966485143</v>
      </c>
      <c r="AG57" s="32">
        <f t="shared" si="19"/>
        <v>2.0626996966485143</v>
      </c>
      <c r="AH57" s="32">
        <f t="shared" si="19"/>
        <v>2.0626996966485143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0.62007757572899069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0.22513742923736568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-0.35972659808583551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8.4977364540100075E-2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7" t="s">
        <v>89</v>
      </c>
      <c r="B64" s="145" t="s">
        <v>69</v>
      </c>
      <c r="C64" s="151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8"/>
      <c r="B65" s="129" t="s">
        <v>69</v>
      </c>
      <c r="C65" s="130">
        <f>(D34+D30)/C25</f>
        <v>0.31429416920567105</v>
      </c>
      <c r="D65" s="121">
        <f>(SUM($D$34:E34)+SUM($D$30:E30))/SUM($C$25:D25)</f>
        <v>0.47940255949355037</v>
      </c>
      <c r="E65" s="121">
        <f>(SUM($D$34:F34)+SUM($D$30:F30))/SUM($C$25:E25)</f>
        <v>0.64983029372012147</v>
      </c>
      <c r="F65" s="121">
        <f>(SUM($D$34:G34)+SUM($D$30:G30))/SUM($C$25:F25)</f>
        <v>0.82557549796378782</v>
      </c>
      <c r="G65" s="121">
        <f>(SUM($D$34:H34)+SUM($D$30:H30))/SUM($C$25:G25)</f>
        <v>1.0066278445431702</v>
      </c>
      <c r="H65" s="121">
        <f>(SUM($D$34:I34)+SUM($D$30:I30))/SUM($C$25:H25)</f>
        <v>1.192968725247328</v>
      </c>
      <c r="I65" s="121">
        <f>(SUM($D$34:J34)+SUM($D$30:J30))/SUM($C$25:I25)</f>
        <v>1.5103169427987373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9" t="s">
        <v>105</v>
      </c>
      <c r="B66" s="145" t="s">
        <v>69</v>
      </c>
      <c r="C66" s="152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8"/>
      <c r="B67" s="28" t="s">
        <v>69</v>
      </c>
      <c r="C67" s="131">
        <f>D34/C25</f>
        <v>0.18751815424077406</v>
      </c>
      <c r="D67" s="32">
        <f>SUM($D$34:E34)/SUM($C$25:D25)</f>
        <v>0.28574194931927477</v>
      </c>
      <c r="E67" s="32">
        <f>SUM($D$34:F34)/SUM($C$25:E25)</f>
        <v>0.38693323065392349</v>
      </c>
      <c r="F67" s="32">
        <f>SUM($D$34:G34)/SUM($C$25:F25)</f>
        <v>0.4910785707050998</v>
      </c>
      <c r="G67" s="32">
        <f>SUM($D$34:H34)/SUM($C$25:G25)</f>
        <v>0.59815929219209418</v>
      </c>
      <c r="H67" s="32">
        <f>SUM($D$34:I34)/SUM($C$25:H25)</f>
        <v>0.70815158753226359</v>
      </c>
      <c r="I67" s="32">
        <f>SUM($D$34:J34)/SUM($C$25:I25)</f>
        <v>0.8956697417730376</v>
      </c>
      <c r="J67" s="32">
        <f>SUM($D$34:K34)/SUM($C$25:J25)</f>
        <v>1.0831878960138117</v>
      </c>
      <c r="K67" s="32">
        <f>SUM($D$34:L34)/SUM($C$25:K25)</f>
        <v>1.2707060502545857</v>
      </c>
      <c r="L67" s="32">
        <f>SUM($D$34:M34)/SUM($C$25:L25)</f>
        <v>1.4582242044953597</v>
      </c>
      <c r="M67" s="32">
        <f>SUM($D$34:N34)/SUM($C$25:M25)</f>
        <v>1.6457423587361337</v>
      </c>
      <c r="N67" s="32">
        <f>SUM($D$34:O34)/SUM($C$25:N25)</f>
        <v>1.8332605129769077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273611.11111111112</v>
      </c>
      <c r="G70" s="156">
        <f>G76+G79+G82+G85+G88+G91</f>
        <v>547222.22222222225</v>
      </c>
      <c r="H70" s="156">
        <f t="shared" si="20"/>
        <v>820833.33333333337</v>
      </c>
      <c r="I70" s="156">
        <f t="shared" si="20"/>
        <v>1094444.4444444445</v>
      </c>
      <c r="J70" s="156">
        <f t="shared" si="20"/>
        <v>1368055.5555555555</v>
      </c>
      <c r="K70" s="156">
        <f t="shared" si="20"/>
        <v>1368055.5555555555</v>
      </c>
      <c r="L70" s="156">
        <f t="shared" si="20"/>
        <v>1094444.4444444445</v>
      </c>
      <c r="M70" s="156">
        <f t="shared" si="20"/>
        <v>820833.33333333337</v>
      </c>
      <c r="N70" s="156">
        <f t="shared" si="20"/>
        <v>547222.22222222225</v>
      </c>
      <c r="O70" s="156">
        <f t="shared" si="20"/>
        <v>273611.11111111112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129965.27777777778</v>
      </c>
      <c r="E71" s="160">
        <f t="shared" si="20"/>
        <v>259930.55555555556</v>
      </c>
      <c r="F71" s="160">
        <f t="shared" si="20"/>
        <v>389895.83333333337</v>
      </c>
      <c r="G71" s="160">
        <f t="shared" si="20"/>
        <v>493868.0555555555</v>
      </c>
      <c r="H71" s="160">
        <f t="shared" si="20"/>
        <v>571847.22222222213</v>
      </c>
      <c r="I71" s="160">
        <f t="shared" si="20"/>
        <v>623833.33333333326</v>
      </c>
      <c r="J71" s="160">
        <f t="shared" si="20"/>
        <v>519861.11111111112</v>
      </c>
      <c r="K71" s="160">
        <f t="shared" si="20"/>
        <v>389895.83333333337</v>
      </c>
      <c r="L71" s="160">
        <f t="shared" si="20"/>
        <v>259930.55555555556</v>
      </c>
      <c r="M71" s="160">
        <f t="shared" si="20"/>
        <v>155958.33333333331</v>
      </c>
      <c r="N71" s="160">
        <f t="shared" si="20"/>
        <v>77979.166666666657</v>
      </c>
      <c r="O71" s="160">
        <f t="shared" si="20"/>
        <v>25993.055555555547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273611.11111111112</v>
      </c>
      <c r="G76" s="177">
        <f>IF($B$13&gt;G75,0,IF($C$72-(SUM($C$76:F76)+1)&gt;0,IF($B$12&gt;0,$C$72/$B$12,0),0))</f>
        <v>273611.11111111112</v>
      </c>
      <c r="H76" s="177">
        <f>IF($B$13&gt;H75,0,IF($C$72-(SUM($C$76:G76)+1)&gt;0,IF($B$12&gt;0,$C$72/$B$12,0),0))</f>
        <v>273611.11111111112</v>
      </c>
      <c r="I76" s="177">
        <f>IF($B$13&gt;I75,0,IF($C$72-(SUM($C$76:H76)+1)&gt;0,IF($B$12&gt;0,$C$72/$B$12,0),0))</f>
        <v>273611.11111111112</v>
      </c>
      <c r="J76" s="177">
        <f>IF($B$13&gt;J75,0,IF($C$72-(SUM($C$76:I76)+1)&gt;0,IF($B$12&gt;0,$C$72/$B$12,0),0))</f>
        <v>273611.11111111112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129965.27777777778</v>
      </c>
      <c r="E77" s="182">
        <f>($C$72-SUM($C$76:D76))*$B$14</f>
        <v>129965.27777777778</v>
      </c>
      <c r="F77" s="182">
        <f>($C$72-SUM($C$76:E76))*$B$14</f>
        <v>129965.27777777778</v>
      </c>
      <c r="G77" s="182">
        <f>($C$72-SUM($C$76:F76))*$B$14</f>
        <v>103972.22222222223</v>
      </c>
      <c r="H77" s="182">
        <f>($C$72-SUM($C$76:G76))*$B$14</f>
        <v>77979.166666666657</v>
      </c>
      <c r="I77" s="182">
        <f>($C$72-SUM($C$76:H76))*$B$14</f>
        <v>51986.111111111102</v>
      </c>
      <c r="J77" s="182">
        <f>($C$72-SUM($C$76:I76))*$B$14</f>
        <v>25993.055555555547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273611.11111111112</v>
      </c>
      <c r="H79" s="177">
        <f>IF($B$13&gt;H78,0,IF($D$72-(SUM($C$79:G79)+1)&gt;0,IF($B$12&gt;0,$D$72/$B$12,0),0))</f>
        <v>273611.11111111112</v>
      </c>
      <c r="I79" s="177">
        <f>IF($B$13&gt;I78,0,IF($D$72-(SUM($C$79:H79)+1)&gt;0,IF($B$12&gt;0,$D$72/$B$12,0),0))</f>
        <v>273611.11111111112</v>
      </c>
      <c r="J79" s="177">
        <f>IF($B$13&gt;J78,0,IF($D$72-(SUM($C$79:I79)+1)&gt;0,IF($B$12&gt;0,$D$72/$B$12,0),0))</f>
        <v>273611.11111111112</v>
      </c>
      <c r="K79" s="177">
        <f>IF($B$13&gt;K78,0,IF($D$72-(SUM($C$79:J79)+1)&gt;0,IF($B$12&gt;0,$D$72/$B$12,0),0))</f>
        <v>273611.11111111112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129965.27777777778</v>
      </c>
      <c r="F80" s="182">
        <f>($D$72-SUM($C$79:E79))*$B$14</f>
        <v>129965.27777777778</v>
      </c>
      <c r="G80" s="182">
        <f>($D$72-SUM($C$79:F79))*$B$14</f>
        <v>129965.27777777778</v>
      </c>
      <c r="H80" s="182">
        <f>($D$72-SUM($C$79:G79))*$B$14</f>
        <v>103972.22222222223</v>
      </c>
      <c r="I80" s="182">
        <f>($D$72-SUM($C$79:H79))*$B$14</f>
        <v>77979.166666666657</v>
      </c>
      <c r="J80" s="182">
        <f>($D$72-SUM($C$79:I79))*$B$14</f>
        <v>51986.111111111102</v>
      </c>
      <c r="K80" s="182">
        <f>($D$72-SUM($C$79:J79))*$B$14</f>
        <v>25993.055555555547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273611.11111111112</v>
      </c>
      <c r="I82" s="177">
        <f>IF($B$13&gt;I81,0,IF($E$72-(SUM($C$82:H82)+1)&gt;0,IF($B$12&gt;0,$E$72/$B$12,0),0))</f>
        <v>273611.11111111112</v>
      </c>
      <c r="J82" s="177">
        <f>IF($B$13&gt;J81,0,IF($E$72-(SUM($C$82:I82)+1)&gt;0,IF($B$12&gt;0,$E$72/$B$12,0),0))</f>
        <v>273611.11111111112</v>
      </c>
      <c r="K82" s="177">
        <f>IF($B$13&gt;K81,0,IF($E$72-(SUM($C$82:J82)+1)&gt;0,IF($B$12&gt;0,$E$72/$B$12,0),0))</f>
        <v>273611.11111111112</v>
      </c>
      <c r="L82" s="177">
        <f>IF($B$13&gt;L81,0,IF($E$72-(SUM($C$82:K82)+1)&gt;0,IF($B$12&gt;0,$E$72/$B$12,0),0))</f>
        <v>273611.11111111112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129965.27777777778</v>
      </c>
      <c r="G83" s="182">
        <f>($E$72-SUM($C$82:F82))*$B$14</f>
        <v>129965.27777777778</v>
      </c>
      <c r="H83" s="182">
        <f>($E$72-SUM($C$82:G82))*$B$14</f>
        <v>129965.27777777778</v>
      </c>
      <c r="I83" s="182">
        <f>($E$72-SUM($C$82:H82))*$B$14</f>
        <v>103972.22222222223</v>
      </c>
      <c r="J83" s="182">
        <f>($E$72-SUM($C$82:I82))*$B$14</f>
        <v>77979.166666666657</v>
      </c>
      <c r="K83" s="182">
        <f>($E$72-SUM($C$82:J82))*$B$14</f>
        <v>51986.111111111102</v>
      </c>
      <c r="L83" s="182">
        <f>($E$72-SUM($C$82:K82))*$B$14</f>
        <v>25993.055555555547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273611.11111111112</v>
      </c>
      <c r="J85" s="177">
        <f>IF($B$13&gt;J84,0,IF($F$72-(SUM($C$85:I85)+1)&gt;0,IF($B$12&gt;0,$F$72/$B$12,0),0))</f>
        <v>273611.11111111112</v>
      </c>
      <c r="K85" s="177">
        <f>IF($B$13&gt;K84,0,IF($F$72-(SUM($C$85:J85)+1)&gt;0,IF($B$12&gt;0,$F$72/$B$12,0),0))</f>
        <v>273611.11111111112</v>
      </c>
      <c r="L85" s="177">
        <f>IF($B$13&gt;L84,0,IF($F$72-(SUM($C$85:K85)+1)&gt;0,IF($B$12&gt;0,$F$72/$B$12,0),0))</f>
        <v>273611.11111111112</v>
      </c>
      <c r="M85" s="177">
        <f>IF($B$13&gt;M84,0,IF($F$72-(SUM($C$85:L85)+1)&gt;0,IF($B$12&gt;0,$F$72/$B$12,0),0))</f>
        <v>273611.11111111112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129965.27777777778</v>
      </c>
      <c r="H86" s="182">
        <f>($F$72-SUM($C$85:G85))*$B$14</f>
        <v>129965.27777777778</v>
      </c>
      <c r="I86" s="182">
        <f>($F$72-SUM($C$85:H85))*$B$14</f>
        <v>129965.27777777778</v>
      </c>
      <c r="J86" s="182">
        <f>($F$72-SUM($C$85:I85))*$B$14</f>
        <v>103972.22222222223</v>
      </c>
      <c r="K86" s="182">
        <f>($F$72-SUM($C$85:J85))*$B$14</f>
        <v>77979.166666666657</v>
      </c>
      <c r="L86" s="182">
        <f>($F$72-SUM($C$85:K85))*$B$14</f>
        <v>51986.111111111102</v>
      </c>
      <c r="M86" s="182">
        <f>($F$72-SUM($C$85:L85))*$B$14</f>
        <v>25993.055555555547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273611.11111111112</v>
      </c>
      <c r="K88" s="177">
        <f>IF($B$13&gt;K87,0,IF($G$72-(SUM($C$88:J88)+1)&gt;0,IF($B$12&gt;0,$G$72/$B$12,0),0))</f>
        <v>273611.11111111112</v>
      </c>
      <c r="L88" s="177">
        <f>IF($B$13&gt;L87,0,IF($G$72-(SUM($C$88:K88)+1)&gt;0,IF($B$12&gt;0,$G$72/$B$12,0),0))</f>
        <v>273611.11111111112</v>
      </c>
      <c r="M88" s="177">
        <f>IF($B$13&gt;M87,0,IF($G$72-(SUM($C$88:L88)+1)&gt;0,IF($B$12&gt;0,$G$72/$B$12,0),0))</f>
        <v>273611.11111111112</v>
      </c>
      <c r="N88" s="177">
        <f>IF($B$13&gt;N87,0,IF($G$72-(SUM($C$88:M88)+1)&gt;0,IF($B$12&gt;0,$G$72/$B$12,0),0))</f>
        <v>273611.11111111112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129965.27777777778</v>
      </c>
      <c r="I89" s="182">
        <f>($G$72-SUM($C$88:H88))*$B$14</f>
        <v>129965.27777777778</v>
      </c>
      <c r="J89" s="182">
        <f>($G$72-SUM($C$88:I88))*$B$14</f>
        <v>129965.27777777778</v>
      </c>
      <c r="K89" s="182">
        <f>($G$72-SUM($C$88:J88))*$B$14</f>
        <v>103972.22222222223</v>
      </c>
      <c r="L89" s="182">
        <f>($G$72-SUM($C$88:K88))*$B$14</f>
        <v>77979.166666666657</v>
      </c>
      <c r="M89" s="182">
        <f>($G$72-SUM($C$88:L88))*$B$14</f>
        <v>51986.111111111102</v>
      </c>
      <c r="N89" s="182">
        <f>($G$72-SUM($C$88:M88))*$B$14</f>
        <v>25993.055555555547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273611.11111111112</v>
      </c>
      <c r="L91" s="177">
        <f>IF($B$13&gt;L90,0,IF($H$72-(SUM($C$91:K91)+1)&gt;0,IF($B$12&gt;0,$H$72/$B$12,0),0))</f>
        <v>273611.11111111112</v>
      </c>
      <c r="M91" s="177">
        <f>IF($B$13&gt;M90,0,IF($H$72-(SUM($C$91:L91)+1)&gt;0,IF($B$12&gt;0,$H$72/$B$12,0),0))</f>
        <v>273611.11111111112</v>
      </c>
      <c r="N91" s="177">
        <f>IF($B$13&gt;N90,0,IF($H$72-(SUM($C$91:M91)+1)&gt;0,IF($B$12&gt;0,$H$72/$B$12,0),0))</f>
        <v>273611.11111111112</v>
      </c>
      <c r="O91" s="177">
        <f>IF($B$13&gt;O90,0,IF($H$72-(SUM($C$91:N91)+1)&gt;0,IF($B$12&gt;0,$H$72/$B$12,0),0))</f>
        <v>273611.11111111112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129965.27777777778</v>
      </c>
      <c r="J92" s="182">
        <f>($H$72-SUM($C$91:I91))*$B$14</f>
        <v>129965.27777777778</v>
      </c>
      <c r="K92" s="182">
        <f>($H$72-SUM($C$91:J91))*$B$14</f>
        <v>129965.27777777778</v>
      </c>
      <c r="L92" s="182">
        <f>($H$72-SUM($C$91:K91))*$B$14</f>
        <v>103972.22222222223</v>
      </c>
      <c r="M92" s="182">
        <f>($H$72-SUM($C$91:L91))*$B$14</f>
        <v>77979.166666666657</v>
      </c>
      <c r="N92" s="182">
        <f>($H$72-SUM($C$91:M91))*$B$14</f>
        <v>51986.111111111102</v>
      </c>
      <c r="O92" s="182">
        <f>($H$72-SUM($C$91:N91))*$B$14</f>
        <v>25993.055555555547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256535.2526766145</v>
      </c>
      <c r="E94" s="204">
        <f t="shared" si="29"/>
        <v>489749.11874626402</v>
      </c>
      <c r="F94" s="204">
        <f t="shared" si="29"/>
        <v>701761.7242641272</v>
      </c>
      <c r="G94" s="204">
        <f t="shared" si="29"/>
        <v>894500.45655309386</v>
      </c>
      <c r="H94" s="204">
        <f t="shared" si="29"/>
        <v>1069717.4859066999</v>
      </c>
      <c r="I94" s="204">
        <f t="shared" si="29"/>
        <v>1229005.6944099779</v>
      </c>
      <c r="J94" s="204">
        <f t="shared" si="29"/>
        <v>1229005.6944099779</v>
      </c>
      <c r="K94" s="204">
        <f t="shared" si="29"/>
        <v>1229005.6944099779</v>
      </c>
      <c r="L94" s="204">
        <f t="shared" si="29"/>
        <v>1229005.6944099779</v>
      </c>
      <c r="M94" s="204">
        <f t="shared" si="29"/>
        <v>1229005.6944099779</v>
      </c>
      <c r="N94" s="204">
        <f t="shared" si="29"/>
        <v>1229005.6944099779</v>
      </c>
      <c r="O94" s="204">
        <f t="shared" si="29"/>
        <v>1229005.6944099779</v>
      </c>
      <c r="P94" s="204">
        <f t="shared" si="29"/>
        <v>1229005.6944099779</v>
      </c>
      <c r="Q94" s="204">
        <f t="shared" si="29"/>
        <v>1229005.6944099779</v>
      </c>
      <c r="R94" s="204">
        <f t="shared" si="29"/>
        <v>1229005.6944099779</v>
      </c>
      <c r="S94" s="204">
        <f t="shared" si="29"/>
        <v>1229005.6944099779</v>
      </c>
      <c r="T94" s="204">
        <f t="shared" si="29"/>
        <v>1229005.6944099779</v>
      </c>
      <c r="U94" s="204">
        <f t="shared" si="29"/>
        <v>1229005.6944099779</v>
      </c>
      <c r="V94" s="204">
        <f t="shared" si="29"/>
        <v>1229005.6944099779</v>
      </c>
      <c r="W94" s="204">
        <f t="shared" si="29"/>
        <v>1229005.6944099779</v>
      </c>
      <c r="X94" s="204">
        <f t="shared" si="29"/>
        <v>1229005.6944099779</v>
      </c>
      <c r="Y94" s="204">
        <f t="shared" si="29"/>
        <v>1229005.6944099779</v>
      </c>
      <c r="Z94" s="204">
        <f t="shared" si="29"/>
        <v>1229005.6944099779</v>
      </c>
      <c r="AA94" s="204">
        <f t="shared" si="29"/>
        <v>1229005.6944099779</v>
      </c>
      <c r="AB94" s="204">
        <f t="shared" si="29"/>
        <v>1229005.6944099779</v>
      </c>
      <c r="AC94" s="204">
        <f t="shared" si="29"/>
        <v>1229005.6944099779</v>
      </c>
      <c r="AD94" s="204">
        <f t="shared" si="29"/>
        <v>972470.44173336355</v>
      </c>
      <c r="AE94" s="204">
        <f t="shared" si="29"/>
        <v>739256.57566371397</v>
      </c>
      <c r="AF94" s="204">
        <f t="shared" si="29"/>
        <v>527243.97014585079</v>
      </c>
      <c r="AG94" s="204">
        <f t="shared" si="29"/>
        <v>334505.2378568842</v>
      </c>
      <c r="AH94" s="204">
        <f t="shared" si="29"/>
        <v>159288.20850327823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124368.68686868688</v>
      </c>
      <c r="E95" s="204">
        <f t="shared" si="30"/>
        <v>237431.12947658403</v>
      </c>
      <c r="F95" s="204">
        <f t="shared" si="30"/>
        <v>340215.16821103601</v>
      </c>
      <c r="G95" s="204">
        <f t="shared" si="30"/>
        <v>433655.20342417416</v>
      </c>
      <c r="H95" s="204">
        <f t="shared" si="30"/>
        <v>518600.6899815725</v>
      </c>
      <c r="I95" s="204">
        <f t="shared" si="30"/>
        <v>595823.85957920738</v>
      </c>
      <c r="J95" s="204">
        <f t="shared" si="30"/>
        <v>595823.85957920738</v>
      </c>
      <c r="K95" s="204">
        <f t="shared" si="30"/>
        <v>595823.85957920738</v>
      </c>
      <c r="L95" s="204">
        <f t="shared" si="30"/>
        <v>595823.85957920738</v>
      </c>
      <c r="M95" s="204">
        <f t="shared" si="30"/>
        <v>595823.85957920738</v>
      </c>
      <c r="N95" s="204">
        <f t="shared" si="30"/>
        <v>595823.85957920738</v>
      </c>
      <c r="O95" s="204">
        <f t="shared" si="30"/>
        <v>595823.85957920738</v>
      </c>
      <c r="P95" s="204">
        <f t="shared" si="30"/>
        <v>595823.85957920738</v>
      </c>
      <c r="Q95" s="204">
        <f t="shared" si="30"/>
        <v>595823.85957920738</v>
      </c>
      <c r="R95" s="204">
        <f t="shared" si="30"/>
        <v>595823.85957920738</v>
      </c>
      <c r="S95" s="204">
        <f t="shared" si="30"/>
        <v>595823.85957920738</v>
      </c>
      <c r="T95" s="204">
        <f t="shared" si="30"/>
        <v>595823.85957920738</v>
      </c>
      <c r="U95" s="204">
        <f t="shared" si="30"/>
        <v>595823.85957920738</v>
      </c>
      <c r="V95" s="204">
        <f t="shared" si="30"/>
        <v>595823.85957920738</v>
      </c>
      <c r="W95" s="204">
        <f t="shared" si="30"/>
        <v>595823.85957920738</v>
      </c>
      <c r="X95" s="204">
        <f t="shared" si="30"/>
        <v>595823.85957920738</v>
      </c>
      <c r="Y95" s="204">
        <f t="shared" si="30"/>
        <v>595823.85957920738</v>
      </c>
      <c r="Z95" s="204">
        <f t="shared" si="30"/>
        <v>595823.85957920738</v>
      </c>
      <c r="AA95" s="204">
        <f t="shared" si="30"/>
        <v>595823.85957920738</v>
      </c>
      <c r="AB95" s="204">
        <f t="shared" si="30"/>
        <v>595823.85957920738</v>
      </c>
      <c r="AC95" s="204">
        <f t="shared" si="30"/>
        <v>595823.85957920738</v>
      </c>
      <c r="AD95" s="204">
        <f t="shared" si="30"/>
        <v>471455.17271052051</v>
      </c>
      <c r="AE95" s="204">
        <f t="shared" si="30"/>
        <v>358392.73010262335</v>
      </c>
      <c r="AF95" s="204">
        <f t="shared" si="30"/>
        <v>255608.69136817136</v>
      </c>
      <c r="AG95" s="204">
        <f t="shared" si="30"/>
        <v>162168.65615503321</v>
      </c>
      <c r="AH95" s="204">
        <f t="shared" si="30"/>
        <v>77223.169597634886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132166.56580792763</v>
      </c>
      <c r="E96" s="204">
        <f t="shared" ref="E96:AH96" si="32">E94-E95</f>
        <v>252317.98926967999</v>
      </c>
      <c r="F96" s="204">
        <f t="shared" si="32"/>
        <v>361546.55605309119</v>
      </c>
      <c r="G96" s="204">
        <f t="shared" si="32"/>
        <v>460845.25312891969</v>
      </c>
      <c r="H96" s="204">
        <f t="shared" si="32"/>
        <v>551116.79592512734</v>
      </c>
      <c r="I96" s="204">
        <f t="shared" si="32"/>
        <v>633181.8348307705</v>
      </c>
      <c r="J96" s="204">
        <f t="shared" si="32"/>
        <v>633181.8348307705</v>
      </c>
      <c r="K96" s="204">
        <f t="shared" si="32"/>
        <v>633181.8348307705</v>
      </c>
      <c r="L96" s="204">
        <f t="shared" si="32"/>
        <v>633181.8348307705</v>
      </c>
      <c r="M96" s="204">
        <f t="shared" si="32"/>
        <v>633181.8348307705</v>
      </c>
      <c r="N96" s="204">
        <f t="shared" si="32"/>
        <v>633181.8348307705</v>
      </c>
      <c r="O96" s="204">
        <f t="shared" si="32"/>
        <v>633181.8348307705</v>
      </c>
      <c r="P96" s="204">
        <f t="shared" si="32"/>
        <v>633181.8348307705</v>
      </c>
      <c r="Q96" s="204">
        <f t="shared" si="32"/>
        <v>633181.8348307705</v>
      </c>
      <c r="R96" s="204">
        <f t="shared" si="32"/>
        <v>633181.8348307705</v>
      </c>
      <c r="S96" s="204">
        <f t="shared" si="32"/>
        <v>633181.8348307705</v>
      </c>
      <c r="T96" s="204">
        <f t="shared" si="32"/>
        <v>633181.8348307705</v>
      </c>
      <c r="U96" s="204">
        <f t="shared" si="32"/>
        <v>633181.8348307705</v>
      </c>
      <c r="V96" s="204">
        <f t="shared" si="32"/>
        <v>633181.8348307705</v>
      </c>
      <c r="W96" s="204">
        <f t="shared" si="32"/>
        <v>633181.8348307705</v>
      </c>
      <c r="X96" s="204">
        <f t="shared" si="32"/>
        <v>633181.8348307705</v>
      </c>
      <c r="Y96" s="204">
        <f t="shared" si="32"/>
        <v>633181.8348307705</v>
      </c>
      <c r="Z96" s="204">
        <f t="shared" si="32"/>
        <v>633181.8348307705</v>
      </c>
      <c r="AA96" s="204">
        <f t="shared" si="32"/>
        <v>633181.8348307705</v>
      </c>
      <c r="AB96" s="204">
        <f t="shared" si="32"/>
        <v>633181.8348307705</v>
      </c>
      <c r="AC96" s="204">
        <f t="shared" si="32"/>
        <v>633181.8348307705</v>
      </c>
      <c r="AD96" s="204">
        <f t="shared" si="32"/>
        <v>501015.26902284304</v>
      </c>
      <c r="AE96" s="204">
        <f t="shared" si="32"/>
        <v>380863.84556109062</v>
      </c>
      <c r="AF96" s="204">
        <f t="shared" si="32"/>
        <v>271635.27877767943</v>
      </c>
      <c r="AG96" s="204">
        <f t="shared" si="32"/>
        <v>172336.58170185098</v>
      </c>
      <c r="AH96" s="204">
        <f t="shared" si="32"/>
        <v>82065.038905643349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129965.27777777778</v>
      </c>
      <c r="E97" s="204">
        <f t="shared" si="33"/>
        <v>259930.55555555556</v>
      </c>
      <c r="F97" s="204">
        <f t="shared" si="33"/>
        <v>389895.83333333337</v>
      </c>
      <c r="G97" s="204">
        <f t="shared" si="33"/>
        <v>493868.0555555555</v>
      </c>
      <c r="H97" s="204">
        <f t="shared" si="33"/>
        <v>571847.22222222213</v>
      </c>
      <c r="I97" s="204">
        <f t="shared" si="33"/>
        <v>623833.33333333326</v>
      </c>
      <c r="J97" s="204">
        <f t="shared" si="33"/>
        <v>519861.11111111112</v>
      </c>
      <c r="K97" s="204">
        <f t="shared" si="33"/>
        <v>389895.83333333337</v>
      </c>
      <c r="L97" s="204">
        <f t="shared" si="33"/>
        <v>259930.55555555556</v>
      </c>
      <c r="M97" s="204">
        <f t="shared" si="33"/>
        <v>155958.33333333331</v>
      </c>
      <c r="N97" s="204">
        <f t="shared" si="33"/>
        <v>77979.166666666657</v>
      </c>
      <c r="O97" s="204">
        <f t="shared" si="33"/>
        <v>25993.055555555547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2201.2880301498517</v>
      </c>
      <c r="E98" s="204">
        <f t="shared" ref="E98:AH98" si="34">E96-E97</f>
        <v>-7612.5662858755677</v>
      </c>
      <c r="F98" s="204">
        <f t="shared" si="34"/>
        <v>-28349.277280242182</v>
      </c>
      <c r="G98" s="204">
        <f t="shared" si="34"/>
        <v>-33022.802426635812</v>
      </c>
      <c r="H98" s="204">
        <f t="shared" si="34"/>
        <v>-20730.426297094789</v>
      </c>
      <c r="I98" s="204">
        <f t="shared" si="34"/>
        <v>9348.5014974372461</v>
      </c>
      <c r="J98" s="204">
        <f t="shared" si="34"/>
        <v>113320.72371965938</v>
      </c>
      <c r="K98" s="204">
        <f t="shared" si="34"/>
        <v>243286.00149743713</v>
      </c>
      <c r="L98" s="204">
        <f t="shared" si="34"/>
        <v>373251.27927521494</v>
      </c>
      <c r="M98" s="204">
        <f t="shared" si="34"/>
        <v>477223.50149743719</v>
      </c>
      <c r="N98" s="204">
        <f t="shared" si="34"/>
        <v>555202.66816410387</v>
      </c>
      <c r="O98" s="204">
        <f t="shared" si="34"/>
        <v>607188.779275215</v>
      </c>
      <c r="P98" s="204">
        <f t="shared" si="34"/>
        <v>633181.8348307705</v>
      </c>
      <c r="Q98" s="204">
        <f t="shared" si="34"/>
        <v>633181.8348307705</v>
      </c>
      <c r="R98" s="204">
        <f t="shared" si="34"/>
        <v>633181.8348307705</v>
      </c>
      <c r="S98" s="204">
        <f t="shared" si="34"/>
        <v>633181.8348307705</v>
      </c>
      <c r="T98" s="204">
        <f t="shared" si="34"/>
        <v>633181.8348307705</v>
      </c>
      <c r="U98" s="204">
        <f t="shared" si="34"/>
        <v>633181.8348307705</v>
      </c>
      <c r="V98" s="204">
        <f t="shared" si="34"/>
        <v>633181.8348307705</v>
      </c>
      <c r="W98" s="204">
        <f t="shared" si="34"/>
        <v>633181.8348307705</v>
      </c>
      <c r="X98" s="204">
        <f t="shared" si="34"/>
        <v>633181.8348307705</v>
      </c>
      <c r="Y98" s="204">
        <f t="shared" si="34"/>
        <v>633181.8348307705</v>
      </c>
      <c r="Z98" s="204">
        <f t="shared" si="34"/>
        <v>633181.8348307705</v>
      </c>
      <c r="AA98" s="204">
        <f t="shared" si="34"/>
        <v>633181.8348307705</v>
      </c>
      <c r="AB98" s="204">
        <f t="shared" si="34"/>
        <v>633181.8348307705</v>
      </c>
      <c r="AC98" s="204">
        <f t="shared" si="34"/>
        <v>633181.8348307705</v>
      </c>
      <c r="AD98" s="204">
        <f t="shared" si="34"/>
        <v>501015.26902284304</v>
      </c>
      <c r="AE98" s="204">
        <f t="shared" si="34"/>
        <v>380863.84556109062</v>
      </c>
      <c r="AF98" s="204">
        <f t="shared" si="34"/>
        <v>271635.27877767943</v>
      </c>
      <c r="AG98" s="204">
        <f t="shared" si="34"/>
        <v>172336.58170185098</v>
      </c>
      <c r="AH98" s="204">
        <f t="shared" si="34"/>
        <v>82065.038905643349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2201.2880301498517</v>
      </c>
      <c r="E100" s="204">
        <f t="shared" ref="E100:AH100" si="35">E98+E99</f>
        <v>-7612.5662858755677</v>
      </c>
      <c r="F100" s="204">
        <f t="shared" si="35"/>
        <v>-28349.277280242182</v>
      </c>
      <c r="G100" s="204">
        <f t="shared" si="35"/>
        <v>-33022.802426635812</v>
      </c>
      <c r="H100" s="204">
        <f t="shared" si="35"/>
        <v>-20730.426297094789</v>
      </c>
      <c r="I100" s="204">
        <f t="shared" si="35"/>
        <v>9348.5014974372461</v>
      </c>
      <c r="J100" s="204">
        <f t="shared" si="35"/>
        <v>113320.72371965938</v>
      </c>
      <c r="K100" s="204">
        <f t="shared" si="35"/>
        <v>243286.00149743713</v>
      </c>
      <c r="L100" s="204">
        <f t="shared" si="35"/>
        <v>373251.27927521494</v>
      </c>
      <c r="M100" s="204">
        <f t="shared" si="35"/>
        <v>477223.50149743719</v>
      </c>
      <c r="N100" s="204">
        <f t="shared" si="35"/>
        <v>555202.66816410387</v>
      </c>
      <c r="O100" s="204">
        <f t="shared" si="35"/>
        <v>607188.779275215</v>
      </c>
      <c r="P100" s="204">
        <f t="shared" si="35"/>
        <v>633181.8348307705</v>
      </c>
      <c r="Q100" s="204">
        <f t="shared" si="35"/>
        <v>633181.8348307705</v>
      </c>
      <c r="R100" s="204">
        <f t="shared" si="35"/>
        <v>633181.8348307705</v>
      </c>
      <c r="S100" s="204">
        <f t="shared" si="35"/>
        <v>633181.8348307705</v>
      </c>
      <c r="T100" s="204">
        <f t="shared" si="35"/>
        <v>633181.8348307705</v>
      </c>
      <c r="U100" s="204">
        <f t="shared" si="35"/>
        <v>633181.8348307705</v>
      </c>
      <c r="V100" s="204">
        <f t="shared" si="35"/>
        <v>633181.8348307705</v>
      </c>
      <c r="W100" s="204">
        <f t="shared" si="35"/>
        <v>633181.8348307705</v>
      </c>
      <c r="X100" s="204">
        <f t="shared" si="35"/>
        <v>633181.8348307705</v>
      </c>
      <c r="Y100" s="204">
        <f t="shared" si="35"/>
        <v>633181.8348307705</v>
      </c>
      <c r="Z100" s="204">
        <f t="shared" si="35"/>
        <v>633181.8348307705</v>
      </c>
      <c r="AA100" s="204">
        <f t="shared" si="35"/>
        <v>633181.8348307705</v>
      </c>
      <c r="AB100" s="204">
        <f t="shared" si="35"/>
        <v>633181.8348307705</v>
      </c>
      <c r="AC100" s="204">
        <f t="shared" si="35"/>
        <v>633181.8348307705</v>
      </c>
      <c r="AD100" s="204">
        <f t="shared" si="35"/>
        <v>501015.26902284304</v>
      </c>
      <c r="AE100" s="204">
        <f t="shared" si="35"/>
        <v>380863.84556109062</v>
      </c>
      <c r="AF100" s="204">
        <f t="shared" si="35"/>
        <v>271635.27877767943</v>
      </c>
      <c r="AG100" s="204">
        <f t="shared" si="35"/>
        <v>172336.58170185098</v>
      </c>
      <c r="AH100" s="204">
        <f t="shared" si="35"/>
        <v>82065.038905643349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660.38640904495549</v>
      </c>
      <c r="E101" s="204">
        <f t="shared" ref="E101:AH101" si="36">IF(E100*$B$17&gt;0,E100*$B$17,0)</f>
        <v>0</v>
      </c>
      <c r="F101" s="204">
        <f t="shared" si="36"/>
        <v>0</v>
      </c>
      <c r="G101" s="204">
        <f t="shared" si="36"/>
        <v>0</v>
      </c>
      <c r="H101" s="204">
        <f t="shared" si="36"/>
        <v>0</v>
      </c>
      <c r="I101" s="204">
        <f t="shared" si="36"/>
        <v>2804.5504492311738</v>
      </c>
      <c r="J101" s="204">
        <f t="shared" si="36"/>
        <v>33996.217115897809</v>
      </c>
      <c r="K101" s="204">
        <f t="shared" si="36"/>
        <v>72985.80044923113</v>
      </c>
      <c r="L101" s="204">
        <f t="shared" si="36"/>
        <v>111975.38378256447</v>
      </c>
      <c r="M101" s="204">
        <f t="shared" si="36"/>
        <v>143167.05044923114</v>
      </c>
      <c r="N101" s="204">
        <f t="shared" si="36"/>
        <v>166560.80044923114</v>
      </c>
      <c r="O101" s="204">
        <f t="shared" si="36"/>
        <v>182156.63378256449</v>
      </c>
      <c r="P101" s="204">
        <f t="shared" si="36"/>
        <v>189954.55044923114</v>
      </c>
      <c r="Q101" s="204">
        <f t="shared" si="36"/>
        <v>189954.55044923114</v>
      </c>
      <c r="R101" s="204">
        <f t="shared" si="36"/>
        <v>189954.55044923114</v>
      </c>
      <c r="S101" s="204">
        <f t="shared" si="36"/>
        <v>189954.55044923114</v>
      </c>
      <c r="T101" s="204">
        <f t="shared" si="36"/>
        <v>189954.55044923114</v>
      </c>
      <c r="U101" s="204">
        <f t="shared" si="36"/>
        <v>189954.55044923114</v>
      </c>
      <c r="V101" s="204">
        <f t="shared" si="36"/>
        <v>189954.55044923114</v>
      </c>
      <c r="W101" s="204">
        <f t="shared" si="36"/>
        <v>189954.55044923114</v>
      </c>
      <c r="X101" s="204">
        <f t="shared" si="36"/>
        <v>189954.55044923114</v>
      </c>
      <c r="Y101" s="204">
        <f t="shared" si="36"/>
        <v>189954.55044923114</v>
      </c>
      <c r="Z101" s="204">
        <f t="shared" si="36"/>
        <v>189954.55044923114</v>
      </c>
      <c r="AA101" s="204">
        <f t="shared" si="36"/>
        <v>189954.55044923114</v>
      </c>
      <c r="AB101" s="204">
        <f t="shared" si="36"/>
        <v>189954.55044923114</v>
      </c>
      <c r="AC101" s="204">
        <f t="shared" si="36"/>
        <v>189954.55044923114</v>
      </c>
      <c r="AD101" s="204">
        <f t="shared" si="36"/>
        <v>150304.5807068529</v>
      </c>
      <c r="AE101" s="204">
        <f t="shared" si="36"/>
        <v>114259.15366832718</v>
      </c>
      <c r="AF101" s="204">
        <f t="shared" si="36"/>
        <v>81490.583633303831</v>
      </c>
      <c r="AG101" s="204">
        <f t="shared" si="36"/>
        <v>51700.974510555294</v>
      </c>
      <c r="AH101" s="204">
        <f t="shared" si="36"/>
        <v>24619.511671693002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1540.9016211048961</v>
      </c>
      <c r="E102" s="204">
        <f t="shared" ref="E102:AH102" si="37">E100-E101</f>
        <v>-7612.5662858755677</v>
      </c>
      <c r="F102" s="204">
        <f t="shared" si="37"/>
        <v>-28349.277280242182</v>
      </c>
      <c r="G102" s="204">
        <f t="shared" si="37"/>
        <v>-33022.802426635812</v>
      </c>
      <c r="H102" s="204">
        <f t="shared" si="37"/>
        <v>-20730.426297094789</v>
      </c>
      <c r="I102" s="204">
        <f t="shared" si="37"/>
        <v>6543.9510482060723</v>
      </c>
      <c r="J102" s="204">
        <f t="shared" si="37"/>
        <v>79324.506603761576</v>
      </c>
      <c r="K102" s="204">
        <f t="shared" si="37"/>
        <v>170300.20104820601</v>
      </c>
      <c r="L102" s="204">
        <f t="shared" si="37"/>
        <v>261275.89549265045</v>
      </c>
      <c r="M102" s="204">
        <f t="shared" si="37"/>
        <v>334056.45104820607</v>
      </c>
      <c r="N102" s="204">
        <f t="shared" si="37"/>
        <v>388641.8677148727</v>
      </c>
      <c r="O102" s="204">
        <f t="shared" si="37"/>
        <v>425032.14549265051</v>
      </c>
      <c r="P102" s="204">
        <f t="shared" si="37"/>
        <v>443227.28438153933</v>
      </c>
      <c r="Q102" s="204">
        <f t="shared" si="37"/>
        <v>443227.28438153933</v>
      </c>
      <c r="R102" s="204">
        <f t="shared" si="37"/>
        <v>443227.28438153933</v>
      </c>
      <c r="S102" s="204">
        <f t="shared" si="37"/>
        <v>443227.28438153933</v>
      </c>
      <c r="T102" s="204">
        <f t="shared" si="37"/>
        <v>443227.28438153933</v>
      </c>
      <c r="U102" s="204">
        <f t="shared" si="37"/>
        <v>443227.28438153933</v>
      </c>
      <c r="V102" s="204">
        <f t="shared" si="37"/>
        <v>443227.28438153933</v>
      </c>
      <c r="W102" s="204">
        <f t="shared" si="37"/>
        <v>443227.28438153933</v>
      </c>
      <c r="X102" s="204">
        <f t="shared" si="37"/>
        <v>443227.28438153933</v>
      </c>
      <c r="Y102" s="204">
        <f t="shared" si="37"/>
        <v>443227.28438153933</v>
      </c>
      <c r="Z102" s="204">
        <f t="shared" si="37"/>
        <v>443227.28438153933</v>
      </c>
      <c r="AA102" s="204">
        <f t="shared" si="37"/>
        <v>443227.28438153933</v>
      </c>
      <c r="AB102" s="204">
        <f t="shared" si="37"/>
        <v>443227.28438153933</v>
      </c>
      <c r="AC102" s="204">
        <f t="shared" si="37"/>
        <v>443227.28438153933</v>
      </c>
      <c r="AD102" s="204">
        <f t="shared" si="37"/>
        <v>350710.68831599015</v>
      </c>
      <c r="AE102" s="204">
        <f t="shared" si="37"/>
        <v>266604.69189276343</v>
      </c>
      <c r="AF102" s="204">
        <f t="shared" si="37"/>
        <v>190144.69514437561</v>
      </c>
      <c r="AG102" s="204">
        <f t="shared" si="37"/>
        <v>120635.60719129568</v>
      </c>
      <c r="AH102" s="204">
        <f t="shared" si="37"/>
        <v>57445.527233950343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-1368055.5555555555</v>
      </c>
      <c r="D103" s="204">
        <f t="shared" ref="D103:AH103" si="38">D102-D72</f>
        <v>-1366514.6539344506</v>
      </c>
      <c r="E103" s="204">
        <f t="shared" si="38"/>
        <v>-1375668.1218414311</v>
      </c>
      <c r="F103" s="204">
        <f t="shared" si="38"/>
        <v>-1396404.8328357977</v>
      </c>
      <c r="G103" s="204">
        <f t="shared" si="38"/>
        <v>-1401078.3579821913</v>
      </c>
      <c r="H103" s="204">
        <f t="shared" si="38"/>
        <v>-1388785.9818526502</v>
      </c>
      <c r="I103" s="204">
        <f t="shared" si="38"/>
        <v>6543.9510482060723</v>
      </c>
      <c r="J103" s="204">
        <f t="shared" si="38"/>
        <v>79324.506603761576</v>
      </c>
      <c r="K103" s="204">
        <f t="shared" si="38"/>
        <v>170300.20104820601</v>
      </c>
      <c r="L103" s="204">
        <f t="shared" si="38"/>
        <v>261275.89549265045</v>
      </c>
      <c r="M103" s="204">
        <f t="shared" si="38"/>
        <v>334056.45104820607</v>
      </c>
      <c r="N103" s="204">
        <f t="shared" si="38"/>
        <v>388641.8677148727</v>
      </c>
      <c r="O103" s="204">
        <f t="shared" si="38"/>
        <v>425032.14549265051</v>
      </c>
      <c r="P103" s="204">
        <f t="shared" si="38"/>
        <v>443227.28438153933</v>
      </c>
      <c r="Q103" s="204">
        <f t="shared" si="38"/>
        <v>443227.28438153933</v>
      </c>
      <c r="R103" s="204">
        <f t="shared" si="38"/>
        <v>443227.28438153933</v>
      </c>
      <c r="S103" s="204">
        <f t="shared" si="38"/>
        <v>443227.28438153933</v>
      </c>
      <c r="T103" s="204">
        <f t="shared" si="38"/>
        <v>443227.28438153933</v>
      </c>
      <c r="U103" s="204">
        <f t="shared" si="38"/>
        <v>443227.28438153933</v>
      </c>
      <c r="V103" s="204">
        <f t="shared" si="38"/>
        <v>443227.28438153933</v>
      </c>
      <c r="W103" s="204">
        <f t="shared" si="38"/>
        <v>443227.28438153933</v>
      </c>
      <c r="X103" s="204">
        <f t="shared" si="38"/>
        <v>443227.28438153933</v>
      </c>
      <c r="Y103" s="204">
        <f t="shared" si="38"/>
        <v>443227.28438153933</v>
      </c>
      <c r="Z103" s="204">
        <f t="shared" si="38"/>
        <v>443227.28438153933</v>
      </c>
      <c r="AA103" s="204">
        <f t="shared" si="38"/>
        <v>443227.28438153933</v>
      </c>
      <c r="AB103" s="204">
        <f t="shared" si="38"/>
        <v>443227.28438153933</v>
      </c>
      <c r="AC103" s="204">
        <f t="shared" si="38"/>
        <v>443227.28438153933</v>
      </c>
      <c r="AD103" s="204">
        <f t="shared" si="38"/>
        <v>350710.68831599015</v>
      </c>
      <c r="AE103" s="204">
        <f t="shared" si="38"/>
        <v>266604.69189276343</v>
      </c>
      <c r="AF103" s="204">
        <f t="shared" si="38"/>
        <v>190144.69514437561</v>
      </c>
      <c r="AG103" s="204">
        <f t="shared" si="38"/>
        <v>120635.60719129568</v>
      </c>
      <c r="AH103" s="204">
        <f t="shared" si="38"/>
        <v>57445.527233950343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-1368055.5555555555</v>
      </c>
      <c r="D104" s="204">
        <f t="shared" si="39"/>
        <v>-1193078.0223505292</v>
      </c>
      <c r="E104" s="204">
        <f t="shared" si="39"/>
        <v>-1043313.1219285229</v>
      </c>
      <c r="F104" s="204">
        <f t="shared" si="39"/>
        <v>-918339.2104668346</v>
      </c>
      <c r="G104" s="204">
        <f t="shared" si="39"/>
        <v>-789315.94846158149</v>
      </c>
      <c r="H104" s="204">
        <f t="shared" si="39"/>
        <v>-654252.84130359045</v>
      </c>
      <c r="I104" s="204">
        <f t="shared" si="39"/>
        <v>853912.94713161397</v>
      </c>
      <c r="J104" s="204">
        <f t="shared" si="39"/>
        <v>930238.85012647347</v>
      </c>
      <c r="K104" s="204">
        <f t="shared" si="39"/>
        <v>1024848.5256962044</v>
      </c>
      <c r="L104" s="204">
        <f t="shared" si="39"/>
        <v>1119549.0507940676</v>
      </c>
      <c r="M104" s="204">
        <f t="shared" si="39"/>
        <v>1196147.5577693773</v>
      </c>
      <c r="N104" s="204">
        <f t="shared" si="39"/>
        <v>1254646.3746412918</v>
      </c>
      <c r="O104" s="204">
        <f t="shared" si="39"/>
        <v>1295047.8876294489</v>
      </c>
      <c r="P104" s="204">
        <f t="shared" si="39"/>
        <v>1317354.5426089764</v>
      </c>
      <c r="Q104" s="204">
        <f t="shared" si="39"/>
        <v>1321568.8466018811</v>
      </c>
      <c r="R104" s="204">
        <f t="shared" si="39"/>
        <v>1325888.5081946084</v>
      </c>
      <c r="S104" s="204">
        <f t="shared" si="39"/>
        <v>1330316.1613271539</v>
      </c>
      <c r="T104" s="204">
        <f t="shared" si="39"/>
        <v>1334854.5057880129</v>
      </c>
      <c r="U104" s="204">
        <f t="shared" si="39"/>
        <v>1339506.3088603935</v>
      </c>
      <c r="V104" s="204">
        <f t="shared" si="39"/>
        <v>1344274.4070095837</v>
      </c>
      <c r="W104" s="204">
        <f t="shared" si="39"/>
        <v>1349161.7076125033</v>
      </c>
      <c r="X104" s="204">
        <f t="shared" si="39"/>
        <v>1354171.1907304963</v>
      </c>
      <c r="Y104" s="204">
        <f t="shared" si="39"/>
        <v>1359305.9109264389</v>
      </c>
      <c r="Z104" s="204">
        <f t="shared" si="39"/>
        <v>1364568.9991272802</v>
      </c>
      <c r="AA104" s="204">
        <f t="shared" si="39"/>
        <v>1369963.6645331425</v>
      </c>
      <c r="AB104" s="204">
        <f t="shared" si="39"/>
        <v>1375493.1965741511</v>
      </c>
      <c r="AC104" s="204">
        <f t="shared" si="39"/>
        <v>1148782.3828927896</v>
      </c>
      <c r="AD104" s="204">
        <f t="shared" si="39"/>
        <v>908992.46149024775</v>
      </c>
      <c r="AE104" s="204">
        <f t="shared" si="39"/>
        <v>691001.62385157321</v>
      </c>
      <c r="AF104" s="204">
        <f t="shared" si="39"/>
        <v>492828.1350891419</v>
      </c>
      <c r="AG104" s="204">
        <f t="shared" si="39"/>
        <v>312670.41803238611</v>
      </c>
      <c r="AH104" s="204">
        <f t="shared" si="39"/>
        <v>148890.67525351723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1.0118562561281914</v>
      </c>
      <c r="E108" s="216">
        <f t="shared" ref="E108:G108" si="40">(E102+E71+E70)/(E70+E71)</f>
        <v>0.97071307653844296</v>
      </c>
      <c r="F108" s="216">
        <f t="shared" si="40"/>
        <v>0.95727357864509</v>
      </c>
      <c r="G108" s="216">
        <f t="shared" si="40"/>
        <v>0.96828055824599246</v>
      </c>
      <c r="H108" s="216">
        <f>(H102+H71+H70)/(H70+H71)</f>
        <v>0.9851147298535915</v>
      </c>
      <c r="I108" s="216">
        <f>(I102+I71+I70)/(I70+I71)</f>
        <v>1.0038084360589643</v>
      </c>
      <c r="J108" s="216">
        <f t="shared" ref="J108:N108" si="41">(J102+J71+J70)/(J70+J71)</f>
        <v>1.0420169533985937</v>
      </c>
      <c r="K108" s="216">
        <f t="shared" si="41"/>
        <v>1.0968742378910965</v>
      </c>
      <c r="L108" s="216">
        <f t="shared" si="41"/>
        <v>1.1929125208990499</v>
      </c>
      <c r="M108" s="216">
        <f t="shared" si="41"/>
        <v>1.3419935513866377</v>
      </c>
      <c r="N108" s="216">
        <f t="shared" si="41"/>
        <v>1.6216266864115081</v>
      </c>
      <c r="O108" s="216">
        <f>(O102+O71+O70)/(O70+O71)</f>
        <v>2.418645642420362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1.2175930189897934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1.0118562561281914</v>
      </c>
      <c r="E110" s="216">
        <f t="shared" si="43"/>
        <v>0.97071307653844296</v>
      </c>
      <c r="F110" s="216">
        <f t="shared" si="43"/>
        <v>0.95727357864509</v>
      </c>
      <c r="G110" s="216">
        <f t="shared" si="43"/>
        <v>0.96828055824599246</v>
      </c>
      <c r="H110" s="216">
        <f t="shared" si="43"/>
        <v>0.9851147298535915</v>
      </c>
      <c r="I110" s="216">
        <f t="shared" si="43"/>
        <v>1.0038084360589643</v>
      </c>
      <c r="J110" s="216">
        <f t="shared" si="43"/>
        <v>1.0420169533985937</v>
      </c>
      <c r="K110" s="216">
        <f t="shared" si="43"/>
        <v>1.0968742378910965</v>
      </c>
      <c r="L110" s="216">
        <f t="shared" si="43"/>
        <v>1.1929125208990499</v>
      </c>
      <c r="M110" s="216">
        <f t="shared" si="43"/>
        <v>1.3419935513866377</v>
      </c>
      <c r="N110" s="216">
        <f t="shared" si="43"/>
        <v>1.6216266864115081</v>
      </c>
      <c r="O110" s="216">
        <f t="shared" si="43"/>
        <v>2.418645642420362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1.2175930189897934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1.0118562561281914</v>
      </c>
      <c r="E112" s="216">
        <f t="shared" si="44"/>
        <v>0.97071307653844296</v>
      </c>
      <c r="F112" s="216">
        <f t="shared" si="44"/>
        <v>0.95727357864509</v>
      </c>
      <c r="G112" s="216">
        <f t="shared" si="44"/>
        <v>0.96828055824599246</v>
      </c>
      <c r="H112" s="216">
        <f t="shared" si="44"/>
        <v>0.9851147298535915</v>
      </c>
      <c r="I112" s="216">
        <f t="shared" si="44"/>
        <v>1.0038084360589643</v>
      </c>
      <c r="J112" s="216">
        <f t="shared" si="44"/>
        <v>1.0420169533985937</v>
      </c>
      <c r="K112" s="216">
        <f t="shared" si="44"/>
        <v>1.0968742378910965</v>
      </c>
      <c r="L112" s="216">
        <f t="shared" si="44"/>
        <v>1.1929125208990499</v>
      </c>
      <c r="M112" s="216">
        <f t="shared" si="44"/>
        <v>1.3419935513866377</v>
      </c>
      <c r="N112" s="216">
        <f t="shared" si="44"/>
        <v>1.6216266864115081</v>
      </c>
      <c r="O112" s="216">
        <f t="shared" si="44"/>
        <v>2.418645642420362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1.2175930189897934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F6C4-30B0-4813-B48A-0F36BAB570F0}">
  <dimension ref="A1:BV114"/>
  <sheetViews>
    <sheetView topLeftCell="A32" zoomScale="50" zoomScaleNormal="50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7">
        <v>0.1</v>
      </c>
      <c r="C3" s="268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271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271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73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73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73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2">
        <v>0.6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3" t="s">
        <v>13</v>
      </c>
      <c r="C20" s="110"/>
      <c r="D20" s="304" t="s">
        <v>1</v>
      </c>
      <c r="E20" s="305"/>
      <c r="F20" s="305"/>
      <c r="G20" s="305"/>
      <c r="H20" s="305"/>
      <c r="I20" s="306"/>
      <c r="J20" s="50"/>
    </row>
    <row r="21" spans="1:34" x14ac:dyDescent="0.25">
      <c r="B21" s="303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C28*(Interventions!$G$7)</f>
        <v>124368.68686868688</v>
      </c>
      <c r="E26" s="27">
        <f>D28*(Interventions!$G$7)</f>
        <v>237431.12947658403</v>
      </c>
      <c r="F26" s="27">
        <f>E28*(Interventions!$G$7)</f>
        <v>340215.16821103601</v>
      </c>
      <c r="G26" s="27">
        <f>F28*(Interventions!$G$7)</f>
        <v>433655.20342417416</v>
      </c>
      <c r="H26" s="27">
        <f>G28*(Interventions!$G$7)</f>
        <v>518600.6899815725</v>
      </c>
      <c r="I26" s="27">
        <f>H28*(Interventions!$G$7)</f>
        <v>595823.85957920738</v>
      </c>
      <c r="J26" s="27">
        <f>I28*(Interventions!$G$7)</f>
        <v>595823.85957920738</v>
      </c>
      <c r="K26" s="27">
        <f>J28*(Interventions!$G$7)</f>
        <v>595823.85957920738</v>
      </c>
      <c r="L26" s="27">
        <f>K28*(Interventions!$G$7)</f>
        <v>595823.85957920738</v>
      </c>
      <c r="M26" s="27">
        <f>L28*(Interventions!$G$7)</f>
        <v>595823.85957920738</v>
      </c>
      <c r="N26" s="27">
        <f>M28*(Interventions!$G$7)</f>
        <v>595823.85957920738</v>
      </c>
      <c r="O26" s="27">
        <f>N28*(Interventions!$G$7)</f>
        <v>595823.85957920738</v>
      </c>
      <c r="P26" s="27">
        <f>O28*(Interventions!$G$7)</f>
        <v>595823.85957920738</v>
      </c>
      <c r="Q26" s="27">
        <f>P28*(Interventions!$G$7)</f>
        <v>595823.85957920738</v>
      </c>
      <c r="R26" s="27">
        <f>Q28*(Interventions!$G$7)</f>
        <v>595823.85957920738</v>
      </c>
      <c r="S26" s="27">
        <f>R28*(Interventions!$G$7)</f>
        <v>595823.85957920738</v>
      </c>
      <c r="T26" s="27">
        <f>S28*(Interventions!$G$7)</f>
        <v>595823.85957920738</v>
      </c>
      <c r="U26" s="27">
        <f>T28*(Interventions!$G$7)</f>
        <v>595823.85957920738</v>
      </c>
      <c r="V26" s="27">
        <f>U28*(Interventions!$G$7)</f>
        <v>595823.85957920738</v>
      </c>
      <c r="W26" s="27">
        <f>V28*(Interventions!$G$7)</f>
        <v>595823.85957920738</v>
      </c>
      <c r="X26" s="27">
        <f>W28*(Interventions!$G$7)</f>
        <v>595823.85957920738</v>
      </c>
      <c r="Y26" s="27">
        <f>X28*(Interventions!$G$7)</f>
        <v>595823.85957920738</v>
      </c>
      <c r="Z26" s="27">
        <f>Y28*(Interventions!$G$7)</f>
        <v>595823.85957920738</v>
      </c>
      <c r="AA26" s="27">
        <f>Z28*(Interventions!$G$7)</f>
        <v>595823.85957920738</v>
      </c>
      <c r="AB26" s="27">
        <f>AA28*(Interventions!$G$7)</f>
        <v>595823.85957920738</v>
      </c>
      <c r="AC26" s="27">
        <f>AB28*(Interventions!$G$7)</f>
        <v>595823.85957920738</v>
      </c>
      <c r="AD26" s="27">
        <f>AC28*(Interventions!$G$7)</f>
        <v>471455.17271052051</v>
      </c>
      <c r="AE26" s="27">
        <f>AD28*(Interventions!$G$7)</f>
        <v>358392.73010262335</v>
      </c>
      <c r="AF26" s="27">
        <f>AE28*(Interventions!$G$7)</f>
        <v>255608.69136817136</v>
      </c>
      <c r="AG26" s="27">
        <f>AF28*(Interventions!$G$7)</f>
        <v>162168.65615503321</v>
      </c>
      <c r="AH26" s="27">
        <f>AG28*(Interventions!$G$7)</f>
        <v>77223.169597634886</v>
      </c>
    </row>
    <row r="27" spans="1:34" x14ac:dyDescent="0.25">
      <c r="A27" s="41" t="s">
        <v>146</v>
      </c>
      <c r="B27" s="10" t="s">
        <v>134</v>
      </c>
      <c r="C27" s="45">
        <f>E3</f>
        <v>45.454730042281668</v>
      </c>
      <c r="D27" s="45">
        <f>D25/(Interventions!$G$6+Interventions!$G$7)</f>
        <v>41.322481856619696</v>
      </c>
      <c r="E27" s="45">
        <f>E25/(Interventions!$G$6+Interventions!$G$7)</f>
        <v>37.565892596927</v>
      </c>
      <c r="F27" s="45">
        <f>F25/(Interventions!$G$6+Interventions!$G$7)</f>
        <v>34.150811451751814</v>
      </c>
      <c r="G27" s="45">
        <f>G25/(Interventions!$G$6+Interventions!$G$7)</f>
        <v>31.046192228865287</v>
      </c>
      <c r="H27" s="45">
        <f>H25/(Interventions!$G$6+Interventions!$G$7)</f>
        <v>28.223811117150255</v>
      </c>
      <c r="I27" s="45">
        <f>I25/(Interventions!$G$6+Interventions!$G$7)</f>
        <v>0</v>
      </c>
      <c r="J27" s="45">
        <f>J25/(Interventions!$G$6+Interventions!$G$7)</f>
        <v>0</v>
      </c>
      <c r="K27" s="45">
        <f>K25/(Interventions!$G$6+Interventions!$G$7)</f>
        <v>0</v>
      </c>
      <c r="L27" s="45">
        <f>L25/(Interventions!$G$6+Interventions!$G$7)</f>
        <v>0</v>
      </c>
      <c r="M27" s="45">
        <f>M25/(Interventions!$G$6+Interventions!$G$7)</f>
        <v>0</v>
      </c>
      <c r="N27" s="45">
        <f>N25/(Interventions!$G$6+Interventions!$G$7)</f>
        <v>0</v>
      </c>
      <c r="O27" s="45">
        <f>O25/(Interventions!$G$6+Interventions!$G$7)</f>
        <v>0</v>
      </c>
      <c r="P27" s="45">
        <f>P25/(Interventions!$G$6+Interventions!$G$7)</f>
        <v>0</v>
      </c>
      <c r="Q27" s="45">
        <f>Q25/(Interventions!$G$6+Interventions!$G$7)</f>
        <v>0</v>
      </c>
      <c r="R27" s="45">
        <f>R25/(Interventions!$G$6+Interventions!$G$7)</f>
        <v>0</v>
      </c>
      <c r="S27" s="45">
        <f>S25/(Interventions!$G$6+Interventions!$G$7)</f>
        <v>0</v>
      </c>
      <c r="T27" s="45">
        <f>T25/(Interventions!$G$6+Interventions!$G$7)</f>
        <v>0</v>
      </c>
      <c r="U27" s="45">
        <f>U25/(Interventions!$G$6+Interventions!$G$7)</f>
        <v>0</v>
      </c>
      <c r="V27" s="45">
        <f>V25/(Interventions!$G$6+Interventions!$G$7)</f>
        <v>0</v>
      </c>
      <c r="W27" s="45">
        <f>W25/(Interventions!$G$6+Interventions!$G$7)</f>
        <v>0</v>
      </c>
      <c r="X27" s="45">
        <f>X25/(Interventions!$G$6+Interventions!$G$7)</f>
        <v>0</v>
      </c>
      <c r="Y27" s="45">
        <f>Y25/(Interventions!$G$6+Interventions!$G$7)</f>
        <v>0</v>
      </c>
      <c r="Z27" s="45">
        <f>Z25/(Interventions!$G$6+Interventions!$G$7)</f>
        <v>0</v>
      </c>
      <c r="AA27" s="45">
        <f>AA25/(Interventions!$G$6+Interventions!$G$7)</f>
        <v>0</v>
      </c>
      <c r="AB27" s="45">
        <f>AB25/(Interventions!$G$6+Interventions!$G$7)</f>
        <v>0</v>
      </c>
      <c r="AC27" s="45">
        <f>AC25/(Interventions!$G$6+Interventions!$G$7)</f>
        <v>0</v>
      </c>
      <c r="AD27" s="45">
        <f>AD25/(Interventions!$G$6+Interventions!$G$7)</f>
        <v>0</v>
      </c>
      <c r="AE27" s="45">
        <f>AE25/(Interventions!$G$6+Interventions!$G$7)</f>
        <v>0</v>
      </c>
      <c r="AF27" s="45">
        <f>AF25/(Interventions!$G$6+Interventions!$G$7)</f>
        <v>0</v>
      </c>
      <c r="AG27" s="45">
        <f>AG25/(Interventions!$G$6+Interventions!$G$7)</f>
        <v>0</v>
      </c>
      <c r="AH27" s="45">
        <f>AH25/(Interventions!$G$6+Interventions!$G$7)</f>
        <v>0</v>
      </c>
    </row>
    <row r="28" spans="1:34" x14ac:dyDescent="0.25">
      <c r="A28" s="43" t="s">
        <v>147</v>
      </c>
      <c r="B28" s="10" t="s">
        <v>134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C28*Interventions!$G$10</f>
        <v>147273.3253369926</v>
      </c>
      <c r="E32" s="42">
        <f>D28*Interventions!$G$10</f>
        <v>281158.16655244038</v>
      </c>
      <c r="F32" s="42">
        <f>E28*Interventions!$G$10</f>
        <v>402871.65856648388</v>
      </c>
      <c r="G32" s="42">
        <f>F28*Interventions!$G$10</f>
        <v>513520.28767015977</v>
      </c>
      <c r="H32" s="42">
        <f>G28*Interventions!$G$10</f>
        <v>614109.95049168332</v>
      </c>
      <c r="I32" s="42">
        <f>H28*Interventions!$G$10</f>
        <v>705555.09851125022</v>
      </c>
      <c r="J32" s="42">
        <f>I28*Interventions!$G$10</f>
        <v>705555.09851125022</v>
      </c>
      <c r="K32" s="42">
        <f>J28*Interventions!$G$10</f>
        <v>705555.09851125022</v>
      </c>
      <c r="L32" s="42">
        <f>K28*Interventions!$G$10</f>
        <v>705555.09851125022</v>
      </c>
      <c r="M32" s="42">
        <f>L28*Interventions!$G$10</f>
        <v>705555.09851125022</v>
      </c>
      <c r="N32" s="42">
        <f>M28*Interventions!$G$10</f>
        <v>705555.09851125022</v>
      </c>
      <c r="O32" s="42">
        <f>N28*Interventions!$G$10</f>
        <v>705555.09851125022</v>
      </c>
      <c r="P32" s="42">
        <f>O28*Interventions!$G$10</f>
        <v>705555.09851125022</v>
      </c>
      <c r="Q32" s="42">
        <f>P28*Interventions!$G$10</f>
        <v>705555.09851125022</v>
      </c>
      <c r="R32" s="42">
        <f>Q28*Interventions!$G$10</f>
        <v>705555.09851125022</v>
      </c>
      <c r="S32" s="42">
        <f>R28*Interventions!$G$10</f>
        <v>705555.09851125022</v>
      </c>
      <c r="T32" s="42">
        <f>S28*Interventions!$G$10</f>
        <v>705555.09851125022</v>
      </c>
      <c r="U32" s="42">
        <f>T28*Interventions!$G$10</f>
        <v>705555.09851125022</v>
      </c>
      <c r="V32" s="42">
        <f>U28*Interventions!$G$10</f>
        <v>705555.09851125022</v>
      </c>
      <c r="W32" s="42">
        <f>V28*Interventions!$G$10</f>
        <v>705555.09851125022</v>
      </c>
      <c r="X32" s="42">
        <f>W28*Interventions!$G$10</f>
        <v>705555.09851125022</v>
      </c>
      <c r="Y32" s="42">
        <f>X28*Interventions!$G$10</f>
        <v>705555.09851125022</v>
      </c>
      <c r="Z32" s="42">
        <f>Y28*Interventions!$G$10</f>
        <v>705555.09851125022</v>
      </c>
      <c r="AA32" s="42">
        <f>Z28*Interventions!$G$10</f>
        <v>705555.09851125022</v>
      </c>
      <c r="AB32" s="42">
        <f>AA28*Interventions!$G$10</f>
        <v>705555.09851125022</v>
      </c>
      <c r="AC32" s="42">
        <f>AB28*Interventions!$G$10</f>
        <v>705555.09851125022</v>
      </c>
      <c r="AD32" s="42">
        <f>AC28*Interventions!$G$10</f>
        <v>558281.7731742576</v>
      </c>
      <c r="AE32" s="42">
        <f>AD28*Interventions!$G$10</f>
        <v>424396.93195880979</v>
      </c>
      <c r="AF32" s="42">
        <f>AE28*Interventions!$G$10</f>
        <v>302683.43994476629</v>
      </c>
      <c r="AG32" s="42">
        <f>AF28*Interventions!$G$10</f>
        <v>192034.81084109042</v>
      </c>
      <c r="AH32" s="42">
        <f>AG28*Interventions!$G$10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SUM(D35:D38)</f>
        <v>204933.33403476674</v>
      </c>
      <c r="E34" s="116">
        <f t="shared" ref="E34:AH34" si="9">SUM(E35:E38)</f>
        <v>391236.36497546372</v>
      </c>
      <c r="F34" s="116">
        <f t="shared" si="9"/>
        <v>560602.75673973374</v>
      </c>
      <c r="G34" s="116">
        <f t="shared" si="9"/>
        <v>714572.20379816112</v>
      </c>
      <c r="H34" s="116">
        <f t="shared" si="9"/>
        <v>854544.42839673138</v>
      </c>
      <c r="I34" s="116">
        <f t="shared" si="9"/>
        <v>981791.9053045226</v>
      </c>
      <c r="J34" s="116">
        <f t="shared" si="9"/>
        <v>981791.9053045226</v>
      </c>
      <c r="K34" s="116">
        <f t="shared" si="9"/>
        <v>981791.9053045226</v>
      </c>
      <c r="L34" s="116">
        <f t="shared" si="9"/>
        <v>981791.9053045226</v>
      </c>
      <c r="M34" s="116">
        <f t="shared" si="9"/>
        <v>981791.9053045226</v>
      </c>
      <c r="N34" s="116">
        <f t="shared" si="9"/>
        <v>981791.9053045226</v>
      </c>
      <c r="O34" s="116">
        <f t="shared" si="9"/>
        <v>981791.9053045226</v>
      </c>
      <c r="P34" s="116">
        <f t="shared" si="9"/>
        <v>981791.9053045226</v>
      </c>
      <c r="Q34" s="116">
        <f t="shared" si="9"/>
        <v>981791.9053045226</v>
      </c>
      <c r="R34" s="116">
        <f t="shared" si="9"/>
        <v>981791.9053045226</v>
      </c>
      <c r="S34" s="116">
        <f t="shared" si="9"/>
        <v>981791.9053045226</v>
      </c>
      <c r="T34" s="116">
        <f t="shared" si="9"/>
        <v>981791.9053045226</v>
      </c>
      <c r="U34" s="116">
        <f t="shared" si="9"/>
        <v>981791.9053045226</v>
      </c>
      <c r="V34" s="116">
        <f t="shared" si="9"/>
        <v>981791.9053045226</v>
      </c>
      <c r="W34" s="116">
        <f t="shared" si="9"/>
        <v>981791.9053045226</v>
      </c>
      <c r="X34" s="116">
        <f t="shared" si="9"/>
        <v>981791.9053045226</v>
      </c>
      <c r="Y34" s="116">
        <f t="shared" si="9"/>
        <v>981791.9053045226</v>
      </c>
      <c r="Z34" s="116">
        <f t="shared" si="9"/>
        <v>981791.9053045226</v>
      </c>
      <c r="AA34" s="116">
        <f t="shared" si="9"/>
        <v>981791.9053045226</v>
      </c>
      <c r="AB34" s="116">
        <f t="shared" si="9"/>
        <v>981791.9053045226</v>
      </c>
      <c r="AC34" s="116">
        <f t="shared" si="9"/>
        <v>981791.9053045226</v>
      </c>
      <c r="AD34" s="116">
        <f t="shared" si="9"/>
        <v>776858.57126975595</v>
      </c>
      <c r="AE34" s="116">
        <f t="shared" si="9"/>
        <v>590555.54032905889</v>
      </c>
      <c r="AF34" s="116">
        <f t="shared" si="9"/>
        <v>421189.1485647888</v>
      </c>
      <c r="AG34" s="116">
        <f t="shared" si="9"/>
        <v>267219.70150636148</v>
      </c>
      <c r="AH34" s="116">
        <f t="shared" si="9"/>
        <v>127247.47690779124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C28*Interventions!$G$14</f>
        <v>204933.33403476674</v>
      </c>
      <c r="E38" s="42">
        <f>D28*Interventions!$G$14</f>
        <v>391236.36497546372</v>
      </c>
      <c r="F38" s="42">
        <f>E28*Interventions!$G$14</f>
        <v>560602.75673973374</v>
      </c>
      <c r="G38" s="42">
        <f>F28*Interventions!$G$14</f>
        <v>714572.20379816112</v>
      </c>
      <c r="H38" s="42">
        <f>G28*Interventions!$G$14</f>
        <v>854544.42839673138</v>
      </c>
      <c r="I38" s="42">
        <f>H28*Interventions!$G$14</f>
        <v>981791.9053045226</v>
      </c>
      <c r="J38" s="42">
        <f>I28*Interventions!$G$14</f>
        <v>981791.9053045226</v>
      </c>
      <c r="K38" s="42">
        <f>J28*Interventions!$G$14</f>
        <v>981791.9053045226</v>
      </c>
      <c r="L38" s="42">
        <f>K28*Interventions!$G$14</f>
        <v>981791.9053045226</v>
      </c>
      <c r="M38" s="42">
        <f>L28*Interventions!$G$14</f>
        <v>981791.9053045226</v>
      </c>
      <c r="N38" s="42">
        <f>M28*Interventions!$G$14</f>
        <v>981791.9053045226</v>
      </c>
      <c r="O38" s="42">
        <f>N28*Interventions!$G$14</f>
        <v>981791.9053045226</v>
      </c>
      <c r="P38" s="42">
        <f>O28*Interventions!$G$14</f>
        <v>981791.9053045226</v>
      </c>
      <c r="Q38" s="42">
        <f>P28*Interventions!$G$14</f>
        <v>981791.9053045226</v>
      </c>
      <c r="R38" s="42">
        <f>Q28*Interventions!$G$14</f>
        <v>981791.9053045226</v>
      </c>
      <c r="S38" s="42">
        <f>R28*Interventions!$G$14</f>
        <v>981791.9053045226</v>
      </c>
      <c r="T38" s="42">
        <f>S28*Interventions!$G$14</f>
        <v>981791.9053045226</v>
      </c>
      <c r="U38" s="42">
        <f>T28*Interventions!$G$14</f>
        <v>981791.9053045226</v>
      </c>
      <c r="V38" s="42">
        <f>U28*Interventions!$G$14</f>
        <v>981791.9053045226</v>
      </c>
      <c r="W38" s="42">
        <f>V28*Interventions!$G$14</f>
        <v>981791.9053045226</v>
      </c>
      <c r="X38" s="42">
        <f>W28*Interventions!$G$14</f>
        <v>981791.9053045226</v>
      </c>
      <c r="Y38" s="42">
        <f>X28*Interventions!$G$14</f>
        <v>981791.9053045226</v>
      </c>
      <c r="Z38" s="42">
        <f>Y28*Interventions!$G$14</f>
        <v>981791.9053045226</v>
      </c>
      <c r="AA38" s="42">
        <f>Z28*Interventions!$G$14</f>
        <v>981791.9053045226</v>
      </c>
      <c r="AB38" s="42">
        <f>AA28*Interventions!$G$14</f>
        <v>981791.9053045226</v>
      </c>
      <c r="AC38" s="42">
        <f>AB28*Interventions!$G$14</f>
        <v>981791.9053045226</v>
      </c>
      <c r="AD38" s="42">
        <f>AC28*Interventions!$G$14</f>
        <v>776858.57126975595</v>
      </c>
      <c r="AE38" s="42">
        <f>AD28*Interventions!$G$14</f>
        <v>590555.54032905889</v>
      </c>
      <c r="AF38" s="42">
        <f>AE28*Interventions!$G$14</f>
        <v>421189.1485647888</v>
      </c>
      <c r="AG38" s="42">
        <f>AF28*Interventions!$G$14</f>
        <v>267219.70150636148</v>
      </c>
      <c r="AH38" s="42">
        <f>AG28*Interventions!$G$14</f>
        <v>127247.47690779124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378369.96561868826</v>
      </c>
      <c r="E40" s="116">
        <f t="shared" si="10"/>
        <v>723591.3648883719</v>
      </c>
      <c r="F40" s="116">
        <f t="shared" si="10"/>
        <v>1038668.3791086967</v>
      </c>
      <c r="G40" s="116">
        <f t="shared" si="10"/>
        <v>1326334.6133187709</v>
      </c>
      <c r="H40" s="116">
        <f t="shared" si="10"/>
        <v>1589077.5689457911</v>
      </c>
      <c r="I40" s="116">
        <f t="shared" si="10"/>
        <v>1829160.9013879304</v>
      </c>
      <c r="J40" s="116">
        <f t="shared" si="10"/>
        <v>1832706.2488272344</v>
      </c>
      <c r="K40" s="116">
        <f t="shared" si="10"/>
        <v>1836340.2299525212</v>
      </c>
      <c r="L40" s="116">
        <f t="shared" si="10"/>
        <v>1840065.0606059397</v>
      </c>
      <c r="M40" s="116">
        <f t="shared" si="10"/>
        <v>1843883.0120256939</v>
      </c>
      <c r="N40" s="116">
        <f t="shared" si="10"/>
        <v>1847796.4122309419</v>
      </c>
      <c r="O40" s="116">
        <f t="shared" si="10"/>
        <v>1851807.6474413211</v>
      </c>
      <c r="P40" s="116">
        <f t="shared" si="10"/>
        <v>1855919.1635319598</v>
      </c>
      <c r="Q40" s="116">
        <f t="shared" si="10"/>
        <v>1860133.4675248642</v>
      </c>
      <c r="R40" s="116">
        <f t="shared" si="10"/>
        <v>1864453.1291175918</v>
      </c>
      <c r="S40" s="116">
        <f t="shared" si="10"/>
        <v>1868880.7822501371</v>
      </c>
      <c r="T40" s="116">
        <f t="shared" si="10"/>
        <v>1873419.1267109963</v>
      </c>
      <c r="U40" s="116">
        <f t="shared" si="10"/>
        <v>1878070.9297833769</v>
      </c>
      <c r="V40" s="116">
        <f t="shared" si="10"/>
        <v>1882839.0279325671</v>
      </c>
      <c r="W40" s="116">
        <f t="shared" si="10"/>
        <v>1887726.3285354867</v>
      </c>
      <c r="X40" s="116">
        <f t="shared" si="10"/>
        <v>1892735.8116534795</v>
      </c>
      <c r="Y40" s="116">
        <f t="shared" si="10"/>
        <v>1897870.531849422</v>
      </c>
      <c r="Z40" s="116">
        <f t="shared" si="10"/>
        <v>1903133.6200502636</v>
      </c>
      <c r="AA40" s="116">
        <f t="shared" si="10"/>
        <v>1908528.2854561256</v>
      </c>
      <c r="AB40" s="116">
        <f t="shared" si="10"/>
        <v>1914057.8174971344</v>
      </c>
      <c r="AC40" s="116">
        <f t="shared" si="10"/>
        <v>1687347.0038157729</v>
      </c>
      <c r="AD40" s="116">
        <f t="shared" si="10"/>
        <v>1335140.3444440137</v>
      </c>
      <c r="AE40" s="116">
        <f t="shared" si="10"/>
        <v>1014952.4722878686</v>
      </c>
      <c r="AF40" s="116">
        <f t="shared" si="10"/>
        <v>723872.58850955509</v>
      </c>
      <c r="AG40" s="116">
        <f t="shared" si="10"/>
        <v>459254.51234745188</v>
      </c>
      <c r="AH40" s="116">
        <f t="shared" si="10"/>
        <v>218692.62492735812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-989685.58993686724</v>
      </c>
      <c r="E42" s="31">
        <f t="shared" si="11"/>
        <v>-644464.1906671836</v>
      </c>
      <c r="F42" s="31">
        <f t="shared" si="11"/>
        <v>-329387.17644685879</v>
      </c>
      <c r="G42" s="31">
        <f t="shared" si="11"/>
        <v>-41720.942236784613</v>
      </c>
      <c r="H42" s="31">
        <f t="shared" si="11"/>
        <v>221022.0133902356</v>
      </c>
      <c r="I42" s="31">
        <f t="shared" si="11"/>
        <v>1233337.041808723</v>
      </c>
      <c r="J42" s="31">
        <f t="shared" si="11"/>
        <v>1236882.389248027</v>
      </c>
      <c r="K42" s="31">
        <f t="shared" si="11"/>
        <v>1240516.3703733138</v>
      </c>
      <c r="L42" s="31">
        <f t="shared" si="11"/>
        <v>1244241.2010267323</v>
      </c>
      <c r="M42" s="31">
        <f t="shared" si="11"/>
        <v>1248059.1524464865</v>
      </c>
      <c r="N42" s="31">
        <f t="shared" si="11"/>
        <v>1251972.5526517346</v>
      </c>
      <c r="O42" s="31">
        <f t="shared" si="11"/>
        <v>1255983.7878621137</v>
      </c>
      <c r="P42" s="31">
        <f t="shared" si="11"/>
        <v>1260095.3039527524</v>
      </c>
      <c r="Q42" s="31">
        <f t="shared" si="11"/>
        <v>1264309.6079456569</v>
      </c>
      <c r="R42" s="31">
        <f t="shared" si="11"/>
        <v>1268629.2695383844</v>
      </c>
      <c r="S42" s="31">
        <f t="shared" si="11"/>
        <v>1273056.9226709297</v>
      </c>
      <c r="T42" s="31">
        <f t="shared" si="11"/>
        <v>1277595.2671317889</v>
      </c>
      <c r="U42" s="31">
        <f t="shared" si="11"/>
        <v>1282247.0702041695</v>
      </c>
      <c r="V42" s="31">
        <f t="shared" si="11"/>
        <v>1287015.1683533597</v>
      </c>
      <c r="W42" s="31">
        <f t="shared" si="11"/>
        <v>1291902.4689562793</v>
      </c>
      <c r="X42" s="31">
        <f t="shared" si="11"/>
        <v>1296911.9520742721</v>
      </c>
      <c r="Y42" s="31">
        <f t="shared" si="11"/>
        <v>1302046.6722702147</v>
      </c>
      <c r="Z42" s="31">
        <f t="shared" si="11"/>
        <v>1307309.7604710562</v>
      </c>
      <c r="AA42" s="31">
        <f t="shared" si="11"/>
        <v>1312704.4258769182</v>
      </c>
      <c r="AB42" s="31">
        <f t="shared" si="11"/>
        <v>1318233.9579179271</v>
      </c>
      <c r="AC42" s="31">
        <f t="shared" si="11"/>
        <v>1091523.1442365656</v>
      </c>
      <c r="AD42" s="31">
        <f t="shared" si="11"/>
        <v>863685.17173349322</v>
      </c>
      <c r="AE42" s="31">
        <f t="shared" si="11"/>
        <v>656559.74218524527</v>
      </c>
      <c r="AF42" s="31">
        <f t="shared" si="11"/>
        <v>468263.89714138373</v>
      </c>
      <c r="AG42" s="31">
        <f t="shared" si="11"/>
        <v>297085.85619241867</v>
      </c>
      <c r="AH42" s="31">
        <f t="shared" si="11"/>
        <v>141469.45532972325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-1163122.2215207887</v>
      </c>
      <c r="E43" s="31">
        <f t="shared" si="12"/>
        <v>-976819.19058009179</v>
      </c>
      <c r="F43" s="31">
        <f t="shared" si="12"/>
        <v>-807452.79881582176</v>
      </c>
      <c r="G43" s="31">
        <f t="shared" si="12"/>
        <v>-653483.35175739438</v>
      </c>
      <c r="H43" s="31">
        <f t="shared" si="12"/>
        <v>-513511.12715882412</v>
      </c>
      <c r="I43" s="31">
        <f t="shared" si="12"/>
        <v>385968.04572531523</v>
      </c>
      <c r="J43" s="31">
        <f t="shared" si="12"/>
        <v>385968.04572531523</v>
      </c>
      <c r="K43" s="31">
        <f t="shared" si="12"/>
        <v>385968.04572531523</v>
      </c>
      <c r="L43" s="31">
        <f t="shared" si="12"/>
        <v>385968.04572531523</v>
      </c>
      <c r="M43" s="31">
        <f t="shared" si="12"/>
        <v>385968.04572531523</v>
      </c>
      <c r="N43" s="31">
        <f t="shared" si="12"/>
        <v>385968.04572531523</v>
      </c>
      <c r="O43" s="31">
        <f t="shared" si="12"/>
        <v>385968.04572531523</v>
      </c>
      <c r="P43" s="31">
        <f t="shared" si="12"/>
        <v>385968.04572531523</v>
      </c>
      <c r="Q43" s="31">
        <f t="shared" si="12"/>
        <v>385968.04572531523</v>
      </c>
      <c r="R43" s="31">
        <f t="shared" si="12"/>
        <v>385968.04572531523</v>
      </c>
      <c r="S43" s="31">
        <f t="shared" si="12"/>
        <v>385968.04572531523</v>
      </c>
      <c r="T43" s="31">
        <f t="shared" si="12"/>
        <v>385968.04572531523</v>
      </c>
      <c r="U43" s="31">
        <f t="shared" si="12"/>
        <v>385968.04572531523</v>
      </c>
      <c r="V43" s="31">
        <f t="shared" si="12"/>
        <v>385968.04572531523</v>
      </c>
      <c r="W43" s="31">
        <f t="shared" si="12"/>
        <v>385968.04572531523</v>
      </c>
      <c r="X43" s="31">
        <f t="shared" si="12"/>
        <v>385968.04572531523</v>
      </c>
      <c r="Y43" s="31">
        <f t="shared" si="12"/>
        <v>385968.04572531523</v>
      </c>
      <c r="Z43" s="31">
        <f t="shared" si="12"/>
        <v>385968.04572531523</v>
      </c>
      <c r="AA43" s="31">
        <f t="shared" si="12"/>
        <v>385968.04572531523</v>
      </c>
      <c r="AB43" s="31">
        <f t="shared" si="12"/>
        <v>385968.04572531523</v>
      </c>
      <c r="AC43" s="31">
        <f t="shared" si="12"/>
        <v>385968.04572531523</v>
      </c>
      <c r="AD43" s="31">
        <f t="shared" si="12"/>
        <v>305403.39855923544</v>
      </c>
      <c r="AE43" s="31">
        <f t="shared" si="12"/>
        <v>232162.81022643554</v>
      </c>
      <c r="AF43" s="31">
        <f t="shared" si="12"/>
        <v>165580.45719661744</v>
      </c>
      <c r="AG43" s="31">
        <f t="shared" si="12"/>
        <v>105051.04535132827</v>
      </c>
      <c r="AH43" s="31">
        <f t="shared" si="12"/>
        <v>50024.30731015635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1313333.3333333333</v>
      </c>
      <c r="E45" s="31">
        <f t="shared" si="13"/>
        <v>1260800</v>
      </c>
      <c r="F45" s="31">
        <f t="shared" si="13"/>
        <v>1210368</v>
      </c>
      <c r="G45" s="31">
        <f t="shared" si="13"/>
        <v>1161953.28</v>
      </c>
      <c r="H45" s="31">
        <f t="shared" si="13"/>
        <v>1115475.1487999998</v>
      </c>
      <c r="I45" s="31">
        <f t="shared" si="13"/>
        <v>466385.76737236022</v>
      </c>
      <c r="J45" s="31">
        <f t="shared" si="13"/>
        <v>447730.33667746576</v>
      </c>
      <c r="K45" s="31">
        <f t="shared" si="13"/>
        <v>429821.12321036722</v>
      </c>
      <c r="L45" s="31">
        <f t="shared" si="13"/>
        <v>412628.27828195255</v>
      </c>
      <c r="M45" s="31">
        <f t="shared" si="13"/>
        <v>396123.14715067437</v>
      </c>
      <c r="N45" s="31">
        <f t="shared" si="13"/>
        <v>380278.22126464744</v>
      </c>
      <c r="O45" s="31">
        <f t="shared" si="13"/>
        <v>365067.09241406148</v>
      </c>
      <c r="P45" s="31">
        <f t="shared" si="13"/>
        <v>350464.40871749906</v>
      </c>
      <c r="Q45" s="31">
        <f t="shared" si="13"/>
        <v>336445.83236879908</v>
      </c>
      <c r="R45" s="31">
        <f t="shared" si="13"/>
        <v>322987.99907404714</v>
      </c>
      <c r="S45" s="31">
        <f t="shared" si="13"/>
        <v>310068.47911108524</v>
      </c>
      <c r="T45" s="31">
        <f t="shared" si="13"/>
        <v>297665.73994664184</v>
      </c>
      <c r="U45" s="31">
        <f t="shared" si="13"/>
        <v>285759.11034877616</v>
      </c>
      <c r="V45" s="31">
        <f t="shared" si="13"/>
        <v>274328.7459348251</v>
      </c>
      <c r="W45" s="31">
        <f t="shared" si="13"/>
        <v>263355.59609743208</v>
      </c>
      <c r="X45" s="31">
        <f t="shared" si="13"/>
        <v>252821.37225353479</v>
      </c>
      <c r="Y45" s="31">
        <f t="shared" si="13"/>
        <v>242708.51736339342</v>
      </c>
      <c r="Z45" s="31">
        <f t="shared" si="13"/>
        <v>233000.17666885766</v>
      </c>
      <c r="AA45" s="31">
        <f t="shared" si="13"/>
        <v>223680.16960210336</v>
      </c>
      <c r="AB45" s="31">
        <f t="shared" si="13"/>
        <v>214732.96281801924</v>
      </c>
      <c r="AC45" s="31">
        <f t="shared" si="13"/>
        <v>206143.64430529845</v>
      </c>
      <c r="AD45" s="31">
        <f t="shared" si="13"/>
        <v>156589.88211357841</v>
      </c>
      <c r="AE45" s="31">
        <f t="shared" si="13"/>
        <v>114275.6543174645</v>
      </c>
      <c r="AF45" s="31">
        <f t="shared" si="13"/>
        <v>78242.257952849672</v>
      </c>
      <c r="AG45" s="31">
        <f t="shared" si="13"/>
        <v>47654.499103608738</v>
      </c>
      <c r="AH45" s="31">
        <f t="shared" si="13"/>
        <v>21784.913875935432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196736.00067337605</v>
      </c>
      <c r="E46" s="31">
        <f t="shared" si="14"/>
        <v>360563.43396138737</v>
      </c>
      <c r="F46" s="31">
        <f t="shared" si="14"/>
        <v>495985.44058688503</v>
      </c>
      <c r="G46" s="31">
        <f t="shared" si="14"/>
        <v>606919.44316758704</v>
      </c>
      <c r="H46" s="31">
        <f t="shared" si="14"/>
        <v>696772.19580089289</v>
      </c>
      <c r="I46" s="31">
        <f t="shared" si="14"/>
        <v>768505.26173759263</v>
      </c>
      <c r="J46" s="31">
        <f t="shared" si="14"/>
        <v>737765.05126808886</v>
      </c>
      <c r="K46" s="31">
        <f t="shared" si="14"/>
        <v>708254.44921736536</v>
      </c>
      <c r="L46" s="31">
        <f t="shared" si="14"/>
        <v>679924.27124867076</v>
      </c>
      <c r="M46" s="31">
        <f t="shared" si="14"/>
        <v>652727.30039872392</v>
      </c>
      <c r="N46" s="31">
        <f t="shared" si="14"/>
        <v>626618.20838277496</v>
      </c>
      <c r="O46" s="31">
        <f t="shared" si="14"/>
        <v>601553.48004746391</v>
      </c>
      <c r="P46" s="31">
        <f t="shared" si="14"/>
        <v>577491.34084556543</v>
      </c>
      <c r="Q46" s="31">
        <f t="shared" si="14"/>
        <v>554391.68721174274</v>
      </c>
      <c r="R46" s="31">
        <f t="shared" si="14"/>
        <v>532216.019723273</v>
      </c>
      <c r="S46" s="31">
        <f t="shared" si="14"/>
        <v>510927.37893434212</v>
      </c>
      <c r="T46" s="31">
        <f t="shared" si="14"/>
        <v>490490.28377696843</v>
      </c>
      <c r="U46" s="31">
        <f t="shared" si="14"/>
        <v>470870.6724258897</v>
      </c>
      <c r="V46" s="31">
        <f t="shared" si="14"/>
        <v>452035.84552885412</v>
      </c>
      <c r="W46" s="31">
        <f t="shared" si="14"/>
        <v>433954.41170769994</v>
      </c>
      <c r="X46" s="31">
        <f t="shared" si="14"/>
        <v>416596.23523939191</v>
      </c>
      <c r="Y46" s="31">
        <f t="shared" si="14"/>
        <v>399932.38582981622</v>
      </c>
      <c r="Z46" s="31">
        <f t="shared" si="14"/>
        <v>383935.09039662359</v>
      </c>
      <c r="AA46" s="31">
        <f t="shared" si="14"/>
        <v>368577.68678075867</v>
      </c>
      <c r="AB46" s="31">
        <f t="shared" si="14"/>
        <v>353834.57930952834</v>
      </c>
      <c r="AC46" s="31">
        <f t="shared" si="14"/>
        <v>339681.19613714714</v>
      </c>
      <c r="AD46" s="31">
        <f t="shared" si="14"/>
        <v>258027.05991041817</v>
      </c>
      <c r="AE46" s="31">
        <f t="shared" si="14"/>
        <v>188302.14765400739</v>
      </c>
      <c r="AF46" s="31">
        <f t="shared" si="14"/>
        <v>128926.71932457962</v>
      </c>
      <c r="AG46" s="31">
        <f t="shared" si="14"/>
        <v>78524.551709472056</v>
      </c>
      <c r="AH46" s="31">
        <f t="shared" si="14"/>
        <v>35896.937924330101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-943160.70107603562</v>
      </c>
      <c r="E48" s="31">
        <f>E47+E46-E45</f>
        <v>-567881.56612570444</v>
      </c>
      <c r="F48" s="31">
        <f t="shared" ref="F48:AH48" si="16">F47+F46-F45</f>
        <v>-236316.93704415194</v>
      </c>
      <c r="G48" s="31">
        <f t="shared" si="16"/>
        <v>56728.572688196786</v>
      </c>
      <c r="H48" s="31">
        <f t="shared" si="16"/>
        <v>315830.18754995265</v>
      </c>
      <c r="I48" s="31">
        <f t="shared" si="16"/>
        <v>1149488.4904486404</v>
      </c>
      <c r="J48" s="31">
        <f t="shared" si="16"/>
        <v>1140949.0581133349</v>
      </c>
      <c r="K48" s="31">
        <f t="shared" si="16"/>
        <v>1132981.6506549965</v>
      </c>
      <c r="L48" s="31">
        <f t="shared" si="16"/>
        <v>1125569.1482681355</v>
      </c>
      <c r="M48" s="31">
        <f t="shared" si="16"/>
        <v>1118695.2599692207</v>
      </c>
      <c r="N48" s="31">
        <f t="shared" si="16"/>
        <v>1112344.494044547</v>
      </c>
      <c r="O48" s="31">
        <f t="shared" si="16"/>
        <v>1106502.1297702007</v>
      </c>
      <c r="P48" s="31">
        <f t="shared" si="16"/>
        <v>1101154.1903555035</v>
      </c>
      <c r="Q48" s="31">
        <f t="shared" si="16"/>
        <v>1096287.4170632856</v>
      </c>
      <c r="R48" s="31">
        <f t="shared" si="16"/>
        <v>1091889.2444622947</v>
      </c>
      <c r="S48" s="31">
        <f t="shared" si="16"/>
        <v>1087947.7767688716</v>
      </c>
      <c r="T48" s="31">
        <f t="shared" si="16"/>
        <v>1084451.7652368001</v>
      </c>
      <c r="U48" s="31">
        <f t="shared" si="16"/>
        <v>1081390.5865559676</v>
      </c>
      <c r="V48" s="31">
        <f t="shared" si="16"/>
        <v>1078754.2222220732</v>
      </c>
      <c r="W48" s="31">
        <f t="shared" si="16"/>
        <v>1076533.2388412319</v>
      </c>
      <c r="X48" s="31">
        <f t="shared" si="16"/>
        <v>1074718.769334814</v>
      </c>
      <c r="Y48" s="31">
        <f t="shared" si="16"/>
        <v>1073302.4950113224</v>
      </c>
      <c r="Z48" s="31">
        <f t="shared" si="16"/>
        <v>1072276.6284735068</v>
      </c>
      <c r="AA48" s="31">
        <f t="shared" si="16"/>
        <v>1071633.8973302585</v>
      </c>
      <c r="AB48" s="31">
        <f t="shared" si="16"/>
        <v>1071367.5286841209</v>
      </c>
      <c r="AC48" s="31">
        <f t="shared" si="16"/>
        <v>839092.65034309891</v>
      </c>
      <c r="AD48" s="31">
        <f t="shared" si="16"/>
        <v>659718.95097109734</v>
      </c>
      <c r="AE48" s="31">
        <f t="shared" si="16"/>
        <v>498423.42529535264</v>
      </c>
      <c r="AF48" s="31">
        <f t="shared" si="16"/>
        <v>353367.90131649625</v>
      </c>
      <c r="AG48" s="31">
        <f t="shared" si="16"/>
        <v>222904.86344695374</v>
      </c>
      <c r="AH48" s="31">
        <f t="shared" si="16"/>
        <v>105557.17206796157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12279862.212833442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-355482.60760023323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0.27657500024919346</v>
      </c>
      <c r="E53" s="32">
        <f t="shared" si="17"/>
        <v>0.52891957636510434</v>
      </c>
      <c r="F53" s="32">
        <f t="shared" si="17"/>
        <v>0.75922967813021491</v>
      </c>
      <c r="G53" s="32">
        <f t="shared" si="17"/>
        <v>0.96950347369493917</v>
      </c>
      <c r="H53" s="32">
        <f t="shared" si="17"/>
        <v>1.1615592382141824</v>
      </c>
      <c r="I53" s="32">
        <f t="shared" si="17"/>
        <v>3.0699692064694268</v>
      </c>
      <c r="J53" s="32">
        <f t="shared" si="17"/>
        <v>3.0759195345442505</v>
      </c>
      <c r="K53" s="32">
        <f t="shared" si="17"/>
        <v>3.082018620820945</v>
      </c>
      <c r="L53" s="32">
        <f t="shared" si="17"/>
        <v>3.0882701842545566</v>
      </c>
      <c r="M53" s="32">
        <f t="shared" si="17"/>
        <v>3.0946780367740083</v>
      </c>
      <c r="N53" s="32">
        <f t="shared" si="17"/>
        <v>3.1012460856064465</v>
      </c>
      <c r="O53" s="32">
        <f t="shared" si="17"/>
        <v>3.1079783356596953</v>
      </c>
      <c r="P53" s="32">
        <f t="shared" si="17"/>
        <v>3.1148788919642758</v>
      </c>
      <c r="Q53" s="32">
        <f t="shared" si="17"/>
        <v>3.1219519621764702</v>
      </c>
      <c r="R53" s="32">
        <f t="shared" si="17"/>
        <v>3.1292018591439708</v>
      </c>
      <c r="S53" s="32">
        <f t="shared" si="17"/>
        <v>3.1366330035356573</v>
      </c>
      <c r="T53" s="32">
        <f t="shared" si="17"/>
        <v>3.1442499265371371</v>
      </c>
      <c r="U53" s="32">
        <f t="shared" si="17"/>
        <v>3.1520572726136535</v>
      </c>
      <c r="V53" s="32">
        <f t="shared" si="17"/>
        <v>3.1600598023420829</v>
      </c>
      <c r="W53" s="32">
        <f t="shared" si="17"/>
        <v>3.1682623953137226</v>
      </c>
      <c r="X53" s="32">
        <f t="shared" si="17"/>
        <v>3.1766700531096537</v>
      </c>
      <c r="Y53" s="32">
        <f t="shared" si="17"/>
        <v>3.1852879023504825</v>
      </c>
      <c r="Z53" s="32">
        <f t="shared" si="17"/>
        <v>3.1941211978223332</v>
      </c>
      <c r="AA53" s="32">
        <f t="shared" si="17"/>
        <v>3.2031753256809794</v>
      </c>
      <c r="AB53" s="32">
        <f t="shared" si="17"/>
        <v>3.2124558067360915</v>
      </c>
      <c r="AC53" s="32">
        <f t="shared" si="17"/>
        <v>2.8319560834764812</v>
      </c>
      <c r="AD53" s="32">
        <f t="shared" si="17"/>
        <v>2.8319560834764812</v>
      </c>
      <c r="AE53" s="32">
        <f t="shared" si="17"/>
        <v>2.8319560834764808</v>
      </c>
      <c r="AF53" s="32">
        <f t="shared" si="17"/>
        <v>2.8319560834764808</v>
      </c>
      <c r="AG53" s="32">
        <f t="shared" si="17"/>
        <v>2.8319560834764803</v>
      </c>
      <c r="AH53" s="32">
        <f t="shared" si="17"/>
        <v>2.8319560834764808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1.6534730298254658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0.28185733420606418</v>
      </c>
      <c r="E55" s="32">
        <f t="shared" si="18"/>
        <v>0.54958632128354656</v>
      </c>
      <c r="F55" s="32">
        <f t="shared" si="18"/>
        <v>0.80475612619950965</v>
      </c>
      <c r="G55" s="32">
        <f t="shared" si="18"/>
        <v>1.0488217329083978</v>
      </c>
      <c r="H55" s="32">
        <f t="shared" si="18"/>
        <v>1.283135117702725</v>
      </c>
      <c r="I55" s="32">
        <f>(XNPV($B$14,I47,I$22)+XNPV($B$14,I46,I$22))/(XNPV($B$14,I45,I$22))</f>
        <v>3.4646731758666514</v>
      </c>
      <c r="J55" s="32">
        <f t="shared" si="18"/>
        <v>3.5482951782542433</v>
      </c>
      <c r="K55" s="32">
        <f t="shared" si="18"/>
        <v>3.6359375783876535</v>
      </c>
      <c r="L55" s="32">
        <f t="shared" si="18"/>
        <v>3.7278041945031797</v>
      </c>
      <c r="M55" s="32">
        <f t="shared" si="18"/>
        <v>3.8241097951887668</v>
      </c>
      <c r="N55" s="32">
        <f t="shared" si="18"/>
        <v>3.9250807220706752</v>
      </c>
      <c r="O55" s="32">
        <f t="shared" si="18"/>
        <v>4.0309555497135818</v>
      </c>
      <c r="P55" s="32">
        <f t="shared" si="18"/>
        <v>4.1419857850476269</v>
      </c>
      <c r="Q55" s="32">
        <f t="shared" si="18"/>
        <v>4.258436608783958</v>
      </c>
      <c r="R55" s="32">
        <f t="shared" si="18"/>
        <v>4.3805876614380708</v>
      </c>
      <c r="S55" s="32">
        <f t="shared" si="18"/>
        <v>4.5087338767482485</v>
      </c>
      <c r="T55" s="32">
        <f t="shared" si="18"/>
        <v>4.6431863654554064</v>
      </c>
      <c r="U55" s="32">
        <f t="shared" si="18"/>
        <v>4.7842733526014385</v>
      </c>
      <c r="V55" s="32">
        <f t="shared" si="18"/>
        <v>4.9323411717063124</v>
      </c>
      <c r="W55" s="32">
        <f t="shared" si="18"/>
        <v>5.0877553194007445</v>
      </c>
      <c r="X55" s="32">
        <f t="shared" si="18"/>
        <v>5.2509015743220582</v>
      </c>
      <c r="Y55" s="32">
        <f t="shared" si="18"/>
        <v>5.422187184326658</v>
      </c>
      <c r="Z55" s="32">
        <f t="shared" si="18"/>
        <v>5.602042126334684</v>
      </c>
      <c r="AA55" s="32">
        <f t="shared" si="18"/>
        <v>5.7909204434016193</v>
      </c>
      <c r="AB55" s="32">
        <f t="shared" si="18"/>
        <v>5.9893016639093171</v>
      </c>
      <c r="AC55" s="32">
        <f t="shared" si="18"/>
        <v>5.0704269742141737</v>
      </c>
      <c r="AD55" s="32">
        <f t="shared" si="18"/>
        <v>5.2130368965511273</v>
      </c>
      <c r="AE55" s="32">
        <f t="shared" si="18"/>
        <v>5.361588898985457</v>
      </c>
      <c r="AF55" s="32">
        <f t="shared" si="18"/>
        <v>5.5163305681878807</v>
      </c>
      <c r="AG55" s="32">
        <f t="shared" si="18"/>
        <v>5.6775198069404071</v>
      </c>
      <c r="AH55" s="32">
        <f t="shared" si="18"/>
        <v>5.8454252639742874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1.9725940411551115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0.1497989852842965</v>
      </c>
      <c r="E57" s="32">
        <f t="shared" si="19"/>
        <v>0.28597988099729327</v>
      </c>
      <c r="F57" s="32">
        <f t="shared" si="19"/>
        <v>0.40978069528183581</v>
      </c>
      <c r="G57" s="32">
        <f t="shared" si="19"/>
        <v>0.52232689008596545</v>
      </c>
      <c r="H57" s="32">
        <f t="shared" si="19"/>
        <v>0.62464161263517426</v>
      </c>
      <c r="I57" s="32">
        <f t="shared" si="19"/>
        <v>1.6477888381272614</v>
      </c>
      <c r="J57" s="32">
        <f t="shared" si="19"/>
        <v>1.6477888381272614</v>
      </c>
      <c r="K57" s="32">
        <f t="shared" si="19"/>
        <v>1.6477888381272612</v>
      </c>
      <c r="L57" s="32">
        <f t="shared" si="19"/>
        <v>1.6477888381272612</v>
      </c>
      <c r="M57" s="32">
        <f t="shared" si="19"/>
        <v>1.6477888381272614</v>
      </c>
      <c r="N57" s="32">
        <f t="shared" si="19"/>
        <v>1.6477888381272612</v>
      </c>
      <c r="O57" s="32">
        <f t="shared" si="19"/>
        <v>1.6477888381272614</v>
      </c>
      <c r="P57" s="32">
        <f t="shared" si="19"/>
        <v>1.6477888381272614</v>
      </c>
      <c r="Q57" s="32">
        <f t="shared" si="19"/>
        <v>1.6477888381272612</v>
      </c>
      <c r="R57" s="32">
        <f t="shared" si="19"/>
        <v>1.647788838127261</v>
      </c>
      <c r="S57" s="32">
        <f t="shared" si="19"/>
        <v>1.6477888381272612</v>
      </c>
      <c r="T57" s="32">
        <f t="shared" si="19"/>
        <v>1.6477888381272612</v>
      </c>
      <c r="U57" s="32">
        <f t="shared" si="19"/>
        <v>1.6477888381272612</v>
      </c>
      <c r="V57" s="32">
        <f t="shared" si="19"/>
        <v>1.6477888381272614</v>
      </c>
      <c r="W57" s="32">
        <f t="shared" si="19"/>
        <v>1.6477888381272614</v>
      </c>
      <c r="X57" s="32">
        <f t="shared" si="19"/>
        <v>1.6477888381272614</v>
      </c>
      <c r="Y57" s="32">
        <f t="shared" si="19"/>
        <v>1.6477888381272612</v>
      </c>
      <c r="Z57" s="32">
        <f t="shared" si="19"/>
        <v>1.6477888381272614</v>
      </c>
      <c r="AA57" s="32">
        <f t="shared" si="19"/>
        <v>1.6477888381272614</v>
      </c>
      <c r="AB57" s="32">
        <f t="shared" si="19"/>
        <v>1.6477888381272614</v>
      </c>
      <c r="AC57" s="32">
        <f t="shared" si="19"/>
        <v>1.6477888381272612</v>
      </c>
      <c r="AD57" s="32">
        <f t="shared" si="19"/>
        <v>1.6477888381272612</v>
      </c>
      <c r="AE57" s="32">
        <f t="shared" si="19"/>
        <v>1.6477888381272614</v>
      </c>
      <c r="AF57" s="32">
        <f t="shared" si="19"/>
        <v>1.6477888381272612</v>
      </c>
      <c r="AG57" s="32">
        <f t="shared" si="19"/>
        <v>1.6477888381272612</v>
      </c>
      <c r="AH57" s="32">
        <f t="shared" si="19"/>
        <v>1.6477888381272614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0.80473403466760707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0.18675755977630615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3.4500260353088383E-2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7" t="s">
        <v>89</v>
      </c>
      <c r="B64" s="145" t="s">
        <v>69</v>
      </c>
      <c r="C64" s="151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8"/>
      <c r="B65" s="129" t="s">
        <v>69</v>
      </c>
      <c r="C65" s="130">
        <f>(D34+D30)/C25</f>
        <v>0.27657500024919346</v>
      </c>
      <c r="D65" s="121">
        <f>(SUM($D$34:E34)+SUM($D$30:E30))/SUM($C$25:D25)</f>
        <v>0.42192573060748934</v>
      </c>
      <c r="E65" s="121">
        <f>(SUM($D$34:F34)+SUM($D$30:F30))/SUM($C$25:E25)</f>
        <v>0.57199889674950466</v>
      </c>
      <c r="F65" s="121">
        <f>(SUM($D$34:G34)+SUM($D$30:G30))/SUM($C$25:F25)</f>
        <v>0.72679532569552052</v>
      </c>
      <c r="G65" s="121">
        <f>(SUM($D$34:H34)+SUM($D$30:H30))/SUM($C$25:G25)</f>
        <v>0.88630844668843844</v>
      </c>
      <c r="H65" s="121">
        <f>(SUM($D$34:I34)+SUM($D$30:I30))/SUM($C$25:H25)</f>
        <v>1.0505244403988843</v>
      </c>
      <c r="I65" s="121">
        <f>(SUM($D$34:J34)+SUM($D$30:J30))/SUM($C$25:I25)</f>
        <v>1.330153488993816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9" t="s">
        <v>105</v>
      </c>
      <c r="B66" s="145" t="s">
        <v>69</v>
      </c>
      <c r="C66" s="152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8"/>
      <c r="B67" s="28" t="s">
        <v>69</v>
      </c>
      <c r="C67" s="131">
        <f>D34/C25</f>
        <v>0.1497989852842965</v>
      </c>
      <c r="D67" s="32">
        <f>SUM($D$34:E34)/SUM($C$25:D25)</f>
        <v>0.22826512043321373</v>
      </c>
      <c r="E67" s="32">
        <f>SUM($D$34:F34)/SUM($C$25:E25)</f>
        <v>0.30910183368330674</v>
      </c>
      <c r="F67" s="32">
        <f>SUM($D$34:G34)/SUM($C$25:F25)</f>
        <v>0.39229839843683256</v>
      </c>
      <c r="G67" s="32">
        <f>SUM($D$34:H34)/SUM($C$25:G25)</f>
        <v>0.47783989433736257</v>
      </c>
      <c r="H67" s="32">
        <f>SUM($D$34:I34)/SUM($C$25:H25)</f>
        <v>0.56570730268381986</v>
      </c>
      <c r="I67" s="32">
        <f>SUM($D$34:J34)/SUM($C$25:I25)</f>
        <v>0.71550628796811633</v>
      </c>
      <c r="J67" s="32">
        <f>SUM($D$34:K34)/SUM($C$25:J25)</f>
        <v>0.8653052732524128</v>
      </c>
      <c r="K67" s="32">
        <f>SUM($D$34:L34)/SUM($C$25:K25)</f>
        <v>1.0151042585367094</v>
      </c>
      <c r="L67" s="32">
        <f>SUM($D$34:M34)/SUM($C$25:L25)</f>
        <v>1.1649032438210059</v>
      </c>
      <c r="M67" s="32">
        <f>SUM($D$34:N34)/SUM($C$25:M25)</f>
        <v>1.3147022291053023</v>
      </c>
      <c r="N67" s="32">
        <f>SUM($D$34:O34)/SUM($C$25:N25)</f>
        <v>1.4645012143895988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273611.11111111112</v>
      </c>
      <c r="G70" s="156">
        <f>G76+G79+G82+G85+G88+G91</f>
        <v>547222.22222222225</v>
      </c>
      <c r="H70" s="156">
        <f t="shared" si="20"/>
        <v>820833.33333333337</v>
      </c>
      <c r="I70" s="156">
        <f t="shared" si="20"/>
        <v>1094444.4444444445</v>
      </c>
      <c r="J70" s="156">
        <f t="shared" si="20"/>
        <v>1368055.5555555555</v>
      </c>
      <c r="K70" s="156">
        <f t="shared" si="20"/>
        <v>1368055.5555555555</v>
      </c>
      <c r="L70" s="156">
        <f t="shared" si="20"/>
        <v>1094444.4444444445</v>
      </c>
      <c r="M70" s="156">
        <f t="shared" si="20"/>
        <v>820833.33333333337</v>
      </c>
      <c r="N70" s="156">
        <f t="shared" si="20"/>
        <v>547222.22222222225</v>
      </c>
      <c r="O70" s="156">
        <f t="shared" si="20"/>
        <v>273611.11111111112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54722.222222222219</v>
      </c>
      <c r="E71" s="160">
        <f t="shared" si="20"/>
        <v>109444.44444444444</v>
      </c>
      <c r="F71" s="160">
        <f t="shared" si="20"/>
        <v>164166.66666666666</v>
      </c>
      <c r="G71" s="160">
        <f t="shared" si="20"/>
        <v>207944.44444444444</v>
      </c>
      <c r="H71" s="160">
        <f t="shared" si="20"/>
        <v>240777.77777777775</v>
      </c>
      <c r="I71" s="160">
        <f t="shared" si="20"/>
        <v>262666.66666666663</v>
      </c>
      <c r="J71" s="160">
        <f t="shared" si="20"/>
        <v>218888.88888888888</v>
      </c>
      <c r="K71" s="160">
        <f t="shared" si="20"/>
        <v>164166.66666666666</v>
      </c>
      <c r="L71" s="160">
        <f t="shared" si="20"/>
        <v>109444.44444444444</v>
      </c>
      <c r="M71" s="160">
        <f t="shared" si="20"/>
        <v>65666.666666666657</v>
      </c>
      <c r="N71" s="160">
        <f t="shared" si="20"/>
        <v>32833.333333333328</v>
      </c>
      <c r="O71" s="160">
        <f t="shared" si="20"/>
        <v>10944.44444444444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273611.11111111112</v>
      </c>
      <c r="G76" s="177">
        <f>IF($B$13&gt;G75,0,IF($C$72-(SUM($C$76:F76)+1)&gt;0,IF($B$12&gt;0,$C$72/$B$12,0),0))</f>
        <v>273611.11111111112</v>
      </c>
      <c r="H76" s="177">
        <f>IF($B$13&gt;H75,0,IF($C$72-(SUM($C$76:G76)+1)&gt;0,IF($B$12&gt;0,$C$72/$B$12,0),0))</f>
        <v>273611.11111111112</v>
      </c>
      <c r="I76" s="177">
        <f>IF($B$13&gt;I75,0,IF($C$72-(SUM($C$76:H76)+1)&gt;0,IF($B$12&gt;0,$C$72/$B$12,0),0))</f>
        <v>273611.11111111112</v>
      </c>
      <c r="J76" s="177">
        <f>IF($B$13&gt;J75,0,IF($C$72-(SUM($C$76:I76)+1)&gt;0,IF($B$12&gt;0,$C$72/$B$12,0),0))</f>
        <v>273611.11111111112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54722.222222222219</v>
      </c>
      <c r="E77" s="182">
        <f>($C$72-SUM($C$76:D76))*$B$14</f>
        <v>54722.222222222219</v>
      </c>
      <c r="F77" s="182">
        <f>($C$72-SUM($C$76:E76))*$B$14</f>
        <v>54722.222222222219</v>
      </c>
      <c r="G77" s="182">
        <f>($C$72-SUM($C$76:F76))*$B$14</f>
        <v>43777.777777777781</v>
      </c>
      <c r="H77" s="182">
        <f>($C$72-SUM($C$76:G76))*$B$14</f>
        <v>32833.333333333328</v>
      </c>
      <c r="I77" s="182">
        <f>($C$72-SUM($C$76:H76))*$B$14</f>
        <v>21888.888888888887</v>
      </c>
      <c r="J77" s="182">
        <f>($C$72-SUM($C$76:I76))*$B$14</f>
        <v>10944.44444444444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273611.11111111112</v>
      </c>
      <c r="H79" s="177">
        <f>IF($B$13&gt;H78,0,IF($D$72-(SUM($C$79:G79)+1)&gt;0,IF($B$12&gt;0,$D$72/$B$12,0),0))</f>
        <v>273611.11111111112</v>
      </c>
      <c r="I79" s="177">
        <f>IF($B$13&gt;I78,0,IF($D$72-(SUM($C$79:H79)+1)&gt;0,IF($B$12&gt;0,$D$72/$B$12,0),0))</f>
        <v>273611.11111111112</v>
      </c>
      <c r="J79" s="177">
        <f>IF($B$13&gt;J78,0,IF($D$72-(SUM($C$79:I79)+1)&gt;0,IF($B$12&gt;0,$D$72/$B$12,0),0))</f>
        <v>273611.11111111112</v>
      </c>
      <c r="K79" s="177">
        <f>IF($B$13&gt;K78,0,IF($D$72-(SUM($C$79:J79)+1)&gt;0,IF($B$12&gt;0,$D$72/$B$12,0),0))</f>
        <v>273611.11111111112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54722.222222222219</v>
      </c>
      <c r="F80" s="182">
        <f>($D$72-SUM($C$79:E79))*$B$14</f>
        <v>54722.222222222219</v>
      </c>
      <c r="G80" s="182">
        <f>($D$72-SUM($C$79:F79))*$B$14</f>
        <v>54722.222222222219</v>
      </c>
      <c r="H80" s="182">
        <f>($D$72-SUM($C$79:G79))*$B$14</f>
        <v>43777.777777777781</v>
      </c>
      <c r="I80" s="182">
        <f>($D$72-SUM($C$79:H79))*$B$14</f>
        <v>32833.333333333328</v>
      </c>
      <c r="J80" s="182">
        <f>($D$72-SUM($C$79:I79))*$B$14</f>
        <v>21888.888888888887</v>
      </c>
      <c r="K80" s="182">
        <f>($D$72-SUM($C$79:J79))*$B$14</f>
        <v>10944.44444444444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273611.11111111112</v>
      </c>
      <c r="I82" s="177">
        <f>IF($B$13&gt;I81,0,IF($E$72-(SUM($C$82:H82)+1)&gt;0,IF($B$12&gt;0,$E$72/$B$12,0),0))</f>
        <v>273611.11111111112</v>
      </c>
      <c r="J82" s="177">
        <f>IF($B$13&gt;J81,0,IF($E$72-(SUM($C$82:I82)+1)&gt;0,IF($B$12&gt;0,$E$72/$B$12,0),0))</f>
        <v>273611.11111111112</v>
      </c>
      <c r="K82" s="177">
        <f>IF($B$13&gt;K81,0,IF($E$72-(SUM($C$82:J82)+1)&gt;0,IF($B$12&gt;0,$E$72/$B$12,0),0))</f>
        <v>273611.11111111112</v>
      </c>
      <c r="L82" s="177">
        <f>IF($B$13&gt;L81,0,IF($E$72-(SUM($C$82:K82)+1)&gt;0,IF($B$12&gt;0,$E$72/$B$12,0),0))</f>
        <v>273611.11111111112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54722.222222222219</v>
      </c>
      <c r="G83" s="182">
        <f>($E$72-SUM($C$82:F82))*$B$14</f>
        <v>54722.222222222219</v>
      </c>
      <c r="H83" s="182">
        <f>($E$72-SUM($C$82:G82))*$B$14</f>
        <v>54722.222222222219</v>
      </c>
      <c r="I83" s="182">
        <f>($E$72-SUM($C$82:H82))*$B$14</f>
        <v>43777.777777777781</v>
      </c>
      <c r="J83" s="182">
        <f>($E$72-SUM($C$82:I82))*$B$14</f>
        <v>32833.333333333328</v>
      </c>
      <c r="K83" s="182">
        <f>($E$72-SUM($C$82:J82))*$B$14</f>
        <v>21888.888888888887</v>
      </c>
      <c r="L83" s="182">
        <f>($E$72-SUM($C$82:K82))*$B$14</f>
        <v>10944.44444444444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273611.11111111112</v>
      </c>
      <c r="J85" s="177">
        <f>IF($B$13&gt;J84,0,IF($F$72-(SUM($C$85:I85)+1)&gt;0,IF($B$12&gt;0,$F$72/$B$12,0),0))</f>
        <v>273611.11111111112</v>
      </c>
      <c r="K85" s="177">
        <f>IF($B$13&gt;K84,0,IF($F$72-(SUM($C$85:J85)+1)&gt;0,IF($B$12&gt;0,$F$72/$B$12,0),0))</f>
        <v>273611.11111111112</v>
      </c>
      <c r="L85" s="177">
        <f>IF($B$13&gt;L84,0,IF($F$72-(SUM($C$85:K85)+1)&gt;0,IF($B$12&gt;0,$F$72/$B$12,0),0))</f>
        <v>273611.11111111112</v>
      </c>
      <c r="M85" s="177">
        <f>IF($B$13&gt;M84,0,IF($F$72-(SUM($C$85:L85)+1)&gt;0,IF($B$12&gt;0,$F$72/$B$12,0),0))</f>
        <v>273611.11111111112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54722.222222222219</v>
      </c>
      <c r="H86" s="182">
        <f>($F$72-SUM($C$85:G85))*$B$14</f>
        <v>54722.222222222219</v>
      </c>
      <c r="I86" s="182">
        <f>($F$72-SUM($C$85:H85))*$B$14</f>
        <v>54722.222222222219</v>
      </c>
      <c r="J86" s="182">
        <f>($F$72-SUM($C$85:I85))*$B$14</f>
        <v>43777.777777777781</v>
      </c>
      <c r="K86" s="182">
        <f>($F$72-SUM($C$85:J85))*$B$14</f>
        <v>32833.333333333328</v>
      </c>
      <c r="L86" s="182">
        <f>($F$72-SUM($C$85:K85))*$B$14</f>
        <v>21888.888888888887</v>
      </c>
      <c r="M86" s="182">
        <f>($F$72-SUM($C$85:L85))*$B$14</f>
        <v>10944.44444444444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273611.11111111112</v>
      </c>
      <c r="K88" s="177">
        <f>IF($B$13&gt;K87,0,IF($G$72-(SUM($C$88:J88)+1)&gt;0,IF($B$12&gt;0,$G$72/$B$12,0),0))</f>
        <v>273611.11111111112</v>
      </c>
      <c r="L88" s="177">
        <f>IF($B$13&gt;L87,0,IF($G$72-(SUM($C$88:K88)+1)&gt;0,IF($B$12&gt;0,$G$72/$B$12,0),0))</f>
        <v>273611.11111111112</v>
      </c>
      <c r="M88" s="177">
        <f>IF($B$13&gt;M87,0,IF($G$72-(SUM($C$88:L88)+1)&gt;0,IF($B$12&gt;0,$G$72/$B$12,0),0))</f>
        <v>273611.11111111112</v>
      </c>
      <c r="N88" s="177">
        <f>IF($B$13&gt;N87,0,IF($G$72-(SUM($C$88:M88)+1)&gt;0,IF($B$12&gt;0,$G$72/$B$12,0),0))</f>
        <v>273611.11111111112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54722.222222222219</v>
      </c>
      <c r="I89" s="182">
        <f>($G$72-SUM($C$88:H88))*$B$14</f>
        <v>54722.222222222219</v>
      </c>
      <c r="J89" s="182">
        <f>($G$72-SUM($C$88:I88))*$B$14</f>
        <v>54722.222222222219</v>
      </c>
      <c r="K89" s="182">
        <f>($G$72-SUM($C$88:J88))*$B$14</f>
        <v>43777.777777777781</v>
      </c>
      <c r="L89" s="182">
        <f>($G$72-SUM($C$88:K88))*$B$14</f>
        <v>32833.333333333328</v>
      </c>
      <c r="M89" s="182">
        <f>($G$72-SUM($C$88:L88))*$B$14</f>
        <v>21888.888888888887</v>
      </c>
      <c r="N89" s="182">
        <f>($G$72-SUM($C$88:M88))*$B$14</f>
        <v>10944.44444444444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273611.11111111112</v>
      </c>
      <c r="L91" s="177">
        <f>IF($B$13&gt;L90,0,IF($H$72-(SUM($C$91:K91)+1)&gt;0,IF($B$12&gt;0,$H$72/$B$12,0),0))</f>
        <v>273611.11111111112</v>
      </c>
      <c r="M91" s="177">
        <f>IF($B$13&gt;M90,0,IF($H$72-(SUM($C$91:L91)+1)&gt;0,IF($B$12&gt;0,$H$72/$B$12,0),0))</f>
        <v>273611.11111111112</v>
      </c>
      <c r="N91" s="177">
        <f>IF($B$13&gt;N90,0,IF($H$72-(SUM($C$91:M91)+1)&gt;0,IF($B$12&gt;0,$H$72/$B$12,0),0))</f>
        <v>273611.11111111112</v>
      </c>
      <c r="O91" s="177">
        <f>IF($B$13&gt;O90,0,IF($H$72-(SUM($C$91:N91)+1)&gt;0,IF($B$12&gt;0,$H$72/$B$12,0),0))</f>
        <v>273611.11111111112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54722.222222222219</v>
      </c>
      <c r="J92" s="182">
        <f>($H$72-SUM($C$91:I91))*$B$14</f>
        <v>54722.222222222219</v>
      </c>
      <c r="K92" s="182">
        <f>($H$72-SUM($C$91:J91))*$B$14</f>
        <v>54722.222222222219</v>
      </c>
      <c r="L92" s="182">
        <f>($H$72-SUM($C$91:K91))*$B$14</f>
        <v>43777.777777777781</v>
      </c>
      <c r="M92" s="182">
        <f>($H$72-SUM($C$91:L91))*$B$14</f>
        <v>32833.333333333328</v>
      </c>
      <c r="N92" s="182">
        <f>($H$72-SUM($C$91:M91))*$B$14</f>
        <v>21888.888888888887</v>
      </c>
      <c r="O92" s="182">
        <f>($H$72-SUM($C$91:N91))*$B$14</f>
        <v>10944.44444444444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204933.33403476674</v>
      </c>
      <c r="E94" s="204">
        <f t="shared" si="29"/>
        <v>391236.36497546372</v>
      </c>
      <c r="F94" s="204">
        <f t="shared" si="29"/>
        <v>560602.75673973374</v>
      </c>
      <c r="G94" s="204">
        <f t="shared" si="29"/>
        <v>714572.20379816112</v>
      </c>
      <c r="H94" s="204">
        <f t="shared" si="29"/>
        <v>854544.42839673138</v>
      </c>
      <c r="I94" s="204">
        <f t="shared" si="29"/>
        <v>981791.9053045226</v>
      </c>
      <c r="J94" s="204">
        <f t="shared" si="29"/>
        <v>981791.9053045226</v>
      </c>
      <c r="K94" s="204">
        <f t="shared" si="29"/>
        <v>981791.9053045226</v>
      </c>
      <c r="L94" s="204">
        <f t="shared" si="29"/>
        <v>981791.9053045226</v>
      </c>
      <c r="M94" s="204">
        <f t="shared" si="29"/>
        <v>981791.9053045226</v>
      </c>
      <c r="N94" s="204">
        <f t="shared" si="29"/>
        <v>981791.9053045226</v>
      </c>
      <c r="O94" s="204">
        <f t="shared" si="29"/>
        <v>981791.9053045226</v>
      </c>
      <c r="P94" s="204">
        <f t="shared" si="29"/>
        <v>981791.9053045226</v>
      </c>
      <c r="Q94" s="204">
        <f t="shared" si="29"/>
        <v>981791.9053045226</v>
      </c>
      <c r="R94" s="204">
        <f t="shared" si="29"/>
        <v>981791.9053045226</v>
      </c>
      <c r="S94" s="204">
        <f t="shared" si="29"/>
        <v>981791.9053045226</v>
      </c>
      <c r="T94" s="204">
        <f t="shared" si="29"/>
        <v>981791.9053045226</v>
      </c>
      <c r="U94" s="204">
        <f t="shared" si="29"/>
        <v>981791.9053045226</v>
      </c>
      <c r="V94" s="204">
        <f t="shared" si="29"/>
        <v>981791.9053045226</v>
      </c>
      <c r="W94" s="204">
        <f t="shared" si="29"/>
        <v>981791.9053045226</v>
      </c>
      <c r="X94" s="204">
        <f t="shared" si="29"/>
        <v>981791.9053045226</v>
      </c>
      <c r="Y94" s="204">
        <f t="shared" si="29"/>
        <v>981791.9053045226</v>
      </c>
      <c r="Z94" s="204">
        <f t="shared" si="29"/>
        <v>981791.9053045226</v>
      </c>
      <c r="AA94" s="204">
        <f t="shared" si="29"/>
        <v>981791.9053045226</v>
      </c>
      <c r="AB94" s="204">
        <f t="shared" si="29"/>
        <v>981791.9053045226</v>
      </c>
      <c r="AC94" s="204">
        <f t="shared" si="29"/>
        <v>981791.9053045226</v>
      </c>
      <c r="AD94" s="204">
        <f t="shared" si="29"/>
        <v>776858.57126975595</v>
      </c>
      <c r="AE94" s="204">
        <f t="shared" si="29"/>
        <v>590555.54032905889</v>
      </c>
      <c r="AF94" s="204">
        <f t="shared" si="29"/>
        <v>421189.1485647888</v>
      </c>
      <c r="AG94" s="204">
        <f t="shared" si="29"/>
        <v>267219.70150636148</v>
      </c>
      <c r="AH94" s="204">
        <f t="shared" si="29"/>
        <v>127247.47690779124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124368.68686868688</v>
      </c>
      <c r="E95" s="204">
        <f t="shared" si="30"/>
        <v>237431.12947658403</v>
      </c>
      <c r="F95" s="204">
        <f t="shared" si="30"/>
        <v>340215.16821103601</v>
      </c>
      <c r="G95" s="204">
        <f t="shared" si="30"/>
        <v>433655.20342417416</v>
      </c>
      <c r="H95" s="204">
        <f t="shared" si="30"/>
        <v>518600.6899815725</v>
      </c>
      <c r="I95" s="204">
        <f t="shared" si="30"/>
        <v>595823.85957920738</v>
      </c>
      <c r="J95" s="204">
        <f t="shared" si="30"/>
        <v>595823.85957920738</v>
      </c>
      <c r="K95" s="204">
        <f t="shared" si="30"/>
        <v>595823.85957920738</v>
      </c>
      <c r="L95" s="204">
        <f t="shared" si="30"/>
        <v>595823.85957920738</v>
      </c>
      <c r="M95" s="204">
        <f t="shared" si="30"/>
        <v>595823.85957920738</v>
      </c>
      <c r="N95" s="204">
        <f t="shared" si="30"/>
        <v>595823.85957920738</v>
      </c>
      <c r="O95" s="204">
        <f t="shared" si="30"/>
        <v>595823.85957920738</v>
      </c>
      <c r="P95" s="204">
        <f t="shared" si="30"/>
        <v>595823.85957920738</v>
      </c>
      <c r="Q95" s="204">
        <f t="shared" si="30"/>
        <v>595823.85957920738</v>
      </c>
      <c r="R95" s="204">
        <f t="shared" si="30"/>
        <v>595823.85957920738</v>
      </c>
      <c r="S95" s="204">
        <f t="shared" si="30"/>
        <v>595823.85957920738</v>
      </c>
      <c r="T95" s="204">
        <f t="shared" si="30"/>
        <v>595823.85957920738</v>
      </c>
      <c r="U95" s="204">
        <f t="shared" si="30"/>
        <v>595823.85957920738</v>
      </c>
      <c r="V95" s="204">
        <f t="shared" si="30"/>
        <v>595823.85957920738</v>
      </c>
      <c r="W95" s="204">
        <f t="shared" si="30"/>
        <v>595823.85957920738</v>
      </c>
      <c r="X95" s="204">
        <f t="shared" si="30"/>
        <v>595823.85957920738</v>
      </c>
      <c r="Y95" s="204">
        <f t="shared" si="30"/>
        <v>595823.85957920738</v>
      </c>
      <c r="Z95" s="204">
        <f t="shared" si="30"/>
        <v>595823.85957920738</v>
      </c>
      <c r="AA95" s="204">
        <f t="shared" si="30"/>
        <v>595823.85957920738</v>
      </c>
      <c r="AB95" s="204">
        <f t="shared" si="30"/>
        <v>595823.85957920738</v>
      </c>
      <c r="AC95" s="204">
        <f t="shared" si="30"/>
        <v>595823.85957920738</v>
      </c>
      <c r="AD95" s="204">
        <f t="shared" si="30"/>
        <v>471455.17271052051</v>
      </c>
      <c r="AE95" s="204">
        <f t="shared" si="30"/>
        <v>358392.73010262335</v>
      </c>
      <c r="AF95" s="204">
        <f t="shared" si="30"/>
        <v>255608.69136817136</v>
      </c>
      <c r="AG95" s="204">
        <f t="shared" si="30"/>
        <v>162168.65615503321</v>
      </c>
      <c r="AH95" s="204">
        <f t="shared" si="30"/>
        <v>77223.169597634886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80564.647166079856</v>
      </c>
      <c r="E96" s="204">
        <f t="shared" ref="E96:AH96" si="32">E94-E95</f>
        <v>153805.23549887969</v>
      </c>
      <c r="F96" s="204">
        <f t="shared" si="32"/>
        <v>220387.58852869773</v>
      </c>
      <c r="G96" s="204">
        <f t="shared" si="32"/>
        <v>280917.00037398696</v>
      </c>
      <c r="H96" s="204">
        <f t="shared" si="32"/>
        <v>335943.73841515888</v>
      </c>
      <c r="I96" s="204">
        <f t="shared" si="32"/>
        <v>385968.04572531523</v>
      </c>
      <c r="J96" s="204">
        <f t="shared" si="32"/>
        <v>385968.04572531523</v>
      </c>
      <c r="K96" s="204">
        <f t="shared" si="32"/>
        <v>385968.04572531523</v>
      </c>
      <c r="L96" s="204">
        <f t="shared" si="32"/>
        <v>385968.04572531523</v>
      </c>
      <c r="M96" s="204">
        <f t="shared" si="32"/>
        <v>385968.04572531523</v>
      </c>
      <c r="N96" s="204">
        <f t="shared" si="32"/>
        <v>385968.04572531523</v>
      </c>
      <c r="O96" s="204">
        <f t="shared" si="32"/>
        <v>385968.04572531523</v>
      </c>
      <c r="P96" s="204">
        <f t="shared" si="32"/>
        <v>385968.04572531523</v>
      </c>
      <c r="Q96" s="204">
        <f t="shared" si="32"/>
        <v>385968.04572531523</v>
      </c>
      <c r="R96" s="204">
        <f t="shared" si="32"/>
        <v>385968.04572531523</v>
      </c>
      <c r="S96" s="204">
        <f t="shared" si="32"/>
        <v>385968.04572531523</v>
      </c>
      <c r="T96" s="204">
        <f t="shared" si="32"/>
        <v>385968.04572531523</v>
      </c>
      <c r="U96" s="204">
        <f t="shared" si="32"/>
        <v>385968.04572531523</v>
      </c>
      <c r="V96" s="204">
        <f t="shared" si="32"/>
        <v>385968.04572531523</v>
      </c>
      <c r="W96" s="204">
        <f t="shared" si="32"/>
        <v>385968.04572531523</v>
      </c>
      <c r="X96" s="204">
        <f t="shared" si="32"/>
        <v>385968.04572531523</v>
      </c>
      <c r="Y96" s="204">
        <f t="shared" si="32"/>
        <v>385968.04572531523</v>
      </c>
      <c r="Z96" s="204">
        <f t="shared" si="32"/>
        <v>385968.04572531523</v>
      </c>
      <c r="AA96" s="204">
        <f t="shared" si="32"/>
        <v>385968.04572531523</v>
      </c>
      <c r="AB96" s="204">
        <f t="shared" si="32"/>
        <v>385968.04572531523</v>
      </c>
      <c r="AC96" s="204">
        <f t="shared" si="32"/>
        <v>385968.04572531523</v>
      </c>
      <c r="AD96" s="204">
        <f t="shared" si="32"/>
        <v>305403.39855923544</v>
      </c>
      <c r="AE96" s="204">
        <f t="shared" si="32"/>
        <v>232162.81022643554</v>
      </c>
      <c r="AF96" s="204">
        <f t="shared" si="32"/>
        <v>165580.45719661744</v>
      </c>
      <c r="AG96" s="204">
        <f t="shared" si="32"/>
        <v>105051.04535132827</v>
      </c>
      <c r="AH96" s="204">
        <f t="shared" si="32"/>
        <v>50024.30731015635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54722.222222222219</v>
      </c>
      <c r="E97" s="204">
        <f t="shared" si="33"/>
        <v>109444.44444444444</v>
      </c>
      <c r="F97" s="204">
        <f t="shared" si="33"/>
        <v>164166.66666666666</v>
      </c>
      <c r="G97" s="204">
        <f t="shared" si="33"/>
        <v>207944.44444444444</v>
      </c>
      <c r="H97" s="204">
        <f t="shared" si="33"/>
        <v>240777.77777777775</v>
      </c>
      <c r="I97" s="204">
        <f t="shared" si="33"/>
        <v>262666.66666666663</v>
      </c>
      <c r="J97" s="204">
        <f t="shared" si="33"/>
        <v>218888.88888888888</v>
      </c>
      <c r="K97" s="204">
        <f t="shared" si="33"/>
        <v>164166.66666666666</v>
      </c>
      <c r="L97" s="204">
        <f t="shared" si="33"/>
        <v>109444.44444444444</v>
      </c>
      <c r="M97" s="204">
        <f t="shared" si="33"/>
        <v>65666.666666666657</v>
      </c>
      <c r="N97" s="204">
        <f t="shared" si="33"/>
        <v>32833.333333333328</v>
      </c>
      <c r="O97" s="204">
        <f t="shared" si="33"/>
        <v>10944.44444444444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25842.424943857637</v>
      </c>
      <c r="E98" s="204">
        <f t="shared" ref="E98:AH98" si="34">E96-E97</f>
        <v>44360.791054435249</v>
      </c>
      <c r="F98" s="204">
        <f t="shared" si="34"/>
        <v>56220.921862031071</v>
      </c>
      <c r="G98" s="204">
        <f t="shared" si="34"/>
        <v>72972.555929542519</v>
      </c>
      <c r="H98" s="204">
        <f t="shared" si="34"/>
        <v>95165.960637381126</v>
      </c>
      <c r="I98" s="204">
        <f t="shared" si="34"/>
        <v>123301.3790586486</v>
      </c>
      <c r="J98" s="204">
        <f t="shared" si="34"/>
        <v>167079.15683642635</v>
      </c>
      <c r="K98" s="204">
        <f t="shared" si="34"/>
        <v>221801.37905864857</v>
      </c>
      <c r="L98" s="204">
        <f t="shared" si="34"/>
        <v>276523.60128087079</v>
      </c>
      <c r="M98" s="204">
        <f t="shared" si="34"/>
        <v>320301.3790586486</v>
      </c>
      <c r="N98" s="204">
        <f t="shared" si="34"/>
        <v>353134.71239198191</v>
      </c>
      <c r="O98" s="204">
        <f t="shared" si="34"/>
        <v>375023.60128087079</v>
      </c>
      <c r="P98" s="204">
        <f t="shared" si="34"/>
        <v>385968.04572531523</v>
      </c>
      <c r="Q98" s="204">
        <f t="shared" si="34"/>
        <v>385968.04572531523</v>
      </c>
      <c r="R98" s="204">
        <f t="shared" si="34"/>
        <v>385968.04572531523</v>
      </c>
      <c r="S98" s="204">
        <f t="shared" si="34"/>
        <v>385968.04572531523</v>
      </c>
      <c r="T98" s="204">
        <f t="shared" si="34"/>
        <v>385968.04572531523</v>
      </c>
      <c r="U98" s="204">
        <f t="shared" si="34"/>
        <v>385968.04572531523</v>
      </c>
      <c r="V98" s="204">
        <f t="shared" si="34"/>
        <v>385968.04572531523</v>
      </c>
      <c r="W98" s="204">
        <f t="shared" si="34"/>
        <v>385968.04572531523</v>
      </c>
      <c r="X98" s="204">
        <f t="shared" si="34"/>
        <v>385968.04572531523</v>
      </c>
      <c r="Y98" s="204">
        <f t="shared" si="34"/>
        <v>385968.04572531523</v>
      </c>
      <c r="Z98" s="204">
        <f t="shared" si="34"/>
        <v>385968.04572531523</v>
      </c>
      <c r="AA98" s="204">
        <f t="shared" si="34"/>
        <v>385968.04572531523</v>
      </c>
      <c r="AB98" s="204">
        <f t="shared" si="34"/>
        <v>385968.04572531523</v>
      </c>
      <c r="AC98" s="204">
        <f t="shared" si="34"/>
        <v>385968.04572531523</v>
      </c>
      <c r="AD98" s="204">
        <f t="shared" si="34"/>
        <v>305403.39855923544</v>
      </c>
      <c r="AE98" s="204">
        <f t="shared" si="34"/>
        <v>232162.81022643554</v>
      </c>
      <c r="AF98" s="204">
        <f t="shared" si="34"/>
        <v>165580.45719661744</v>
      </c>
      <c r="AG98" s="204">
        <f t="shared" si="34"/>
        <v>105051.04535132827</v>
      </c>
      <c r="AH98" s="204">
        <f t="shared" si="34"/>
        <v>50024.30731015635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25842.424943857637</v>
      </c>
      <c r="E100" s="204">
        <f t="shared" ref="E100:AH100" si="35">E98+E99</f>
        <v>44360.791054435249</v>
      </c>
      <c r="F100" s="204">
        <f t="shared" si="35"/>
        <v>56220.921862031071</v>
      </c>
      <c r="G100" s="204">
        <f t="shared" si="35"/>
        <v>72972.555929542519</v>
      </c>
      <c r="H100" s="204">
        <f t="shared" si="35"/>
        <v>95165.960637381126</v>
      </c>
      <c r="I100" s="204">
        <f t="shared" si="35"/>
        <v>123301.3790586486</v>
      </c>
      <c r="J100" s="204">
        <f t="shared" si="35"/>
        <v>167079.15683642635</v>
      </c>
      <c r="K100" s="204">
        <f t="shared" si="35"/>
        <v>221801.37905864857</v>
      </c>
      <c r="L100" s="204">
        <f t="shared" si="35"/>
        <v>276523.60128087079</v>
      </c>
      <c r="M100" s="204">
        <f t="shared" si="35"/>
        <v>320301.3790586486</v>
      </c>
      <c r="N100" s="204">
        <f t="shared" si="35"/>
        <v>353134.71239198191</v>
      </c>
      <c r="O100" s="204">
        <f t="shared" si="35"/>
        <v>375023.60128087079</v>
      </c>
      <c r="P100" s="204">
        <f t="shared" si="35"/>
        <v>385968.04572531523</v>
      </c>
      <c r="Q100" s="204">
        <f t="shared" si="35"/>
        <v>385968.04572531523</v>
      </c>
      <c r="R100" s="204">
        <f t="shared" si="35"/>
        <v>385968.04572531523</v>
      </c>
      <c r="S100" s="204">
        <f t="shared" si="35"/>
        <v>385968.04572531523</v>
      </c>
      <c r="T100" s="204">
        <f t="shared" si="35"/>
        <v>385968.04572531523</v>
      </c>
      <c r="U100" s="204">
        <f t="shared" si="35"/>
        <v>385968.04572531523</v>
      </c>
      <c r="V100" s="204">
        <f t="shared" si="35"/>
        <v>385968.04572531523</v>
      </c>
      <c r="W100" s="204">
        <f t="shared" si="35"/>
        <v>385968.04572531523</v>
      </c>
      <c r="X100" s="204">
        <f t="shared" si="35"/>
        <v>385968.04572531523</v>
      </c>
      <c r="Y100" s="204">
        <f t="shared" si="35"/>
        <v>385968.04572531523</v>
      </c>
      <c r="Z100" s="204">
        <f t="shared" si="35"/>
        <v>385968.04572531523</v>
      </c>
      <c r="AA100" s="204">
        <f t="shared" si="35"/>
        <v>385968.04572531523</v>
      </c>
      <c r="AB100" s="204">
        <f t="shared" si="35"/>
        <v>385968.04572531523</v>
      </c>
      <c r="AC100" s="204">
        <f t="shared" si="35"/>
        <v>385968.04572531523</v>
      </c>
      <c r="AD100" s="204">
        <f t="shared" si="35"/>
        <v>305403.39855923544</v>
      </c>
      <c r="AE100" s="204">
        <f t="shared" si="35"/>
        <v>232162.81022643554</v>
      </c>
      <c r="AF100" s="204">
        <f t="shared" si="35"/>
        <v>165580.45719661744</v>
      </c>
      <c r="AG100" s="204">
        <f t="shared" si="35"/>
        <v>105051.04535132827</v>
      </c>
      <c r="AH100" s="204">
        <f t="shared" si="35"/>
        <v>50024.30731015635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15505.454966314581</v>
      </c>
      <c r="E101" s="204">
        <f t="shared" ref="E101:AH101" si="36">IF(E100*$B$17&gt;0,E100*$B$17,0)</f>
        <v>26616.474632661149</v>
      </c>
      <c r="F101" s="204">
        <f t="shared" si="36"/>
        <v>33732.553117218638</v>
      </c>
      <c r="G101" s="204">
        <f t="shared" si="36"/>
        <v>43783.53355772551</v>
      </c>
      <c r="H101" s="204">
        <f t="shared" si="36"/>
        <v>57099.576382428677</v>
      </c>
      <c r="I101" s="204">
        <f t="shared" si="36"/>
        <v>73980.82743518916</v>
      </c>
      <c r="J101" s="204">
        <f t="shared" si="36"/>
        <v>100247.4941018558</v>
      </c>
      <c r="K101" s="204">
        <f t="shared" si="36"/>
        <v>133080.82743518913</v>
      </c>
      <c r="L101" s="204">
        <f t="shared" si="36"/>
        <v>165914.16076852247</v>
      </c>
      <c r="M101" s="204">
        <f t="shared" si="36"/>
        <v>192180.82743518916</v>
      </c>
      <c r="N101" s="204">
        <f t="shared" si="36"/>
        <v>211880.82743518913</v>
      </c>
      <c r="O101" s="204">
        <f t="shared" si="36"/>
        <v>225014.16076852247</v>
      </c>
      <c r="P101" s="204">
        <f t="shared" si="36"/>
        <v>231580.82743518913</v>
      </c>
      <c r="Q101" s="204">
        <f t="shared" si="36"/>
        <v>231580.82743518913</v>
      </c>
      <c r="R101" s="204">
        <f t="shared" si="36"/>
        <v>231580.82743518913</v>
      </c>
      <c r="S101" s="204">
        <f t="shared" si="36"/>
        <v>231580.82743518913</v>
      </c>
      <c r="T101" s="204">
        <f t="shared" si="36"/>
        <v>231580.82743518913</v>
      </c>
      <c r="U101" s="204">
        <f t="shared" si="36"/>
        <v>231580.82743518913</v>
      </c>
      <c r="V101" s="204">
        <f t="shared" si="36"/>
        <v>231580.82743518913</v>
      </c>
      <c r="W101" s="204">
        <f t="shared" si="36"/>
        <v>231580.82743518913</v>
      </c>
      <c r="X101" s="204">
        <f t="shared" si="36"/>
        <v>231580.82743518913</v>
      </c>
      <c r="Y101" s="204">
        <f t="shared" si="36"/>
        <v>231580.82743518913</v>
      </c>
      <c r="Z101" s="204">
        <f t="shared" si="36"/>
        <v>231580.82743518913</v>
      </c>
      <c r="AA101" s="204">
        <f t="shared" si="36"/>
        <v>231580.82743518913</v>
      </c>
      <c r="AB101" s="204">
        <f t="shared" si="36"/>
        <v>231580.82743518913</v>
      </c>
      <c r="AC101" s="204">
        <f t="shared" si="36"/>
        <v>231580.82743518913</v>
      </c>
      <c r="AD101" s="204">
        <f t="shared" si="36"/>
        <v>183242.03913554127</v>
      </c>
      <c r="AE101" s="204">
        <f t="shared" si="36"/>
        <v>139297.68613586132</v>
      </c>
      <c r="AF101" s="204">
        <f t="shared" si="36"/>
        <v>99348.274317970456</v>
      </c>
      <c r="AG101" s="204">
        <f t="shared" si="36"/>
        <v>63030.627210796956</v>
      </c>
      <c r="AH101" s="204">
        <f t="shared" si="36"/>
        <v>30014.584386093808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10336.969977543056</v>
      </c>
      <c r="E102" s="204">
        <f t="shared" ref="E102:AH102" si="37">E100-E101</f>
        <v>17744.3164217741</v>
      </c>
      <c r="F102" s="204">
        <f t="shared" si="37"/>
        <v>22488.368744812433</v>
      </c>
      <c r="G102" s="204">
        <f t="shared" si="37"/>
        <v>29189.022371817009</v>
      </c>
      <c r="H102" s="204">
        <f t="shared" si="37"/>
        <v>38066.384254952449</v>
      </c>
      <c r="I102" s="204">
        <f t="shared" si="37"/>
        <v>49320.55162345944</v>
      </c>
      <c r="J102" s="204">
        <f t="shared" si="37"/>
        <v>66831.662734570549</v>
      </c>
      <c r="K102" s="204">
        <f t="shared" si="37"/>
        <v>88720.55162345944</v>
      </c>
      <c r="L102" s="204">
        <f t="shared" si="37"/>
        <v>110609.44051234832</v>
      </c>
      <c r="M102" s="204">
        <f t="shared" si="37"/>
        <v>128120.55162345944</v>
      </c>
      <c r="N102" s="204">
        <f t="shared" si="37"/>
        <v>141253.88495679278</v>
      </c>
      <c r="O102" s="204">
        <f t="shared" si="37"/>
        <v>150009.44051234832</v>
      </c>
      <c r="P102" s="204">
        <f t="shared" si="37"/>
        <v>154387.2182901261</v>
      </c>
      <c r="Q102" s="204">
        <f t="shared" si="37"/>
        <v>154387.2182901261</v>
      </c>
      <c r="R102" s="204">
        <f t="shared" si="37"/>
        <v>154387.2182901261</v>
      </c>
      <c r="S102" s="204">
        <f t="shared" si="37"/>
        <v>154387.2182901261</v>
      </c>
      <c r="T102" s="204">
        <f t="shared" si="37"/>
        <v>154387.2182901261</v>
      </c>
      <c r="U102" s="204">
        <f t="shared" si="37"/>
        <v>154387.2182901261</v>
      </c>
      <c r="V102" s="204">
        <f t="shared" si="37"/>
        <v>154387.2182901261</v>
      </c>
      <c r="W102" s="204">
        <f t="shared" si="37"/>
        <v>154387.2182901261</v>
      </c>
      <c r="X102" s="204">
        <f t="shared" si="37"/>
        <v>154387.2182901261</v>
      </c>
      <c r="Y102" s="204">
        <f t="shared" si="37"/>
        <v>154387.2182901261</v>
      </c>
      <c r="Z102" s="204">
        <f t="shared" si="37"/>
        <v>154387.2182901261</v>
      </c>
      <c r="AA102" s="204">
        <f t="shared" si="37"/>
        <v>154387.2182901261</v>
      </c>
      <c r="AB102" s="204">
        <f t="shared" si="37"/>
        <v>154387.2182901261</v>
      </c>
      <c r="AC102" s="204">
        <f t="shared" si="37"/>
        <v>154387.2182901261</v>
      </c>
      <c r="AD102" s="204">
        <f t="shared" si="37"/>
        <v>122161.35942369417</v>
      </c>
      <c r="AE102" s="204">
        <f t="shared" si="37"/>
        <v>92865.124090574216</v>
      </c>
      <c r="AF102" s="204">
        <f t="shared" si="37"/>
        <v>66232.182878646985</v>
      </c>
      <c r="AG102" s="204">
        <f t="shared" si="37"/>
        <v>42020.418140531314</v>
      </c>
      <c r="AH102" s="204">
        <f t="shared" si="37"/>
        <v>20009.722924062542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-1368055.5555555555</v>
      </c>
      <c r="D103" s="204">
        <f t="shared" ref="D103:AH103" si="38">D102-D72</f>
        <v>-1357718.5855780125</v>
      </c>
      <c r="E103" s="204">
        <f t="shared" si="38"/>
        <v>-1350311.2391337813</v>
      </c>
      <c r="F103" s="204">
        <f t="shared" si="38"/>
        <v>-1345567.1868107431</v>
      </c>
      <c r="G103" s="204">
        <f t="shared" si="38"/>
        <v>-1338866.5331837386</v>
      </c>
      <c r="H103" s="204">
        <f t="shared" si="38"/>
        <v>-1329989.1713006031</v>
      </c>
      <c r="I103" s="204">
        <f t="shared" si="38"/>
        <v>49320.55162345944</v>
      </c>
      <c r="J103" s="204">
        <f t="shared" si="38"/>
        <v>66831.662734570549</v>
      </c>
      <c r="K103" s="204">
        <f t="shared" si="38"/>
        <v>88720.55162345944</v>
      </c>
      <c r="L103" s="204">
        <f t="shared" si="38"/>
        <v>110609.44051234832</v>
      </c>
      <c r="M103" s="204">
        <f t="shared" si="38"/>
        <v>128120.55162345944</v>
      </c>
      <c r="N103" s="204">
        <f t="shared" si="38"/>
        <v>141253.88495679278</v>
      </c>
      <c r="O103" s="204">
        <f t="shared" si="38"/>
        <v>150009.44051234832</v>
      </c>
      <c r="P103" s="204">
        <f t="shared" si="38"/>
        <v>154387.2182901261</v>
      </c>
      <c r="Q103" s="204">
        <f t="shared" si="38"/>
        <v>154387.2182901261</v>
      </c>
      <c r="R103" s="204">
        <f t="shared" si="38"/>
        <v>154387.2182901261</v>
      </c>
      <c r="S103" s="204">
        <f t="shared" si="38"/>
        <v>154387.2182901261</v>
      </c>
      <c r="T103" s="204">
        <f t="shared" si="38"/>
        <v>154387.2182901261</v>
      </c>
      <c r="U103" s="204">
        <f t="shared" si="38"/>
        <v>154387.2182901261</v>
      </c>
      <c r="V103" s="204">
        <f t="shared" si="38"/>
        <v>154387.2182901261</v>
      </c>
      <c r="W103" s="204">
        <f t="shared" si="38"/>
        <v>154387.2182901261</v>
      </c>
      <c r="X103" s="204">
        <f t="shared" si="38"/>
        <v>154387.2182901261</v>
      </c>
      <c r="Y103" s="204">
        <f t="shared" si="38"/>
        <v>154387.2182901261</v>
      </c>
      <c r="Z103" s="204">
        <f t="shared" si="38"/>
        <v>154387.2182901261</v>
      </c>
      <c r="AA103" s="204">
        <f t="shared" si="38"/>
        <v>154387.2182901261</v>
      </c>
      <c r="AB103" s="204">
        <f t="shared" si="38"/>
        <v>154387.2182901261</v>
      </c>
      <c r="AC103" s="204">
        <f t="shared" si="38"/>
        <v>154387.2182901261</v>
      </c>
      <c r="AD103" s="204">
        <f t="shared" si="38"/>
        <v>122161.35942369417</v>
      </c>
      <c r="AE103" s="204">
        <f t="shared" si="38"/>
        <v>92865.124090574216</v>
      </c>
      <c r="AF103" s="204">
        <f t="shared" si="38"/>
        <v>66232.182878646985</v>
      </c>
      <c r="AG103" s="204">
        <f t="shared" si="38"/>
        <v>42020.418140531314</v>
      </c>
      <c r="AH103" s="204">
        <f t="shared" si="38"/>
        <v>20009.722924062542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-1368055.5555555555</v>
      </c>
      <c r="D104" s="204">
        <f t="shared" si="39"/>
        <v>-1184281.9539940911</v>
      </c>
      <c r="E104" s="204">
        <f t="shared" si="39"/>
        <v>-1017956.2392208731</v>
      </c>
      <c r="F104" s="204">
        <f t="shared" si="39"/>
        <v>-867501.56444177998</v>
      </c>
      <c r="G104" s="204">
        <f t="shared" si="39"/>
        <v>-727104.12366312882</v>
      </c>
      <c r="H104" s="204">
        <f t="shared" si="39"/>
        <v>-595456.03075154335</v>
      </c>
      <c r="I104" s="204">
        <f t="shared" si="39"/>
        <v>896689.54770686734</v>
      </c>
      <c r="J104" s="204">
        <f t="shared" si="39"/>
        <v>917746.00625728234</v>
      </c>
      <c r="K104" s="204">
        <f t="shared" si="39"/>
        <v>943268.87627145788</v>
      </c>
      <c r="L104" s="204">
        <f t="shared" si="39"/>
        <v>968882.59581376542</v>
      </c>
      <c r="M104" s="204">
        <f t="shared" si="39"/>
        <v>990211.65834463062</v>
      </c>
      <c r="N104" s="204">
        <f t="shared" si="39"/>
        <v>1007258.391883212</v>
      </c>
      <c r="O104" s="204">
        <f t="shared" si="39"/>
        <v>1020025.1826491468</v>
      </c>
      <c r="P104" s="204">
        <f t="shared" si="39"/>
        <v>1028514.4765175632</v>
      </c>
      <c r="Q104" s="204">
        <f t="shared" si="39"/>
        <v>1032728.7805104679</v>
      </c>
      <c r="R104" s="204">
        <f t="shared" si="39"/>
        <v>1037048.4421031951</v>
      </c>
      <c r="S104" s="204">
        <f t="shared" si="39"/>
        <v>1041476.0952357406</v>
      </c>
      <c r="T104" s="204">
        <f t="shared" si="39"/>
        <v>1046014.4396965997</v>
      </c>
      <c r="U104" s="204">
        <f t="shared" si="39"/>
        <v>1050666.2427689803</v>
      </c>
      <c r="V104" s="204">
        <f t="shared" si="39"/>
        <v>1055434.3409181703</v>
      </c>
      <c r="W104" s="204">
        <f t="shared" si="39"/>
        <v>1060321.6415210902</v>
      </c>
      <c r="X104" s="204">
        <f t="shared" si="39"/>
        <v>1065331.1246390832</v>
      </c>
      <c r="Y104" s="204">
        <f t="shared" si="39"/>
        <v>1070465.8448350257</v>
      </c>
      <c r="Z104" s="204">
        <f t="shared" si="39"/>
        <v>1075728.9330358668</v>
      </c>
      <c r="AA104" s="204">
        <f t="shared" si="39"/>
        <v>1081123.5984417293</v>
      </c>
      <c r="AB104" s="204">
        <f t="shared" si="39"/>
        <v>1086653.1304827379</v>
      </c>
      <c r="AC104" s="204">
        <f t="shared" si="39"/>
        <v>859942.31680137629</v>
      </c>
      <c r="AD104" s="204">
        <f t="shared" si="39"/>
        <v>680443.1325979518</v>
      </c>
      <c r="AE104" s="204">
        <f t="shared" si="39"/>
        <v>517262.056049384</v>
      </c>
      <c r="AF104" s="204">
        <f t="shared" si="39"/>
        <v>368915.62282341329</v>
      </c>
      <c r="AG104" s="204">
        <f t="shared" si="39"/>
        <v>234055.22898162174</v>
      </c>
      <c r="AH104" s="204">
        <f t="shared" si="39"/>
        <v>111454.87094362944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1.1888989437520558</v>
      </c>
      <c r="E108" s="216">
        <f t="shared" ref="E108:G108" si="40">(E102+E71+E70)/(E70+E71)</f>
        <v>1.1621308099451442</v>
      </c>
      <c r="F108" s="216">
        <f t="shared" si="40"/>
        <v>1.051369370229267</v>
      </c>
      <c r="G108" s="216">
        <f t="shared" si="40"/>
        <v>1.0386524242398811</v>
      </c>
      <c r="H108" s="216">
        <f>(H102+H71+H70)/(H70+H71)</f>
        <v>1.0358571833475925</v>
      </c>
      <c r="I108" s="216">
        <f>(I102+I71+I70)/(I70+I71)</f>
        <v>1.036342309203466</v>
      </c>
      <c r="J108" s="216">
        <f t="shared" ref="J108:N108" si="41">(J102+J71+J70)/(J70+J71)</f>
        <v>1.0421134230429641</v>
      </c>
      <c r="K108" s="216">
        <f t="shared" si="41"/>
        <v>1.0579031881516414</v>
      </c>
      <c r="L108" s="216">
        <f t="shared" si="41"/>
        <v>1.0918767849202708</v>
      </c>
      <c r="M108" s="216">
        <f t="shared" si="41"/>
        <v>1.1445240289040715</v>
      </c>
      <c r="N108" s="216">
        <f t="shared" si="41"/>
        <v>1.2435178554949018</v>
      </c>
      <c r="O108" s="216">
        <f>(O102+O71+O70)/(O70+O71)</f>
        <v>1.5271710131242229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1.1350297778629563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1.1888989437520558</v>
      </c>
      <c r="E110" s="216">
        <f t="shared" si="43"/>
        <v>1.1621308099451442</v>
      </c>
      <c r="F110" s="216">
        <f t="shared" si="43"/>
        <v>1.051369370229267</v>
      </c>
      <c r="G110" s="216">
        <f t="shared" si="43"/>
        <v>1.0386524242398811</v>
      </c>
      <c r="H110" s="216">
        <f t="shared" si="43"/>
        <v>1.0358571833475925</v>
      </c>
      <c r="I110" s="216">
        <f t="shared" si="43"/>
        <v>1.036342309203466</v>
      </c>
      <c r="J110" s="216">
        <f t="shared" si="43"/>
        <v>1.0421134230429641</v>
      </c>
      <c r="K110" s="216">
        <f t="shared" si="43"/>
        <v>1.0579031881516414</v>
      </c>
      <c r="L110" s="216">
        <f t="shared" si="43"/>
        <v>1.0918767849202708</v>
      </c>
      <c r="M110" s="216">
        <f t="shared" si="43"/>
        <v>1.1445240289040715</v>
      </c>
      <c r="N110" s="216">
        <f t="shared" si="43"/>
        <v>1.2435178554949018</v>
      </c>
      <c r="O110" s="216">
        <f t="shared" si="43"/>
        <v>1.5271710131242229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1.1350297778629563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1.1888989437520558</v>
      </c>
      <c r="E112" s="216">
        <f t="shared" si="44"/>
        <v>1.1621308099451442</v>
      </c>
      <c r="F112" s="216">
        <f t="shared" si="44"/>
        <v>1.051369370229267</v>
      </c>
      <c r="G112" s="216">
        <f t="shared" si="44"/>
        <v>1.0386524242398811</v>
      </c>
      <c r="H112" s="216">
        <f t="shared" si="44"/>
        <v>1.0358571833475925</v>
      </c>
      <c r="I112" s="216">
        <f t="shared" si="44"/>
        <v>1.036342309203466</v>
      </c>
      <c r="J112" s="216">
        <f t="shared" si="44"/>
        <v>1.0421134230429641</v>
      </c>
      <c r="K112" s="216">
        <f t="shared" si="44"/>
        <v>1.0579031881516414</v>
      </c>
      <c r="L112" s="216">
        <f t="shared" si="44"/>
        <v>1.0918767849202708</v>
      </c>
      <c r="M112" s="216">
        <f t="shared" si="44"/>
        <v>1.1445240289040715</v>
      </c>
      <c r="N112" s="216">
        <f t="shared" si="44"/>
        <v>1.2435178554949018</v>
      </c>
      <c r="O112" s="216">
        <f t="shared" si="44"/>
        <v>1.5271710131242229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1.1350297778629563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9609-9CFC-4169-BAA3-D7A2ED5892E2}">
  <dimension ref="A1:BV114"/>
  <sheetViews>
    <sheetView topLeftCell="A35" zoomScale="51" zoomScaleNormal="51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7">
        <v>0.1</v>
      </c>
      <c r="C3" s="268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4">
        <v>0.03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3" t="s">
        <v>13</v>
      </c>
      <c r="C20" s="110"/>
      <c r="D20" s="304" t="s">
        <v>1</v>
      </c>
      <c r="E20" s="305"/>
      <c r="F20" s="305"/>
      <c r="G20" s="305"/>
      <c r="H20" s="305"/>
      <c r="I20" s="306"/>
      <c r="J20" s="50"/>
    </row>
    <row r="21" spans="1:34" x14ac:dyDescent="0.25">
      <c r="B21" s="303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C28*(Interventions!$H$7)</f>
        <v>165824.91582491584</v>
      </c>
      <c r="E26" s="27">
        <f>D28*(Interventions!$H$7)</f>
        <v>316574.83930211206</v>
      </c>
      <c r="F26" s="27">
        <f>E28*(Interventions!$H$7)</f>
        <v>453620.22428138135</v>
      </c>
      <c r="G26" s="27">
        <f>F28*(Interventions!$H$7)</f>
        <v>578206.93789889885</v>
      </c>
      <c r="H26" s="27">
        <f>G28*(Interventions!$H$7)</f>
        <v>691467.58664209663</v>
      </c>
      <c r="I26" s="27">
        <f>H28*(Interventions!$H$7)</f>
        <v>794431.81277227646</v>
      </c>
      <c r="J26" s="27">
        <f>I28*(Interventions!$H$7)</f>
        <v>794431.81277227646</v>
      </c>
      <c r="K26" s="27">
        <f>J28*(Interventions!$H$7)</f>
        <v>794431.81277227646</v>
      </c>
      <c r="L26" s="27">
        <f>K28*(Interventions!$H$7)</f>
        <v>794431.81277227646</v>
      </c>
      <c r="M26" s="27">
        <f>L28*(Interventions!$H$7)</f>
        <v>794431.81277227646</v>
      </c>
      <c r="N26" s="27">
        <f>M28*(Interventions!$H$7)</f>
        <v>794431.81277227646</v>
      </c>
      <c r="O26" s="27">
        <f>N28*(Interventions!$H$7)</f>
        <v>794431.81277227646</v>
      </c>
      <c r="P26" s="27">
        <f>O28*(Interventions!$H$7)</f>
        <v>794431.81277227646</v>
      </c>
      <c r="Q26" s="27">
        <f>P28*(Interventions!$H$7)</f>
        <v>794431.81277227646</v>
      </c>
      <c r="R26" s="27">
        <f>Q28*(Interventions!$H$7)</f>
        <v>794431.81277227646</v>
      </c>
      <c r="S26" s="27">
        <f>R28*(Interventions!$H$7)</f>
        <v>794431.81277227646</v>
      </c>
      <c r="T26" s="27">
        <f>S28*(Interventions!$H$7)</f>
        <v>794431.81277227646</v>
      </c>
      <c r="U26" s="27">
        <f>T28*(Interventions!$H$7)</f>
        <v>794431.81277227646</v>
      </c>
      <c r="V26" s="27">
        <f>U28*(Interventions!$H$7)</f>
        <v>794431.81277227646</v>
      </c>
      <c r="W26" s="27">
        <f>V28*(Interventions!$H$7)</f>
        <v>794431.81277227646</v>
      </c>
      <c r="X26" s="27">
        <f>W28*(Interventions!$H$7)</f>
        <v>794431.81277227646</v>
      </c>
      <c r="Y26" s="27">
        <f>X28*(Interventions!$H$7)</f>
        <v>794431.81277227646</v>
      </c>
      <c r="Z26" s="27">
        <f>Y28*(Interventions!$H$7)</f>
        <v>794431.81277227646</v>
      </c>
      <c r="AA26" s="27">
        <f>Z28*(Interventions!$H$7)</f>
        <v>794431.81277227646</v>
      </c>
      <c r="AB26" s="27">
        <f>AA28*(Interventions!$H$7)</f>
        <v>794431.81277227646</v>
      </c>
      <c r="AC26" s="27">
        <f>AB28*(Interventions!$H$7)</f>
        <v>794431.81277227646</v>
      </c>
      <c r="AD26" s="27">
        <f>AC28*(Interventions!$H$7)</f>
        <v>628606.8969473606</v>
      </c>
      <c r="AE26" s="27">
        <f>AD28*(Interventions!$H$7)</f>
        <v>477856.9734701644</v>
      </c>
      <c r="AF26" s="27">
        <f>AE28*(Interventions!$H$7)</f>
        <v>340811.58849089511</v>
      </c>
      <c r="AG26" s="27">
        <f>AF28*(Interventions!$H$7)</f>
        <v>216224.87487337762</v>
      </c>
      <c r="AH26" s="27">
        <f>AG28*(Interventions!$H$7)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D25/(Interventions!$H$6+Interventions!$H$7)</f>
        <v>55.096642475492928</v>
      </c>
      <c r="E27" s="45">
        <f>E25/(Interventions!$H$6+Interventions!$H$7)</f>
        <v>50.08785679590266</v>
      </c>
      <c r="F27" s="45">
        <f>F25/(Interventions!$H$6+Interventions!$H$7)</f>
        <v>45.534415269002416</v>
      </c>
      <c r="G27" s="45">
        <f>G25/(Interventions!$H$6+Interventions!$H$7)</f>
        <v>41.394922971820385</v>
      </c>
      <c r="H27" s="45">
        <f>H25/(Interventions!$H$6+Interventions!$H$7)</f>
        <v>37.631748156200345</v>
      </c>
      <c r="I27" s="45">
        <f>I25/(Interventions!$H$6+Interventions!$H$7)</f>
        <v>0</v>
      </c>
      <c r="J27" s="45">
        <f>J25/(Interventions!$H$6+Interventions!$H$7)</f>
        <v>0</v>
      </c>
      <c r="K27" s="45">
        <f>K25/(Interventions!$H$6+Interventions!$H$7)</f>
        <v>0</v>
      </c>
      <c r="L27" s="45">
        <f>L25/(Interventions!$H$6+Interventions!$H$7)</f>
        <v>0</v>
      </c>
      <c r="M27" s="45">
        <f>M25/(Interventions!$H$6+Interventions!$H$7)</f>
        <v>0</v>
      </c>
      <c r="N27" s="45">
        <f>N25/(Interventions!$H$6+Interventions!$H$7)</f>
        <v>0</v>
      </c>
      <c r="O27" s="45">
        <f>O25/(Interventions!$H$6+Interventions!$H$7)</f>
        <v>0</v>
      </c>
      <c r="P27" s="45">
        <f>P25/(Interventions!$H$6+Interventions!$H$7)</f>
        <v>0</v>
      </c>
      <c r="Q27" s="45">
        <f>Q25/(Interventions!$H$6+Interventions!$H$7)</f>
        <v>0</v>
      </c>
      <c r="R27" s="45">
        <f>R25/(Interventions!$H$6+Interventions!$H$7)</f>
        <v>0</v>
      </c>
      <c r="S27" s="45">
        <f>S25/(Interventions!$H$6+Interventions!$H$7)</f>
        <v>0</v>
      </c>
      <c r="T27" s="45">
        <f>T25/(Interventions!$H$6+Interventions!$H$7)</f>
        <v>0</v>
      </c>
      <c r="U27" s="45">
        <f>U25/(Interventions!$H$6+Interventions!$H$7)</f>
        <v>0</v>
      </c>
      <c r="V27" s="45">
        <f>V25/(Interventions!$H$6+Interventions!$H$7)</f>
        <v>0</v>
      </c>
      <c r="W27" s="45">
        <f>W25/(Interventions!$H$6+Interventions!$H$7)</f>
        <v>0</v>
      </c>
      <c r="X27" s="45">
        <f>X25/(Interventions!$H$6+Interventions!$H$7)</f>
        <v>0</v>
      </c>
      <c r="Y27" s="45">
        <f>Y25/(Interventions!$H$6+Interventions!$H$7)</f>
        <v>0</v>
      </c>
      <c r="Z27" s="45">
        <f>Z25/(Interventions!$H$6+Interventions!$H$7)</f>
        <v>0</v>
      </c>
      <c r="AA27" s="45">
        <f>AA25/(Interventions!$H$6+Interventions!$H$7)</f>
        <v>0</v>
      </c>
      <c r="AB27" s="45">
        <f>AB25/(Interventions!$H$6+Interventions!$H$7)</f>
        <v>0</v>
      </c>
      <c r="AC27" s="45">
        <f>AC25/(Interventions!$H$6+Interventions!$H$7)</f>
        <v>0</v>
      </c>
      <c r="AD27" s="45">
        <f>AD25/(Interventions!$H$6+Interventions!$H$7)</f>
        <v>0</v>
      </c>
      <c r="AE27" s="45">
        <f>AE25/(Interventions!$H$6+Interventions!$H$7)</f>
        <v>0</v>
      </c>
      <c r="AF27" s="45">
        <f>AF25/(Interventions!$H$6+Interventions!$H$7)</f>
        <v>0</v>
      </c>
      <c r="AG27" s="45">
        <f>AG25/(Interventions!$H$6+Interventions!$H$7)</f>
        <v>0</v>
      </c>
      <c r="AH27" s="45">
        <f>AH25/(Interventions!$H$6+Interventions!$H$7)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C28*Interventions!$H$10</f>
        <v>196364.43378265679</v>
      </c>
      <c r="E32" s="42">
        <f>D28*Interventions!$H$10</f>
        <v>374877.55540325388</v>
      </c>
      <c r="F32" s="42">
        <f>E28*Interventions!$H$10</f>
        <v>537162.21142197854</v>
      </c>
      <c r="G32" s="42">
        <f>F28*Interventions!$H$10</f>
        <v>684693.71689354628</v>
      </c>
      <c r="H32" s="42">
        <f>G28*Interventions!$H$10</f>
        <v>818813.26732224436</v>
      </c>
      <c r="I32" s="42">
        <f>H28*Interventions!$H$10</f>
        <v>940740.13134833355</v>
      </c>
      <c r="J32" s="42">
        <f>I28*Interventions!$H$10</f>
        <v>940740.13134833355</v>
      </c>
      <c r="K32" s="42">
        <f>J28*Interventions!$H$10</f>
        <v>940740.13134833355</v>
      </c>
      <c r="L32" s="42">
        <f>K28*Interventions!$H$10</f>
        <v>940740.13134833355</v>
      </c>
      <c r="M32" s="42">
        <f>L28*Interventions!$H$10</f>
        <v>940740.13134833355</v>
      </c>
      <c r="N32" s="42">
        <f>M28*Interventions!$H$10</f>
        <v>940740.13134833355</v>
      </c>
      <c r="O32" s="42">
        <f>N28*Interventions!$H$10</f>
        <v>940740.13134833355</v>
      </c>
      <c r="P32" s="42">
        <f>O28*Interventions!$H$10</f>
        <v>940740.13134833355</v>
      </c>
      <c r="Q32" s="42">
        <f>P28*Interventions!$H$10</f>
        <v>940740.13134833355</v>
      </c>
      <c r="R32" s="42">
        <f>Q28*Interventions!$H$10</f>
        <v>940740.13134833355</v>
      </c>
      <c r="S32" s="42">
        <f>R28*Interventions!$H$10</f>
        <v>940740.13134833355</v>
      </c>
      <c r="T32" s="42">
        <f>S28*Interventions!$H$10</f>
        <v>940740.13134833355</v>
      </c>
      <c r="U32" s="42">
        <f>T28*Interventions!$H$10</f>
        <v>940740.13134833355</v>
      </c>
      <c r="V32" s="42">
        <f>U28*Interventions!$H$10</f>
        <v>940740.13134833355</v>
      </c>
      <c r="W32" s="42">
        <f>V28*Interventions!$H$10</f>
        <v>940740.13134833355</v>
      </c>
      <c r="X32" s="42">
        <f>W28*Interventions!$H$10</f>
        <v>940740.13134833355</v>
      </c>
      <c r="Y32" s="42">
        <f>X28*Interventions!$H$10</f>
        <v>940740.13134833355</v>
      </c>
      <c r="Z32" s="42">
        <f>Y28*Interventions!$H$10</f>
        <v>940740.13134833355</v>
      </c>
      <c r="AA32" s="42">
        <f>Z28*Interventions!$H$10</f>
        <v>940740.13134833355</v>
      </c>
      <c r="AB32" s="42">
        <f>AA28*Interventions!$H$10</f>
        <v>940740.13134833355</v>
      </c>
      <c r="AC32" s="42">
        <f>AB28*Interventions!$H$10</f>
        <v>940740.13134833355</v>
      </c>
      <c r="AD32" s="42">
        <f>AC28*Interventions!$H$10</f>
        <v>744375.69756567676</v>
      </c>
      <c r="AE32" s="42">
        <f>AD28*Interventions!$H$10</f>
        <v>565862.57594507968</v>
      </c>
      <c r="AF32" s="42">
        <f>AE28*Interventions!$H$10</f>
        <v>403577.91992635507</v>
      </c>
      <c r="AG32" s="42">
        <f>AF28*Interventions!$H$10</f>
        <v>256046.41445478724</v>
      </c>
      <c r="AH32" s="42">
        <f>AG28*Interventions!$H$10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SUM(D35:D38)</f>
        <v>273244.44537968899</v>
      </c>
      <c r="E34" s="116">
        <f t="shared" ref="E34:AH34" si="9">SUM(E35:E38)</f>
        <v>521648.48663395172</v>
      </c>
      <c r="F34" s="116">
        <f t="shared" si="9"/>
        <v>747470.3423196451</v>
      </c>
      <c r="G34" s="116">
        <f t="shared" si="9"/>
        <v>952762.93839754816</v>
      </c>
      <c r="H34" s="116">
        <f t="shared" si="9"/>
        <v>1139392.5711956418</v>
      </c>
      <c r="I34" s="116">
        <f t="shared" si="9"/>
        <v>1309055.8737393634</v>
      </c>
      <c r="J34" s="116">
        <f t="shared" si="9"/>
        <v>1309055.8737393634</v>
      </c>
      <c r="K34" s="116">
        <f t="shared" si="9"/>
        <v>1309055.8737393634</v>
      </c>
      <c r="L34" s="116">
        <f t="shared" si="9"/>
        <v>1309055.8737393634</v>
      </c>
      <c r="M34" s="116">
        <f t="shared" si="9"/>
        <v>1309055.8737393634</v>
      </c>
      <c r="N34" s="116">
        <f t="shared" si="9"/>
        <v>1309055.8737393634</v>
      </c>
      <c r="O34" s="116">
        <f t="shared" si="9"/>
        <v>1309055.8737393634</v>
      </c>
      <c r="P34" s="116">
        <f t="shared" si="9"/>
        <v>1309055.8737393634</v>
      </c>
      <c r="Q34" s="116">
        <f t="shared" si="9"/>
        <v>1309055.8737393634</v>
      </c>
      <c r="R34" s="116">
        <f t="shared" si="9"/>
        <v>1309055.8737393634</v>
      </c>
      <c r="S34" s="116">
        <f t="shared" si="9"/>
        <v>1309055.8737393634</v>
      </c>
      <c r="T34" s="116">
        <f t="shared" si="9"/>
        <v>1309055.8737393634</v>
      </c>
      <c r="U34" s="116">
        <f t="shared" si="9"/>
        <v>1309055.8737393634</v>
      </c>
      <c r="V34" s="116">
        <f t="shared" si="9"/>
        <v>1309055.8737393634</v>
      </c>
      <c r="W34" s="116">
        <f t="shared" si="9"/>
        <v>1309055.8737393634</v>
      </c>
      <c r="X34" s="116">
        <f t="shared" si="9"/>
        <v>1309055.8737393634</v>
      </c>
      <c r="Y34" s="116">
        <f t="shared" si="9"/>
        <v>1309055.8737393634</v>
      </c>
      <c r="Z34" s="116">
        <f t="shared" si="9"/>
        <v>1309055.8737393634</v>
      </c>
      <c r="AA34" s="116">
        <f t="shared" si="9"/>
        <v>1309055.8737393634</v>
      </c>
      <c r="AB34" s="116">
        <f t="shared" si="9"/>
        <v>1309055.8737393634</v>
      </c>
      <c r="AC34" s="116">
        <f t="shared" si="9"/>
        <v>1309055.8737393634</v>
      </c>
      <c r="AD34" s="116">
        <f t="shared" si="9"/>
        <v>1035811.4283596744</v>
      </c>
      <c r="AE34" s="116">
        <f t="shared" si="9"/>
        <v>787407.38710541173</v>
      </c>
      <c r="AF34" s="116">
        <f t="shared" si="9"/>
        <v>561585.53141971841</v>
      </c>
      <c r="AG34" s="116">
        <f t="shared" si="9"/>
        <v>356292.93534181535</v>
      </c>
      <c r="AH34" s="116">
        <f t="shared" si="9"/>
        <v>169663.30254372163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C28*Interventions!$H$14</f>
        <v>273244.44537968899</v>
      </c>
      <c r="E38" s="42">
        <f>D28*Interventions!$H$14</f>
        <v>521648.48663395172</v>
      </c>
      <c r="F38" s="42">
        <f>E28*Interventions!$H$14</f>
        <v>747470.3423196451</v>
      </c>
      <c r="G38" s="42">
        <f>F28*Interventions!$H$14</f>
        <v>952762.93839754816</v>
      </c>
      <c r="H38" s="42">
        <f>G28*Interventions!$H$14</f>
        <v>1139392.5711956418</v>
      </c>
      <c r="I38" s="42">
        <f>H28*Interventions!$H$14</f>
        <v>1309055.8737393634</v>
      </c>
      <c r="J38" s="42">
        <f>I28*Interventions!$H$14</f>
        <v>1309055.8737393634</v>
      </c>
      <c r="K38" s="42">
        <f>J28*Interventions!$H$14</f>
        <v>1309055.8737393634</v>
      </c>
      <c r="L38" s="42">
        <f>K28*Interventions!$H$14</f>
        <v>1309055.8737393634</v>
      </c>
      <c r="M38" s="42">
        <f>L28*Interventions!$H$14</f>
        <v>1309055.8737393634</v>
      </c>
      <c r="N38" s="42">
        <f>M28*Interventions!$H$14</f>
        <v>1309055.8737393634</v>
      </c>
      <c r="O38" s="42">
        <f>N28*Interventions!$H$14</f>
        <v>1309055.8737393634</v>
      </c>
      <c r="P38" s="42">
        <f>O28*Interventions!$H$14</f>
        <v>1309055.8737393634</v>
      </c>
      <c r="Q38" s="42">
        <f>P28*Interventions!$H$14</f>
        <v>1309055.8737393634</v>
      </c>
      <c r="R38" s="42">
        <f>Q28*Interventions!$H$14</f>
        <v>1309055.8737393634</v>
      </c>
      <c r="S38" s="42">
        <f>R28*Interventions!$H$14</f>
        <v>1309055.8737393634</v>
      </c>
      <c r="T38" s="42">
        <f>S28*Interventions!$H$14</f>
        <v>1309055.8737393634</v>
      </c>
      <c r="U38" s="42">
        <f>T28*Interventions!$H$14</f>
        <v>1309055.8737393634</v>
      </c>
      <c r="V38" s="42">
        <f>U28*Interventions!$H$14</f>
        <v>1309055.8737393634</v>
      </c>
      <c r="W38" s="42">
        <f>V28*Interventions!$H$14</f>
        <v>1309055.8737393634</v>
      </c>
      <c r="X38" s="42">
        <f>W28*Interventions!$H$14</f>
        <v>1309055.8737393634</v>
      </c>
      <c r="Y38" s="42">
        <f>X28*Interventions!$H$14</f>
        <v>1309055.8737393634</v>
      </c>
      <c r="Z38" s="42">
        <f>Y28*Interventions!$H$14</f>
        <v>1309055.8737393634</v>
      </c>
      <c r="AA38" s="42">
        <f>Z28*Interventions!$H$14</f>
        <v>1309055.8737393634</v>
      </c>
      <c r="AB38" s="42">
        <f>AA28*Interventions!$H$14</f>
        <v>1309055.8737393634</v>
      </c>
      <c r="AC38" s="42">
        <f>AB28*Interventions!$H$14</f>
        <v>1309055.8737393634</v>
      </c>
      <c r="AD38" s="42">
        <f>AC28*Interventions!$H$14</f>
        <v>1035811.4283596744</v>
      </c>
      <c r="AE38" s="42">
        <f>AD28*Interventions!$H$14</f>
        <v>787407.38710541173</v>
      </c>
      <c r="AF38" s="42">
        <f>AE28*Interventions!$H$14</f>
        <v>561585.53141971841</v>
      </c>
      <c r="AG38" s="42">
        <f>AF28*Interventions!$H$14</f>
        <v>356292.93534181535</v>
      </c>
      <c r="AH38" s="42">
        <f>AG28*Interventions!$H$14</f>
        <v>169663.30254372163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504493.28749158431</v>
      </c>
      <c r="E40" s="116">
        <f t="shared" si="10"/>
        <v>964788.48651782924</v>
      </c>
      <c r="F40" s="116">
        <f t="shared" si="10"/>
        <v>1384891.1721449292</v>
      </c>
      <c r="G40" s="116">
        <f t="shared" si="10"/>
        <v>1768446.1510916944</v>
      </c>
      <c r="H40" s="116">
        <f t="shared" si="10"/>
        <v>2118770.0919277212</v>
      </c>
      <c r="I40" s="116">
        <f t="shared" si="10"/>
        <v>2438881.201850574</v>
      </c>
      <c r="J40" s="116">
        <f t="shared" si="10"/>
        <v>2443608.3317696461</v>
      </c>
      <c r="K40" s="116">
        <f t="shared" si="10"/>
        <v>2448453.6399366944</v>
      </c>
      <c r="L40" s="116">
        <f t="shared" si="10"/>
        <v>2453420.0808079196</v>
      </c>
      <c r="M40" s="116">
        <f t="shared" si="10"/>
        <v>2458510.682700925</v>
      </c>
      <c r="N40" s="116">
        <f t="shared" si="10"/>
        <v>2463728.5496412553</v>
      </c>
      <c r="O40" s="116">
        <f t="shared" si="10"/>
        <v>2469076.8632550947</v>
      </c>
      <c r="P40" s="116">
        <f t="shared" si="10"/>
        <v>2474558.8847092795</v>
      </c>
      <c r="Q40" s="116">
        <f t="shared" si="10"/>
        <v>2480177.9566998193</v>
      </c>
      <c r="R40" s="116">
        <f t="shared" si="10"/>
        <v>2485937.5054901224</v>
      </c>
      <c r="S40" s="116">
        <f t="shared" si="10"/>
        <v>2491841.0430001826</v>
      </c>
      <c r="T40" s="116">
        <f t="shared" si="10"/>
        <v>2497892.1689479947</v>
      </c>
      <c r="U40" s="116">
        <f t="shared" si="10"/>
        <v>2504094.5730445022</v>
      </c>
      <c r="V40" s="116">
        <f t="shared" si="10"/>
        <v>2510452.0372434221</v>
      </c>
      <c r="W40" s="116">
        <f t="shared" si="10"/>
        <v>2516968.4380473155</v>
      </c>
      <c r="X40" s="116">
        <f t="shared" si="10"/>
        <v>2523647.748871306</v>
      </c>
      <c r="Y40" s="116">
        <f t="shared" si="10"/>
        <v>2530494.0424658963</v>
      </c>
      <c r="Z40" s="116">
        <f t="shared" si="10"/>
        <v>2537511.4934003511</v>
      </c>
      <c r="AA40" s="116">
        <f t="shared" si="10"/>
        <v>2544704.3806081675</v>
      </c>
      <c r="AB40" s="116">
        <f t="shared" si="10"/>
        <v>2552077.0899961791</v>
      </c>
      <c r="AC40" s="116">
        <f t="shared" si="10"/>
        <v>2249796.0050876969</v>
      </c>
      <c r="AD40" s="116">
        <f t="shared" si="10"/>
        <v>1780187.1259253512</v>
      </c>
      <c r="AE40" s="116">
        <f t="shared" si="10"/>
        <v>1353269.9630504914</v>
      </c>
      <c r="AF40" s="116">
        <f t="shared" si="10"/>
        <v>965163.45134607353</v>
      </c>
      <c r="AG40" s="116">
        <f t="shared" si="10"/>
        <v>612339.34979660262</v>
      </c>
      <c r="AH40" s="116">
        <f t="shared" si="10"/>
        <v>291590.16656981083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-1319580.7865824895</v>
      </c>
      <c r="E42" s="31">
        <f t="shared" si="11"/>
        <v>-859285.58755624469</v>
      </c>
      <c r="F42" s="31">
        <f t="shared" si="11"/>
        <v>-439182.90192914475</v>
      </c>
      <c r="G42" s="31">
        <f t="shared" si="11"/>
        <v>-55627.922982379794</v>
      </c>
      <c r="H42" s="31">
        <f t="shared" si="11"/>
        <v>294696.017853647</v>
      </c>
      <c r="I42" s="31">
        <f t="shared" si="11"/>
        <v>1644449.3890782977</v>
      </c>
      <c r="J42" s="31">
        <f t="shared" si="11"/>
        <v>1649176.5189973698</v>
      </c>
      <c r="K42" s="31">
        <f t="shared" si="11"/>
        <v>1654021.8271644181</v>
      </c>
      <c r="L42" s="31">
        <f t="shared" si="11"/>
        <v>1658988.2680356433</v>
      </c>
      <c r="M42" s="31">
        <f t="shared" si="11"/>
        <v>1664078.8699286487</v>
      </c>
      <c r="N42" s="31">
        <f t="shared" si="11"/>
        <v>1669296.7368689789</v>
      </c>
      <c r="O42" s="31">
        <f t="shared" si="11"/>
        <v>1674645.0504828184</v>
      </c>
      <c r="P42" s="31">
        <f t="shared" si="11"/>
        <v>1680127.0719370032</v>
      </c>
      <c r="Q42" s="31">
        <f t="shared" si="11"/>
        <v>1685746.143927543</v>
      </c>
      <c r="R42" s="31">
        <f t="shared" si="11"/>
        <v>1691505.692717846</v>
      </c>
      <c r="S42" s="31">
        <f t="shared" si="11"/>
        <v>1697409.2302279063</v>
      </c>
      <c r="T42" s="31">
        <f t="shared" si="11"/>
        <v>1703460.3561757184</v>
      </c>
      <c r="U42" s="31">
        <f t="shared" si="11"/>
        <v>1709662.7602722258</v>
      </c>
      <c r="V42" s="31">
        <f t="shared" si="11"/>
        <v>1716020.2244711458</v>
      </c>
      <c r="W42" s="31">
        <f t="shared" si="11"/>
        <v>1722536.6252750391</v>
      </c>
      <c r="X42" s="31">
        <f t="shared" si="11"/>
        <v>1729215.9360990296</v>
      </c>
      <c r="Y42" s="31">
        <f t="shared" si="11"/>
        <v>1736062.22969362</v>
      </c>
      <c r="Z42" s="31">
        <f t="shared" si="11"/>
        <v>1743079.6806280748</v>
      </c>
      <c r="AA42" s="31">
        <f t="shared" si="11"/>
        <v>1750272.5678358912</v>
      </c>
      <c r="AB42" s="31">
        <f t="shared" si="11"/>
        <v>1757645.2772239028</v>
      </c>
      <c r="AC42" s="31">
        <f t="shared" si="11"/>
        <v>1455364.1923154206</v>
      </c>
      <c r="AD42" s="31">
        <f t="shared" si="11"/>
        <v>1151580.2289779906</v>
      </c>
      <c r="AE42" s="31">
        <f t="shared" si="11"/>
        <v>875412.98958032695</v>
      </c>
      <c r="AF42" s="31">
        <f t="shared" si="11"/>
        <v>624351.86285517842</v>
      </c>
      <c r="AG42" s="31">
        <f t="shared" si="11"/>
        <v>396114.474923225</v>
      </c>
      <c r="AH42" s="31">
        <f t="shared" si="11"/>
        <v>188625.940439631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-1550829.6286943848</v>
      </c>
      <c r="E43" s="31">
        <f t="shared" si="12"/>
        <v>-1302425.5874401222</v>
      </c>
      <c r="F43" s="31">
        <f t="shared" si="12"/>
        <v>-1076603.7317544287</v>
      </c>
      <c r="G43" s="31">
        <f t="shared" si="12"/>
        <v>-871311.135676526</v>
      </c>
      <c r="H43" s="31">
        <f t="shared" si="12"/>
        <v>-684681.50287843239</v>
      </c>
      <c r="I43" s="31">
        <f t="shared" si="12"/>
        <v>514624.06096708693</v>
      </c>
      <c r="J43" s="31">
        <f t="shared" si="12"/>
        <v>514624.06096708693</v>
      </c>
      <c r="K43" s="31">
        <f t="shared" si="12"/>
        <v>514624.06096708693</v>
      </c>
      <c r="L43" s="31">
        <f t="shared" si="12"/>
        <v>514624.06096708693</v>
      </c>
      <c r="M43" s="31">
        <f t="shared" si="12"/>
        <v>514624.06096708693</v>
      </c>
      <c r="N43" s="31">
        <f t="shared" si="12"/>
        <v>514624.06096708693</v>
      </c>
      <c r="O43" s="31">
        <f t="shared" si="12"/>
        <v>514624.06096708693</v>
      </c>
      <c r="P43" s="31">
        <f t="shared" si="12"/>
        <v>514624.06096708693</v>
      </c>
      <c r="Q43" s="31">
        <f t="shared" si="12"/>
        <v>514624.06096708693</v>
      </c>
      <c r="R43" s="31">
        <f t="shared" si="12"/>
        <v>514624.06096708693</v>
      </c>
      <c r="S43" s="31">
        <f t="shared" si="12"/>
        <v>514624.06096708693</v>
      </c>
      <c r="T43" s="31">
        <f t="shared" si="12"/>
        <v>514624.06096708693</v>
      </c>
      <c r="U43" s="31">
        <f t="shared" si="12"/>
        <v>514624.06096708693</v>
      </c>
      <c r="V43" s="31">
        <f t="shared" si="12"/>
        <v>514624.06096708693</v>
      </c>
      <c r="W43" s="31">
        <f t="shared" si="12"/>
        <v>514624.06096708693</v>
      </c>
      <c r="X43" s="31">
        <f t="shared" si="12"/>
        <v>514624.06096708693</v>
      </c>
      <c r="Y43" s="31">
        <f t="shared" si="12"/>
        <v>514624.06096708693</v>
      </c>
      <c r="Z43" s="31">
        <f t="shared" si="12"/>
        <v>514624.06096708693</v>
      </c>
      <c r="AA43" s="31">
        <f t="shared" si="12"/>
        <v>514624.06096708693</v>
      </c>
      <c r="AB43" s="31">
        <f t="shared" si="12"/>
        <v>514624.06096708693</v>
      </c>
      <c r="AC43" s="31">
        <f t="shared" si="12"/>
        <v>514624.06096708693</v>
      </c>
      <c r="AD43" s="31">
        <f t="shared" si="12"/>
        <v>407204.53141231381</v>
      </c>
      <c r="AE43" s="31">
        <f t="shared" si="12"/>
        <v>309550.41363524733</v>
      </c>
      <c r="AF43" s="31">
        <f t="shared" si="12"/>
        <v>220773.94292882329</v>
      </c>
      <c r="AG43" s="31">
        <f t="shared" si="12"/>
        <v>140068.06046843773</v>
      </c>
      <c r="AH43" s="31">
        <f t="shared" si="12"/>
        <v>66699.076413541785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1751111.111111111</v>
      </c>
      <c r="E45" s="31">
        <f t="shared" si="13"/>
        <v>1681066.6666666665</v>
      </c>
      <c r="F45" s="31">
        <f t="shared" si="13"/>
        <v>1613823.9999999998</v>
      </c>
      <c r="G45" s="31">
        <f t="shared" si="13"/>
        <v>1549271.04</v>
      </c>
      <c r="H45" s="31">
        <f t="shared" si="13"/>
        <v>1487300.1984000001</v>
      </c>
      <c r="I45" s="31">
        <f t="shared" si="13"/>
        <v>621847.68982981355</v>
      </c>
      <c r="J45" s="31">
        <f t="shared" si="13"/>
        <v>596973.78223662102</v>
      </c>
      <c r="K45" s="31">
        <f t="shared" si="13"/>
        <v>573094.83094715618</v>
      </c>
      <c r="L45" s="31">
        <f t="shared" si="13"/>
        <v>550171.03770927002</v>
      </c>
      <c r="M45" s="31">
        <f t="shared" si="13"/>
        <v>528164.1962008992</v>
      </c>
      <c r="N45" s="31">
        <f t="shared" si="13"/>
        <v>507037.62835286325</v>
      </c>
      <c r="O45" s="31">
        <f t="shared" si="13"/>
        <v>486756.12321874866</v>
      </c>
      <c r="P45" s="31">
        <f t="shared" si="13"/>
        <v>467285.87828999874</v>
      </c>
      <c r="Q45" s="31">
        <f t="shared" si="13"/>
        <v>448594.44315839873</v>
      </c>
      <c r="R45" s="31">
        <f t="shared" si="13"/>
        <v>430650.66543206281</v>
      </c>
      <c r="S45" s="31">
        <f t="shared" si="13"/>
        <v>413424.63881478028</v>
      </c>
      <c r="T45" s="31">
        <f t="shared" si="13"/>
        <v>396887.65326218907</v>
      </c>
      <c r="U45" s="31">
        <f t="shared" si="13"/>
        <v>381012.14713170152</v>
      </c>
      <c r="V45" s="31">
        <f t="shared" si="13"/>
        <v>365771.66124643345</v>
      </c>
      <c r="W45" s="31">
        <f t="shared" si="13"/>
        <v>351140.79479657614</v>
      </c>
      <c r="X45" s="31">
        <f t="shared" si="13"/>
        <v>337095.16300471302</v>
      </c>
      <c r="Y45" s="31">
        <f t="shared" si="13"/>
        <v>323611.3564845245</v>
      </c>
      <c r="Z45" s="31">
        <f t="shared" si="13"/>
        <v>310666.90222514351</v>
      </c>
      <c r="AA45" s="31">
        <f t="shared" si="13"/>
        <v>298240.22613613779</v>
      </c>
      <c r="AB45" s="31">
        <f t="shared" si="13"/>
        <v>286310.61709069228</v>
      </c>
      <c r="AC45" s="31">
        <f t="shared" si="13"/>
        <v>274858.19240706461</v>
      </c>
      <c r="AD45" s="31">
        <f t="shared" si="13"/>
        <v>208786.50948477117</v>
      </c>
      <c r="AE45" s="31">
        <f t="shared" si="13"/>
        <v>152367.53908995265</v>
      </c>
      <c r="AF45" s="31">
        <f t="shared" si="13"/>
        <v>104323.01060379956</v>
      </c>
      <c r="AG45" s="31">
        <f t="shared" si="13"/>
        <v>63539.332138144986</v>
      </c>
      <c r="AH45" s="31">
        <f t="shared" si="13"/>
        <v>29046.551834580576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262314.6675645014</v>
      </c>
      <c r="E46" s="31">
        <f t="shared" si="14"/>
        <v>480751.24528184987</v>
      </c>
      <c r="F46" s="31">
        <f t="shared" si="14"/>
        <v>661313.92078251345</v>
      </c>
      <c r="G46" s="31">
        <f t="shared" si="14"/>
        <v>809225.92422344943</v>
      </c>
      <c r="H46" s="31">
        <f t="shared" si="14"/>
        <v>929029.59440119041</v>
      </c>
      <c r="I46" s="31">
        <f t="shared" si="14"/>
        <v>1024673.6823167901</v>
      </c>
      <c r="J46" s="31">
        <f t="shared" si="14"/>
        <v>983686.73502411845</v>
      </c>
      <c r="K46" s="31">
        <f t="shared" si="14"/>
        <v>944339.26562315377</v>
      </c>
      <c r="L46" s="31">
        <f t="shared" si="14"/>
        <v>906565.69499822764</v>
      </c>
      <c r="M46" s="31">
        <f t="shared" si="14"/>
        <v>870303.06719829852</v>
      </c>
      <c r="N46" s="31">
        <f t="shared" si="14"/>
        <v>835490.94451036665</v>
      </c>
      <c r="O46" s="31">
        <f t="shared" si="14"/>
        <v>802071.30672995187</v>
      </c>
      <c r="P46" s="31">
        <f t="shared" si="14"/>
        <v>769988.45446075383</v>
      </c>
      <c r="Q46" s="31">
        <f t="shared" si="14"/>
        <v>739188.91628232365</v>
      </c>
      <c r="R46" s="31">
        <f t="shared" si="14"/>
        <v>709621.3596310307</v>
      </c>
      <c r="S46" s="31">
        <f t="shared" si="14"/>
        <v>681236.50524578942</v>
      </c>
      <c r="T46" s="31">
        <f t="shared" si="14"/>
        <v>653987.04503595782</v>
      </c>
      <c r="U46" s="31">
        <f t="shared" si="14"/>
        <v>627827.56323451956</v>
      </c>
      <c r="V46" s="31">
        <f t="shared" si="14"/>
        <v>602714.46070513874</v>
      </c>
      <c r="W46" s="31">
        <f t="shared" si="14"/>
        <v>578605.88227693317</v>
      </c>
      <c r="X46" s="31">
        <f t="shared" si="14"/>
        <v>555461.64698585588</v>
      </c>
      <c r="Y46" s="31">
        <f t="shared" si="14"/>
        <v>533243.18110642163</v>
      </c>
      <c r="Z46" s="31">
        <f t="shared" si="14"/>
        <v>511913.45386216475</v>
      </c>
      <c r="AA46" s="31">
        <f t="shared" si="14"/>
        <v>491436.91570767818</v>
      </c>
      <c r="AB46" s="31">
        <f t="shared" si="14"/>
        <v>471779.43907937105</v>
      </c>
      <c r="AC46" s="31">
        <f t="shared" si="14"/>
        <v>452908.26151619619</v>
      </c>
      <c r="AD46" s="31">
        <f t="shared" si="14"/>
        <v>344036.07988055749</v>
      </c>
      <c r="AE46" s="31">
        <f t="shared" si="14"/>
        <v>251069.53020534315</v>
      </c>
      <c r="AF46" s="31">
        <f t="shared" si="14"/>
        <v>171902.29243277284</v>
      </c>
      <c r="AG46" s="31">
        <f t="shared" si="14"/>
        <v>104699.40227929607</v>
      </c>
      <c r="AH46" s="31">
        <f t="shared" si="14"/>
        <v>47862.583899106794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-1257547.6014347142</v>
      </c>
      <c r="E48" s="31">
        <f>E47+E46-E45</f>
        <v>-757175.42150093918</v>
      </c>
      <c r="F48" s="31">
        <f t="shared" ref="F48:AH48" si="16">F47+F46-F45</f>
        <v>-315089.24939220236</v>
      </c>
      <c r="G48" s="31">
        <f t="shared" si="16"/>
        <v>75638.096917595714</v>
      </c>
      <c r="H48" s="31">
        <f t="shared" si="16"/>
        <v>421106.91673326958</v>
      </c>
      <c r="I48" s="31">
        <f t="shared" si="16"/>
        <v>1532651.3205981872</v>
      </c>
      <c r="J48" s="31">
        <f t="shared" si="16"/>
        <v>1521265.4108177798</v>
      </c>
      <c r="K48" s="31">
        <f t="shared" si="16"/>
        <v>1510642.2008733288</v>
      </c>
      <c r="L48" s="31">
        <f t="shared" si="16"/>
        <v>1500758.8643575134</v>
      </c>
      <c r="M48" s="31">
        <f t="shared" si="16"/>
        <v>1491593.679958961</v>
      </c>
      <c r="N48" s="31">
        <f t="shared" si="16"/>
        <v>1483125.9920593956</v>
      </c>
      <c r="O48" s="31">
        <f t="shared" si="16"/>
        <v>1475336.1730269343</v>
      </c>
      <c r="P48" s="31">
        <f t="shared" si="16"/>
        <v>1468205.5871406712</v>
      </c>
      <c r="Q48" s="31">
        <f t="shared" si="16"/>
        <v>1461716.5560843805</v>
      </c>
      <c r="R48" s="31">
        <f t="shared" si="16"/>
        <v>1455852.3259497266</v>
      </c>
      <c r="S48" s="31">
        <f t="shared" si="16"/>
        <v>1450597.0356918285</v>
      </c>
      <c r="T48" s="31">
        <f t="shared" si="16"/>
        <v>1445935.6869824002</v>
      </c>
      <c r="U48" s="31">
        <f t="shared" si="16"/>
        <v>1441854.1154079568</v>
      </c>
      <c r="V48" s="31">
        <f t="shared" si="16"/>
        <v>1438338.9629627643</v>
      </c>
      <c r="W48" s="31">
        <f t="shared" si="16"/>
        <v>1435377.6517883092</v>
      </c>
      <c r="X48" s="31">
        <f t="shared" si="16"/>
        <v>1432958.3591130855</v>
      </c>
      <c r="Y48" s="31">
        <f t="shared" si="16"/>
        <v>1431069.9933484299</v>
      </c>
      <c r="Z48" s="31">
        <f t="shared" si="16"/>
        <v>1429702.1712980091</v>
      </c>
      <c r="AA48" s="31">
        <f t="shared" si="16"/>
        <v>1428845.1964403447</v>
      </c>
      <c r="AB48" s="31">
        <f t="shared" si="16"/>
        <v>1428490.0382454945</v>
      </c>
      <c r="AC48" s="31">
        <f t="shared" si="16"/>
        <v>1118790.2004574651</v>
      </c>
      <c r="AD48" s="31">
        <f t="shared" si="16"/>
        <v>879625.26796146296</v>
      </c>
      <c r="AE48" s="31">
        <f t="shared" si="16"/>
        <v>664564.56706047012</v>
      </c>
      <c r="AF48" s="31">
        <f t="shared" si="16"/>
        <v>471157.20175532839</v>
      </c>
      <c r="AG48" s="31">
        <f t="shared" si="16"/>
        <v>297206.48459593835</v>
      </c>
      <c r="AH48" s="31">
        <f t="shared" si="16"/>
        <v>140742.8960906154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16373149.617111256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-473976.81013364351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0.27657500024919346</v>
      </c>
      <c r="E53" s="32">
        <f t="shared" si="17"/>
        <v>0.52891957636510445</v>
      </c>
      <c r="F53" s="32">
        <f t="shared" si="17"/>
        <v>0.75922967813021502</v>
      </c>
      <c r="G53" s="32">
        <f t="shared" si="17"/>
        <v>0.96950347369493894</v>
      </c>
      <c r="H53" s="32">
        <f t="shared" si="17"/>
        <v>1.1615592382141822</v>
      </c>
      <c r="I53" s="32">
        <f t="shared" si="17"/>
        <v>3.0699692064694268</v>
      </c>
      <c r="J53" s="32">
        <f t="shared" si="17"/>
        <v>3.0759195345442509</v>
      </c>
      <c r="K53" s="32">
        <f t="shared" si="17"/>
        <v>3.0820186208209446</v>
      </c>
      <c r="L53" s="32">
        <f t="shared" si="17"/>
        <v>3.0882701842545566</v>
      </c>
      <c r="M53" s="32">
        <f t="shared" si="17"/>
        <v>3.0946780367740083</v>
      </c>
      <c r="N53" s="32">
        <f t="shared" si="17"/>
        <v>3.1012460856064461</v>
      </c>
      <c r="O53" s="32">
        <f t="shared" si="17"/>
        <v>3.1079783356596957</v>
      </c>
      <c r="P53" s="32">
        <f t="shared" si="17"/>
        <v>3.1148788919642758</v>
      </c>
      <c r="Q53" s="32">
        <f t="shared" si="17"/>
        <v>3.1219519621764711</v>
      </c>
      <c r="R53" s="32">
        <f t="shared" si="17"/>
        <v>3.1292018591439708</v>
      </c>
      <c r="S53" s="32">
        <f t="shared" si="17"/>
        <v>3.1366330035356573</v>
      </c>
      <c r="T53" s="32">
        <f t="shared" si="17"/>
        <v>3.1442499265371366</v>
      </c>
      <c r="U53" s="32">
        <f t="shared" si="17"/>
        <v>3.1520572726136531</v>
      </c>
      <c r="V53" s="32">
        <f t="shared" si="17"/>
        <v>3.1600598023420825</v>
      </c>
      <c r="W53" s="32">
        <f t="shared" si="17"/>
        <v>3.1682623953137226</v>
      </c>
      <c r="X53" s="32">
        <f t="shared" si="17"/>
        <v>3.1766700531096537</v>
      </c>
      <c r="Y53" s="32">
        <f t="shared" si="17"/>
        <v>3.1852879023504834</v>
      </c>
      <c r="Z53" s="32">
        <f t="shared" si="17"/>
        <v>3.1941211978223332</v>
      </c>
      <c r="AA53" s="32">
        <f t="shared" si="17"/>
        <v>3.2031753256809794</v>
      </c>
      <c r="AB53" s="32">
        <f t="shared" si="17"/>
        <v>3.2124558067360915</v>
      </c>
      <c r="AC53" s="32">
        <f t="shared" si="17"/>
        <v>2.8319560834764808</v>
      </c>
      <c r="AD53" s="32">
        <f t="shared" si="17"/>
        <v>2.8319560834764808</v>
      </c>
      <c r="AE53" s="32">
        <f t="shared" si="17"/>
        <v>2.8319560834764808</v>
      </c>
      <c r="AF53" s="32">
        <f t="shared" si="17"/>
        <v>2.8319560834764812</v>
      </c>
      <c r="AG53" s="32">
        <f t="shared" si="17"/>
        <v>2.8319560834764808</v>
      </c>
      <c r="AH53" s="32">
        <f t="shared" si="17"/>
        <v>2.8319560834764808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1.6534730298254658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0.28185733420606413</v>
      </c>
      <c r="E55" s="32">
        <f t="shared" si="18"/>
        <v>0.54958632128354656</v>
      </c>
      <c r="F55" s="32">
        <f t="shared" si="18"/>
        <v>0.80475612619950976</v>
      </c>
      <c r="G55" s="32">
        <f t="shared" si="18"/>
        <v>1.0488217329083978</v>
      </c>
      <c r="H55" s="32">
        <f t="shared" si="18"/>
        <v>1.2831351177027246</v>
      </c>
      <c r="I55" s="32">
        <f>(XNPV($B$14,I47,I$22)+XNPV($B$14,I46,I$22))/(XNPV($B$14,I45,I$22))</f>
        <v>3.4646731758666518</v>
      </c>
      <c r="J55" s="32">
        <f t="shared" si="18"/>
        <v>3.5482951782542429</v>
      </c>
      <c r="K55" s="32">
        <f t="shared" si="18"/>
        <v>3.635937578387654</v>
      </c>
      <c r="L55" s="32">
        <f t="shared" si="18"/>
        <v>3.7278041945031792</v>
      </c>
      <c r="M55" s="32">
        <f t="shared" si="18"/>
        <v>3.8241097951887668</v>
      </c>
      <c r="N55" s="32">
        <f t="shared" si="18"/>
        <v>3.9250807220706747</v>
      </c>
      <c r="O55" s="32">
        <f t="shared" si="18"/>
        <v>4.0309555497135818</v>
      </c>
      <c r="P55" s="32">
        <f t="shared" si="18"/>
        <v>4.141985785047626</v>
      </c>
      <c r="Q55" s="32">
        <f t="shared" si="18"/>
        <v>4.258436608783958</v>
      </c>
      <c r="R55" s="32">
        <f t="shared" si="18"/>
        <v>4.3805876614380717</v>
      </c>
      <c r="S55" s="32">
        <f t="shared" si="18"/>
        <v>4.5087338767482485</v>
      </c>
      <c r="T55" s="32">
        <f t="shared" si="18"/>
        <v>4.6431863654554064</v>
      </c>
      <c r="U55" s="32">
        <f t="shared" si="18"/>
        <v>4.7842733526014385</v>
      </c>
      <c r="V55" s="32">
        <f t="shared" si="18"/>
        <v>4.9323411717063115</v>
      </c>
      <c r="W55" s="32">
        <f t="shared" si="18"/>
        <v>5.0877553194007437</v>
      </c>
      <c r="X55" s="32">
        <f t="shared" si="18"/>
        <v>5.2509015743220582</v>
      </c>
      <c r="Y55" s="32">
        <f t="shared" si="18"/>
        <v>5.422187184326658</v>
      </c>
      <c r="Z55" s="32">
        <f t="shared" si="18"/>
        <v>5.6020421263346849</v>
      </c>
      <c r="AA55" s="32">
        <f t="shared" si="18"/>
        <v>5.7909204434016202</v>
      </c>
      <c r="AB55" s="32">
        <f t="shared" si="18"/>
        <v>5.989301663909318</v>
      </c>
      <c r="AC55" s="32">
        <f t="shared" si="18"/>
        <v>5.0704269742141737</v>
      </c>
      <c r="AD55" s="32">
        <f t="shared" si="18"/>
        <v>5.2130368965511282</v>
      </c>
      <c r="AE55" s="32">
        <f t="shared" si="18"/>
        <v>5.361588898985457</v>
      </c>
      <c r="AF55" s="32">
        <f t="shared" si="18"/>
        <v>5.5163305681878807</v>
      </c>
      <c r="AG55" s="32">
        <f t="shared" si="18"/>
        <v>5.6775198069404071</v>
      </c>
      <c r="AH55" s="32">
        <f t="shared" si="18"/>
        <v>5.8454252639742865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1.9725940411551122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0.1497989852842965</v>
      </c>
      <c r="E57" s="32">
        <f t="shared" si="19"/>
        <v>0.28597988099729332</v>
      </c>
      <c r="F57" s="32">
        <f t="shared" si="19"/>
        <v>0.40978069528183592</v>
      </c>
      <c r="G57" s="32">
        <f t="shared" si="19"/>
        <v>0.52232689008596545</v>
      </c>
      <c r="H57" s="32">
        <f t="shared" si="19"/>
        <v>0.62464161263517404</v>
      </c>
      <c r="I57" s="32">
        <f t="shared" si="19"/>
        <v>1.6477888381272614</v>
      </c>
      <c r="J57" s="32">
        <f t="shared" si="19"/>
        <v>1.6477888381272614</v>
      </c>
      <c r="K57" s="32">
        <f t="shared" si="19"/>
        <v>1.6477888381272614</v>
      </c>
      <c r="L57" s="32">
        <f t="shared" si="19"/>
        <v>1.6477888381272612</v>
      </c>
      <c r="M57" s="32">
        <f t="shared" si="19"/>
        <v>1.6477888381272612</v>
      </c>
      <c r="N57" s="32">
        <f t="shared" si="19"/>
        <v>1.6477888381272614</v>
      </c>
      <c r="O57" s="32">
        <f t="shared" si="19"/>
        <v>1.6477888381272612</v>
      </c>
      <c r="P57" s="32">
        <f t="shared" si="19"/>
        <v>1.6477888381272612</v>
      </c>
      <c r="Q57" s="32">
        <f t="shared" si="19"/>
        <v>1.6477888381272614</v>
      </c>
      <c r="R57" s="32">
        <f t="shared" si="19"/>
        <v>1.6477888381272612</v>
      </c>
      <c r="S57" s="32">
        <f t="shared" si="19"/>
        <v>1.6477888381272612</v>
      </c>
      <c r="T57" s="32">
        <f t="shared" si="19"/>
        <v>1.6477888381272612</v>
      </c>
      <c r="U57" s="32">
        <f t="shared" si="19"/>
        <v>1.6477888381272612</v>
      </c>
      <c r="V57" s="32">
        <f t="shared" si="19"/>
        <v>1.6477888381272612</v>
      </c>
      <c r="W57" s="32">
        <f t="shared" si="19"/>
        <v>1.647788838127261</v>
      </c>
      <c r="X57" s="32">
        <f t="shared" si="19"/>
        <v>1.6477888381272614</v>
      </c>
      <c r="Y57" s="32">
        <f t="shared" si="19"/>
        <v>1.6477888381272614</v>
      </c>
      <c r="Z57" s="32">
        <f t="shared" si="19"/>
        <v>1.6477888381272614</v>
      </c>
      <c r="AA57" s="32">
        <f t="shared" si="19"/>
        <v>1.6477888381272614</v>
      </c>
      <c r="AB57" s="32">
        <f t="shared" si="19"/>
        <v>1.6477888381272614</v>
      </c>
      <c r="AC57" s="32">
        <f t="shared" si="19"/>
        <v>1.6477888381272612</v>
      </c>
      <c r="AD57" s="32">
        <f t="shared" si="19"/>
        <v>1.6477888381272612</v>
      </c>
      <c r="AE57" s="32">
        <f t="shared" si="19"/>
        <v>1.6477888381272614</v>
      </c>
      <c r="AF57" s="32">
        <f t="shared" si="19"/>
        <v>1.6477888381272614</v>
      </c>
      <c r="AG57" s="32">
        <f t="shared" si="19"/>
        <v>1.6477888381272612</v>
      </c>
      <c r="AH57" s="32">
        <f t="shared" si="19"/>
        <v>1.6477888381272612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0.80473403466760696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0.18675755977630615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3.4500260353088383E-2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7" t="s">
        <v>89</v>
      </c>
      <c r="B64" s="145" t="s">
        <v>69</v>
      </c>
      <c r="C64" s="151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8"/>
      <c r="B65" s="129" t="s">
        <v>69</v>
      </c>
      <c r="C65" s="130">
        <f>(D34+D30)/C25</f>
        <v>0.27657500024919346</v>
      </c>
      <c r="D65" s="121">
        <f>(SUM($D$34:E34)+SUM($D$30:E30))/SUM($C$25:D25)</f>
        <v>0.42192573060748934</v>
      </c>
      <c r="E65" s="121">
        <f>(SUM($D$34:F34)+SUM($D$30:F30))/SUM($C$25:E25)</f>
        <v>0.57199889674950466</v>
      </c>
      <c r="F65" s="121">
        <f>(SUM($D$34:G34)+SUM($D$30:G30))/SUM($C$25:F25)</f>
        <v>0.72679532569552041</v>
      </c>
      <c r="G65" s="121">
        <f>(SUM($D$34:H34)+SUM($D$30:H30))/SUM($C$25:G25)</f>
        <v>0.88630844668843844</v>
      </c>
      <c r="H65" s="121">
        <f>(SUM($D$34:I34)+SUM($D$30:I30))/SUM($C$25:H25)</f>
        <v>1.050524440398884</v>
      </c>
      <c r="I65" s="121">
        <f>(SUM($D$34:J34)+SUM($D$30:J30))/SUM($C$25:I25)</f>
        <v>1.3301534889938158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9" t="s">
        <v>105</v>
      </c>
      <c r="B66" s="145" t="s">
        <v>69</v>
      </c>
      <c r="C66" s="152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8"/>
      <c r="B67" s="28" t="s">
        <v>69</v>
      </c>
      <c r="C67" s="131">
        <f>D34/C25</f>
        <v>0.1497989852842965</v>
      </c>
      <c r="D67" s="32">
        <f>SUM($D$34:E34)/SUM($C$25:D25)</f>
        <v>0.2282651204332137</v>
      </c>
      <c r="E67" s="32">
        <f>SUM($D$34:F34)/SUM($C$25:E25)</f>
        <v>0.30910183368330663</v>
      </c>
      <c r="F67" s="32">
        <f>SUM($D$34:G34)/SUM($C$25:F25)</f>
        <v>0.39229839843683251</v>
      </c>
      <c r="G67" s="32">
        <f>SUM($D$34:H34)/SUM($C$25:G25)</f>
        <v>0.47783989433736257</v>
      </c>
      <c r="H67" s="32">
        <f>SUM($D$34:I34)/SUM($C$25:H25)</f>
        <v>0.56570730268381975</v>
      </c>
      <c r="I67" s="32">
        <f>SUM($D$34:J34)/SUM($C$25:I25)</f>
        <v>0.71550628796811622</v>
      </c>
      <c r="J67" s="32">
        <f>SUM($D$34:K34)/SUM($C$25:J25)</f>
        <v>0.8653052732524128</v>
      </c>
      <c r="K67" s="32">
        <f>SUM($D$34:L34)/SUM($C$25:K25)</f>
        <v>1.0151042585367094</v>
      </c>
      <c r="L67" s="32">
        <f>SUM($D$34:M34)/SUM($C$25:L25)</f>
        <v>1.1649032438210059</v>
      </c>
      <c r="M67" s="32">
        <f>SUM($D$34:N34)/SUM($C$25:M25)</f>
        <v>1.3147022291053023</v>
      </c>
      <c r="N67" s="32">
        <f>SUM($D$34:O34)/SUM($C$25:N25)</f>
        <v>1.4645012143895988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364814.81481481477</v>
      </c>
      <c r="G70" s="156">
        <f>G76+G79+G82+G85+G88+G91</f>
        <v>729629.62962962955</v>
      </c>
      <c r="H70" s="156">
        <f t="shared" si="20"/>
        <v>1094444.4444444443</v>
      </c>
      <c r="I70" s="156">
        <f t="shared" si="20"/>
        <v>1459259.2592592591</v>
      </c>
      <c r="J70" s="156">
        <f t="shared" si="20"/>
        <v>1824074.0740740739</v>
      </c>
      <c r="K70" s="156">
        <f t="shared" si="20"/>
        <v>1824074.0740740739</v>
      </c>
      <c r="L70" s="156">
        <f t="shared" si="20"/>
        <v>1459259.2592592593</v>
      </c>
      <c r="M70" s="156">
        <f t="shared" si="20"/>
        <v>1094444.4444444445</v>
      </c>
      <c r="N70" s="156">
        <f t="shared" si="20"/>
        <v>729629.62962962966</v>
      </c>
      <c r="O70" s="156">
        <f t="shared" si="20"/>
        <v>364814.81481481483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72962.962962962964</v>
      </c>
      <c r="E71" s="160">
        <f t="shared" si="20"/>
        <v>145925.92592592593</v>
      </c>
      <c r="F71" s="160">
        <f t="shared" si="20"/>
        <v>218888.88888888888</v>
      </c>
      <c r="G71" s="160">
        <f t="shared" si="20"/>
        <v>277259.25925925927</v>
      </c>
      <c r="H71" s="160">
        <f t="shared" si="20"/>
        <v>321037.03703703708</v>
      </c>
      <c r="I71" s="160">
        <f t="shared" si="20"/>
        <v>350222.22222222225</v>
      </c>
      <c r="J71" s="160">
        <f t="shared" si="20"/>
        <v>291851.85185185185</v>
      </c>
      <c r="K71" s="160">
        <f t="shared" si="20"/>
        <v>218888.88888888888</v>
      </c>
      <c r="L71" s="160">
        <f t="shared" si="20"/>
        <v>145925.92592592593</v>
      </c>
      <c r="M71" s="160">
        <f t="shared" si="20"/>
        <v>87555.555555555562</v>
      </c>
      <c r="N71" s="160">
        <f t="shared" si="20"/>
        <v>43777.777777777781</v>
      </c>
      <c r="O71" s="160">
        <f t="shared" si="20"/>
        <v>14592.592592592593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72962.962962962964</v>
      </c>
      <c r="E77" s="182">
        <f>($C$72-SUM($C$76:D76))*$B$14</f>
        <v>72962.962962962964</v>
      </c>
      <c r="F77" s="182">
        <f>($C$72-SUM($C$76:E76))*$B$14</f>
        <v>72962.962962962964</v>
      </c>
      <c r="G77" s="182">
        <f>($C$72-SUM($C$76:F76))*$B$14</f>
        <v>58370.370370370365</v>
      </c>
      <c r="H77" s="182">
        <f>($C$72-SUM($C$76:G76))*$B$14</f>
        <v>43777.777777777781</v>
      </c>
      <c r="I77" s="182">
        <f>($C$72-SUM($C$76:H76))*$B$14</f>
        <v>29185.185185185186</v>
      </c>
      <c r="J77" s="182">
        <f>($C$72-SUM($C$76:I76))*$B$14</f>
        <v>14592.592592592593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72962.962962962964</v>
      </c>
      <c r="F80" s="182">
        <f>($D$72-SUM($C$79:E79))*$B$14</f>
        <v>72962.962962962964</v>
      </c>
      <c r="G80" s="182">
        <f>($D$72-SUM($C$79:F79))*$B$14</f>
        <v>72962.962962962964</v>
      </c>
      <c r="H80" s="182">
        <f>($D$72-SUM($C$79:G79))*$B$14</f>
        <v>58370.370370370365</v>
      </c>
      <c r="I80" s="182">
        <f>($D$72-SUM($C$79:H79))*$B$14</f>
        <v>43777.777777777781</v>
      </c>
      <c r="J80" s="182">
        <f>($D$72-SUM($C$79:I79))*$B$14</f>
        <v>29185.185185185186</v>
      </c>
      <c r="K80" s="182">
        <f>($D$72-SUM($C$79:J79))*$B$14</f>
        <v>14592.592592592593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72962.962962962964</v>
      </c>
      <c r="G83" s="182">
        <f>($E$72-SUM($C$82:F82))*$B$14</f>
        <v>72962.962962962964</v>
      </c>
      <c r="H83" s="182">
        <f>($E$72-SUM($C$82:G82))*$B$14</f>
        <v>72962.962962962964</v>
      </c>
      <c r="I83" s="182">
        <f>($E$72-SUM($C$82:H82))*$B$14</f>
        <v>58370.370370370365</v>
      </c>
      <c r="J83" s="182">
        <f>($E$72-SUM($C$82:I82))*$B$14</f>
        <v>43777.777777777781</v>
      </c>
      <c r="K83" s="182">
        <f>($E$72-SUM($C$82:J82))*$B$14</f>
        <v>29185.185185185186</v>
      </c>
      <c r="L83" s="182">
        <f>($E$72-SUM($C$82:K82))*$B$14</f>
        <v>14592.592592592593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72962.962962962964</v>
      </c>
      <c r="H86" s="182">
        <f>($F$72-SUM($C$85:G85))*$B$14</f>
        <v>72962.962962962964</v>
      </c>
      <c r="I86" s="182">
        <f>($F$72-SUM($C$85:H85))*$B$14</f>
        <v>72962.962962962964</v>
      </c>
      <c r="J86" s="182">
        <f>($F$72-SUM($C$85:I85))*$B$14</f>
        <v>58370.370370370365</v>
      </c>
      <c r="K86" s="182">
        <f>($F$72-SUM($C$85:J85))*$B$14</f>
        <v>43777.777777777781</v>
      </c>
      <c r="L86" s="182">
        <f>($F$72-SUM($C$85:K85))*$B$14</f>
        <v>29185.185185185186</v>
      </c>
      <c r="M86" s="182">
        <f>($F$72-SUM($C$85:L85))*$B$14</f>
        <v>14592.592592592593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72962.962962962964</v>
      </c>
      <c r="I89" s="182">
        <f>($G$72-SUM($C$88:H88))*$B$14</f>
        <v>72962.962962962964</v>
      </c>
      <c r="J89" s="182">
        <f>($G$72-SUM($C$88:I88))*$B$14</f>
        <v>72962.962962962964</v>
      </c>
      <c r="K89" s="182">
        <f>($G$72-SUM($C$88:J88))*$B$14</f>
        <v>58370.370370370372</v>
      </c>
      <c r="L89" s="182">
        <f>($G$72-SUM($C$88:K88))*$B$14</f>
        <v>43777.777777777781</v>
      </c>
      <c r="M89" s="182">
        <f>($G$72-SUM($C$88:L88))*$B$14</f>
        <v>29185.185185185186</v>
      </c>
      <c r="N89" s="182">
        <f>($G$72-SUM($C$88:M88))*$B$14</f>
        <v>14592.592592592593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72962.962962962964</v>
      </c>
      <c r="J92" s="182">
        <f>($H$72-SUM($C$91:I91))*$B$14</f>
        <v>72962.962962962964</v>
      </c>
      <c r="K92" s="182">
        <f>($H$72-SUM($C$91:J91))*$B$14</f>
        <v>72962.962962962964</v>
      </c>
      <c r="L92" s="182">
        <f>($H$72-SUM($C$91:K91))*$B$14</f>
        <v>58370.370370370372</v>
      </c>
      <c r="M92" s="182">
        <f>($H$72-SUM($C$91:L91))*$B$14</f>
        <v>43777.777777777781</v>
      </c>
      <c r="N92" s="182">
        <f>($H$72-SUM($C$91:M91))*$B$14</f>
        <v>29185.185185185186</v>
      </c>
      <c r="O92" s="182">
        <f>($H$72-SUM($C$91:N91))*$B$14</f>
        <v>14592.592592592593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273244.44537968899</v>
      </c>
      <c r="E94" s="204">
        <f t="shared" si="29"/>
        <v>521648.48663395172</v>
      </c>
      <c r="F94" s="204">
        <f t="shared" si="29"/>
        <v>747470.3423196451</v>
      </c>
      <c r="G94" s="204">
        <f t="shared" si="29"/>
        <v>952762.93839754816</v>
      </c>
      <c r="H94" s="204">
        <f t="shared" si="29"/>
        <v>1139392.5711956418</v>
      </c>
      <c r="I94" s="204">
        <f t="shared" si="29"/>
        <v>1309055.8737393634</v>
      </c>
      <c r="J94" s="204">
        <f t="shared" si="29"/>
        <v>1309055.8737393634</v>
      </c>
      <c r="K94" s="204">
        <f t="shared" si="29"/>
        <v>1309055.8737393634</v>
      </c>
      <c r="L94" s="204">
        <f t="shared" si="29"/>
        <v>1309055.8737393634</v>
      </c>
      <c r="M94" s="204">
        <f t="shared" si="29"/>
        <v>1309055.8737393634</v>
      </c>
      <c r="N94" s="204">
        <f t="shared" si="29"/>
        <v>1309055.8737393634</v>
      </c>
      <c r="O94" s="204">
        <f t="shared" si="29"/>
        <v>1309055.8737393634</v>
      </c>
      <c r="P94" s="204">
        <f t="shared" si="29"/>
        <v>1309055.8737393634</v>
      </c>
      <c r="Q94" s="204">
        <f t="shared" si="29"/>
        <v>1309055.8737393634</v>
      </c>
      <c r="R94" s="204">
        <f t="shared" si="29"/>
        <v>1309055.8737393634</v>
      </c>
      <c r="S94" s="204">
        <f t="shared" si="29"/>
        <v>1309055.8737393634</v>
      </c>
      <c r="T94" s="204">
        <f t="shared" si="29"/>
        <v>1309055.8737393634</v>
      </c>
      <c r="U94" s="204">
        <f t="shared" si="29"/>
        <v>1309055.8737393634</v>
      </c>
      <c r="V94" s="204">
        <f t="shared" si="29"/>
        <v>1309055.8737393634</v>
      </c>
      <c r="W94" s="204">
        <f t="shared" si="29"/>
        <v>1309055.8737393634</v>
      </c>
      <c r="X94" s="204">
        <f t="shared" si="29"/>
        <v>1309055.8737393634</v>
      </c>
      <c r="Y94" s="204">
        <f t="shared" si="29"/>
        <v>1309055.8737393634</v>
      </c>
      <c r="Z94" s="204">
        <f t="shared" si="29"/>
        <v>1309055.8737393634</v>
      </c>
      <c r="AA94" s="204">
        <f t="shared" si="29"/>
        <v>1309055.8737393634</v>
      </c>
      <c r="AB94" s="204">
        <f t="shared" si="29"/>
        <v>1309055.8737393634</v>
      </c>
      <c r="AC94" s="204">
        <f t="shared" si="29"/>
        <v>1309055.8737393634</v>
      </c>
      <c r="AD94" s="204">
        <f t="shared" si="29"/>
        <v>1035811.4283596744</v>
      </c>
      <c r="AE94" s="204">
        <f t="shared" si="29"/>
        <v>787407.38710541173</v>
      </c>
      <c r="AF94" s="204">
        <f t="shared" si="29"/>
        <v>561585.53141971841</v>
      </c>
      <c r="AG94" s="204">
        <f t="shared" si="29"/>
        <v>356292.93534181535</v>
      </c>
      <c r="AH94" s="204">
        <f t="shared" si="29"/>
        <v>169663.30254372163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165824.91582491584</v>
      </c>
      <c r="E95" s="204">
        <f t="shared" si="30"/>
        <v>316574.83930211206</v>
      </c>
      <c r="F95" s="204">
        <f t="shared" si="30"/>
        <v>453620.22428138135</v>
      </c>
      <c r="G95" s="204">
        <f t="shared" si="30"/>
        <v>578206.93789889885</v>
      </c>
      <c r="H95" s="204">
        <f t="shared" si="30"/>
        <v>691467.58664209663</v>
      </c>
      <c r="I95" s="204">
        <f t="shared" si="30"/>
        <v>794431.81277227646</v>
      </c>
      <c r="J95" s="204">
        <f t="shared" si="30"/>
        <v>794431.81277227646</v>
      </c>
      <c r="K95" s="204">
        <f t="shared" si="30"/>
        <v>794431.81277227646</v>
      </c>
      <c r="L95" s="204">
        <f t="shared" si="30"/>
        <v>794431.81277227646</v>
      </c>
      <c r="M95" s="204">
        <f t="shared" si="30"/>
        <v>794431.81277227646</v>
      </c>
      <c r="N95" s="204">
        <f t="shared" si="30"/>
        <v>794431.81277227646</v>
      </c>
      <c r="O95" s="204">
        <f t="shared" si="30"/>
        <v>794431.81277227646</v>
      </c>
      <c r="P95" s="204">
        <f t="shared" si="30"/>
        <v>794431.81277227646</v>
      </c>
      <c r="Q95" s="204">
        <f t="shared" si="30"/>
        <v>794431.81277227646</v>
      </c>
      <c r="R95" s="204">
        <f t="shared" si="30"/>
        <v>794431.81277227646</v>
      </c>
      <c r="S95" s="204">
        <f t="shared" si="30"/>
        <v>794431.81277227646</v>
      </c>
      <c r="T95" s="204">
        <f t="shared" si="30"/>
        <v>794431.81277227646</v>
      </c>
      <c r="U95" s="204">
        <f t="shared" si="30"/>
        <v>794431.81277227646</v>
      </c>
      <c r="V95" s="204">
        <f t="shared" si="30"/>
        <v>794431.81277227646</v>
      </c>
      <c r="W95" s="204">
        <f t="shared" si="30"/>
        <v>794431.81277227646</v>
      </c>
      <c r="X95" s="204">
        <f t="shared" si="30"/>
        <v>794431.81277227646</v>
      </c>
      <c r="Y95" s="204">
        <f t="shared" si="30"/>
        <v>794431.81277227646</v>
      </c>
      <c r="Z95" s="204">
        <f t="shared" si="30"/>
        <v>794431.81277227646</v>
      </c>
      <c r="AA95" s="204">
        <f t="shared" si="30"/>
        <v>794431.81277227646</v>
      </c>
      <c r="AB95" s="204">
        <f t="shared" si="30"/>
        <v>794431.81277227646</v>
      </c>
      <c r="AC95" s="204">
        <f t="shared" si="30"/>
        <v>794431.81277227646</v>
      </c>
      <c r="AD95" s="204">
        <f t="shared" si="30"/>
        <v>628606.8969473606</v>
      </c>
      <c r="AE95" s="204">
        <f t="shared" si="30"/>
        <v>477856.9734701644</v>
      </c>
      <c r="AF95" s="204">
        <f t="shared" si="30"/>
        <v>340811.58849089511</v>
      </c>
      <c r="AG95" s="204">
        <f t="shared" si="30"/>
        <v>216224.87487337762</v>
      </c>
      <c r="AH95" s="204">
        <f t="shared" si="3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107419.52955477315</v>
      </c>
      <c r="E96" s="204">
        <f t="shared" ref="E96:AH96" si="32">E94-E95</f>
        <v>205073.64733183966</v>
      </c>
      <c r="F96" s="204">
        <f t="shared" si="32"/>
        <v>293850.11803826375</v>
      </c>
      <c r="G96" s="204">
        <f t="shared" si="32"/>
        <v>374556.00049864931</v>
      </c>
      <c r="H96" s="204">
        <f t="shared" si="32"/>
        <v>447924.98455354513</v>
      </c>
      <c r="I96" s="204">
        <f t="shared" si="32"/>
        <v>514624.06096708693</v>
      </c>
      <c r="J96" s="204">
        <f t="shared" si="32"/>
        <v>514624.06096708693</v>
      </c>
      <c r="K96" s="204">
        <f t="shared" si="32"/>
        <v>514624.06096708693</v>
      </c>
      <c r="L96" s="204">
        <f t="shared" si="32"/>
        <v>514624.06096708693</v>
      </c>
      <c r="M96" s="204">
        <f t="shared" si="32"/>
        <v>514624.06096708693</v>
      </c>
      <c r="N96" s="204">
        <f t="shared" si="32"/>
        <v>514624.06096708693</v>
      </c>
      <c r="O96" s="204">
        <f t="shared" si="32"/>
        <v>514624.06096708693</v>
      </c>
      <c r="P96" s="204">
        <f t="shared" si="32"/>
        <v>514624.06096708693</v>
      </c>
      <c r="Q96" s="204">
        <f t="shared" si="32"/>
        <v>514624.06096708693</v>
      </c>
      <c r="R96" s="204">
        <f t="shared" si="32"/>
        <v>514624.06096708693</v>
      </c>
      <c r="S96" s="204">
        <f t="shared" si="32"/>
        <v>514624.06096708693</v>
      </c>
      <c r="T96" s="204">
        <f t="shared" si="32"/>
        <v>514624.06096708693</v>
      </c>
      <c r="U96" s="204">
        <f t="shared" si="32"/>
        <v>514624.06096708693</v>
      </c>
      <c r="V96" s="204">
        <f t="shared" si="32"/>
        <v>514624.06096708693</v>
      </c>
      <c r="W96" s="204">
        <f t="shared" si="32"/>
        <v>514624.06096708693</v>
      </c>
      <c r="X96" s="204">
        <f t="shared" si="32"/>
        <v>514624.06096708693</v>
      </c>
      <c r="Y96" s="204">
        <f t="shared" si="32"/>
        <v>514624.06096708693</v>
      </c>
      <c r="Z96" s="204">
        <f t="shared" si="32"/>
        <v>514624.06096708693</v>
      </c>
      <c r="AA96" s="204">
        <f t="shared" si="32"/>
        <v>514624.06096708693</v>
      </c>
      <c r="AB96" s="204">
        <f t="shared" si="32"/>
        <v>514624.06096708693</v>
      </c>
      <c r="AC96" s="204">
        <f t="shared" si="32"/>
        <v>514624.06096708693</v>
      </c>
      <c r="AD96" s="204">
        <f t="shared" si="32"/>
        <v>407204.53141231381</v>
      </c>
      <c r="AE96" s="204">
        <f t="shared" si="32"/>
        <v>309550.41363524733</v>
      </c>
      <c r="AF96" s="204">
        <f t="shared" si="32"/>
        <v>220773.94292882329</v>
      </c>
      <c r="AG96" s="204">
        <f t="shared" si="32"/>
        <v>140068.06046843773</v>
      </c>
      <c r="AH96" s="204">
        <f t="shared" si="32"/>
        <v>66699.076413541785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72962.962962962964</v>
      </c>
      <c r="E97" s="204">
        <f t="shared" si="33"/>
        <v>145925.92592592593</v>
      </c>
      <c r="F97" s="204">
        <f t="shared" si="33"/>
        <v>218888.88888888888</v>
      </c>
      <c r="G97" s="204">
        <f t="shared" si="33"/>
        <v>277259.25925925927</v>
      </c>
      <c r="H97" s="204">
        <f t="shared" si="33"/>
        <v>321037.03703703708</v>
      </c>
      <c r="I97" s="204">
        <f t="shared" si="33"/>
        <v>350222.22222222225</v>
      </c>
      <c r="J97" s="204">
        <f t="shared" si="33"/>
        <v>291851.85185185185</v>
      </c>
      <c r="K97" s="204">
        <f t="shared" si="33"/>
        <v>218888.88888888888</v>
      </c>
      <c r="L97" s="204">
        <f t="shared" si="33"/>
        <v>145925.92592592593</v>
      </c>
      <c r="M97" s="204">
        <f t="shared" si="33"/>
        <v>87555.555555555562</v>
      </c>
      <c r="N97" s="204">
        <f t="shared" si="33"/>
        <v>43777.777777777781</v>
      </c>
      <c r="O97" s="204">
        <f t="shared" si="33"/>
        <v>14592.592592592593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34456.566591810188</v>
      </c>
      <c r="E98" s="204">
        <f t="shared" ref="E98:AH98" si="34">E96-E97</f>
        <v>59147.721405913733</v>
      </c>
      <c r="F98" s="204">
        <f t="shared" si="34"/>
        <v>74961.229149374878</v>
      </c>
      <c r="G98" s="204">
        <f t="shared" si="34"/>
        <v>97296.741239390045</v>
      </c>
      <c r="H98" s="204">
        <f t="shared" si="34"/>
        <v>126887.94751650805</v>
      </c>
      <c r="I98" s="204">
        <f t="shared" si="34"/>
        <v>164401.83874486468</v>
      </c>
      <c r="J98" s="204">
        <f t="shared" si="34"/>
        <v>222772.20911523508</v>
      </c>
      <c r="K98" s="204">
        <f t="shared" si="34"/>
        <v>295735.17207819805</v>
      </c>
      <c r="L98" s="204">
        <f t="shared" si="34"/>
        <v>368698.13504116097</v>
      </c>
      <c r="M98" s="204">
        <f t="shared" si="34"/>
        <v>427068.50541153137</v>
      </c>
      <c r="N98" s="204">
        <f t="shared" si="34"/>
        <v>470846.28318930918</v>
      </c>
      <c r="O98" s="204">
        <f t="shared" si="34"/>
        <v>500031.46837449435</v>
      </c>
      <c r="P98" s="204">
        <f t="shared" si="34"/>
        <v>514624.06096708693</v>
      </c>
      <c r="Q98" s="204">
        <f t="shared" si="34"/>
        <v>514624.06096708693</v>
      </c>
      <c r="R98" s="204">
        <f t="shared" si="34"/>
        <v>514624.06096708693</v>
      </c>
      <c r="S98" s="204">
        <f t="shared" si="34"/>
        <v>514624.06096708693</v>
      </c>
      <c r="T98" s="204">
        <f t="shared" si="34"/>
        <v>514624.06096708693</v>
      </c>
      <c r="U98" s="204">
        <f t="shared" si="34"/>
        <v>514624.06096708693</v>
      </c>
      <c r="V98" s="204">
        <f t="shared" si="34"/>
        <v>514624.06096708693</v>
      </c>
      <c r="W98" s="204">
        <f t="shared" si="34"/>
        <v>514624.06096708693</v>
      </c>
      <c r="X98" s="204">
        <f t="shared" si="34"/>
        <v>514624.06096708693</v>
      </c>
      <c r="Y98" s="204">
        <f t="shared" si="34"/>
        <v>514624.06096708693</v>
      </c>
      <c r="Z98" s="204">
        <f t="shared" si="34"/>
        <v>514624.06096708693</v>
      </c>
      <c r="AA98" s="204">
        <f t="shared" si="34"/>
        <v>514624.06096708693</v>
      </c>
      <c r="AB98" s="204">
        <f t="shared" si="34"/>
        <v>514624.06096708693</v>
      </c>
      <c r="AC98" s="204">
        <f t="shared" si="34"/>
        <v>514624.06096708693</v>
      </c>
      <c r="AD98" s="204">
        <f t="shared" si="34"/>
        <v>407204.53141231381</v>
      </c>
      <c r="AE98" s="204">
        <f t="shared" si="34"/>
        <v>309550.41363524733</v>
      </c>
      <c r="AF98" s="204">
        <f t="shared" si="34"/>
        <v>220773.94292882329</v>
      </c>
      <c r="AG98" s="204">
        <f t="shared" si="34"/>
        <v>140068.06046843773</v>
      </c>
      <c r="AH98" s="204">
        <f t="shared" si="34"/>
        <v>66699.076413541785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34456.566591810188</v>
      </c>
      <c r="E100" s="204">
        <f t="shared" ref="E100:AH100" si="35">E98+E99</f>
        <v>59147.721405913733</v>
      </c>
      <c r="F100" s="204">
        <f t="shared" si="35"/>
        <v>74961.229149374878</v>
      </c>
      <c r="G100" s="204">
        <f t="shared" si="35"/>
        <v>97296.741239390045</v>
      </c>
      <c r="H100" s="204">
        <f t="shared" si="35"/>
        <v>126887.94751650805</v>
      </c>
      <c r="I100" s="204">
        <f t="shared" si="35"/>
        <v>164401.83874486468</v>
      </c>
      <c r="J100" s="204">
        <f t="shared" si="35"/>
        <v>222772.20911523508</v>
      </c>
      <c r="K100" s="204">
        <f t="shared" si="35"/>
        <v>295735.17207819805</v>
      </c>
      <c r="L100" s="204">
        <f t="shared" si="35"/>
        <v>368698.13504116097</v>
      </c>
      <c r="M100" s="204">
        <f t="shared" si="35"/>
        <v>427068.50541153137</v>
      </c>
      <c r="N100" s="204">
        <f t="shared" si="35"/>
        <v>470846.28318930918</v>
      </c>
      <c r="O100" s="204">
        <f t="shared" si="35"/>
        <v>500031.46837449435</v>
      </c>
      <c r="P100" s="204">
        <f t="shared" si="35"/>
        <v>514624.06096708693</v>
      </c>
      <c r="Q100" s="204">
        <f t="shared" si="35"/>
        <v>514624.06096708693</v>
      </c>
      <c r="R100" s="204">
        <f t="shared" si="35"/>
        <v>514624.06096708693</v>
      </c>
      <c r="S100" s="204">
        <f t="shared" si="35"/>
        <v>514624.06096708693</v>
      </c>
      <c r="T100" s="204">
        <f t="shared" si="35"/>
        <v>514624.06096708693</v>
      </c>
      <c r="U100" s="204">
        <f t="shared" si="35"/>
        <v>514624.06096708693</v>
      </c>
      <c r="V100" s="204">
        <f t="shared" si="35"/>
        <v>514624.06096708693</v>
      </c>
      <c r="W100" s="204">
        <f t="shared" si="35"/>
        <v>514624.06096708693</v>
      </c>
      <c r="X100" s="204">
        <f t="shared" si="35"/>
        <v>514624.06096708693</v>
      </c>
      <c r="Y100" s="204">
        <f t="shared" si="35"/>
        <v>514624.06096708693</v>
      </c>
      <c r="Z100" s="204">
        <f t="shared" si="35"/>
        <v>514624.06096708693</v>
      </c>
      <c r="AA100" s="204">
        <f t="shared" si="35"/>
        <v>514624.06096708693</v>
      </c>
      <c r="AB100" s="204">
        <f t="shared" si="35"/>
        <v>514624.06096708693</v>
      </c>
      <c r="AC100" s="204">
        <f t="shared" si="35"/>
        <v>514624.06096708693</v>
      </c>
      <c r="AD100" s="204">
        <f t="shared" si="35"/>
        <v>407204.53141231381</v>
      </c>
      <c r="AE100" s="204">
        <f t="shared" si="35"/>
        <v>309550.41363524733</v>
      </c>
      <c r="AF100" s="204">
        <f t="shared" si="35"/>
        <v>220773.94292882329</v>
      </c>
      <c r="AG100" s="204">
        <f t="shared" si="35"/>
        <v>140068.06046843773</v>
      </c>
      <c r="AH100" s="204">
        <f t="shared" si="35"/>
        <v>66699.076413541785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1033.6969977543056</v>
      </c>
      <c r="E101" s="204">
        <f t="shared" ref="E101:AH101" si="36">IF(E100*$B$17&gt;0,E100*$B$17,0)</f>
        <v>1774.431642177412</v>
      </c>
      <c r="F101" s="204">
        <f t="shared" si="36"/>
        <v>2248.8368744812465</v>
      </c>
      <c r="G101" s="204">
        <f t="shared" si="36"/>
        <v>2918.9022371817014</v>
      </c>
      <c r="H101" s="204">
        <f t="shared" si="36"/>
        <v>3806.6384254952413</v>
      </c>
      <c r="I101" s="204">
        <f t="shared" si="36"/>
        <v>4932.0551623459405</v>
      </c>
      <c r="J101" s="204">
        <f t="shared" si="36"/>
        <v>6683.1662734570518</v>
      </c>
      <c r="K101" s="204">
        <f t="shared" si="36"/>
        <v>8872.0551623459414</v>
      </c>
      <c r="L101" s="204">
        <f t="shared" si="36"/>
        <v>11060.944051234828</v>
      </c>
      <c r="M101" s="204">
        <f t="shared" si="36"/>
        <v>12812.055162345941</v>
      </c>
      <c r="N101" s="204">
        <f t="shared" si="36"/>
        <v>14125.388495679275</v>
      </c>
      <c r="O101" s="204">
        <f t="shared" si="36"/>
        <v>15000.94405123483</v>
      </c>
      <c r="P101" s="204">
        <f t="shared" si="36"/>
        <v>15438.721829012607</v>
      </c>
      <c r="Q101" s="204">
        <f t="shared" si="36"/>
        <v>15438.721829012607</v>
      </c>
      <c r="R101" s="204">
        <f t="shared" si="36"/>
        <v>15438.721829012607</v>
      </c>
      <c r="S101" s="204">
        <f t="shared" si="36"/>
        <v>15438.721829012607</v>
      </c>
      <c r="T101" s="204">
        <f t="shared" si="36"/>
        <v>15438.721829012607</v>
      </c>
      <c r="U101" s="204">
        <f t="shared" si="36"/>
        <v>15438.721829012607</v>
      </c>
      <c r="V101" s="204">
        <f t="shared" si="36"/>
        <v>15438.721829012607</v>
      </c>
      <c r="W101" s="204">
        <f t="shared" si="36"/>
        <v>15438.721829012607</v>
      </c>
      <c r="X101" s="204">
        <f t="shared" si="36"/>
        <v>15438.721829012607</v>
      </c>
      <c r="Y101" s="204">
        <f t="shared" si="36"/>
        <v>15438.721829012607</v>
      </c>
      <c r="Z101" s="204">
        <f t="shared" si="36"/>
        <v>15438.721829012607</v>
      </c>
      <c r="AA101" s="204">
        <f t="shared" si="36"/>
        <v>15438.721829012607</v>
      </c>
      <c r="AB101" s="204">
        <f t="shared" si="36"/>
        <v>15438.721829012607</v>
      </c>
      <c r="AC101" s="204">
        <f t="shared" si="36"/>
        <v>15438.721829012607</v>
      </c>
      <c r="AD101" s="204">
        <f t="shared" si="36"/>
        <v>12216.135942369414</v>
      </c>
      <c r="AE101" s="204">
        <f t="shared" si="36"/>
        <v>9286.5124090574191</v>
      </c>
      <c r="AF101" s="204">
        <f t="shared" si="36"/>
        <v>6623.2182878646981</v>
      </c>
      <c r="AG101" s="204">
        <f t="shared" si="36"/>
        <v>4202.0418140531319</v>
      </c>
      <c r="AH101" s="204">
        <f t="shared" si="36"/>
        <v>2000.9722924062535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33422.869594055883</v>
      </c>
      <c r="E102" s="204">
        <f t="shared" ref="E102:AH102" si="37">E100-E101</f>
        <v>57373.28976373632</v>
      </c>
      <c r="F102" s="204">
        <f t="shared" si="37"/>
        <v>72712.392274893631</v>
      </c>
      <c r="G102" s="204">
        <f t="shared" si="37"/>
        <v>94377.839002208348</v>
      </c>
      <c r="H102" s="204">
        <f t="shared" si="37"/>
        <v>123081.30909101281</v>
      </c>
      <c r="I102" s="204">
        <f t="shared" si="37"/>
        <v>159469.78358251875</v>
      </c>
      <c r="J102" s="204">
        <f t="shared" si="37"/>
        <v>216089.04284177802</v>
      </c>
      <c r="K102" s="204">
        <f t="shared" si="37"/>
        <v>286863.11691585212</v>
      </c>
      <c r="L102" s="204">
        <f t="shared" si="37"/>
        <v>357637.19098992617</v>
      </c>
      <c r="M102" s="204">
        <f t="shared" si="37"/>
        <v>414256.45024918544</v>
      </c>
      <c r="N102" s="204">
        <f t="shared" si="37"/>
        <v>456720.89469362993</v>
      </c>
      <c r="O102" s="204">
        <f t="shared" si="37"/>
        <v>485030.52432325954</v>
      </c>
      <c r="P102" s="204">
        <f t="shared" si="37"/>
        <v>499185.33913807431</v>
      </c>
      <c r="Q102" s="204">
        <f t="shared" si="37"/>
        <v>499185.33913807431</v>
      </c>
      <c r="R102" s="204">
        <f t="shared" si="37"/>
        <v>499185.33913807431</v>
      </c>
      <c r="S102" s="204">
        <f t="shared" si="37"/>
        <v>499185.33913807431</v>
      </c>
      <c r="T102" s="204">
        <f t="shared" si="37"/>
        <v>499185.33913807431</v>
      </c>
      <c r="U102" s="204">
        <f t="shared" si="37"/>
        <v>499185.33913807431</v>
      </c>
      <c r="V102" s="204">
        <f t="shared" si="37"/>
        <v>499185.33913807431</v>
      </c>
      <c r="W102" s="204">
        <f t="shared" si="37"/>
        <v>499185.33913807431</v>
      </c>
      <c r="X102" s="204">
        <f t="shared" si="37"/>
        <v>499185.33913807431</v>
      </c>
      <c r="Y102" s="204">
        <f t="shared" si="37"/>
        <v>499185.33913807431</v>
      </c>
      <c r="Z102" s="204">
        <f t="shared" si="37"/>
        <v>499185.33913807431</v>
      </c>
      <c r="AA102" s="204">
        <f t="shared" si="37"/>
        <v>499185.33913807431</v>
      </c>
      <c r="AB102" s="204">
        <f t="shared" si="37"/>
        <v>499185.33913807431</v>
      </c>
      <c r="AC102" s="204">
        <f t="shared" si="37"/>
        <v>499185.33913807431</v>
      </c>
      <c r="AD102" s="204">
        <f t="shared" si="37"/>
        <v>394988.3954699444</v>
      </c>
      <c r="AE102" s="204">
        <f t="shared" si="37"/>
        <v>300263.90122618992</v>
      </c>
      <c r="AF102" s="204">
        <f t="shared" si="37"/>
        <v>214150.72464095859</v>
      </c>
      <c r="AG102" s="204">
        <f t="shared" si="37"/>
        <v>135866.01865438459</v>
      </c>
      <c r="AH102" s="204">
        <f t="shared" si="37"/>
        <v>64698.104121135533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H103" si="38">D102-D72</f>
        <v>-1790651.204480018</v>
      </c>
      <c r="E103" s="204">
        <f t="shared" si="38"/>
        <v>-1766700.7843103376</v>
      </c>
      <c r="F103" s="204">
        <f t="shared" si="38"/>
        <v>-1751361.6817991803</v>
      </c>
      <c r="G103" s="204">
        <f t="shared" si="38"/>
        <v>-1729696.2350718658</v>
      </c>
      <c r="H103" s="204">
        <f t="shared" si="38"/>
        <v>-1700992.7649830612</v>
      </c>
      <c r="I103" s="204">
        <f t="shared" si="38"/>
        <v>159469.78358251875</v>
      </c>
      <c r="J103" s="204">
        <f t="shared" si="38"/>
        <v>216089.04284177802</v>
      </c>
      <c r="K103" s="204">
        <f t="shared" si="38"/>
        <v>286863.11691585212</v>
      </c>
      <c r="L103" s="204">
        <f t="shared" si="38"/>
        <v>357637.19098992617</v>
      </c>
      <c r="M103" s="204">
        <f t="shared" si="38"/>
        <v>414256.45024918544</v>
      </c>
      <c r="N103" s="204">
        <f t="shared" si="38"/>
        <v>456720.89469362993</v>
      </c>
      <c r="O103" s="204">
        <f t="shared" si="38"/>
        <v>485030.52432325954</v>
      </c>
      <c r="P103" s="204">
        <f t="shared" si="38"/>
        <v>499185.33913807431</v>
      </c>
      <c r="Q103" s="204">
        <f t="shared" si="38"/>
        <v>499185.33913807431</v>
      </c>
      <c r="R103" s="204">
        <f t="shared" si="38"/>
        <v>499185.33913807431</v>
      </c>
      <c r="S103" s="204">
        <f t="shared" si="38"/>
        <v>499185.33913807431</v>
      </c>
      <c r="T103" s="204">
        <f t="shared" si="38"/>
        <v>499185.33913807431</v>
      </c>
      <c r="U103" s="204">
        <f t="shared" si="38"/>
        <v>499185.33913807431</v>
      </c>
      <c r="V103" s="204">
        <f t="shared" si="38"/>
        <v>499185.33913807431</v>
      </c>
      <c r="W103" s="204">
        <f t="shared" si="38"/>
        <v>499185.33913807431</v>
      </c>
      <c r="X103" s="204">
        <f t="shared" si="38"/>
        <v>499185.33913807431</v>
      </c>
      <c r="Y103" s="204">
        <f t="shared" si="38"/>
        <v>499185.33913807431</v>
      </c>
      <c r="Z103" s="204">
        <f t="shared" si="38"/>
        <v>499185.33913807431</v>
      </c>
      <c r="AA103" s="204">
        <f t="shared" si="38"/>
        <v>499185.33913807431</v>
      </c>
      <c r="AB103" s="204">
        <f t="shared" si="38"/>
        <v>499185.33913807431</v>
      </c>
      <c r="AC103" s="204">
        <f t="shared" si="38"/>
        <v>499185.33913807431</v>
      </c>
      <c r="AD103" s="204">
        <f t="shared" si="38"/>
        <v>394988.3954699444</v>
      </c>
      <c r="AE103" s="204">
        <f t="shared" si="38"/>
        <v>300263.90122618992</v>
      </c>
      <c r="AF103" s="204">
        <f t="shared" si="38"/>
        <v>214150.72464095859</v>
      </c>
      <c r="AG103" s="204">
        <f t="shared" si="38"/>
        <v>135866.01865438459</v>
      </c>
      <c r="AH103" s="204">
        <f t="shared" si="38"/>
        <v>64698.104121135533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-1824074.0740740739</v>
      </c>
      <c r="D104" s="204">
        <f t="shared" si="39"/>
        <v>-1559402.3623681227</v>
      </c>
      <c r="E104" s="204">
        <f t="shared" si="39"/>
        <v>-1323560.78442646</v>
      </c>
      <c r="F104" s="204">
        <f t="shared" si="39"/>
        <v>-1113940.8519738964</v>
      </c>
      <c r="G104" s="204">
        <f t="shared" si="39"/>
        <v>-914013.02237771964</v>
      </c>
      <c r="H104" s="204">
        <f t="shared" si="39"/>
        <v>-721615.24425098184</v>
      </c>
      <c r="I104" s="204">
        <f t="shared" si="39"/>
        <v>1289295.1116937292</v>
      </c>
      <c r="J104" s="204">
        <f t="shared" si="39"/>
        <v>1350641.5008720604</v>
      </c>
      <c r="K104" s="204">
        <f t="shared" si="39"/>
        <v>1426260.8831131831</v>
      </c>
      <c r="L104" s="204">
        <f t="shared" si="39"/>
        <v>1502001.3980584822</v>
      </c>
      <c r="M104" s="204">
        <f t="shared" si="39"/>
        <v>1563711.259210747</v>
      </c>
      <c r="N104" s="204">
        <f t="shared" si="39"/>
        <v>1611393.5705955222</v>
      </c>
      <c r="O104" s="204">
        <f t="shared" si="39"/>
        <v>1645051.5138389906</v>
      </c>
      <c r="P104" s="204">
        <f t="shared" si="39"/>
        <v>1664688.3501079904</v>
      </c>
      <c r="Q104" s="204">
        <f t="shared" si="39"/>
        <v>1670307.42209853</v>
      </c>
      <c r="R104" s="204">
        <f t="shared" si="39"/>
        <v>1676066.970888833</v>
      </c>
      <c r="S104" s="204">
        <f t="shared" si="39"/>
        <v>1681970.5083988938</v>
      </c>
      <c r="T104" s="204">
        <f t="shared" si="39"/>
        <v>1688021.6343467059</v>
      </c>
      <c r="U104" s="204">
        <f t="shared" si="39"/>
        <v>1694224.0384432131</v>
      </c>
      <c r="V104" s="204">
        <f t="shared" si="39"/>
        <v>1700581.5026421333</v>
      </c>
      <c r="W104" s="204">
        <f t="shared" si="39"/>
        <v>1707097.9034460264</v>
      </c>
      <c r="X104" s="204">
        <f t="shared" si="39"/>
        <v>1713777.2142700169</v>
      </c>
      <c r="Y104" s="204">
        <f t="shared" si="39"/>
        <v>1720623.507864607</v>
      </c>
      <c r="Z104" s="204">
        <f t="shared" si="39"/>
        <v>1727640.9587990621</v>
      </c>
      <c r="AA104" s="204">
        <f t="shared" si="39"/>
        <v>1734833.8460068784</v>
      </c>
      <c r="AB104" s="204">
        <f t="shared" si="39"/>
        <v>1742206.55539489</v>
      </c>
      <c r="AC104" s="204">
        <f t="shared" si="39"/>
        <v>1439925.4704864079</v>
      </c>
      <c r="AD104" s="204">
        <f t="shared" si="39"/>
        <v>1139364.0930356211</v>
      </c>
      <c r="AE104" s="204">
        <f t="shared" si="39"/>
        <v>866126.47717126959</v>
      </c>
      <c r="AF104" s="204">
        <f t="shared" si="39"/>
        <v>617728.6445673136</v>
      </c>
      <c r="AG104" s="204">
        <f t="shared" si="39"/>
        <v>391912.4331091718</v>
      </c>
      <c r="AH104" s="204">
        <f t="shared" si="39"/>
        <v>186624.96814722472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1.4580799385987355</v>
      </c>
      <c r="E108" s="216">
        <f t="shared" ref="E108:G108" si="40">(E102+E71+E70)/(E70+E71)</f>
        <v>1.3931672141169749</v>
      </c>
      <c r="F108" s="216">
        <f t="shared" si="40"/>
        <v>1.1245707228059727</v>
      </c>
      <c r="G108" s="216">
        <f t="shared" si="40"/>
        <v>1.0937321287817123</v>
      </c>
      <c r="H108" s="216">
        <f>(H102+H71+H70)/(H70+H71)</f>
        <v>1.0869536696179116</v>
      </c>
      <c r="I108" s="216">
        <f>(I102+I71+I70)/(I70+I71)</f>
        <v>1.0881300998184054</v>
      </c>
      <c r="J108" s="216">
        <f t="shared" ref="J108:N108" si="41">(J102+J71+J70)/(J70+J71)</f>
        <v>1.102125050879188</v>
      </c>
      <c r="K108" s="216">
        <f t="shared" si="41"/>
        <v>1.1404152312677305</v>
      </c>
      <c r="L108" s="216">
        <f t="shared" si="41"/>
        <v>1.2228012034316569</v>
      </c>
      <c r="M108" s="216">
        <f t="shared" si="41"/>
        <v>1.3504707700923735</v>
      </c>
      <c r="N108" s="216">
        <f t="shared" si="41"/>
        <v>1.590530799575137</v>
      </c>
      <c r="O108" s="216">
        <f>(O102+O71+O70)/(O70+O71)</f>
        <v>2.2783897068262404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1.3274472113176699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1.4580799385987355</v>
      </c>
      <c r="E110" s="216">
        <f t="shared" si="43"/>
        <v>1.3931672141169749</v>
      </c>
      <c r="F110" s="216">
        <f t="shared" si="43"/>
        <v>1.1245707228059727</v>
      </c>
      <c r="G110" s="216">
        <f t="shared" si="43"/>
        <v>1.0937321287817123</v>
      </c>
      <c r="H110" s="216">
        <f t="shared" si="43"/>
        <v>1.0869536696179116</v>
      </c>
      <c r="I110" s="216">
        <f t="shared" si="43"/>
        <v>1.0881300998184054</v>
      </c>
      <c r="J110" s="216">
        <f t="shared" si="43"/>
        <v>1.102125050879188</v>
      </c>
      <c r="K110" s="216">
        <f t="shared" si="43"/>
        <v>1.1404152312677305</v>
      </c>
      <c r="L110" s="216">
        <f t="shared" si="43"/>
        <v>1.2228012034316569</v>
      </c>
      <c r="M110" s="216">
        <f t="shared" si="43"/>
        <v>1.3504707700923735</v>
      </c>
      <c r="N110" s="216">
        <f t="shared" si="43"/>
        <v>1.590530799575137</v>
      </c>
      <c r="O110" s="216">
        <f t="shared" si="43"/>
        <v>2.2783897068262404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1.3274472113176699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1.4580799385987355</v>
      </c>
      <c r="E112" s="216">
        <f t="shared" si="44"/>
        <v>1.3931672141169749</v>
      </c>
      <c r="F112" s="216">
        <f t="shared" si="44"/>
        <v>1.1245707228059727</v>
      </c>
      <c r="G112" s="216">
        <f t="shared" si="44"/>
        <v>1.0937321287817123</v>
      </c>
      <c r="H112" s="216">
        <f t="shared" si="44"/>
        <v>1.0869536696179116</v>
      </c>
      <c r="I112" s="216">
        <f t="shared" si="44"/>
        <v>1.0881300998184054</v>
      </c>
      <c r="J112" s="216">
        <f t="shared" si="44"/>
        <v>1.102125050879188</v>
      </c>
      <c r="K112" s="216">
        <f t="shared" si="44"/>
        <v>1.1404152312677305</v>
      </c>
      <c r="L112" s="216">
        <f t="shared" si="44"/>
        <v>1.2228012034316569</v>
      </c>
      <c r="M112" s="216">
        <f t="shared" si="44"/>
        <v>1.3504707700923735</v>
      </c>
      <c r="N112" s="216">
        <f t="shared" si="44"/>
        <v>1.590530799575137</v>
      </c>
      <c r="O112" s="216">
        <f t="shared" si="44"/>
        <v>2.2783897068262404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1.3274472113176699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1134-E1AE-4218-BBEB-459B517E6DC6}">
  <dimension ref="A1:BV114"/>
  <sheetViews>
    <sheetView topLeftCell="A36" zoomScale="53" zoomScaleNormal="53" workbookViewId="0">
      <selection activeCell="C67" sqref="C67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130</v>
      </c>
      <c r="B3" s="267">
        <v>0.1</v>
      </c>
      <c r="C3" s="268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4">
        <v>0.25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3" t="s">
        <v>13</v>
      </c>
      <c r="C20" s="110"/>
      <c r="D20" s="304" t="s">
        <v>1</v>
      </c>
      <c r="E20" s="305"/>
      <c r="F20" s="305"/>
      <c r="G20" s="305"/>
      <c r="H20" s="305"/>
      <c r="I20" s="306"/>
      <c r="J20" s="50"/>
    </row>
    <row r="21" spans="1:34" x14ac:dyDescent="0.25">
      <c r="B21" s="303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C28*(Interventions!$I$7)</f>
        <v>165824.91582491584</v>
      </c>
      <c r="E26" s="27">
        <f>D28*(Interventions!$I$7)</f>
        <v>316574.83930211206</v>
      </c>
      <c r="F26" s="27">
        <f>E28*(Interventions!$I$7)</f>
        <v>453620.22428138135</v>
      </c>
      <c r="G26" s="27">
        <f>F28*(Interventions!$I$7)</f>
        <v>578206.93789889885</v>
      </c>
      <c r="H26" s="27">
        <f>G28*(Interventions!$I$7)</f>
        <v>691467.58664209663</v>
      </c>
      <c r="I26" s="27">
        <f>H28*(Interventions!$I$7)</f>
        <v>794431.81277227646</v>
      </c>
      <c r="J26" s="27">
        <f>I28*(Interventions!$I$7)</f>
        <v>794431.81277227646</v>
      </c>
      <c r="K26" s="27">
        <f>J28*(Interventions!$I$7)</f>
        <v>794431.81277227646</v>
      </c>
      <c r="L26" s="27">
        <f>K28*(Interventions!$I$7)</f>
        <v>794431.81277227646</v>
      </c>
      <c r="M26" s="27">
        <f>L28*(Interventions!$I$7)</f>
        <v>794431.81277227646</v>
      </c>
      <c r="N26" s="27">
        <f>M28*(Interventions!$I$7)</f>
        <v>794431.81277227646</v>
      </c>
      <c r="O26" s="27">
        <f>N28*(Interventions!$I$7)</f>
        <v>794431.81277227646</v>
      </c>
      <c r="P26" s="27">
        <f>O28*(Interventions!$I$7)</f>
        <v>794431.81277227646</v>
      </c>
      <c r="Q26" s="27">
        <f>P28*(Interventions!$I$7)</f>
        <v>794431.81277227646</v>
      </c>
      <c r="R26" s="27">
        <f>Q28*(Interventions!$I$7)</f>
        <v>794431.81277227646</v>
      </c>
      <c r="S26" s="27">
        <f>R28*(Interventions!$I$7)</f>
        <v>794431.81277227646</v>
      </c>
      <c r="T26" s="27">
        <f>S28*(Interventions!$I$7)</f>
        <v>794431.81277227646</v>
      </c>
      <c r="U26" s="27">
        <f>T28*(Interventions!$I$7)</f>
        <v>794431.81277227646</v>
      </c>
      <c r="V26" s="27">
        <f>U28*(Interventions!$I$7)</f>
        <v>794431.81277227646</v>
      </c>
      <c r="W26" s="27">
        <f>V28*(Interventions!$I$7)</f>
        <v>794431.81277227646</v>
      </c>
      <c r="X26" s="27">
        <f>W28*(Interventions!$I$7)</f>
        <v>794431.81277227646</v>
      </c>
      <c r="Y26" s="27">
        <f>X28*(Interventions!$I$7)</f>
        <v>794431.81277227646</v>
      </c>
      <c r="Z26" s="27">
        <f>Y28*(Interventions!$I$7)</f>
        <v>794431.81277227646</v>
      </c>
      <c r="AA26" s="27">
        <f>Z28*(Interventions!$I$7)</f>
        <v>794431.81277227646</v>
      </c>
      <c r="AB26" s="27">
        <f>AA28*(Interventions!$I$7)</f>
        <v>794431.81277227646</v>
      </c>
      <c r="AC26" s="27">
        <f>AB28*(Interventions!$I$7)</f>
        <v>794431.81277227646</v>
      </c>
      <c r="AD26" s="27">
        <f>AC28*(Interventions!$I$7)</f>
        <v>628606.8969473606</v>
      </c>
      <c r="AE26" s="27">
        <f>AD28*(Interventions!$I$7)</f>
        <v>477856.9734701644</v>
      </c>
      <c r="AF26" s="27">
        <f>AE28*(Interventions!$I$7)</f>
        <v>340811.58849089511</v>
      </c>
      <c r="AG26" s="27">
        <f>AF28*(Interventions!$I$7)</f>
        <v>216224.87487337762</v>
      </c>
      <c r="AH26" s="27">
        <f>AG28*(Interventions!$I$7)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D25/(Interventions!$I$6+Interventions!$I$7)</f>
        <v>55.096642475492928</v>
      </c>
      <c r="E27" s="45">
        <f>E25/(Interventions!$I$6+Interventions!$I$7)</f>
        <v>50.08785679590266</v>
      </c>
      <c r="F27" s="45">
        <f>F25/(Interventions!$I$6+Interventions!$I$7)</f>
        <v>45.534415269002416</v>
      </c>
      <c r="G27" s="45">
        <f>G25/(Interventions!$I$6+Interventions!$I$7)</f>
        <v>41.394922971820385</v>
      </c>
      <c r="H27" s="45">
        <f>H25/(Interventions!$I$6+Interventions!$I$7)</f>
        <v>37.631748156200345</v>
      </c>
      <c r="I27" s="45">
        <f>I25/(Interventions!$I$6+Interventions!$I$7)</f>
        <v>0</v>
      </c>
      <c r="J27" s="45">
        <f>J25/(Interventions!$I$6+Interventions!$I$7)</f>
        <v>0</v>
      </c>
      <c r="K27" s="45">
        <f>K25/(Interventions!$I$6+Interventions!$I$7)</f>
        <v>0</v>
      </c>
      <c r="L27" s="45">
        <f>L25/(Interventions!$I$6+Interventions!$I$7)</f>
        <v>0</v>
      </c>
      <c r="M27" s="45">
        <f>M25/(Interventions!$I$6+Interventions!$I$7)</f>
        <v>0</v>
      </c>
      <c r="N27" s="45">
        <f>N25/(Interventions!$I$6+Interventions!$I$7)</f>
        <v>0</v>
      </c>
      <c r="O27" s="45">
        <f>O25/(Interventions!$I$6+Interventions!$I$7)</f>
        <v>0</v>
      </c>
      <c r="P27" s="45">
        <f>P25/(Interventions!$I$6+Interventions!$I$7)</f>
        <v>0</v>
      </c>
      <c r="Q27" s="45">
        <f>Q25/(Interventions!$I$6+Interventions!$I$7)</f>
        <v>0</v>
      </c>
      <c r="R27" s="45">
        <f>R25/(Interventions!$I$6+Interventions!$I$7)</f>
        <v>0</v>
      </c>
      <c r="S27" s="45">
        <f>S25/(Interventions!$I$6+Interventions!$I$7)</f>
        <v>0</v>
      </c>
      <c r="T27" s="45">
        <f>T25/(Interventions!$I$6+Interventions!$I$7)</f>
        <v>0</v>
      </c>
      <c r="U27" s="45">
        <f>U25/(Interventions!$I$6+Interventions!$I$7)</f>
        <v>0</v>
      </c>
      <c r="V27" s="45">
        <f>V25/(Interventions!$I$6+Interventions!$I$7)</f>
        <v>0</v>
      </c>
      <c r="W27" s="45">
        <f>W25/(Interventions!$I$6+Interventions!$I$7)</f>
        <v>0</v>
      </c>
      <c r="X27" s="45">
        <f>X25/(Interventions!$I$6+Interventions!$I$7)</f>
        <v>0</v>
      </c>
      <c r="Y27" s="45">
        <f>Y25/(Interventions!$I$6+Interventions!$I$7)</f>
        <v>0</v>
      </c>
      <c r="Z27" s="45">
        <f>Z25/(Interventions!$I$6+Interventions!$I$7)</f>
        <v>0</v>
      </c>
      <c r="AA27" s="45">
        <f>AA25/(Interventions!$I$6+Interventions!$I$7)</f>
        <v>0</v>
      </c>
      <c r="AB27" s="45">
        <f>AB25/(Interventions!$I$6+Interventions!$I$7)</f>
        <v>0</v>
      </c>
      <c r="AC27" s="45">
        <f>AC25/(Interventions!$I$6+Interventions!$I$7)</f>
        <v>0</v>
      </c>
      <c r="AD27" s="45">
        <f>AD25/(Interventions!$I$6+Interventions!$I$7)</f>
        <v>0</v>
      </c>
      <c r="AE27" s="45">
        <f>AE25/(Interventions!$I$6+Interventions!$I$7)</f>
        <v>0</v>
      </c>
      <c r="AF27" s="45">
        <f>AF25/(Interventions!$I$6+Interventions!$I$7)</f>
        <v>0</v>
      </c>
      <c r="AG27" s="45">
        <f>AG25/(Interventions!$I$6+Interventions!$I$7)</f>
        <v>0</v>
      </c>
      <c r="AH27" s="45">
        <f>AH25/(Interventions!$I$6+Interventions!$I$7)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C28*Interventions!$I$10</f>
        <v>196364.43378265679</v>
      </c>
      <c r="E32" s="42">
        <f>D28*Interventions!$I$10</f>
        <v>374877.55540325388</v>
      </c>
      <c r="F32" s="42">
        <f>E28*Interventions!$I$10</f>
        <v>537162.21142197854</v>
      </c>
      <c r="G32" s="42">
        <f>F28*Interventions!$I$10</f>
        <v>684693.71689354628</v>
      </c>
      <c r="H32" s="42">
        <f>G28*Interventions!$I$10</f>
        <v>818813.26732224436</v>
      </c>
      <c r="I32" s="42">
        <f>H28*Interventions!$I$10</f>
        <v>940740.13134833355</v>
      </c>
      <c r="J32" s="42">
        <f>I28*Interventions!$I$10</f>
        <v>940740.13134833355</v>
      </c>
      <c r="K32" s="42">
        <f>J28*Interventions!$I$10</f>
        <v>940740.13134833355</v>
      </c>
      <c r="L32" s="42">
        <f>K28*Interventions!$I$10</f>
        <v>940740.13134833355</v>
      </c>
      <c r="M32" s="42">
        <f>L28*Interventions!$I$10</f>
        <v>940740.13134833355</v>
      </c>
      <c r="N32" s="42">
        <f>M28*Interventions!$I$10</f>
        <v>940740.13134833355</v>
      </c>
      <c r="O32" s="42">
        <f>N28*Interventions!$I$10</f>
        <v>940740.13134833355</v>
      </c>
      <c r="P32" s="42">
        <f>O28*Interventions!$I$10</f>
        <v>940740.13134833355</v>
      </c>
      <c r="Q32" s="42">
        <f>P28*Interventions!$I$10</f>
        <v>940740.13134833355</v>
      </c>
      <c r="R32" s="42">
        <f>Q28*Interventions!$I$10</f>
        <v>940740.13134833355</v>
      </c>
      <c r="S32" s="42">
        <f>R28*Interventions!$I$10</f>
        <v>940740.13134833355</v>
      </c>
      <c r="T32" s="42">
        <f>S28*Interventions!$I$10</f>
        <v>940740.13134833355</v>
      </c>
      <c r="U32" s="42">
        <f>T28*Interventions!$I$10</f>
        <v>940740.13134833355</v>
      </c>
      <c r="V32" s="42">
        <f>U28*Interventions!$I$10</f>
        <v>940740.13134833355</v>
      </c>
      <c r="W32" s="42">
        <f>V28*Interventions!$I$10</f>
        <v>940740.13134833355</v>
      </c>
      <c r="X32" s="42">
        <f>W28*Interventions!$I$10</f>
        <v>940740.13134833355</v>
      </c>
      <c r="Y32" s="42">
        <f>X28*Interventions!$I$10</f>
        <v>940740.13134833355</v>
      </c>
      <c r="Z32" s="42">
        <f>Y28*Interventions!$I$10</f>
        <v>940740.13134833355</v>
      </c>
      <c r="AA32" s="42">
        <f>Z28*Interventions!$I$10</f>
        <v>940740.13134833355</v>
      </c>
      <c r="AB32" s="42">
        <f>AA28*Interventions!$I$10</f>
        <v>940740.13134833355</v>
      </c>
      <c r="AC32" s="42">
        <f>AB28*Interventions!$I$10</f>
        <v>940740.13134833355</v>
      </c>
      <c r="AD32" s="42">
        <f>AC28*Interventions!$I$10</f>
        <v>744375.69756567676</v>
      </c>
      <c r="AE32" s="42">
        <f>AD28*Interventions!$I$10</f>
        <v>565862.57594507968</v>
      </c>
      <c r="AF32" s="42">
        <f>AE28*Interventions!$I$10</f>
        <v>403577.91992635507</v>
      </c>
      <c r="AG32" s="42">
        <f>AF28*Interventions!$I$10</f>
        <v>256046.41445478724</v>
      </c>
      <c r="AH32" s="42">
        <f>AG28*Interventions!$I$10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SUM(D35:D38)</f>
        <v>273244.44537968899</v>
      </c>
      <c r="E34" s="116">
        <f t="shared" ref="E34:AH34" si="9">SUM(E35:E38)</f>
        <v>521648.48663395172</v>
      </c>
      <c r="F34" s="116">
        <f t="shared" si="9"/>
        <v>747470.3423196451</v>
      </c>
      <c r="G34" s="116">
        <f t="shared" si="9"/>
        <v>952762.93839754816</v>
      </c>
      <c r="H34" s="116">
        <f t="shared" si="9"/>
        <v>1139392.5711956418</v>
      </c>
      <c r="I34" s="116">
        <f t="shared" si="9"/>
        <v>1309055.8737393634</v>
      </c>
      <c r="J34" s="116">
        <f t="shared" si="9"/>
        <v>1309055.8737393634</v>
      </c>
      <c r="K34" s="116">
        <f t="shared" si="9"/>
        <v>1309055.8737393634</v>
      </c>
      <c r="L34" s="116">
        <f t="shared" si="9"/>
        <v>1309055.8737393634</v>
      </c>
      <c r="M34" s="116">
        <f t="shared" si="9"/>
        <v>1309055.8737393634</v>
      </c>
      <c r="N34" s="116">
        <f t="shared" si="9"/>
        <v>1309055.8737393634</v>
      </c>
      <c r="O34" s="116">
        <f t="shared" si="9"/>
        <v>1309055.8737393634</v>
      </c>
      <c r="P34" s="116">
        <f t="shared" si="9"/>
        <v>1309055.8737393634</v>
      </c>
      <c r="Q34" s="116">
        <f t="shared" si="9"/>
        <v>1309055.8737393634</v>
      </c>
      <c r="R34" s="116">
        <f t="shared" si="9"/>
        <v>1309055.8737393634</v>
      </c>
      <c r="S34" s="116">
        <f t="shared" si="9"/>
        <v>1309055.8737393634</v>
      </c>
      <c r="T34" s="116">
        <f t="shared" si="9"/>
        <v>1309055.8737393634</v>
      </c>
      <c r="U34" s="116">
        <f t="shared" si="9"/>
        <v>1309055.8737393634</v>
      </c>
      <c r="V34" s="116">
        <f t="shared" si="9"/>
        <v>1309055.8737393634</v>
      </c>
      <c r="W34" s="116">
        <f t="shared" si="9"/>
        <v>1309055.8737393634</v>
      </c>
      <c r="X34" s="116">
        <f t="shared" si="9"/>
        <v>1309055.8737393634</v>
      </c>
      <c r="Y34" s="116">
        <f t="shared" si="9"/>
        <v>1309055.8737393634</v>
      </c>
      <c r="Z34" s="116">
        <f t="shared" si="9"/>
        <v>1309055.8737393634</v>
      </c>
      <c r="AA34" s="116">
        <f t="shared" si="9"/>
        <v>1309055.8737393634</v>
      </c>
      <c r="AB34" s="116">
        <f t="shared" si="9"/>
        <v>1309055.8737393634</v>
      </c>
      <c r="AC34" s="116">
        <f t="shared" si="9"/>
        <v>1309055.8737393634</v>
      </c>
      <c r="AD34" s="116">
        <f t="shared" si="9"/>
        <v>1035811.4283596744</v>
      </c>
      <c r="AE34" s="116">
        <f t="shared" si="9"/>
        <v>787407.38710541173</v>
      </c>
      <c r="AF34" s="116">
        <f t="shared" si="9"/>
        <v>561585.53141971841</v>
      </c>
      <c r="AG34" s="116">
        <f t="shared" si="9"/>
        <v>356292.93534181535</v>
      </c>
      <c r="AH34" s="116">
        <f t="shared" si="9"/>
        <v>169663.30254372163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41" t="s">
        <v>36</v>
      </c>
      <c r="B38" s="28" t="s">
        <v>37</v>
      </c>
      <c r="C38" s="28"/>
      <c r="D38" s="42">
        <f>C28*Interventions!$I$14</f>
        <v>273244.44537968899</v>
      </c>
      <c r="E38" s="42">
        <f>D28*Interventions!$I$14</f>
        <v>521648.48663395172</v>
      </c>
      <c r="F38" s="42">
        <f>E28*Interventions!$I$14</f>
        <v>747470.3423196451</v>
      </c>
      <c r="G38" s="42">
        <f>F28*Interventions!$I$14</f>
        <v>952762.93839754816</v>
      </c>
      <c r="H38" s="42">
        <f>G28*Interventions!$I$14</f>
        <v>1139392.5711956418</v>
      </c>
      <c r="I38" s="42">
        <f>H28*Interventions!$I$14</f>
        <v>1309055.8737393634</v>
      </c>
      <c r="J38" s="42">
        <f>I28*Interventions!$I$14</f>
        <v>1309055.8737393634</v>
      </c>
      <c r="K38" s="42">
        <f>J28*Interventions!$I$14</f>
        <v>1309055.8737393634</v>
      </c>
      <c r="L38" s="42">
        <f>K28*Interventions!$I$14</f>
        <v>1309055.8737393634</v>
      </c>
      <c r="M38" s="42">
        <f>L28*Interventions!$I$14</f>
        <v>1309055.8737393634</v>
      </c>
      <c r="N38" s="42">
        <f>M28*Interventions!$I$14</f>
        <v>1309055.8737393634</v>
      </c>
      <c r="O38" s="42">
        <f>N28*Interventions!$I$14</f>
        <v>1309055.8737393634</v>
      </c>
      <c r="P38" s="42">
        <f>O28*Interventions!$I$14</f>
        <v>1309055.8737393634</v>
      </c>
      <c r="Q38" s="42">
        <f>P28*Interventions!$I$14</f>
        <v>1309055.8737393634</v>
      </c>
      <c r="R38" s="42">
        <f>Q28*Interventions!$I$14</f>
        <v>1309055.8737393634</v>
      </c>
      <c r="S38" s="42">
        <f>R28*Interventions!$I$14</f>
        <v>1309055.8737393634</v>
      </c>
      <c r="T38" s="42">
        <f>S28*Interventions!$I$14</f>
        <v>1309055.8737393634</v>
      </c>
      <c r="U38" s="42">
        <f>T28*Interventions!$I$14</f>
        <v>1309055.8737393634</v>
      </c>
      <c r="V38" s="42">
        <f>U28*Interventions!$I$14</f>
        <v>1309055.8737393634</v>
      </c>
      <c r="W38" s="42">
        <f>V28*Interventions!$I$14</f>
        <v>1309055.8737393634</v>
      </c>
      <c r="X38" s="42">
        <f>W28*Interventions!$I$14</f>
        <v>1309055.8737393634</v>
      </c>
      <c r="Y38" s="42">
        <f>X28*Interventions!$I$14</f>
        <v>1309055.8737393634</v>
      </c>
      <c r="Z38" s="42">
        <f>Y28*Interventions!$I$14</f>
        <v>1309055.8737393634</v>
      </c>
      <c r="AA38" s="42">
        <f>Z28*Interventions!$I$14</f>
        <v>1309055.8737393634</v>
      </c>
      <c r="AB38" s="42">
        <f>AA28*Interventions!$I$14</f>
        <v>1309055.8737393634</v>
      </c>
      <c r="AC38" s="42">
        <f>AB28*Interventions!$I$14</f>
        <v>1309055.8737393634</v>
      </c>
      <c r="AD38" s="42">
        <f>AC28*Interventions!$I$14</f>
        <v>1035811.4283596744</v>
      </c>
      <c r="AE38" s="42">
        <f>AD28*Interventions!$I$14</f>
        <v>787407.38710541173</v>
      </c>
      <c r="AF38" s="42">
        <f>AE28*Interventions!$I$14</f>
        <v>561585.53141971841</v>
      </c>
      <c r="AG38" s="42">
        <f>AF28*Interventions!$I$14</f>
        <v>356292.93534181535</v>
      </c>
      <c r="AH38" s="42">
        <f>AG28*Interventions!$I$14</f>
        <v>169663.30254372163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504493.28749158431</v>
      </c>
      <c r="E40" s="116">
        <f t="shared" si="10"/>
        <v>964788.48651782924</v>
      </c>
      <c r="F40" s="116">
        <f t="shared" si="10"/>
        <v>1384891.1721449292</v>
      </c>
      <c r="G40" s="116">
        <f t="shared" si="10"/>
        <v>1768446.1510916944</v>
      </c>
      <c r="H40" s="116">
        <f t="shared" si="10"/>
        <v>2118770.0919277212</v>
      </c>
      <c r="I40" s="116">
        <f t="shared" si="10"/>
        <v>2438881.201850574</v>
      </c>
      <c r="J40" s="116">
        <f t="shared" si="10"/>
        <v>2443608.3317696461</v>
      </c>
      <c r="K40" s="116">
        <f t="shared" si="10"/>
        <v>2448453.6399366944</v>
      </c>
      <c r="L40" s="116">
        <f t="shared" si="10"/>
        <v>2453420.0808079196</v>
      </c>
      <c r="M40" s="116">
        <f t="shared" si="10"/>
        <v>2458510.682700925</v>
      </c>
      <c r="N40" s="116">
        <f t="shared" si="10"/>
        <v>2463728.5496412553</v>
      </c>
      <c r="O40" s="116">
        <f t="shared" si="10"/>
        <v>2469076.8632550947</v>
      </c>
      <c r="P40" s="116">
        <f t="shared" si="10"/>
        <v>2474558.8847092795</v>
      </c>
      <c r="Q40" s="116">
        <f t="shared" si="10"/>
        <v>2480177.9566998193</v>
      </c>
      <c r="R40" s="116">
        <f t="shared" si="10"/>
        <v>2485937.5054901224</v>
      </c>
      <c r="S40" s="116">
        <f t="shared" si="10"/>
        <v>2491841.0430001826</v>
      </c>
      <c r="T40" s="116">
        <f t="shared" si="10"/>
        <v>2497892.1689479947</v>
      </c>
      <c r="U40" s="116">
        <f t="shared" si="10"/>
        <v>2504094.5730445022</v>
      </c>
      <c r="V40" s="116">
        <f t="shared" si="10"/>
        <v>2510452.0372434221</v>
      </c>
      <c r="W40" s="116">
        <f t="shared" si="10"/>
        <v>2516968.4380473155</v>
      </c>
      <c r="X40" s="116">
        <f t="shared" si="10"/>
        <v>2523647.748871306</v>
      </c>
      <c r="Y40" s="116">
        <f t="shared" si="10"/>
        <v>2530494.0424658963</v>
      </c>
      <c r="Z40" s="116">
        <f t="shared" si="10"/>
        <v>2537511.4934003511</v>
      </c>
      <c r="AA40" s="116">
        <f t="shared" si="10"/>
        <v>2544704.3806081675</v>
      </c>
      <c r="AB40" s="116">
        <f t="shared" si="10"/>
        <v>2552077.0899961791</v>
      </c>
      <c r="AC40" s="116">
        <f t="shared" si="10"/>
        <v>2249796.0050876969</v>
      </c>
      <c r="AD40" s="116">
        <f t="shared" si="10"/>
        <v>1780187.1259253512</v>
      </c>
      <c r="AE40" s="116">
        <f t="shared" si="10"/>
        <v>1353269.9630504914</v>
      </c>
      <c r="AF40" s="116">
        <f t="shared" si="10"/>
        <v>965163.45134607353</v>
      </c>
      <c r="AG40" s="116">
        <f t="shared" si="10"/>
        <v>612339.34979660262</v>
      </c>
      <c r="AH40" s="116">
        <f t="shared" si="10"/>
        <v>291590.16656981083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-1319580.7865824895</v>
      </c>
      <c r="E42" s="31">
        <f t="shared" si="11"/>
        <v>-859285.58755624469</v>
      </c>
      <c r="F42" s="31">
        <f t="shared" si="11"/>
        <v>-439182.90192914475</v>
      </c>
      <c r="G42" s="31">
        <f t="shared" si="11"/>
        <v>-55627.922982379794</v>
      </c>
      <c r="H42" s="31">
        <f t="shared" si="11"/>
        <v>294696.017853647</v>
      </c>
      <c r="I42" s="31">
        <f t="shared" si="11"/>
        <v>1644449.3890782977</v>
      </c>
      <c r="J42" s="31">
        <f t="shared" si="11"/>
        <v>1649176.5189973698</v>
      </c>
      <c r="K42" s="31">
        <f t="shared" si="11"/>
        <v>1654021.8271644181</v>
      </c>
      <c r="L42" s="31">
        <f t="shared" si="11"/>
        <v>1658988.2680356433</v>
      </c>
      <c r="M42" s="31">
        <f t="shared" si="11"/>
        <v>1664078.8699286487</v>
      </c>
      <c r="N42" s="31">
        <f t="shared" si="11"/>
        <v>1669296.7368689789</v>
      </c>
      <c r="O42" s="31">
        <f t="shared" si="11"/>
        <v>1674645.0504828184</v>
      </c>
      <c r="P42" s="31">
        <f t="shared" si="11"/>
        <v>1680127.0719370032</v>
      </c>
      <c r="Q42" s="31">
        <f t="shared" si="11"/>
        <v>1685746.143927543</v>
      </c>
      <c r="R42" s="31">
        <f t="shared" si="11"/>
        <v>1691505.692717846</v>
      </c>
      <c r="S42" s="31">
        <f t="shared" si="11"/>
        <v>1697409.2302279063</v>
      </c>
      <c r="T42" s="31">
        <f t="shared" si="11"/>
        <v>1703460.3561757184</v>
      </c>
      <c r="U42" s="31">
        <f t="shared" si="11"/>
        <v>1709662.7602722258</v>
      </c>
      <c r="V42" s="31">
        <f t="shared" si="11"/>
        <v>1716020.2244711458</v>
      </c>
      <c r="W42" s="31">
        <f t="shared" si="11"/>
        <v>1722536.6252750391</v>
      </c>
      <c r="X42" s="31">
        <f t="shared" si="11"/>
        <v>1729215.9360990296</v>
      </c>
      <c r="Y42" s="31">
        <f t="shared" si="11"/>
        <v>1736062.22969362</v>
      </c>
      <c r="Z42" s="31">
        <f t="shared" si="11"/>
        <v>1743079.6806280748</v>
      </c>
      <c r="AA42" s="31">
        <f t="shared" si="11"/>
        <v>1750272.5678358912</v>
      </c>
      <c r="AB42" s="31">
        <f t="shared" si="11"/>
        <v>1757645.2772239028</v>
      </c>
      <c r="AC42" s="31">
        <f t="shared" si="11"/>
        <v>1455364.1923154206</v>
      </c>
      <c r="AD42" s="31">
        <f t="shared" si="11"/>
        <v>1151580.2289779906</v>
      </c>
      <c r="AE42" s="31">
        <f t="shared" si="11"/>
        <v>875412.98958032695</v>
      </c>
      <c r="AF42" s="31">
        <f t="shared" si="11"/>
        <v>624351.86285517842</v>
      </c>
      <c r="AG42" s="31">
        <f t="shared" si="11"/>
        <v>396114.474923225</v>
      </c>
      <c r="AH42" s="31">
        <f t="shared" si="11"/>
        <v>188625.940439631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-1550829.6286943848</v>
      </c>
      <c r="E43" s="31">
        <f t="shared" si="12"/>
        <v>-1302425.5874401222</v>
      </c>
      <c r="F43" s="31">
        <f t="shared" si="12"/>
        <v>-1076603.7317544287</v>
      </c>
      <c r="G43" s="31">
        <f t="shared" si="12"/>
        <v>-871311.135676526</v>
      </c>
      <c r="H43" s="31">
        <f t="shared" si="12"/>
        <v>-684681.50287843239</v>
      </c>
      <c r="I43" s="31">
        <f t="shared" si="12"/>
        <v>514624.06096708693</v>
      </c>
      <c r="J43" s="31">
        <f t="shared" si="12"/>
        <v>514624.06096708693</v>
      </c>
      <c r="K43" s="31">
        <f t="shared" si="12"/>
        <v>514624.06096708693</v>
      </c>
      <c r="L43" s="31">
        <f t="shared" si="12"/>
        <v>514624.06096708693</v>
      </c>
      <c r="M43" s="31">
        <f t="shared" si="12"/>
        <v>514624.06096708693</v>
      </c>
      <c r="N43" s="31">
        <f t="shared" si="12"/>
        <v>514624.06096708693</v>
      </c>
      <c r="O43" s="31">
        <f t="shared" si="12"/>
        <v>514624.06096708693</v>
      </c>
      <c r="P43" s="31">
        <f t="shared" si="12"/>
        <v>514624.06096708693</v>
      </c>
      <c r="Q43" s="31">
        <f t="shared" si="12"/>
        <v>514624.06096708693</v>
      </c>
      <c r="R43" s="31">
        <f t="shared" si="12"/>
        <v>514624.06096708693</v>
      </c>
      <c r="S43" s="31">
        <f t="shared" si="12"/>
        <v>514624.06096708693</v>
      </c>
      <c r="T43" s="31">
        <f t="shared" si="12"/>
        <v>514624.06096708693</v>
      </c>
      <c r="U43" s="31">
        <f t="shared" si="12"/>
        <v>514624.06096708693</v>
      </c>
      <c r="V43" s="31">
        <f t="shared" si="12"/>
        <v>514624.06096708693</v>
      </c>
      <c r="W43" s="31">
        <f t="shared" si="12"/>
        <v>514624.06096708693</v>
      </c>
      <c r="X43" s="31">
        <f t="shared" si="12"/>
        <v>514624.06096708693</v>
      </c>
      <c r="Y43" s="31">
        <f t="shared" si="12"/>
        <v>514624.06096708693</v>
      </c>
      <c r="Z43" s="31">
        <f t="shared" si="12"/>
        <v>514624.06096708693</v>
      </c>
      <c r="AA43" s="31">
        <f t="shared" si="12"/>
        <v>514624.06096708693</v>
      </c>
      <c r="AB43" s="31">
        <f t="shared" si="12"/>
        <v>514624.06096708693</v>
      </c>
      <c r="AC43" s="31">
        <f t="shared" si="12"/>
        <v>514624.06096708693</v>
      </c>
      <c r="AD43" s="31">
        <f t="shared" si="12"/>
        <v>407204.53141231381</v>
      </c>
      <c r="AE43" s="31">
        <f t="shared" si="12"/>
        <v>309550.41363524733</v>
      </c>
      <c r="AF43" s="31">
        <f t="shared" si="12"/>
        <v>220773.94292882329</v>
      </c>
      <c r="AG43" s="31">
        <f t="shared" si="12"/>
        <v>140068.06046843773</v>
      </c>
      <c r="AH43" s="31">
        <f t="shared" si="12"/>
        <v>66699.076413541785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1751111.111111111</v>
      </c>
      <c r="E45" s="31">
        <f t="shared" si="13"/>
        <v>1681066.6666666665</v>
      </c>
      <c r="F45" s="31">
        <f t="shared" si="13"/>
        <v>1613823.9999999998</v>
      </c>
      <c r="G45" s="31">
        <f t="shared" si="13"/>
        <v>1549271.04</v>
      </c>
      <c r="H45" s="31">
        <f t="shared" si="13"/>
        <v>1487300.1984000001</v>
      </c>
      <c r="I45" s="31">
        <f t="shared" si="13"/>
        <v>621847.68982981355</v>
      </c>
      <c r="J45" s="31">
        <f t="shared" si="13"/>
        <v>596973.78223662102</v>
      </c>
      <c r="K45" s="31">
        <f t="shared" si="13"/>
        <v>573094.83094715618</v>
      </c>
      <c r="L45" s="31">
        <f t="shared" si="13"/>
        <v>550171.03770927002</v>
      </c>
      <c r="M45" s="31">
        <f t="shared" si="13"/>
        <v>528164.1962008992</v>
      </c>
      <c r="N45" s="31">
        <f t="shared" si="13"/>
        <v>507037.62835286325</v>
      </c>
      <c r="O45" s="31">
        <f t="shared" si="13"/>
        <v>486756.12321874866</v>
      </c>
      <c r="P45" s="31">
        <f t="shared" si="13"/>
        <v>467285.87828999874</v>
      </c>
      <c r="Q45" s="31">
        <f t="shared" si="13"/>
        <v>448594.44315839873</v>
      </c>
      <c r="R45" s="31">
        <f t="shared" si="13"/>
        <v>430650.66543206281</v>
      </c>
      <c r="S45" s="31">
        <f t="shared" si="13"/>
        <v>413424.63881478028</v>
      </c>
      <c r="T45" s="31">
        <f t="shared" si="13"/>
        <v>396887.65326218907</v>
      </c>
      <c r="U45" s="31">
        <f t="shared" si="13"/>
        <v>381012.14713170152</v>
      </c>
      <c r="V45" s="31">
        <f t="shared" si="13"/>
        <v>365771.66124643345</v>
      </c>
      <c r="W45" s="31">
        <f t="shared" si="13"/>
        <v>351140.79479657614</v>
      </c>
      <c r="X45" s="31">
        <f t="shared" si="13"/>
        <v>337095.16300471302</v>
      </c>
      <c r="Y45" s="31">
        <f t="shared" si="13"/>
        <v>323611.3564845245</v>
      </c>
      <c r="Z45" s="31">
        <f t="shared" si="13"/>
        <v>310666.90222514351</v>
      </c>
      <c r="AA45" s="31">
        <f t="shared" si="13"/>
        <v>298240.22613613779</v>
      </c>
      <c r="AB45" s="31">
        <f t="shared" si="13"/>
        <v>286310.61709069228</v>
      </c>
      <c r="AC45" s="31">
        <f t="shared" si="13"/>
        <v>274858.19240706461</v>
      </c>
      <c r="AD45" s="31">
        <f t="shared" si="13"/>
        <v>208786.50948477117</v>
      </c>
      <c r="AE45" s="31">
        <f t="shared" si="13"/>
        <v>152367.53908995265</v>
      </c>
      <c r="AF45" s="31">
        <f t="shared" si="13"/>
        <v>104323.01060379956</v>
      </c>
      <c r="AG45" s="31">
        <f t="shared" si="13"/>
        <v>63539.332138144986</v>
      </c>
      <c r="AH45" s="31">
        <f t="shared" si="13"/>
        <v>29046.551834580576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262314.6675645014</v>
      </c>
      <c r="E46" s="31">
        <f t="shared" si="14"/>
        <v>480751.24528184987</v>
      </c>
      <c r="F46" s="31">
        <f t="shared" si="14"/>
        <v>661313.92078251345</v>
      </c>
      <c r="G46" s="31">
        <f t="shared" si="14"/>
        <v>809225.92422344943</v>
      </c>
      <c r="H46" s="31">
        <f t="shared" si="14"/>
        <v>929029.59440119041</v>
      </c>
      <c r="I46" s="31">
        <f t="shared" si="14"/>
        <v>1024673.6823167901</v>
      </c>
      <c r="J46" s="31">
        <f t="shared" si="14"/>
        <v>983686.73502411845</v>
      </c>
      <c r="K46" s="31">
        <f t="shared" si="14"/>
        <v>944339.26562315377</v>
      </c>
      <c r="L46" s="31">
        <f t="shared" si="14"/>
        <v>906565.69499822764</v>
      </c>
      <c r="M46" s="31">
        <f t="shared" si="14"/>
        <v>870303.06719829852</v>
      </c>
      <c r="N46" s="31">
        <f t="shared" si="14"/>
        <v>835490.94451036665</v>
      </c>
      <c r="O46" s="31">
        <f t="shared" si="14"/>
        <v>802071.30672995187</v>
      </c>
      <c r="P46" s="31">
        <f t="shared" si="14"/>
        <v>769988.45446075383</v>
      </c>
      <c r="Q46" s="31">
        <f t="shared" si="14"/>
        <v>739188.91628232365</v>
      </c>
      <c r="R46" s="31">
        <f t="shared" si="14"/>
        <v>709621.3596310307</v>
      </c>
      <c r="S46" s="31">
        <f t="shared" si="14"/>
        <v>681236.50524578942</v>
      </c>
      <c r="T46" s="31">
        <f t="shared" si="14"/>
        <v>653987.04503595782</v>
      </c>
      <c r="U46" s="31">
        <f t="shared" si="14"/>
        <v>627827.56323451956</v>
      </c>
      <c r="V46" s="31">
        <f t="shared" si="14"/>
        <v>602714.46070513874</v>
      </c>
      <c r="W46" s="31">
        <f t="shared" si="14"/>
        <v>578605.88227693317</v>
      </c>
      <c r="X46" s="31">
        <f t="shared" si="14"/>
        <v>555461.64698585588</v>
      </c>
      <c r="Y46" s="31">
        <f t="shared" si="14"/>
        <v>533243.18110642163</v>
      </c>
      <c r="Z46" s="31">
        <f t="shared" si="14"/>
        <v>511913.45386216475</v>
      </c>
      <c r="AA46" s="31">
        <f t="shared" si="14"/>
        <v>491436.91570767818</v>
      </c>
      <c r="AB46" s="31">
        <f t="shared" si="14"/>
        <v>471779.43907937105</v>
      </c>
      <c r="AC46" s="31">
        <f t="shared" si="14"/>
        <v>452908.26151619619</v>
      </c>
      <c r="AD46" s="31">
        <f t="shared" si="14"/>
        <v>344036.07988055749</v>
      </c>
      <c r="AE46" s="31">
        <f t="shared" si="14"/>
        <v>251069.53020534315</v>
      </c>
      <c r="AF46" s="31">
        <f t="shared" si="14"/>
        <v>171902.29243277284</v>
      </c>
      <c r="AG46" s="31">
        <f t="shared" si="14"/>
        <v>104699.40227929607</v>
      </c>
      <c r="AH46" s="31">
        <f t="shared" si="14"/>
        <v>47862.583899106794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-1257547.6014347142</v>
      </c>
      <c r="E48" s="31">
        <f>E47+E46-E45</f>
        <v>-757175.42150093918</v>
      </c>
      <c r="F48" s="31">
        <f t="shared" ref="F48:AH48" si="16">F47+F46-F45</f>
        <v>-315089.24939220236</v>
      </c>
      <c r="G48" s="31">
        <f t="shared" si="16"/>
        <v>75638.096917595714</v>
      </c>
      <c r="H48" s="31">
        <f t="shared" si="16"/>
        <v>421106.91673326958</v>
      </c>
      <c r="I48" s="31">
        <f t="shared" si="16"/>
        <v>1532651.3205981872</v>
      </c>
      <c r="J48" s="31">
        <f t="shared" si="16"/>
        <v>1521265.4108177798</v>
      </c>
      <c r="K48" s="31">
        <f t="shared" si="16"/>
        <v>1510642.2008733288</v>
      </c>
      <c r="L48" s="31">
        <f t="shared" si="16"/>
        <v>1500758.8643575134</v>
      </c>
      <c r="M48" s="31">
        <f t="shared" si="16"/>
        <v>1491593.679958961</v>
      </c>
      <c r="N48" s="31">
        <f t="shared" si="16"/>
        <v>1483125.9920593956</v>
      </c>
      <c r="O48" s="31">
        <f t="shared" si="16"/>
        <v>1475336.1730269343</v>
      </c>
      <c r="P48" s="31">
        <f t="shared" si="16"/>
        <v>1468205.5871406712</v>
      </c>
      <c r="Q48" s="31">
        <f t="shared" si="16"/>
        <v>1461716.5560843805</v>
      </c>
      <c r="R48" s="31">
        <f t="shared" si="16"/>
        <v>1455852.3259497266</v>
      </c>
      <c r="S48" s="31">
        <f t="shared" si="16"/>
        <v>1450597.0356918285</v>
      </c>
      <c r="T48" s="31">
        <f t="shared" si="16"/>
        <v>1445935.6869824002</v>
      </c>
      <c r="U48" s="31">
        <f t="shared" si="16"/>
        <v>1441854.1154079568</v>
      </c>
      <c r="V48" s="31">
        <f t="shared" si="16"/>
        <v>1438338.9629627643</v>
      </c>
      <c r="W48" s="31">
        <f t="shared" si="16"/>
        <v>1435377.6517883092</v>
      </c>
      <c r="X48" s="31">
        <f t="shared" si="16"/>
        <v>1432958.3591130855</v>
      </c>
      <c r="Y48" s="31">
        <f t="shared" si="16"/>
        <v>1431069.9933484299</v>
      </c>
      <c r="Z48" s="31">
        <f t="shared" si="16"/>
        <v>1429702.1712980091</v>
      </c>
      <c r="AA48" s="31">
        <f t="shared" si="16"/>
        <v>1428845.1964403447</v>
      </c>
      <c r="AB48" s="31">
        <f t="shared" si="16"/>
        <v>1428490.0382454945</v>
      </c>
      <c r="AC48" s="31">
        <f t="shared" si="16"/>
        <v>1118790.2004574651</v>
      </c>
      <c r="AD48" s="31">
        <f t="shared" si="16"/>
        <v>879625.26796146296</v>
      </c>
      <c r="AE48" s="31">
        <f t="shared" si="16"/>
        <v>664564.56706047012</v>
      </c>
      <c r="AF48" s="31">
        <f t="shared" si="16"/>
        <v>471157.20175532839</v>
      </c>
      <c r="AG48" s="31">
        <f t="shared" si="16"/>
        <v>297206.48459593835</v>
      </c>
      <c r="AH48" s="31">
        <f t="shared" si="16"/>
        <v>140742.8960906154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16373149.617111256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-473976.81013364351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0.27657500024919346</v>
      </c>
      <c r="E53" s="32">
        <f t="shared" si="17"/>
        <v>0.52891957636510445</v>
      </c>
      <c r="F53" s="32">
        <f t="shared" si="17"/>
        <v>0.75922967813021502</v>
      </c>
      <c r="G53" s="32">
        <f t="shared" si="17"/>
        <v>0.96950347369493894</v>
      </c>
      <c r="H53" s="32">
        <f t="shared" si="17"/>
        <v>1.1615592382141822</v>
      </c>
      <c r="I53" s="32">
        <f t="shared" si="17"/>
        <v>3.0699692064694268</v>
      </c>
      <c r="J53" s="32">
        <f t="shared" si="17"/>
        <v>3.0759195345442509</v>
      </c>
      <c r="K53" s="32">
        <f t="shared" si="17"/>
        <v>3.0820186208209446</v>
      </c>
      <c r="L53" s="32">
        <f t="shared" si="17"/>
        <v>3.0882701842545566</v>
      </c>
      <c r="M53" s="32">
        <f t="shared" si="17"/>
        <v>3.0946780367740083</v>
      </c>
      <c r="N53" s="32">
        <f t="shared" si="17"/>
        <v>3.1012460856064461</v>
      </c>
      <c r="O53" s="32">
        <f t="shared" si="17"/>
        <v>3.1079783356596957</v>
      </c>
      <c r="P53" s="32">
        <f t="shared" si="17"/>
        <v>3.1148788919642758</v>
      </c>
      <c r="Q53" s="32">
        <f t="shared" si="17"/>
        <v>3.1219519621764711</v>
      </c>
      <c r="R53" s="32">
        <f t="shared" si="17"/>
        <v>3.1292018591439708</v>
      </c>
      <c r="S53" s="32">
        <f t="shared" si="17"/>
        <v>3.1366330035356573</v>
      </c>
      <c r="T53" s="32">
        <f t="shared" si="17"/>
        <v>3.1442499265371366</v>
      </c>
      <c r="U53" s="32">
        <f t="shared" si="17"/>
        <v>3.1520572726136531</v>
      </c>
      <c r="V53" s="32">
        <f t="shared" si="17"/>
        <v>3.1600598023420825</v>
      </c>
      <c r="W53" s="32">
        <f t="shared" si="17"/>
        <v>3.1682623953137226</v>
      </c>
      <c r="X53" s="32">
        <f t="shared" si="17"/>
        <v>3.1766700531096537</v>
      </c>
      <c r="Y53" s="32">
        <f t="shared" si="17"/>
        <v>3.1852879023504834</v>
      </c>
      <c r="Z53" s="32">
        <f t="shared" si="17"/>
        <v>3.1941211978223332</v>
      </c>
      <c r="AA53" s="32">
        <f t="shared" si="17"/>
        <v>3.2031753256809794</v>
      </c>
      <c r="AB53" s="32">
        <f t="shared" si="17"/>
        <v>3.2124558067360915</v>
      </c>
      <c r="AC53" s="32">
        <f t="shared" si="17"/>
        <v>2.8319560834764808</v>
      </c>
      <c r="AD53" s="32">
        <f t="shared" si="17"/>
        <v>2.8319560834764808</v>
      </c>
      <c r="AE53" s="32">
        <f t="shared" si="17"/>
        <v>2.8319560834764808</v>
      </c>
      <c r="AF53" s="32">
        <f t="shared" si="17"/>
        <v>2.8319560834764812</v>
      </c>
      <c r="AG53" s="32">
        <f t="shared" si="17"/>
        <v>2.8319560834764808</v>
      </c>
      <c r="AH53" s="32">
        <f t="shared" si="17"/>
        <v>2.8319560834764808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1.6534730298254658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0.28185733420606413</v>
      </c>
      <c r="E55" s="32">
        <f t="shared" si="18"/>
        <v>0.54958632128354656</v>
      </c>
      <c r="F55" s="32">
        <f t="shared" si="18"/>
        <v>0.80475612619950976</v>
      </c>
      <c r="G55" s="32">
        <f t="shared" si="18"/>
        <v>1.0488217329083978</v>
      </c>
      <c r="H55" s="32">
        <f t="shared" si="18"/>
        <v>1.2831351177027246</v>
      </c>
      <c r="I55" s="32">
        <f>(XNPV($B$14,I47,I$22)+XNPV($B$14,I46,I$22))/(XNPV($B$14,I45,I$22))</f>
        <v>3.4646731758666518</v>
      </c>
      <c r="J55" s="32">
        <f t="shared" si="18"/>
        <v>3.5482951782542429</v>
      </c>
      <c r="K55" s="32">
        <f t="shared" si="18"/>
        <v>3.635937578387654</v>
      </c>
      <c r="L55" s="32">
        <f t="shared" si="18"/>
        <v>3.7278041945031792</v>
      </c>
      <c r="M55" s="32">
        <f t="shared" si="18"/>
        <v>3.8241097951887668</v>
      </c>
      <c r="N55" s="32">
        <f t="shared" si="18"/>
        <v>3.9250807220706747</v>
      </c>
      <c r="O55" s="32">
        <f t="shared" si="18"/>
        <v>4.0309555497135818</v>
      </c>
      <c r="P55" s="32">
        <f t="shared" si="18"/>
        <v>4.141985785047626</v>
      </c>
      <c r="Q55" s="32">
        <f t="shared" si="18"/>
        <v>4.258436608783958</v>
      </c>
      <c r="R55" s="32">
        <f t="shared" si="18"/>
        <v>4.3805876614380717</v>
      </c>
      <c r="S55" s="32">
        <f t="shared" si="18"/>
        <v>4.5087338767482485</v>
      </c>
      <c r="T55" s="32">
        <f t="shared" si="18"/>
        <v>4.6431863654554064</v>
      </c>
      <c r="U55" s="32">
        <f t="shared" si="18"/>
        <v>4.7842733526014385</v>
      </c>
      <c r="V55" s="32">
        <f t="shared" si="18"/>
        <v>4.9323411717063115</v>
      </c>
      <c r="W55" s="32">
        <f t="shared" si="18"/>
        <v>5.0877553194007437</v>
      </c>
      <c r="X55" s="32">
        <f t="shared" si="18"/>
        <v>5.2509015743220582</v>
      </c>
      <c r="Y55" s="32">
        <f t="shared" si="18"/>
        <v>5.422187184326658</v>
      </c>
      <c r="Z55" s="32">
        <f t="shared" si="18"/>
        <v>5.6020421263346849</v>
      </c>
      <c r="AA55" s="32">
        <f t="shared" si="18"/>
        <v>5.7909204434016202</v>
      </c>
      <c r="AB55" s="32">
        <f t="shared" si="18"/>
        <v>5.989301663909318</v>
      </c>
      <c r="AC55" s="32">
        <f t="shared" si="18"/>
        <v>5.0704269742141737</v>
      </c>
      <c r="AD55" s="32">
        <f t="shared" si="18"/>
        <v>5.2130368965511282</v>
      </c>
      <c r="AE55" s="32">
        <f t="shared" si="18"/>
        <v>5.361588898985457</v>
      </c>
      <c r="AF55" s="32">
        <f t="shared" si="18"/>
        <v>5.5163305681878807</v>
      </c>
      <c r="AG55" s="32">
        <f t="shared" si="18"/>
        <v>5.6775198069404071</v>
      </c>
      <c r="AH55" s="32">
        <f t="shared" si="18"/>
        <v>5.8454252639742865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1.9725940411551122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0.1497989852842965</v>
      </c>
      <c r="E57" s="32">
        <f t="shared" si="19"/>
        <v>0.28597988099729332</v>
      </c>
      <c r="F57" s="32">
        <f t="shared" si="19"/>
        <v>0.40978069528183592</v>
      </c>
      <c r="G57" s="32">
        <f t="shared" si="19"/>
        <v>0.52232689008596545</v>
      </c>
      <c r="H57" s="32">
        <f t="shared" si="19"/>
        <v>0.62464161263517404</v>
      </c>
      <c r="I57" s="32">
        <f t="shared" si="19"/>
        <v>1.6477888381272614</v>
      </c>
      <c r="J57" s="32">
        <f t="shared" si="19"/>
        <v>1.6477888381272614</v>
      </c>
      <c r="K57" s="32">
        <f t="shared" si="19"/>
        <v>1.6477888381272614</v>
      </c>
      <c r="L57" s="32">
        <f t="shared" si="19"/>
        <v>1.6477888381272612</v>
      </c>
      <c r="M57" s="32">
        <f t="shared" si="19"/>
        <v>1.6477888381272612</v>
      </c>
      <c r="N57" s="32">
        <f t="shared" si="19"/>
        <v>1.6477888381272614</v>
      </c>
      <c r="O57" s="32">
        <f t="shared" si="19"/>
        <v>1.6477888381272612</v>
      </c>
      <c r="P57" s="32">
        <f t="shared" si="19"/>
        <v>1.6477888381272612</v>
      </c>
      <c r="Q57" s="32">
        <f t="shared" si="19"/>
        <v>1.6477888381272614</v>
      </c>
      <c r="R57" s="32">
        <f t="shared" si="19"/>
        <v>1.6477888381272612</v>
      </c>
      <c r="S57" s="32">
        <f t="shared" si="19"/>
        <v>1.6477888381272612</v>
      </c>
      <c r="T57" s="32">
        <f t="shared" si="19"/>
        <v>1.6477888381272612</v>
      </c>
      <c r="U57" s="32">
        <f t="shared" si="19"/>
        <v>1.6477888381272612</v>
      </c>
      <c r="V57" s="32">
        <f t="shared" si="19"/>
        <v>1.6477888381272612</v>
      </c>
      <c r="W57" s="32">
        <f t="shared" si="19"/>
        <v>1.647788838127261</v>
      </c>
      <c r="X57" s="32">
        <f t="shared" si="19"/>
        <v>1.6477888381272614</v>
      </c>
      <c r="Y57" s="32">
        <f t="shared" si="19"/>
        <v>1.6477888381272614</v>
      </c>
      <c r="Z57" s="32">
        <f t="shared" si="19"/>
        <v>1.6477888381272614</v>
      </c>
      <c r="AA57" s="32">
        <f t="shared" si="19"/>
        <v>1.6477888381272614</v>
      </c>
      <c r="AB57" s="32">
        <f t="shared" si="19"/>
        <v>1.6477888381272614</v>
      </c>
      <c r="AC57" s="32">
        <f t="shared" si="19"/>
        <v>1.6477888381272612</v>
      </c>
      <c r="AD57" s="32">
        <f t="shared" si="19"/>
        <v>1.6477888381272612</v>
      </c>
      <c r="AE57" s="32">
        <f t="shared" si="19"/>
        <v>1.6477888381272614</v>
      </c>
      <c r="AF57" s="32">
        <f t="shared" si="19"/>
        <v>1.6477888381272614</v>
      </c>
      <c r="AG57" s="32">
        <f t="shared" si="19"/>
        <v>1.6477888381272612</v>
      </c>
      <c r="AH57" s="32">
        <f t="shared" si="19"/>
        <v>1.6477888381272612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0.80473403466760696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0.18675755977630615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3.4500260353088383E-2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7" t="s">
        <v>89</v>
      </c>
      <c r="B64" s="145" t="s">
        <v>69</v>
      </c>
      <c r="C64" s="151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8"/>
      <c r="B65" s="129" t="s">
        <v>69</v>
      </c>
      <c r="C65" s="130">
        <f>(D34+D30)/C25</f>
        <v>0.27657500024919346</v>
      </c>
      <c r="D65" s="121">
        <f>(SUM($D$34:E34)+SUM($D$30:E30))/SUM($C$25:D25)</f>
        <v>0.42192573060748934</v>
      </c>
      <c r="E65" s="121">
        <f>(SUM($D$34:F34)+SUM($D$30:F30))/SUM($C$25:E25)</f>
        <v>0.57199889674950466</v>
      </c>
      <c r="F65" s="121">
        <f>(SUM($D$34:G34)+SUM($D$30:G30))/SUM($C$25:F25)</f>
        <v>0.72679532569552041</v>
      </c>
      <c r="G65" s="121">
        <f>(SUM($D$34:H34)+SUM($D$30:H30))/SUM($C$25:G25)</f>
        <v>0.88630844668843844</v>
      </c>
      <c r="H65" s="121">
        <f>(SUM($D$34:I34)+SUM($D$30:I30))/SUM($C$25:H25)</f>
        <v>1.050524440398884</v>
      </c>
      <c r="I65" s="121">
        <f>(SUM($D$34:J34)+SUM($D$30:J30))/SUM($C$25:I25)</f>
        <v>1.3301534889938158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9" t="s">
        <v>105</v>
      </c>
      <c r="B66" s="145" t="s">
        <v>69</v>
      </c>
      <c r="C66" s="152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8"/>
      <c r="B67" s="28" t="s">
        <v>69</v>
      </c>
      <c r="C67" s="131">
        <f>D34/C25</f>
        <v>0.1497989852842965</v>
      </c>
      <c r="D67" s="32">
        <f>SUM($D$34:E34)/SUM($C$25:D25)</f>
        <v>0.2282651204332137</v>
      </c>
      <c r="E67" s="32">
        <f>SUM($D$34:F34)/SUM($C$25:E25)</f>
        <v>0.30910183368330663</v>
      </c>
      <c r="F67" s="32">
        <f>SUM($D$34:G34)/SUM($C$25:F25)</f>
        <v>0.39229839843683251</v>
      </c>
      <c r="G67" s="32">
        <f>SUM($D$34:H34)/SUM($C$25:G25)</f>
        <v>0.47783989433736257</v>
      </c>
      <c r="H67" s="32">
        <f>SUM($D$34:I34)/SUM($C$25:H25)</f>
        <v>0.56570730268381975</v>
      </c>
      <c r="I67" s="32">
        <f>SUM($D$34:J34)/SUM($C$25:I25)</f>
        <v>0.71550628796811622</v>
      </c>
      <c r="J67" s="32">
        <f>SUM($D$34:K34)/SUM($C$25:J25)</f>
        <v>0.8653052732524128</v>
      </c>
      <c r="K67" s="32">
        <f>SUM($D$34:L34)/SUM($C$25:K25)</f>
        <v>1.0151042585367094</v>
      </c>
      <c r="L67" s="32">
        <f>SUM($D$34:M34)/SUM($C$25:L25)</f>
        <v>1.1649032438210059</v>
      </c>
      <c r="M67" s="32">
        <f>SUM($D$34:N34)/SUM($C$25:M25)</f>
        <v>1.3147022291053023</v>
      </c>
      <c r="N67" s="32">
        <f>SUM($D$34:O34)/SUM($C$25:N25)</f>
        <v>1.4645012143895988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364814.81481481477</v>
      </c>
      <c r="G70" s="156">
        <f>G76+G79+G82+G85+G88+G91</f>
        <v>729629.62962962955</v>
      </c>
      <c r="H70" s="156">
        <f t="shared" si="20"/>
        <v>1094444.4444444443</v>
      </c>
      <c r="I70" s="156">
        <f t="shared" si="20"/>
        <v>1459259.2592592591</v>
      </c>
      <c r="J70" s="156">
        <f t="shared" si="20"/>
        <v>1824074.0740740739</v>
      </c>
      <c r="K70" s="156">
        <f t="shared" si="20"/>
        <v>1824074.0740740739</v>
      </c>
      <c r="L70" s="156">
        <f t="shared" si="20"/>
        <v>1459259.2592592593</v>
      </c>
      <c r="M70" s="156">
        <f t="shared" si="20"/>
        <v>1094444.4444444445</v>
      </c>
      <c r="N70" s="156">
        <f t="shared" si="20"/>
        <v>729629.62962962966</v>
      </c>
      <c r="O70" s="156">
        <f t="shared" si="20"/>
        <v>364814.81481481483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72962.962962962964</v>
      </c>
      <c r="E71" s="160">
        <f t="shared" si="20"/>
        <v>145925.92592592593</v>
      </c>
      <c r="F71" s="160">
        <f t="shared" si="20"/>
        <v>218888.88888888888</v>
      </c>
      <c r="G71" s="160">
        <f t="shared" si="20"/>
        <v>277259.25925925927</v>
      </c>
      <c r="H71" s="160">
        <f t="shared" si="20"/>
        <v>321037.03703703708</v>
      </c>
      <c r="I71" s="160">
        <f t="shared" si="20"/>
        <v>350222.22222222225</v>
      </c>
      <c r="J71" s="160">
        <f t="shared" si="20"/>
        <v>291851.85185185185</v>
      </c>
      <c r="K71" s="160">
        <f t="shared" si="20"/>
        <v>218888.88888888888</v>
      </c>
      <c r="L71" s="160">
        <f t="shared" si="20"/>
        <v>145925.92592592593</v>
      </c>
      <c r="M71" s="160">
        <f t="shared" si="20"/>
        <v>87555.555555555562</v>
      </c>
      <c r="N71" s="160">
        <f t="shared" si="20"/>
        <v>43777.777777777781</v>
      </c>
      <c r="O71" s="160">
        <f t="shared" si="20"/>
        <v>14592.592592592593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72962.962962962964</v>
      </c>
      <c r="E77" s="182">
        <f>($C$72-SUM($C$76:D76))*$B$14</f>
        <v>72962.962962962964</v>
      </c>
      <c r="F77" s="182">
        <f>($C$72-SUM($C$76:E76))*$B$14</f>
        <v>72962.962962962964</v>
      </c>
      <c r="G77" s="182">
        <f>($C$72-SUM($C$76:F76))*$B$14</f>
        <v>58370.370370370365</v>
      </c>
      <c r="H77" s="182">
        <f>($C$72-SUM($C$76:G76))*$B$14</f>
        <v>43777.777777777781</v>
      </c>
      <c r="I77" s="182">
        <f>($C$72-SUM($C$76:H76))*$B$14</f>
        <v>29185.185185185186</v>
      </c>
      <c r="J77" s="182">
        <f>($C$72-SUM($C$76:I76))*$B$14</f>
        <v>14592.592592592593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72962.962962962964</v>
      </c>
      <c r="F80" s="182">
        <f>($D$72-SUM($C$79:E79))*$B$14</f>
        <v>72962.962962962964</v>
      </c>
      <c r="G80" s="182">
        <f>($D$72-SUM($C$79:F79))*$B$14</f>
        <v>72962.962962962964</v>
      </c>
      <c r="H80" s="182">
        <f>($D$72-SUM($C$79:G79))*$B$14</f>
        <v>58370.370370370365</v>
      </c>
      <c r="I80" s="182">
        <f>($D$72-SUM($C$79:H79))*$B$14</f>
        <v>43777.777777777781</v>
      </c>
      <c r="J80" s="182">
        <f>($D$72-SUM($C$79:I79))*$B$14</f>
        <v>29185.185185185186</v>
      </c>
      <c r="K80" s="182">
        <f>($D$72-SUM($C$79:J79))*$B$14</f>
        <v>14592.592592592593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72962.962962962964</v>
      </c>
      <c r="G83" s="182">
        <f>($E$72-SUM($C$82:F82))*$B$14</f>
        <v>72962.962962962964</v>
      </c>
      <c r="H83" s="182">
        <f>($E$72-SUM($C$82:G82))*$B$14</f>
        <v>72962.962962962964</v>
      </c>
      <c r="I83" s="182">
        <f>($E$72-SUM($C$82:H82))*$B$14</f>
        <v>58370.370370370365</v>
      </c>
      <c r="J83" s="182">
        <f>($E$72-SUM($C$82:I82))*$B$14</f>
        <v>43777.777777777781</v>
      </c>
      <c r="K83" s="182">
        <f>($E$72-SUM($C$82:J82))*$B$14</f>
        <v>29185.185185185186</v>
      </c>
      <c r="L83" s="182">
        <f>($E$72-SUM($C$82:K82))*$B$14</f>
        <v>14592.592592592593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72962.962962962964</v>
      </c>
      <c r="H86" s="182">
        <f>($F$72-SUM($C$85:G85))*$B$14</f>
        <v>72962.962962962964</v>
      </c>
      <c r="I86" s="182">
        <f>($F$72-SUM($C$85:H85))*$B$14</f>
        <v>72962.962962962964</v>
      </c>
      <c r="J86" s="182">
        <f>($F$72-SUM($C$85:I85))*$B$14</f>
        <v>58370.370370370365</v>
      </c>
      <c r="K86" s="182">
        <f>($F$72-SUM($C$85:J85))*$B$14</f>
        <v>43777.777777777781</v>
      </c>
      <c r="L86" s="182">
        <f>($F$72-SUM($C$85:K85))*$B$14</f>
        <v>29185.185185185186</v>
      </c>
      <c r="M86" s="182">
        <f>($F$72-SUM($C$85:L85))*$B$14</f>
        <v>14592.592592592593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72962.962962962964</v>
      </c>
      <c r="I89" s="182">
        <f>($G$72-SUM($C$88:H88))*$B$14</f>
        <v>72962.962962962964</v>
      </c>
      <c r="J89" s="182">
        <f>($G$72-SUM($C$88:I88))*$B$14</f>
        <v>72962.962962962964</v>
      </c>
      <c r="K89" s="182">
        <f>($G$72-SUM($C$88:J88))*$B$14</f>
        <v>58370.370370370372</v>
      </c>
      <c r="L89" s="182">
        <f>($G$72-SUM($C$88:K88))*$B$14</f>
        <v>43777.777777777781</v>
      </c>
      <c r="M89" s="182">
        <f>($G$72-SUM($C$88:L88))*$B$14</f>
        <v>29185.185185185186</v>
      </c>
      <c r="N89" s="182">
        <f>($G$72-SUM($C$88:M88))*$B$14</f>
        <v>14592.592592592593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72962.962962962964</v>
      </c>
      <c r="J92" s="182">
        <f>($H$72-SUM($C$91:I91))*$B$14</f>
        <v>72962.962962962964</v>
      </c>
      <c r="K92" s="182">
        <f>($H$72-SUM($C$91:J91))*$B$14</f>
        <v>72962.962962962964</v>
      </c>
      <c r="L92" s="182">
        <f>($H$72-SUM($C$91:K91))*$B$14</f>
        <v>58370.370370370372</v>
      </c>
      <c r="M92" s="182">
        <f>($H$72-SUM($C$91:L91))*$B$14</f>
        <v>43777.777777777781</v>
      </c>
      <c r="N92" s="182">
        <f>($H$72-SUM($C$91:M91))*$B$14</f>
        <v>29185.185185185186</v>
      </c>
      <c r="O92" s="182">
        <f>($H$72-SUM($C$91:N91))*$B$14</f>
        <v>14592.592592592593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273244.44537968899</v>
      </c>
      <c r="E94" s="204">
        <f t="shared" si="29"/>
        <v>521648.48663395172</v>
      </c>
      <c r="F94" s="204">
        <f t="shared" si="29"/>
        <v>747470.3423196451</v>
      </c>
      <c r="G94" s="204">
        <f t="shared" si="29"/>
        <v>952762.93839754816</v>
      </c>
      <c r="H94" s="204">
        <f t="shared" si="29"/>
        <v>1139392.5711956418</v>
      </c>
      <c r="I94" s="204">
        <f t="shared" si="29"/>
        <v>1309055.8737393634</v>
      </c>
      <c r="J94" s="204">
        <f t="shared" si="29"/>
        <v>1309055.8737393634</v>
      </c>
      <c r="K94" s="204">
        <f t="shared" si="29"/>
        <v>1309055.8737393634</v>
      </c>
      <c r="L94" s="204">
        <f t="shared" si="29"/>
        <v>1309055.8737393634</v>
      </c>
      <c r="M94" s="204">
        <f t="shared" si="29"/>
        <v>1309055.8737393634</v>
      </c>
      <c r="N94" s="204">
        <f t="shared" si="29"/>
        <v>1309055.8737393634</v>
      </c>
      <c r="O94" s="204">
        <f t="shared" si="29"/>
        <v>1309055.8737393634</v>
      </c>
      <c r="P94" s="204">
        <f t="shared" si="29"/>
        <v>1309055.8737393634</v>
      </c>
      <c r="Q94" s="204">
        <f t="shared" si="29"/>
        <v>1309055.8737393634</v>
      </c>
      <c r="R94" s="204">
        <f t="shared" si="29"/>
        <v>1309055.8737393634</v>
      </c>
      <c r="S94" s="204">
        <f t="shared" si="29"/>
        <v>1309055.8737393634</v>
      </c>
      <c r="T94" s="204">
        <f t="shared" si="29"/>
        <v>1309055.8737393634</v>
      </c>
      <c r="U94" s="204">
        <f t="shared" si="29"/>
        <v>1309055.8737393634</v>
      </c>
      <c r="V94" s="204">
        <f t="shared" si="29"/>
        <v>1309055.8737393634</v>
      </c>
      <c r="W94" s="204">
        <f t="shared" si="29"/>
        <v>1309055.8737393634</v>
      </c>
      <c r="X94" s="204">
        <f t="shared" si="29"/>
        <v>1309055.8737393634</v>
      </c>
      <c r="Y94" s="204">
        <f t="shared" si="29"/>
        <v>1309055.8737393634</v>
      </c>
      <c r="Z94" s="204">
        <f t="shared" si="29"/>
        <v>1309055.8737393634</v>
      </c>
      <c r="AA94" s="204">
        <f t="shared" si="29"/>
        <v>1309055.8737393634</v>
      </c>
      <c r="AB94" s="204">
        <f t="shared" si="29"/>
        <v>1309055.8737393634</v>
      </c>
      <c r="AC94" s="204">
        <f t="shared" si="29"/>
        <v>1309055.8737393634</v>
      </c>
      <c r="AD94" s="204">
        <f t="shared" si="29"/>
        <v>1035811.4283596744</v>
      </c>
      <c r="AE94" s="204">
        <f t="shared" si="29"/>
        <v>787407.38710541173</v>
      </c>
      <c r="AF94" s="204">
        <f t="shared" si="29"/>
        <v>561585.53141971841</v>
      </c>
      <c r="AG94" s="204">
        <f t="shared" si="29"/>
        <v>356292.93534181535</v>
      </c>
      <c r="AH94" s="204">
        <f t="shared" si="29"/>
        <v>169663.30254372163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165824.91582491584</v>
      </c>
      <c r="E95" s="204">
        <f t="shared" si="30"/>
        <v>316574.83930211206</v>
      </c>
      <c r="F95" s="204">
        <f t="shared" si="30"/>
        <v>453620.22428138135</v>
      </c>
      <c r="G95" s="204">
        <f t="shared" si="30"/>
        <v>578206.93789889885</v>
      </c>
      <c r="H95" s="204">
        <f t="shared" si="30"/>
        <v>691467.58664209663</v>
      </c>
      <c r="I95" s="204">
        <f t="shared" si="30"/>
        <v>794431.81277227646</v>
      </c>
      <c r="J95" s="204">
        <f t="shared" si="30"/>
        <v>794431.81277227646</v>
      </c>
      <c r="K95" s="204">
        <f t="shared" si="30"/>
        <v>794431.81277227646</v>
      </c>
      <c r="L95" s="204">
        <f t="shared" si="30"/>
        <v>794431.81277227646</v>
      </c>
      <c r="M95" s="204">
        <f t="shared" si="30"/>
        <v>794431.81277227646</v>
      </c>
      <c r="N95" s="204">
        <f t="shared" si="30"/>
        <v>794431.81277227646</v>
      </c>
      <c r="O95" s="204">
        <f t="shared" si="30"/>
        <v>794431.81277227646</v>
      </c>
      <c r="P95" s="204">
        <f t="shared" si="30"/>
        <v>794431.81277227646</v>
      </c>
      <c r="Q95" s="204">
        <f t="shared" si="30"/>
        <v>794431.81277227646</v>
      </c>
      <c r="R95" s="204">
        <f t="shared" si="30"/>
        <v>794431.81277227646</v>
      </c>
      <c r="S95" s="204">
        <f t="shared" si="30"/>
        <v>794431.81277227646</v>
      </c>
      <c r="T95" s="204">
        <f t="shared" si="30"/>
        <v>794431.81277227646</v>
      </c>
      <c r="U95" s="204">
        <f t="shared" si="30"/>
        <v>794431.81277227646</v>
      </c>
      <c r="V95" s="204">
        <f t="shared" si="30"/>
        <v>794431.81277227646</v>
      </c>
      <c r="W95" s="204">
        <f t="shared" si="30"/>
        <v>794431.81277227646</v>
      </c>
      <c r="X95" s="204">
        <f t="shared" si="30"/>
        <v>794431.81277227646</v>
      </c>
      <c r="Y95" s="204">
        <f t="shared" si="30"/>
        <v>794431.81277227646</v>
      </c>
      <c r="Z95" s="204">
        <f t="shared" si="30"/>
        <v>794431.81277227646</v>
      </c>
      <c r="AA95" s="204">
        <f t="shared" si="30"/>
        <v>794431.81277227646</v>
      </c>
      <c r="AB95" s="204">
        <f t="shared" si="30"/>
        <v>794431.81277227646</v>
      </c>
      <c r="AC95" s="204">
        <f t="shared" si="30"/>
        <v>794431.81277227646</v>
      </c>
      <c r="AD95" s="204">
        <f t="shared" si="30"/>
        <v>628606.8969473606</v>
      </c>
      <c r="AE95" s="204">
        <f t="shared" si="30"/>
        <v>477856.9734701644</v>
      </c>
      <c r="AF95" s="204">
        <f t="shared" si="30"/>
        <v>340811.58849089511</v>
      </c>
      <c r="AG95" s="204">
        <f t="shared" si="30"/>
        <v>216224.87487337762</v>
      </c>
      <c r="AH95" s="204">
        <f t="shared" si="3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107419.52955477315</v>
      </c>
      <c r="E96" s="204">
        <f t="shared" ref="E96:AH96" si="32">E94-E95</f>
        <v>205073.64733183966</v>
      </c>
      <c r="F96" s="204">
        <f t="shared" si="32"/>
        <v>293850.11803826375</v>
      </c>
      <c r="G96" s="204">
        <f t="shared" si="32"/>
        <v>374556.00049864931</v>
      </c>
      <c r="H96" s="204">
        <f t="shared" si="32"/>
        <v>447924.98455354513</v>
      </c>
      <c r="I96" s="204">
        <f t="shared" si="32"/>
        <v>514624.06096708693</v>
      </c>
      <c r="J96" s="204">
        <f t="shared" si="32"/>
        <v>514624.06096708693</v>
      </c>
      <c r="K96" s="204">
        <f t="shared" si="32"/>
        <v>514624.06096708693</v>
      </c>
      <c r="L96" s="204">
        <f t="shared" si="32"/>
        <v>514624.06096708693</v>
      </c>
      <c r="M96" s="204">
        <f t="shared" si="32"/>
        <v>514624.06096708693</v>
      </c>
      <c r="N96" s="204">
        <f t="shared" si="32"/>
        <v>514624.06096708693</v>
      </c>
      <c r="O96" s="204">
        <f t="shared" si="32"/>
        <v>514624.06096708693</v>
      </c>
      <c r="P96" s="204">
        <f t="shared" si="32"/>
        <v>514624.06096708693</v>
      </c>
      <c r="Q96" s="204">
        <f t="shared" si="32"/>
        <v>514624.06096708693</v>
      </c>
      <c r="R96" s="204">
        <f t="shared" si="32"/>
        <v>514624.06096708693</v>
      </c>
      <c r="S96" s="204">
        <f t="shared" si="32"/>
        <v>514624.06096708693</v>
      </c>
      <c r="T96" s="204">
        <f t="shared" si="32"/>
        <v>514624.06096708693</v>
      </c>
      <c r="U96" s="204">
        <f t="shared" si="32"/>
        <v>514624.06096708693</v>
      </c>
      <c r="V96" s="204">
        <f t="shared" si="32"/>
        <v>514624.06096708693</v>
      </c>
      <c r="W96" s="204">
        <f t="shared" si="32"/>
        <v>514624.06096708693</v>
      </c>
      <c r="X96" s="204">
        <f t="shared" si="32"/>
        <v>514624.06096708693</v>
      </c>
      <c r="Y96" s="204">
        <f t="shared" si="32"/>
        <v>514624.06096708693</v>
      </c>
      <c r="Z96" s="204">
        <f t="shared" si="32"/>
        <v>514624.06096708693</v>
      </c>
      <c r="AA96" s="204">
        <f t="shared" si="32"/>
        <v>514624.06096708693</v>
      </c>
      <c r="AB96" s="204">
        <f t="shared" si="32"/>
        <v>514624.06096708693</v>
      </c>
      <c r="AC96" s="204">
        <f t="shared" si="32"/>
        <v>514624.06096708693</v>
      </c>
      <c r="AD96" s="204">
        <f t="shared" si="32"/>
        <v>407204.53141231381</v>
      </c>
      <c r="AE96" s="204">
        <f t="shared" si="32"/>
        <v>309550.41363524733</v>
      </c>
      <c r="AF96" s="204">
        <f t="shared" si="32"/>
        <v>220773.94292882329</v>
      </c>
      <c r="AG96" s="204">
        <f t="shared" si="32"/>
        <v>140068.06046843773</v>
      </c>
      <c r="AH96" s="204">
        <f t="shared" si="32"/>
        <v>66699.076413541785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72962.962962962964</v>
      </c>
      <c r="E97" s="204">
        <f t="shared" si="33"/>
        <v>145925.92592592593</v>
      </c>
      <c r="F97" s="204">
        <f t="shared" si="33"/>
        <v>218888.88888888888</v>
      </c>
      <c r="G97" s="204">
        <f t="shared" si="33"/>
        <v>277259.25925925927</v>
      </c>
      <c r="H97" s="204">
        <f t="shared" si="33"/>
        <v>321037.03703703708</v>
      </c>
      <c r="I97" s="204">
        <f t="shared" si="33"/>
        <v>350222.22222222225</v>
      </c>
      <c r="J97" s="204">
        <f t="shared" si="33"/>
        <v>291851.85185185185</v>
      </c>
      <c r="K97" s="204">
        <f t="shared" si="33"/>
        <v>218888.88888888888</v>
      </c>
      <c r="L97" s="204">
        <f t="shared" si="33"/>
        <v>145925.92592592593</v>
      </c>
      <c r="M97" s="204">
        <f t="shared" si="33"/>
        <v>87555.555555555562</v>
      </c>
      <c r="N97" s="204">
        <f t="shared" si="33"/>
        <v>43777.777777777781</v>
      </c>
      <c r="O97" s="204">
        <f t="shared" si="33"/>
        <v>14592.592592592593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34456.566591810188</v>
      </c>
      <c r="E98" s="204">
        <f t="shared" ref="E98:AH98" si="34">E96-E97</f>
        <v>59147.721405913733</v>
      </c>
      <c r="F98" s="204">
        <f t="shared" si="34"/>
        <v>74961.229149374878</v>
      </c>
      <c r="G98" s="204">
        <f t="shared" si="34"/>
        <v>97296.741239390045</v>
      </c>
      <c r="H98" s="204">
        <f t="shared" si="34"/>
        <v>126887.94751650805</v>
      </c>
      <c r="I98" s="204">
        <f t="shared" si="34"/>
        <v>164401.83874486468</v>
      </c>
      <c r="J98" s="204">
        <f t="shared" si="34"/>
        <v>222772.20911523508</v>
      </c>
      <c r="K98" s="204">
        <f t="shared" si="34"/>
        <v>295735.17207819805</v>
      </c>
      <c r="L98" s="204">
        <f t="shared" si="34"/>
        <v>368698.13504116097</v>
      </c>
      <c r="M98" s="204">
        <f t="shared" si="34"/>
        <v>427068.50541153137</v>
      </c>
      <c r="N98" s="204">
        <f t="shared" si="34"/>
        <v>470846.28318930918</v>
      </c>
      <c r="O98" s="204">
        <f t="shared" si="34"/>
        <v>500031.46837449435</v>
      </c>
      <c r="P98" s="204">
        <f t="shared" si="34"/>
        <v>514624.06096708693</v>
      </c>
      <c r="Q98" s="204">
        <f t="shared" si="34"/>
        <v>514624.06096708693</v>
      </c>
      <c r="R98" s="204">
        <f t="shared" si="34"/>
        <v>514624.06096708693</v>
      </c>
      <c r="S98" s="204">
        <f t="shared" si="34"/>
        <v>514624.06096708693</v>
      </c>
      <c r="T98" s="204">
        <f t="shared" si="34"/>
        <v>514624.06096708693</v>
      </c>
      <c r="U98" s="204">
        <f t="shared" si="34"/>
        <v>514624.06096708693</v>
      </c>
      <c r="V98" s="204">
        <f t="shared" si="34"/>
        <v>514624.06096708693</v>
      </c>
      <c r="W98" s="204">
        <f t="shared" si="34"/>
        <v>514624.06096708693</v>
      </c>
      <c r="X98" s="204">
        <f t="shared" si="34"/>
        <v>514624.06096708693</v>
      </c>
      <c r="Y98" s="204">
        <f t="shared" si="34"/>
        <v>514624.06096708693</v>
      </c>
      <c r="Z98" s="204">
        <f t="shared" si="34"/>
        <v>514624.06096708693</v>
      </c>
      <c r="AA98" s="204">
        <f t="shared" si="34"/>
        <v>514624.06096708693</v>
      </c>
      <c r="AB98" s="204">
        <f t="shared" si="34"/>
        <v>514624.06096708693</v>
      </c>
      <c r="AC98" s="204">
        <f t="shared" si="34"/>
        <v>514624.06096708693</v>
      </c>
      <c r="AD98" s="204">
        <f t="shared" si="34"/>
        <v>407204.53141231381</v>
      </c>
      <c r="AE98" s="204">
        <f t="shared" si="34"/>
        <v>309550.41363524733</v>
      </c>
      <c r="AF98" s="204">
        <f t="shared" si="34"/>
        <v>220773.94292882329</v>
      </c>
      <c r="AG98" s="204">
        <f t="shared" si="34"/>
        <v>140068.06046843773</v>
      </c>
      <c r="AH98" s="204">
        <f t="shared" si="34"/>
        <v>66699.076413541785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34456.566591810188</v>
      </c>
      <c r="E100" s="204">
        <f t="shared" ref="E100:AH100" si="35">E98+E99</f>
        <v>59147.721405913733</v>
      </c>
      <c r="F100" s="204">
        <f t="shared" si="35"/>
        <v>74961.229149374878</v>
      </c>
      <c r="G100" s="204">
        <f t="shared" si="35"/>
        <v>97296.741239390045</v>
      </c>
      <c r="H100" s="204">
        <f t="shared" si="35"/>
        <v>126887.94751650805</v>
      </c>
      <c r="I100" s="204">
        <f t="shared" si="35"/>
        <v>164401.83874486468</v>
      </c>
      <c r="J100" s="204">
        <f t="shared" si="35"/>
        <v>222772.20911523508</v>
      </c>
      <c r="K100" s="204">
        <f t="shared" si="35"/>
        <v>295735.17207819805</v>
      </c>
      <c r="L100" s="204">
        <f t="shared" si="35"/>
        <v>368698.13504116097</v>
      </c>
      <c r="M100" s="204">
        <f t="shared" si="35"/>
        <v>427068.50541153137</v>
      </c>
      <c r="N100" s="204">
        <f t="shared" si="35"/>
        <v>470846.28318930918</v>
      </c>
      <c r="O100" s="204">
        <f t="shared" si="35"/>
        <v>500031.46837449435</v>
      </c>
      <c r="P100" s="204">
        <f t="shared" si="35"/>
        <v>514624.06096708693</v>
      </c>
      <c r="Q100" s="204">
        <f t="shared" si="35"/>
        <v>514624.06096708693</v>
      </c>
      <c r="R100" s="204">
        <f t="shared" si="35"/>
        <v>514624.06096708693</v>
      </c>
      <c r="S100" s="204">
        <f t="shared" si="35"/>
        <v>514624.06096708693</v>
      </c>
      <c r="T100" s="204">
        <f t="shared" si="35"/>
        <v>514624.06096708693</v>
      </c>
      <c r="U100" s="204">
        <f t="shared" si="35"/>
        <v>514624.06096708693</v>
      </c>
      <c r="V100" s="204">
        <f t="shared" si="35"/>
        <v>514624.06096708693</v>
      </c>
      <c r="W100" s="204">
        <f t="shared" si="35"/>
        <v>514624.06096708693</v>
      </c>
      <c r="X100" s="204">
        <f t="shared" si="35"/>
        <v>514624.06096708693</v>
      </c>
      <c r="Y100" s="204">
        <f t="shared" si="35"/>
        <v>514624.06096708693</v>
      </c>
      <c r="Z100" s="204">
        <f t="shared" si="35"/>
        <v>514624.06096708693</v>
      </c>
      <c r="AA100" s="204">
        <f t="shared" si="35"/>
        <v>514624.06096708693</v>
      </c>
      <c r="AB100" s="204">
        <f t="shared" si="35"/>
        <v>514624.06096708693</v>
      </c>
      <c r="AC100" s="204">
        <f t="shared" si="35"/>
        <v>514624.06096708693</v>
      </c>
      <c r="AD100" s="204">
        <f t="shared" si="35"/>
        <v>407204.53141231381</v>
      </c>
      <c r="AE100" s="204">
        <f t="shared" si="35"/>
        <v>309550.41363524733</v>
      </c>
      <c r="AF100" s="204">
        <f t="shared" si="35"/>
        <v>220773.94292882329</v>
      </c>
      <c r="AG100" s="204">
        <f t="shared" si="35"/>
        <v>140068.06046843773</v>
      </c>
      <c r="AH100" s="204">
        <f t="shared" si="35"/>
        <v>66699.076413541785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8614.1416479525469</v>
      </c>
      <c r="E101" s="204">
        <f t="shared" ref="E101:AH101" si="36">IF(E100*$B$17&gt;0,E100*$B$17,0)</f>
        <v>14786.930351478433</v>
      </c>
      <c r="F101" s="204">
        <f t="shared" si="36"/>
        <v>18740.30728734372</v>
      </c>
      <c r="G101" s="204">
        <f t="shared" si="36"/>
        <v>24324.185309847511</v>
      </c>
      <c r="H101" s="204">
        <f t="shared" si="36"/>
        <v>31721.986879127013</v>
      </c>
      <c r="I101" s="204">
        <f t="shared" si="36"/>
        <v>41100.459686216171</v>
      </c>
      <c r="J101" s="204">
        <f t="shared" si="36"/>
        <v>55693.052278808769</v>
      </c>
      <c r="K101" s="204">
        <f t="shared" si="36"/>
        <v>73933.793019549514</v>
      </c>
      <c r="L101" s="204">
        <f t="shared" si="36"/>
        <v>92174.533760290244</v>
      </c>
      <c r="M101" s="204">
        <f t="shared" si="36"/>
        <v>106767.12635288284</v>
      </c>
      <c r="N101" s="204">
        <f t="shared" si="36"/>
        <v>117711.57079732729</v>
      </c>
      <c r="O101" s="204">
        <f t="shared" si="36"/>
        <v>125007.86709362359</v>
      </c>
      <c r="P101" s="204">
        <f t="shared" si="36"/>
        <v>128656.01524177173</v>
      </c>
      <c r="Q101" s="204">
        <f t="shared" si="36"/>
        <v>128656.01524177173</v>
      </c>
      <c r="R101" s="204">
        <f t="shared" si="36"/>
        <v>128656.01524177173</v>
      </c>
      <c r="S101" s="204">
        <f t="shared" si="36"/>
        <v>128656.01524177173</v>
      </c>
      <c r="T101" s="204">
        <f t="shared" si="36"/>
        <v>128656.01524177173</v>
      </c>
      <c r="U101" s="204">
        <f t="shared" si="36"/>
        <v>128656.01524177173</v>
      </c>
      <c r="V101" s="204">
        <f t="shared" si="36"/>
        <v>128656.01524177173</v>
      </c>
      <c r="W101" s="204">
        <f t="shared" si="36"/>
        <v>128656.01524177173</v>
      </c>
      <c r="X101" s="204">
        <f t="shared" si="36"/>
        <v>128656.01524177173</v>
      </c>
      <c r="Y101" s="204">
        <f t="shared" si="36"/>
        <v>128656.01524177173</v>
      </c>
      <c r="Z101" s="204">
        <f t="shared" si="36"/>
        <v>128656.01524177173</v>
      </c>
      <c r="AA101" s="204">
        <f t="shared" si="36"/>
        <v>128656.01524177173</v>
      </c>
      <c r="AB101" s="204">
        <f t="shared" si="36"/>
        <v>128656.01524177173</v>
      </c>
      <c r="AC101" s="204">
        <f t="shared" si="36"/>
        <v>128656.01524177173</v>
      </c>
      <c r="AD101" s="204">
        <f t="shared" si="36"/>
        <v>101801.13285307845</v>
      </c>
      <c r="AE101" s="204">
        <f t="shared" si="36"/>
        <v>77387.603408811832</v>
      </c>
      <c r="AF101" s="204">
        <f t="shared" si="36"/>
        <v>55193.485732205823</v>
      </c>
      <c r="AG101" s="204">
        <f t="shared" si="36"/>
        <v>35017.015117109433</v>
      </c>
      <c r="AH101" s="204">
        <f t="shared" si="36"/>
        <v>16674.769103385446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25842.424943857641</v>
      </c>
      <c r="E102" s="204">
        <f t="shared" ref="E102:AH102" si="37">E100-E101</f>
        <v>44360.7910544353</v>
      </c>
      <c r="F102" s="204">
        <f t="shared" si="37"/>
        <v>56220.921862031159</v>
      </c>
      <c r="G102" s="204">
        <f t="shared" si="37"/>
        <v>72972.555929542534</v>
      </c>
      <c r="H102" s="204">
        <f t="shared" si="37"/>
        <v>95165.960637381038</v>
      </c>
      <c r="I102" s="204">
        <f t="shared" si="37"/>
        <v>123301.37905864851</v>
      </c>
      <c r="J102" s="204">
        <f t="shared" si="37"/>
        <v>167079.15683642629</v>
      </c>
      <c r="K102" s="204">
        <f t="shared" si="37"/>
        <v>221801.37905864854</v>
      </c>
      <c r="L102" s="204">
        <f t="shared" si="37"/>
        <v>276523.60128087073</v>
      </c>
      <c r="M102" s="204">
        <f t="shared" si="37"/>
        <v>320301.37905864854</v>
      </c>
      <c r="N102" s="204">
        <f t="shared" si="37"/>
        <v>353134.71239198186</v>
      </c>
      <c r="O102" s="204">
        <f t="shared" si="37"/>
        <v>375023.60128087073</v>
      </c>
      <c r="P102" s="204">
        <f t="shared" si="37"/>
        <v>385968.04572531523</v>
      </c>
      <c r="Q102" s="204">
        <f t="shared" si="37"/>
        <v>385968.04572531523</v>
      </c>
      <c r="R102" s="204">
        <f t="shared" si="37"/>
        <v>385968.04572531523</v>
      </c>
      <c r="S102" s="204">
        <f t="shared" si="37"/>
        <v>385968.04572531523</v>
      </c>
      <c r="T102" s="204">
        <f t="shared" si="37"/>
        <v>385968.04572531523</v>
      </c>
      <c r="U102" s="204">
        <f t="shared" si="37"/>
        <v>385968.04572531523</v>
      </c>
      <c r="V102" s="204">
        <f t="shared" si="37"/>
        <v>385968.04572531523</v>
      </c>
      <c r="W102" s="204">
        <f t="shared" si="37"/>
        <v>385968.04572531523</v>
      </c>
      <c r="X102" s="204">
        <f t="shared" si="37"/>
        <v>385968.04572531523</v>
      </c>
      <c r="Y102" s="204">
        <f t="shared" si="37"/>
        <v>385968.04572531523</v>
      </c>
      <c r="Z102" s="204">
        <f t="shared" si="37"/>
        <v>385968.04572531523</v>
      </c>
      <c r="AA102" s="204">
        <f t="shared" si="37"/>
        <v>385968.04572531523</v>
      </c>
      <c r="AB102" s="204">
        <f t="shared" si="37"/>
        <v>385968.04572531523</v>
      </c>
      <c r="AC102" s="204">
        <f t="shared" si="37"/>
        <v>385968.04572531523</v>
      </c>
      <c r="AD102" s="204">
        <f t="shared" si="37"/>
        <v>305403.39855923539</v>
      </c>
      <c r="AE102" s="204">
        <f t="shared" si="37"/>
        <v>232162.81022643548</v>
      </c>
      <c r="AF102" s="204">
        <f t="shared" si="37"/>
        <v>165580.45719661747</v>
      </c>
      <c r="AG102" s="204">
        <f t="shared" si="37"/>
        <v>105051.0453513283</v>
      </c>
      <c r="AH102" s="204">
        <f t="shared" si="37"/>
        <v>50024.307310156335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H103" si="38">D102-D72</f>
        <v>-1798231.6491302163</v>
      </c>
      <c r="E103" s="204">
        <f t="shared" si="38"/>
        <v>-1779713.2830196386</v>
      </c>
      <c r="F103" s="204">
        <f t="shared" si="38"/>
        <v>-1767853.1522120428</v>
      </c>
      <c r="G103" s="204">
        <f t="shared" si="38"/>
        <v>-1751101.5181445316</v>
      </c>
      <c r="H103" s="204">
        <f t="shared" si="38"/>
        <v>-1728908.1134366931</v>
      </c>
      <c r="I103" s="204">
        <f t="shared" si="38"/>
        <v>123301.37905864851</v>
      </c>
      <c r="J103" s="204">
        <f t="shared" si="38"/>
        <v>167079.15683642629</v>
      </c>
      <c r="K103" s="204">
        <f t="shared" si="38"/>
        <v>221801.37905864854</v>
      </c>
      <c r="L103" s="204">
        <f t="shared" si="38"/>
        <v>276523.60128087073</v>
      </c>
      <c r="M103" s="204">
        <f t="shared" si="38"/>
        <v>320301.37905864854</v>
      </c>
      <c r="N103" s="204">
        <f t="shared" si="38"/>
        <v>353134.71239198186</v>
      </c>
      <c r="O103" s="204">
        <f t="shared" si="38"/>
        <v>375023.60128087073</v>
      </c>
      <c r="P103" s="204">
        <f t="shared" si="38"/>
        <v>385968.04572531523</v>
      </c>
      <c r="Q103" s="204">
        <f t="shared" si="38"/>
        <v>385968.04572531523</v>
      </c>
      <c r="R103" s="204">
        <f t="shared" si="38"/>
        <v>385968.04572531523</v>
      </c>
      <c r="S103" s="204">
        <f t="shared" si="38"/>
        <v>385968.04572531523</v>
      </c>
      <c r="T103" s="204">
        <f t="shared" si="38"/>
        <v>385968.04572531523</v>
      </c>
      <c r="U103" s="204">
        <f t="shared" si="38"/>
        <v>385968.04572531523</v>
      </c>
      <c r="V103" s="204">
        <f t="shared" si="38"/>
        <v>385968.04572531523</v>
      </c>
      <c r="W103" s="204">
        <f t="shared" si="38"/>
        <v>385968.04572531523</v>
      </c>
      <c r="X103" s="204">
        <f t="shared" si="38"/>
        <v>385968.04572531523</v>
      </c>
      <c r="Y103" s="204">
        <f t="shared" si="38"/>
        <v>385968.04572531523</v>
      </c>
      <c r="Z103" s="204">
        <f t="shared" si="38"/>
        <v>385968.04572531523</v>
      </c>
      <c r="AA103" s="204">
        <f t="shared" si="38"/>
        <v>385968.04572531523</v>
      </c>
      <c r="AB103" s="204">
        <f t="shared" si="38"/>
        <v>385968.04572531523</v>
      </c>
      <c r="AC103" s="204">
        <f t="shared" si="38"/>
        <v>385968.04572531523</v>
      </c>
      <c r="AD103" s="204">
        <f t="shared" si="38"/>
        <v>305403.39855923539</v>
      </c>
      <c r="AE103" s="204">
        <f t="shared" si="38"/>
        <v>232162.81022643548</v>
      </c>
      <c r="AF103" s="204">
        <f t="shared" si="38"/>
        <v>165580.45719661747</v>
      </c>
      <c r="AG103" s="204">
        <f t="shared" si="38"/>
        <v>105051.0453513283</v>
      </c>
      <c r="AH103" s="204">
        <f t="shared" si="38"/>
        <v>50024.307310156335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-1824074.0740740739</v>
      </c>
      <c r="D104" s="204">
        <f t="shared" si="39"/>
        <v>-1566982.807018321</v>
      </c>
      <c r="E104" s="204">
        <f t="shared" si="39"/>
        <v>-1336573.283135761</v>
      </c>
      <c r="F104" s="204">
        <f t="shared" si="39"/>
        <v>-1130432.3223867589</v>
      </c>
      <c r="G104" s="204">
        <f t="shared" si="39"/>
        <v>-935418.30545038544</v>
      </c>
      <c r="H104" s="204">
        <f t="shared" si="39"/>
        <v>-749530.59270461369</v>
      </c>
      <c r="I104" s="204">
        <f t="shared" si="39"/>
        <v>1253126.707169859</v>
      </c>
      <c r="J104" s="204">
        <f t="shared" si="39"/>
        <v>1301631.6148667089</v>
      </c>
      <c r="K104" s="204">
        <f t="shared" si="39"/>
        <v>1361199.1452559796</v>
      </c>
      <c r="L104" s="204">
        <f t="shared" si="39"/>
        <v>1420887.8083494268</v>
      </c>
      <c r="M104" s="204">
        <f t="shared" si="39"/>
        <v>1469756.1880202102</v>
      </c>
      <c r="N104" s="204">
        <f t="shared" si="39"/>
        <v>1507807.388293874</v>
      </c>
      <c r="O104" s="204">
        <f t="shared" si="39"/>
        <v>1535044.590796602</v>
      </c>
      <c r="P104" s="204">
        <f t="shared" si="39"/>
        <v>1551471.0566952312</v>
      </c>
      <c r="Q104" s="204">
        <f t="shared" si="39"/>
        <v>1557090.128685771</v>
      </c>
      <c r="R104" s="204">
        <f t="shared" si="39"/>
        <v>1562849.6774760738</v>
      </c>
      <c r="S104" s="204">
        <f t="shared" si="39"/>
        <v>1568753.2149861346</v>
      </c>
      <c r="T104" s="204">
        <f t="shared" si="39"/>
        <v>1574804.3409339467</v>
      </c>
      <c r="U104" s="204">
        <f t="shared" si="39"/>
        <v>1581006.7450304541</v>
      </c>
      <c r="V104" s="204">
        <f t="shared" si="39"/>
        <v>1587364.2092293743</v>
      </c>
      <c r="W104" s="204">
        <f t="shared" si="39"/>
        <v>1593880.6100332672</v>
      </c>
      <c r="X104" s="204">
        <f t="shared" si="39"/>
        <v>1600559.9208572577</v>
      </c>
      <c r="Y104" s="204">
        <f t="shared" si="39"/>
        <v>1607406.2144518481</v>
      </c>
      <c r="Z104" s="204">
        <f t="shared" si="39"/>
        <v>1614423.6653863029</v>
      </c>
      <c r="AA104" s="204">
        <f t="shared" si="39"/>
        <v>1621616.5525941192</v>
      </c>
      <c r="AB104" s="204">
        <f t="shared" si="39"/>
        <v>1628989.2619821311</v>
      </c>
      <c r="AC104" s="204">
        <f t="shared" si="39"/>
        <v>1326708.1770736487</v>
      </c>
      <c r="AD104" s="204">
        <f t="shared" si="39"/>
        <v>1049779.0961249121</v>
      </c>
      <c r="AE104" s="204">
        <f t="shared" si="39"/>
        <v>798025.3861715151</v>
      </c>
      <c r="AF104" s="204">
        <f t="shared" si="39"/>
        <v>569158.37712297251</v>
      </c>
      <c r="AG104" s="204">
        <f t="shared" si="39"/>
        <v>361097.45980611554</v>
      </c>
      <c r="AH104" s="204">
        <f t="shared" si="39"/>
        <v>171951.17133624552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1.3541855195351047</v>
      </c>
      <c r="E108" s="216">
        <f t="shared" ref="E108:G108" si="40">(E102+E71+E70)/(E70+E71)</f>
        <v>1.3039952686471454</v>
      </c>
      <c r="F108" s="216">
        <f t="shared" si="40"/>
        <v>1.0963175691798759</v>
      </c>
      <c r="G108" s="216">
        <f t="shared" si="40"/>
        <v>1.0724732954497773</v>
      </c>
      <c r="H108" s="216">
        <f>(H102+H71+H70)/(H70+H71)</f>
        <v>1.0672322187767358</v>
      </c>
      <c r="I108" s="216">
        <f>(I102+I71+I70)/(I70+I71)</f>
        <v>1.0681418297564989</v>
      </c>
      <c r="J108" s="216">
        <f t="shared" ref="J108:N108" si="41">(J102+J71+J70)/(J70+J71)</f>
        <v>1.0789626682055578</v>
      </c>
      <c r="K108" s="216">
        <f t="shared" si="41"/>
        <v>1.1085684777843277</v>
      </c>
      <c r="L108" s="216">
        <f t="shared" si="41"/>
        <v>1.1722689717255079</v>
      </c>
      <c r="M108" s="216">
        <f t="shared" si="41"/>
        <v>1.2709825541951343</v>
      </c>
      <c r="N108" s="216">
        <f t="shared" si="41"/>
        <v>1.4565959790529408</v>
      </c>
      <c r="O108" s="216">
        <f>(O102+O71+O70)/(O70+O71)</f>
        <v>1.9884456496079177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1.2531808334930437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1.3541855195351047</v>
      </c>
      <c r="E110" s="216">
        <f t="shared" si="43"/>
        <v>1.3039952686471454</v>
      </c>
      <c r="F110" s="216">
        <f t="shared" si="43"/>
        <v>1.0963175691798759</v>
      </c>
      <c r="G110" s="216">
        <f t="shared" si="43"/>
        <v>1.0724732954497773</v>
      </c>
      <c r="H110" s="216">
        <f t="shared" si="43"/>
        <v>1.0672322187767358</v>
      </c>
      <c r="I110" s="216">
        <f t="shared" si="43"/>
        <v>1.0681418297564989</v>
      </c>
      <c r="J110" s="216">
        <f t="shared" si="43"/>
        <v>1.0789626682055578</v>
      </c>
      <c r="K110" s="216">
        <f t="shared" si="43"/>
        <v>1.1085684777843277</v>
      </c>
      <c r="L110" s="216">
        <f t="shared" si="43"/>
        <v>1.1722689717255079</v>
      </c>
      <c r="M110" s="216">
        <f t="shared" si="43"/>
        <v>1.2709825541951343</v>
      </c>
      <c r="N110" s="216">
        <f t="shared" si="43"/>
        <v>1.4565959790529408</v>
      </c>
      <c r="O110" s="216">
        <f t="shared" si="43"/>
        <v>1.9884456496079177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1.2531808334930437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1.3541855195351047</v>
      </c>
      <c r="E112" s="216">
        <f t="shared" si="44"/>
        <v>1.3039952686471454</v>
      </c>
      <c r="F112" s="216">
        <f t="shared" si="44"/>
        <v>1.0963175691798759</v>
      </c>
      <c r="G112" s="216">
        <f t="shared" si="44"/>
        <v>1.0724732954497773</v>
      </c>
      <c r="H112" s="216">
        <f t="shared" si="44"/>
        <v>1.0672322187767358</v>
      </c>
      <c r="I112" s="216">
        <f t="shared" si="44"/>
        <v>1.0681418297564989</v>
      </c>
      <c r="J112" s="216">
        <f t="shared" si="44"/>
        <v>1.0789626682055578</v>
      </c>
      <c r="K112" s="216">
        <f t="shared" si="44"/>
        <v>1.1085684777843277</v>
      </c>
      <c r="L112" s="216">
        <f t="shared" si="44"/>
        <v>1.1722689717255079</v>
      </c>
      <c r="M112" s="216">
        <f t="shared" si="44"/>
        <v>1.2709825541951343</v>
      </c>
      <c r="N112" s="216">
        <f t="shared" si="44"/>
        <v>1.4565959790529408</v>
      </c>
      <c r="O112" s="216">
        <f t="shared" si="44"/>
        <v>1.9884456496079177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1.2531808334930437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62"/>
  <sheetViews>
    <sheetView zoomScale="57" zoomScaleNormal="57" workbookViewId="0">
      <selection activeCell="D26" sqref="D26"/>
    </sheetView>
  </sheetViews>
  <sheetFormatPr defaultRowHeight="15" x14ac:dyDescent="0.25"/>
  <cols>
    <col min="1" max="1" width="36.140625" style="77" customWidth="1"/>
    <col min="2" max="2" width="57" style="77" customWidth="1"/>
    <col min="3" max="32" width="18.7109375" style="77" customWidth="1"/>
  </cols>
  <sheetData>
    <row r="1" spans="1:32" ht="26.25" x14ac:dyDescent="0.4">
      <c r="A1" s="107">
        <v>0.05</v>
      </c>
      <c r="B1" s="107" t="s">
        <v>79</v>
      </c>
    </row>
    <row r="2" spans="1:32" ht="23.25" customHeight="1" x14ac:dyDescent="0.25">
      <c r="A2" s="314" t="s">
        <v>137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</row>
    <row r="3" spans="1:32" x14ac:dyDescent="0.25">
      <c r="A3" s="78"/>
      <c r="B3" s="78"/>
      <c r="C3" s="60" t="s">
        <v>8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1" t="s">
        <v>9</v>
      </c>
    </row>
    <row r="4" spans="1:32" ht="15.75" customHeight="1" x14ac:dyDescent="0.25">
      <c r="A4" s="315" t="s">
        <v>130</v>
      </c>
      <c r="B4" s="315"/>
      <c r="C4" s="79"/>
      <c r="D4" s="1">
        <v>1</v>
      </c>
      <c r="E4" s="1">
        <v>2</v>
      </c>
      <c r="F4" s="1">
        <v>3</v>
      </c>
      <c r="G4" s="1">
        <v>4</v>
      </c>
      <c r="H4" s="1">
        <v>5</v>
      </c>
      <c r="I4" s="1">
        <v>6</v>
      </c>
      <c r="J4" s="1">
        <v>7</v>
      </c>
      <c r="K4" s="1">
        <v>8</v>
      </c>
      <c r="L4" s="1">
        <v>9</v>
      </c>
      <c r="M4" s="1">
        <v>10</v>
      </c>
      <c r="N4" s="1">
        <v>11</v>
      </c>
      <c r="O4" s="1">
        <v>12</v>
      </c>
      <c r="P4" s="1">
        <v>13</v>
      </c>
      <c r="Q4" s="1">
        <v>14</v>
      </c>
      <c r="R4" s="1">
        <v>15</v>
      </c>
      <c r="S4" s="1">
        <v>16</v>
      </c>
      <c r="T4" s="1">
        <v>17</v>
      </c>
      <c r="U4" s="1">
        <v>18</v>
      </c>
      <c r="V4" s="1">
        <v>19</v>
      </c>
      <c r="W4" s="1">
        <v>20</v>
      </c>
      <c r="X4" s="1">
        <v>21</v>
      </c>
      <c r="Y4" s="1">
        <v>22</v>
      </c>
      <c r="Z4" s="1">
        <v>23</v>
      </c>
      <c r="AA4" s="1">
        <v>24</v>
      </c>
      <c r="AB4" s="1">
        <v>25</v>
      </c>
      <c r="AC4" s="62" t="s">
        <v>78</v>
      </c>
      <c r="AD4" s="7"/>
    </row>
    <row r="5" spans="1:32" ht="16.5" customHeight="1" x14ac:dyDescent="0.25">
      <c r="A5" s="89"/>
      <c r="B5" s="90"/>
      <c r="C5" s="99">
        <v>44197</v>
      </c>
      <c r="D5" s="99">
        <v>44562</v>
      </c>
      <c r="E5" s="99">
        <v>44927</v>
      </c>
      <c r="F5" s="99">
        <v>45292</v>
      </c>
      <c r="G5" s="99">
        <v>45658</v>
      </c>
      <c r="H5" s="99">
        <v>46023</v>
      </c>
      <c r="I5" s="99">
        <v>46388</v>
      </c>
      <c r="J5" s="99">
        <v>46753</v>
      </c>
      <c r="K5" s="99">
        <v>47119</v>
      </c>
      <c r="L5" s="99">
        <v>47484</v>
      </c>
      <c r="M5" s="99">
        <v>47849</v>
      </c>
      <c r="N5" s="99">
        <v>48214</v>
      </c>
      <c r="O5" s="99">
        <v>48580</v>
      </c>
      <c r="P5" s="99">
        <v>48945</v>
      </c>
      <c r="Q5" s="99">
        <v>49310</v>
      </c>
      <c r="R5" s="99">
        <v>49675</v>
      </c>
      <c r="S5" s="99">
        <v>50041</v>
      </c>
      <c r="T5" s="99">
        <v>50406</v>
      </c>
      <c r="U5" s="99">
        <v>50771</v>
      </c>
      <c r="V5" s="99">
        <v>51136</v>
      </c>
      <c r="W5" s="99">
        <v>51502</v>
      </c>
      <c r="X5" s="99">
        <v>51867</v>
      </c>
      <c r="Y5" s="99">
        <v>52232</v>
      </c>
      <c r="Z5" s="99">
        <v>52597</v>
      </c>
      <c r="AA5" s="99">
        <v>52963</v>
      </c>
      <c r="AB5" s="99">
        <v>53328</v>
      </c>
      <c r="AC5" s="91"/>
      <c r="AD5" s="92"/>
    </row>
    <row r="6" spans="1:32" s="106" customFormat="1" ht="16.5" customHeight="1" x14ac:dyDescent="0.25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  <c r="AD6" s="104"/>
      <c r="AE6" s="105"/>
      <c r="AF6" s="105"/>
    </row>
    <row r="7" spans="1:32" x14ac:dyDescent="0.25">
      <c r="A7" s="312" t="s">
        <v>10</v>
      </c>
      <c r="B7" s="313"/>
      <c r="C7" s="80"/>
      <c r="D7" s="63"/>
      <c r="E7" s="63"/>
      <c r="F7" s="63"/>
      <c r="G7" s="63"/>
      <c r="H7" s="63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1:32" x14ac:dyDescent="0.25">
      <c r="A8" s="226" t="s">
        <v>11</v>
      </c>
      <c r="B8" s="59"/>
      <c r="C8" s="88">
        <f>Interventions!$E$6</f>
        <v>27361</v>
      </c>
      <c r="D8" s="65"/>
      <c r="E8" s="65"/>
      <c r="F8" s="65"/>
      <c r="G8" s="65"/>
      <c r="H8" s="65"/>
      <c r="I8" s="6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66">
        <f>SUM(C8:AB8)</f>
        <v>27361</v>
      </c>
      <c r="AD8" s="3" t="s">
        <v>12</v>
      </c>
    </row>
    <row r="9" spans="1:32" x14ac:dyDescent="0.25">
      <c r="A9" s="59" t="s">
        <v>136</v>
      </c>
      <c r="B9" s="2"/>
      <c r="C9" s="93"/>
      <c r="D9" s="67">
        <f>Interventions!$E$7</f>
        <v>2736.1000000000004</v>
      </c>
      <c r="E9" s="67">
        <f>Interventions!$E$7</f>
        <v>2736.1000000000004</v>
      </c>
      <c r="F9" s="67">
        <f>Interventions!$E$7</f>
        <v>2736.1000000000004</v>
      </c>
      <c r="G9" s="67">
        <f>Interventions!$E$7</f>
        <v>2736.1000000000004</v>
      </c>
      <c r="H9" s="67">
        <f>Interventions!$E$7</f>
        <v>2736.1000000000004</v>
      </c>
      <c r="I9" s="67">
        <f>Interventions!$E$7</f>
        <v>2736.1000000000004</v>
      </c>
      <c r="J9" s="67">
        <f>Interventions!$E$7</f>
        <v>2736.1000000000004</v>
      </c>
      <c r="K9" s="67">
        <f>Interventions!$E$7</f>
        <v>2736.1000000000004</v>
      </c>
      <c r="L9" s="67">
        <f>Interventions!$E$7</f>
        <v>2736.1000000000004</v>
      </c>
      <c r="M9" s="67">
        <f>Interventions!$E$7</f>
        <v>2736.1000000000004</v>
      </c>
      <c r="N9" s="67">
        <f>Interventions!$E$7</f>
        <v>2736.1000000000004</v>
      </c>
      <c r="O9" s="67">
        <f>Interventions!$E$7</f>
        <v>2736.1000000000004</v>
      </c>
      <c r="P9" s="67">
        <f>Interventions!$E$7</f>
        <v>2736.1000000000004</v>
      </c>
      <c r="Q9" s="67">
        <f>Interventions!$E$7</f>
        <v>2736.1000000000004</v>
      </c>
      <c r="R9" s="67">
        <f>Interventions!$E$7</f>
        <v>2736.1000000000004</v>
      </c>
      <c r="S9" s="67">
        <f>Interventions!$E$7</f>
        <v>2736.1000000000004</v>
      </c>
      <c r="T9" s="67">
        <f>Interventions!$E$7</f>
        <v>2736.1000000000004</v>
      </c>
      <c r="U9" s="67">
        <f>Interventions!$E$7</f>
        <v>2736.1000000000004</v>
      </c>
      <c r="V9" s="67">
        <f>Interventions!$E$7</f>
        <v>2736.1000000000004</v>
      </c>
      <c r="W9" s="67">
        <f>Interventions!$E$7</f>
        <v>2736.1000000000004</v>
      </c>
      <c r="X9" s="67">
        <f>Interventions!$E$7</f>
        <v>2736.1000000000004</v>
      </c>
      <c r="Y9" s="67">
        <f>Interventions!$E$7</f>
        <v>2736.1000000000004</v>
      </c>
      <c r="Z9" s="67">
        <f>Interventions!$E$7</f>
        <v>2736.1000000000004</v>
      </c>
      <c r="AA9" s="67">
        <f>Interventions!$E$7</f>
        <v>2736.1000000000004</v>
      </c>
      <c r="AB9" s="67">
        <f>Interventions!$E$7</f>
        <v>2736.1000000000004</v>
      </c>
      <c r="AC9" s="66">
        <f>SUM(C9:AB9)</f>
        <v>68402.499999999985</v>
      </c>
      <c r="AD9" s="3" t="s">
        <v>12</v>
      </c>
    </row>
    <row r="10" spans="1:32" x14ac:dyDescent="0.25">
      <c r="A10" s="310" t="s">
        <v>80</v>
      </c>
      <c r="B10" s="311"/>
      <c r="C10" s="94">
        <f t="shared" ref="C10:W10" si="0">SUM(C8:C9)</f>
        <v>27361</v>
      </c>
      <c r="D10" s="94">
        <f t="shared" si="0"/>
        <v>2736.1000000000004</v>
      </c>
      <c r="E10" s="94">
        <f t="shared" si="0"/>
        <v>2736.1000000000004</v>
      </c>
      <c r="F10" s="94">
        <f t="shared" si="0"/>
        <v>2736.1000000000004</v>
      </c>
      <c r="G10" s="94">
        <f t="shared" si="0"/>
        <v>2736.1000000000004</v>
      </c>
      <c r="H10" s="94">
        <f t="shared" si="0"/>
        <v>2736.1000000000004</v>
      </c>
      <c r="I10" s="94">
        <f t="shared" si="0"/>
        <v>2736.1000000000004</v>
      </c>
      <c r="J10" s="94">
        <f t="shared" si="0"/>
        <v>2736.1000000000004</v>
      </c>
      <c r="K10" s="94">
        <f t="shared" si="0"/>
        <v>2736.1000000000004</v>
      </c>
      <c r="L10" s="94">
        <f t="shared" si="0"/>
        <v>2736.1000000000004</v>
      </c>
      <c r="M10" s="94">
        <f t="shared" si="0"/>
        <v>2736.1000000000004</v>
      </c>
      <c r="N10" s="94">
        <f t="shared" si="0"/>
        <v>2736.1000000000004</v>
      </c>
      <c r="O10" s="94">
        <f t="shared" si="0"/>
        <v>2736.1000000000004</v>
      </c>
      <c r="P10" s="94">
        <f t="shared" si="0"/>
        <v>2736.1000000000004</v>
      </c>
      <c r="Q10" s="94">
        <f t="shared" si="0"/>
        <v>2736.1000000000004</v>
      </c>
      <c r="R10" s="94">
        <f t="shared" si="0"/>
        <v>2736.1000000000004</v>
      </c>
      <c r="S10" s="94">
        <f t="shared" si="0"/>
        <v>2736.1000000000004</v>
      </c>
      <c r="T10" s="94">
        <f t="shared" si="0"/>
        <v>2736.1000000000004</v>
      </c>
      <c r="U10" s="94">
        <f t="shared" si="0"/>
        <v>2736.1000000000004</v>
      </c>
      <c r="V10" s="94">
        <f t="shared" si="0"/>
        <v>2736.1000000000004</v>
      </c>
      <c r="W10" s="94">
        <f t="shared" si="0"/>
        <v>2736.1000000000004</v>
      </c>
      <c r="X10" s="94">
        <f t="shared" ref="X10:AB10" si="1">SUM(X8:X9)</f>
        <v>2736.1000000000004</v>
      </c>
      <c r="Y10" s="94">
        <f t="shared" si="1"/>
        <v>2736.1000000000004</v>
      </c>
      <c r="Z10" s="94">
        <f t="shared" si="1"/>
        <v>2736.1000000000004</v>
      </c>
      <c r="AA10" s="94">
        <f t="shared" si="1"/>
        <v>2736.1000000000004</v>
      </c>
      <c r="AB10" s="94">
        <f t="shared" si="1"/>
        <v>2736.1000000000004</v>
      </c>
      <c r="AC10" s="95">
        <f>SUM(AC8:AC9)</f>
        <v>95763.499999999985</v>
      </c>
      <c r="AD10" s="6" t="s">
        <v>12</v>
      </c>
    </row>
    <row r="11" spans="1:32" x14ac:dyDescent="0.25">
      <c r="A11" s="312" t="s">
        <v>150</v>
      </c>
      <c r="B11" s="313"/>
      <c r="C11" s="80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2" x14ac:dyDescent="0.25">
      <c r="A12" s="59" t="s">
        <v>170</v>
      </c>
      <c r="B12" s="59"/>
      <c r="C12" s="59"/>
      <c r="D12" s="67">
        <f>'Carbon avoided'!E12</f>
        <v>575.59040000000005</v>
      </c>
      <c r="E12" s="67">
        <f>'Carbon avoided'!F12</f>
        <v>589.98016000000007</v>
      </c>
      <c r="F12" s="67">
        <f>'Carbon avoided'!G12</f>
        <v>604.72966399999996</v>
      </c>
      <c r="G12" s="67">
        <f>'Carbon avoided'!H12</f>
        <v>619.84790559999999</v>
      </c>
      <c r="H12" s="67">
        <f>'Carbon avoided'!I12</f>
        <v>635.34410323999998</v>
      </c>
      <c r="I12" s="67">
        <f>'Carbon avoided'!J12</f>
        <v>651.22770582099986</v>
      </c>
      <c r="J12" s="67">
        <f>'Carbon avoided'!K12</f>
        <v>667.5083984665248</v>
      </c>
      <c r="K12" s="67">
        <f>'Carbon avoided'!L12</f>
        <v>684.19610842818781</v>
      </c>
      <c r="L12" s="67">
        <f>'Carbon avoided'!M12</f>
        <v>701.30101113889248</v>
      </c>
      <c r="M12" s="67">
        <f>'Carbon avoided'!N12</f>
        <v>718.83353641736471</v>
      </c>
      <c r="N12" s="67">
        <f>'Carbon avoided'!O12</f>
        <v>736.80437482779871</v>
      </c>
      <c r="O12" s="67">
        <f>'Carbon avoided'!P12</f>
        <v>755.22448419849366</v>
      </c>
      <c r="P12" s="67">
        <f>'Carbon avoided'!Q12</f>
        <v>774.10509630345587</v>
      </c>
      <c r="Q12" s="67">
        <f>'Carbon avoided'!R12</f>
        <v>793.45772371104215</v>
      </c>
      <c r="R12" s="67">
        <f>'Carbon avoided'!S12</f>
        <v>813.29416680381814</v>
      </c>
      <c r="S12" s="67">
        <f>'Carbon avoided'!T12</f>
        <v>833.62652097391356</v>
      </c>
      <c r="T12" s="67">
        <f>'Carbon avoided'!U12</f>
        <v>854.46718399826136</v>
      </c>
      <c r="U12" s="67">
        <f>'Carbon avoided'!V12</f>
        <v>875.82886359821782</v>
      </c>
      <c r="V12" s="67">
        <f>'Carbon avoided'!W12</f>
        <v>897.72458518817314</v>
      </c>
      <c r="W12" s="67">
        <f>'Carbon avoided'!X12</f>
        <v>920.16769981787741</v>
      </c>
      <c r="X12" s="67">
        <f>'Carbon avoided'!Y12</f>
        <v>943.17189231332429</v>
      </c>
      <c r="Y12" s="67">
        <f>'Carbon avoided'!Z12</f>
        <v>966.75118962115732</v>
      </c>
      <c r="Z12" s="67">
        <f>'Carbon avoided'!AA12</f>
        <v>990.9199693616863</v>
      </c>
      <c r="AA12" s="67">
        <f>'Carbon avoided'!AB12</f>
        <v>1015.6929685957284</v>
      </c>
      <c r="AB12" s="67">
        <f>'Carbon avoided'!AC12</f>
        <v>1041.0852928106215</v>
      </c>
      <c r="AC12" s="66">
        <f>SUM(C12:AB12)</f>
        <v>19660.88100523554</v>
      </c>
      <c r="AD12" s="3" t="s">
        <v>12</v>
      </c>
    </row>
    <row r="13" spans="1:32" ht="12.75" customHeight="1" x14ac:dyDescent="0.25">
      <c r="A13" s="59" t="s">
        <v>174</v>
      </c>
      <c r="B13" s="59"/>
      <c r="C13" s="59"/>
      <c r="D13" s="67">
        <f>Interventions!$E$10</f>
        <v>3240</v>
      </c>
      <c r="E13" s="67">
        <f>Interventions!$E$10</f>
        <v>3240</v>
      </c>
      <c r="F13" s="67">
        <f>Interventions!$E$10</f>
        <v>3240</v>
      </c>
      <c r="G13" s="67">
        <f>Interventions!$E$10</f>
        <v>3240</v>
      </c>
      <c r="H13" s="67">
        <f>Interventions!$E$10</f>
        <v>3240</v>
      </c>
      <c r="I13" s="67">
        <f>Interventions!$E$10</f>
        <v>3240</v>
      </c>
      <c r="J13" s="67">
        <f>Interventions!$E$10</f>
        <v>3240</v>
      </c>
      <c r="K13" s="67">
        <f>Interventions!$E$10</f>
        <v>3240</v>
      </c>
      <c r="L13" s="67">
        <f>Interventions!$E$10</f>
        <v>3240</v>
      </c>
      <c r="M13" s="67">
        <f>Interventions!$E$10</f>
        <v>3240</v>
      </c>
      <c r="N13" s="67">
        <f>Interventions!$E$10</f>
        <v>3240</v>
      </c>
      <c r="O13" s="67">
        <f>Interventions!$E$10</f>
        <v>3240</v>
      </c>
      <c r="P13" s="67">
        <f>Interventions!$E$10</f>
        <v>3240</v>
      </c>
      <c r="Q13" s="67">
        <f>Interventions!$E$10</f>
        <v>3240</v>
      </c>
      <c r="R13" s="67">
        <f>Interventions!$E$10</f>
        <v>3240</v>
      </c>
      <c r="S13" s="67">
        <f>Interventions!$E$10</f>
        <v>3240</v>
      </c>
      <c r="T13" s="67">
        <f>Interventions!$E$10</f>
        <v>3240</v>
      </c>
      <c r="U13" s="67">
        <f>Interventions!$E$10</f>
        <v>3240</v>
      </c>
      <c r="V13" s="67">
        <f>Interventions!$E$10</f>
        <v>3240</v>
      </c>
      <c r="W13" s="67">
        <f>Interventions!$E$10</f>
        <v>3240</v>
      </c>
      <c r="X13" s="67">
        <f>Interventions!$E$10</f>
        <v>3240</v>
      </c>
      <c r="Y13" s="67">
        <f>Interventions!$E$10</f>
        <v>3240</v>
      </c>
      <c r="Z13" s="67">
        <f>Interventions!$E$10</f>
        <v>3240</v>
      </c>
      <c r="AA13" s="67">
        <f>Interventions!$E$10</f>
        <v>3240</v>
      </c>
      <c r="AB13" s="67">
        <f>Interventions!$E$10</f>
        <v>3240</v>
      </c>
      <c r="AC13" s="66">
        <f>SUM(C13:AB13)</f>
        <v>81000</v>
      </c>
      <c r="AD13" s="3" t="s">
        <v>12</v>
      </c>
    </row>
    <row r="14" spans="1:32" x14ac:dyDescent="0.25">
      <c r="A14" s="310" t="s">
        <v>80</v>
      </c>
      <c r="B14" s="311"/>
      <c r="C14" s="68">
        <f t="shared" ref="C14:R14" si="2">SUM(C12:C13)</f>
        <v>0</v>
      </c>
      <c r="D14" s="68">
        <f t="shared" si="2"/>
        <v>3815.5904</v>
      </c>
      <c r="E14" s="68">
        <f t="shared" si="2"/>
        <v>3829.9801600000001</v>
      </c>
      <c r="F14" s="68">
        <f t="shared" si="2"/>
        <v>3844.729664</v>
      </c>
      <c r="G14" s="68">
        <f t="shared" si="2"/>
        <v>3859.8479056000001</v>
      </c>
      <c r="H14" s="68">
        <f t="shared" si="2"/>
        <v>3875.3441032400001</v>
      </c>
      <c r="I14" s="68">
        <f t="shared" si="2"/>
        <v>3891.2277058209997</v>
      </c>
      <c r="J14" s="68">
        <f t="shared" si="2"/>
        <v>3907.5083984665248</v>
      </c>
      <c r="K14" s="68">
        <f t="shared" si="2"/>
        <v>3924.1961084281879</v>
      </c>
      <c r="L14" s="68">
        <f t="shared" si="2"/>
        <v>3941.3010111388926</v>
      </c>
      <c r="M14" s="68">
        <f t="shared" si="2"/>
        <v>3958.8335364173645</v>
      </c>
      <c r="N14" s="68">
        <f t="shared" si="2"/>
        <v>3976.8043748277987</v>
      </c>
      <c r="O14" s="68">
        <f t="shared" si="2"/>
        <v>3995.2244841984939</v>
      </c>
      <c r="P14" s="68">
        <f t="shared" si="2"/>
        <v>4014.1050963034559</v>
      </c>
      <c r="Q14" s="68">
        <f t="shared" si="2"/>
        <v>4033.457723711042</v>
      </c>
      <c r="R14" s="68">
        <f t="shared" si="2"/>
        <v>4053.2941668038184</v>
      </c>
      <c r="S14" s="68">
        <f t="shared" ref="S14:W14" si="3">SUM(S12:S13)</f>
        <v>4073.6265209739136</v>
      </c>
      <c r="T14" s="68">
        <f t="shared" si="3"/>
        <v>4094.4671839982611</v>
      </c>
      <c r="U14" s="68">
        <f t="shared" si="3"/>
        <v>4115.828863598218</v>
      </c>
      <c r="V14" s="68">
        <f t="shared" si="3"/>
        <v>4137.7245851881735</v>
      </c>
      <c r="W14" s="68">
        <f t="shared" si="3"/>
        <v>4160.1676998178773</v>
      </c>
      <c r="X14" s="68">
        <f t="shared" ref="X14:AB14" si="4">SUM(X12:X13)</f>
        <v>4183.171892313324</v>
      </c>
      <c r="Y14" s="68">
        <f t="shared" si="4"/>
        <v>4206.7511896211572</v>
      </c>
      <c r="Z14" s="68">
        <f t="shared" si="4"/>
        <v>4230.9199693616865</v>
      </c>
      <c r="AA14" s="68">
        <f t="shared" si="4"/>
        <v>4255.6929685957284</v>
      </c>
      <c r="AB14" s="68">
        <f t="shared" si="4"/>
        <v>4281.0852928106215</v>
      </c>
      <c r="AC14" s="68">
        <f>SUM(AC12:AC13)</f>
        <v>100660.88100523554</v>
      </c>
      <c r="AD14" s="6" t="s">
        <v>12</v>
      </c>
    </row>
    <row r="15" spans="1:32" x14ac:dyDescent="0.25">
      <c r="A15" s="312" t="s">
        <v>149</v>
      </c>
      <c r="B15" s="313"/>
      <c r="C15" s="80"/>
      <c r="D15" s="63"/>
      <c r="E15" s="63"/>
      <c r="F15" s="63"/>
      <c r="G15" s="63"/>
      <c r="H15" s="63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2" x14ac:dyDescent="0.25">
      <c r="A16" s="226"/>
      <c r="B16" s="59"/>
      <c r="C16" s="59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6"/>
      <c r="AD16" s="3"/>
    </row>
    <row r="17" spans="1:30" x14ac:dyDescent="0.25">
      <c r="A17" s="240"/>
      <c r="B17" s="59"/>
      <c r="C17" s="59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6"/>
      <c r="AD17" s="3"/>
    </row>
    <row r="18" spans="1:30" ht="13.5" customHeight="1" x14ac:dyDescent="0.25">
      <c r="A18" s="240"/>
      <c r="B18" s="59"/>
      <c r="C18" s="59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6"/>
      <c r="AD18" s="3"/>
    </row>
    <row r="19" spans="1:30" x14ac:dyDescent="0.25">
      <c r="A19" s="59" t="s">
        <v>36</v>
      </c>
      <c r="B19" s="59" t="s">
        <v>36</v>
      </c>
      <c r="C19" s="59"/>
      <c r="D19" s="300">
        <f>Interventions!$E$14</f>
        <v>4703.1271999999999</v>
      </c>
      <c r="E19" s="67">
        <f>Interventions!$E$14</f>
        <v>4703.1271999999999</v>
      </c>
      <c r="F19" s="67">
        <f>Interventions!$E$14</f>
        <v>4703.1271999999999</v>
      </c>
      <c r="G19" s="67">
        <f>Interventions!$E$14</f>
        <v>4703.1271999999999</v>
      </c>
      <c r="H19" s="67">
        <f>Interventions!$E$14</f>
        <v>4703.1271999999999</v>
      </c>
      <c r="I19" s="67">
        <f>Interventions!$E$14</f>
        <v>4703.1271999999999</v>
      </c>
      <c r="J19" s="67">
        <f>Interventions!$E$14</f>
        <v>4703.1271999999999</v>
      </c>
      <c r="K19" s="67">
        <f>Interventions!$E$14</f>
        <v>4703.1271999999999</v>
      </c>
      <c r="L19" s="67">
        <f>Interventions!$E$14</f>
        <v>4703.1271999999999</v>
      </c>
      <c r="M19" s="67">
        <f>Interventions!$E$14</f>
        <v>4703.1271999999999</v>
      </c>
      <c r="N19" s="67">
        <f>Interventions!$E$14</f>
        <v>4703.1271999999999</v>
      </c>
      <c r="O19" s="67">
        <f>Interventions!$E$14</f>
        <v>4703.1271999999999</v>
      </c>
      <c r="P19" s="67">
        <f>Interventions!$E$14</f>
        <v>4703.1271999999999</v>
      </c>
      <c r="Q19" s="67">
        <f>Interventions!$E$14</f>
        <v>4703.1271999999999</v>
      </c>
      <c r="R19" s="67">
        <f>Interventions!$E$14</f>
        <v>4703.1271999999999</v>
      </c>
      <c r="S19" s="67">
        <f>Interventions!$E$14</f>
        <v>4703.1271999999999</v>
      </c>
      <c r="T19" s="67">
        <f>Interventions!$E$14</f>
        <v>4703.1271999999999</v>
      </c>
      <c r="U19" s="67">
        <f>Interventions!$E$14</f>
        <v>4703.1271999999999</v>
      </c>
      <c r="V19" s="67">
        <f>Interventions!$E$14</f>
        <v>4703.1271999999999</v>
      </c>
      <c r="W19" s="67">
        <f>Interventions!$E$14</f>
        <v>4703.1271999999999</v>
      </c>
      <c r="X19" s="67">
        <f>Interventions!$E$14</f>
        <v>4703.1271999999999</v>
      </c>
      <c r="Y19" s="67">
        <f>Interventions!$E$14</f>
        <v>4703.1271999999999</v>
      </c>
      <c r="Z19" s="67">
        <f>Interventions!$E$14</f>
        <v>4703.1271999999999</v>
      </c>
      <c r="AA19" s="67">
        <f>Interventions!$E$14</f>
        <v>4703.1271999999999</v>
      </c>
      <c r="AB19" s="67">
        <f>Interventions!$E$14</f>
        <v>4703.1271999999999</v>
      </c>
      <c r="AC19" s="66">
        <f>SUM(D19:AB19)</f>
        <v>117578.18000000004</v>
      </c>
      <c r="AD19" s="3" t="s">
        <v>12</v>
      </c>
    </row>
    <row r="20" spans="1:30" x14ac:dyDescent="0.25">
      <c r="A20" s="310" t="s">
        <v>80</v>
      </c>
      <c r="B20" s="311"/>
      <c r="C20" s="81">
        <f>SUM(C16:C16)</f>
        <v>0</v>
      </c>
      <c r="D20" s="81">
        <f>SUM(D16:D19)</f>
        <v>4703.1271999999999</v>
      </c>
      <c r="E20" s="81">
        <f t="shared" ref="E20" si="5">SUM(E16:E19)</f>
        <v>4703.1271999999999</v>
      </c>
      <c r="F20" s="81">
        <f t="shared" ref="F20" si="6">SUM(F16:F19)</f>
        <v>4703.1271999999999</v>
      </c>
      <c r="G20" s="81">
        <f t="shared" ref="G20" si="7">SUM(G16:G19)</f>
        <v>4703.1271999999999</v>
      </c>
      <c r="H20" s="81">
        <f t="shared" ref="H20" si="8">SUM(H16:H19)</f>
        <v>4703.1271999999999</v>
      </c>
      <c r="I20" s="81">
        <f t="shared" ref="I20" si="9">SUM(I16:I19)</f>
        <v>4703.1271999999999</v>
      </c>
      <c r="J20" s="81">
        <f t="shared" ref="J20" si="10">SUM(J16:J19)</f>
        <v>4703.1271999999999</v>
      </c>
      <c r="K20" s="81">
        <f t="shared" ref="K20" si="11">SUM(K16:K19)</f>
        <v>4703.1271999999999</v>
      </c>
      <c r="L20" s="81">
        <f t="shared" ref="L20" si="12">SUM(L16:L19)</f>
        <v>4703.1271999999999</v>
      </c>
      <c r="M20" s="81">
        <f t="shared" ref="M20" si="13">SUM(M16:M19)</f>
        <v>4703.1271999999999</v>
      </c>
      <c r="N20" s="81">
        <f t="shared" ref="N20" si="14">SUM(N16:N19)</f>
        <v>4703.1271999999999</v>
      </c>
      <c r="O20" s="81">
        <f t="shared" ref="O20" si="15">SUM(O16:O19)</f>
        <v>4703.1271999999999</v>
      </c>
      <c r="P20" s="81">
        <f t="shared" ref="P20" si="16">SUM(P16:P19)</f>
        <v>4703.1271999999999</v>
      </c>
      <c r="Q20" s="81">
        <f t="shared" ref="Q20" si="17">SUM(Q16:Q19)</f>
        <v>4703.1271999999999</v>
      </c>
      <c r="R20" s="81">
        <f t="shared" ref="R20" si="18">SUM(R16:R19)</f>
        <v>4703.1271999999999</v>
      </c>
      <c r="S20" s="81">
        <f t="shared" ref="S20" si="19">SUM(S16:S19)</f>
        <v>4703.1271999999999</v>
      </c>
      <c r="T20" s="81">
        <f t="shared" ref="T20" si="20">SUM(T16:T19)</f>
        <v>4703.1271999999999</v>
      </c>
      <c r="U20" s="81">
        <f t="shared" ref="U20" si="21">SUM(U16:U19)</f>
        <v>4703.1271999999999</v>
      </c>
      <c r="V20" s="81">
        <f t="shared" ref="V20" si="22">SUM(V16:V19)</f>
        <v>4703.1271999999999</v>
      </c>
      <c r="W20" s="81">
        <f t="shared" ref="W20" si="23">SUM(W16:W19)</f>
        <v>4703.1271999999999</v>
      </c>
      <c r="X20" s="81">
        <f t="shared" ref="X20" si="24">SUM(X16:X19)</f>
        <v>4703.1271999999999</v>
      </c>
      <c r="Y20" s="81">
        <f t="shared" ref="Y20" si="25">SUM(Y16:Y19)</f>
        <v>4703.1271999999999</v>
      </c>
      <c r="Z20" s="81">
        <f t="shared" ref="Z20" si="26">SUM(Z16:Z19)</f>
        <v>4703.1271999999999</v>
      </c>
      <c r="AA20" s="81">
        <f t="shared" ref="AA20" si="27">SUM(AA16:AA19)</f>
        <v>4703.1271999999999</v>
      </c>
      <c r="AB20" s="81">
        <f t="shared" ref="AB20" si="28">SUM(AB16:AB19)</f>
        <v>4703.1271999999999</v>
      </c>
      <c r="AC20" s="81">
        <f t="shared" ref="AC20" si="29">SUM(AC16:AC19)</f>
        <v>117578.18000000004</v>
      </c>
      <c r="AD20" s="6" t="s">
        <v>12</v>
      </c>
    </row>
    <row r="21" spans="1:30" x14ac:dyDescent="0.25">
      <c r="A21" s="132"/>
      <c r="B21" s="133" t="s">
        <v>81</v>
      </c>
      <c r="C21" s="134">
        <f t="shared" ref="C21:R21" si="30">(C20+C14)-C10</f>
        <v>-27361</v>
      </c>
      <c r="D21" s="134">
        <f t="shared" si="30"/>
        <v>5782.6175999999996</v>
      </c>
      <c r="E21" s="134">
        <f t="shared" si="30"/>
        <v>5797.0073599999996</v>
      </c>
      <c r="F21" s="134">
        <f t="shared" si="30"/>
        <v>5811.756863999999</v>
      </c>
      <c r="G21" s="134">
        <f t="shared" si="30"/>
        <v>5826.8751056000001</v>
      </c>
      <c r="H21" s="134">
        <f t="shared" si="30"/>
        <v>5842.3713032399992</v>
      </c>
      <c r="I21" s="134">
        <f t="shared" si="30"/>
        <v>5858.2549058209988</v>
      </c>
      <c r="J21" s="134">
        <f t="shared" si="30"/>
        <v>5874.5355984665239</v>
      </c>
      <c r="K21" s="134">
        <f t="shared" si="30"/>
        <v>5891.223308428187</v>
      </c>
      <c r="L21" s="134">
        <f t="shared" si="30"/>
        <v>5908.3282111388926</v>
      </c>
      <c r="M21" s="134">
        <f t="shared" si="30"/>
        <v>5925.860736417364</v>
      </c>
      <c r="N21" s="134">
        <f t="shared" si="30"/>
        <v>5943.8315748277982</v>
      </c>
      <c r="O21" s="134">
        <f t="shared" si="30"/>
        <v>5962.2516841984925</v>
      </c>
      <c r="P21" s="134">
        <f t="shared" si="30"/>
        <v>5981.1322963034563</v>
      </c>
      <c r="Q21" s="134">
        <f t="shared" si="30"/>
        <v>6000.4849237110411</v>
      </c>
      <c r="R21" s="134">
        <f t="shared" si="30"/>
        <v>6020.321366803817</v>
      </c>
      <c r="S21" s="134">
        <f t="shared" ref="S21:W21" si="31">(S20+S14)-S10</f>
        <v>6040.6537209739126</v>
      </c>
      <c r="T21" s="134">
        <f t="shared" si="31"/>
        <v>6061.4943839982607</v>
      </c>
      <c r="U21" s="134">
        <f t="shared" si="31"/>
        <v>6082.8560635982176</v>
      </c>
      <c r="V21" s="134">
        <f t="shared" si="31"/>
        <v>6104.751785188173</v>
      </c>
      <c r="W21" s="134">
        <f t="shared" si="31"/>
        <v>6127.1948998178759</v>
      </c>
      <c r="X21" s="134">
        <f t="shared" ref="X21:AB21" si="32">(X20+X14)-X10</f>
        <v>6150.1990923133235</v>
      </c>
      <c r="Y21" s="134">
        <f t="shared" si="32"/>
        <v>6173.7783896211567</v>
      </c>
      <c r="Z21" s="134">
        <f t="shared" si="32"/>
        <v>6197.9471693616852</v>
      </c>
      <c r="AA21" s="134">
        <f t="shared" si="32"/>
        <v>6222.720168595728</v>
      </c>
      <c r="AB21" s="134">
        <f t="shared" si="32"/>
        <v>6248.1124928106201</v>
      </c>
      <c r="AC21" s="134">
        <f>(AC20+AC14)-AC10</f>
        <v>122475.56100523561</v>
      </c>
      <c r="AD21" s="135" t="s">
        <v>12</v>
      </c>
    </row>
    <row r="22" spans="1:30" x14ac:dyDescent="0.25">
      <c r="A22" s="132"/>
      <c r="B22" s="133" t="s">
        <v>82</v>
      </c>
      <c r="C22" s="134">
        <f t="shared" ref="C22:R22" si="33">(C20)-C10</f>
        <v>-27361</v>
      </c>
      <c r="D22" s="134">
        <f t="shared" si="33"/>
        <v>1967.0271999999995</v>
      </c>
      <c r="E22" s="134">
        <f t="shared" si="33"/>
        <v>1967.0271999999995</v>
      </c>
      <c r="F22" s="134">
        <f t="shared" si="33"/>
        <v>1967.0271999999995</v>
      </c>
      <c r="G22" s="134">
        <f t="shared" si="33"/>
        <v>1967.0271999999995</v>
      </c>
      <c r="H22" s="134">
        <f t="shared" si="33"/>
        <v>1967.0271999999995</v>
      </c>
      <c r="I22" s="134">
        <f t="shared" si="33"/>
        <v>1967.0271999999995</v>
      </c>
      <c r="J22" s="134">
        <f t="shared" si="33"/>
        <v>1967.0271999999995</v>
      </c>
      <c r="K22" s="134">
        <f t="shared" si="33"/>
        <v>1967.0271999999995</v>
      </c>
      <c r="L22" s="134">
        <f t="shared" si="33"/>
        <v>1967.0271999999995</v>
      </c>
      <c r="M22" s="134">
        <f t="shared" si="33"/>
        <v>1967.0271999999995</v>
      </c>
      <c r="N22" s="134">
        <f t="shared" si="33"/>
        <v>1967.0271999999995</v>
      </c>
      <c r="O22" s="134">
        <f t="shared" si="33"/>
        <v>1967.0271999999995</v>
      </c>
      <c r="P22" s="134">
        <f t="shared" si="33"/>
        <v>1967.0271999999995</v>
      </c>
      <c r="Q22" s="134">
        <f t="shared" si="33"/>
        <v>1967.0271999999995</v>
      </c>
      <c r="R22" s="134">
        <f t="shared" si="33"/>
        <v>1967.0271999999995</v>
      </c>
      <c r="S22" s="134">
        <f t="shared" ref="S22:W22" si="34">(S20)-S10</f>
        <v>1967.0271999999995</v>
      </c>
      <c r="T22" s="134">
        <f t="shared" si="34"/>
        <v>1967.0271999999995</v>
      </c>
      <c r="U22" s="134">
        <f t="shared" si="34"/>
        <v>1967.0271999999995</v>
      </c>
      <c r="V22" s="134">
        <f t="shared" si="34"/>
        <v>1967.0271999999995</v>
      </c>
      <c r="W22" s="134">
        <f t="shared" si="34"/>
        <v>1967.0271999999995</v>
      </c>
      <c r="X22" s="134">
        <f t="shared" ref="X22:AB22" si="35">(X20)-X10</f>
        <v>1967.0271999999995</v>
      </c>
      <c r="Y22" s="134">
        <f t="shared" si="35"/>
        <v>1967.0271999999995</v>
      </c>
      <c r="Z22" s="134">
        <f t="shared" si="35"/>
        <v>1967.0271999999995</v>
      </c>
      <c r="AA22" s="134">
        <f t="shared" si="35"/>
        <v>1967.0271999999995</v>
      </c>
      <c r="AB22" s="134">
        <f t="shared" si="35"/>
        <v>1967.0271999999995</v>
      </c>
      <c r="AC22" s="134">
        <f>(AC20)-AC10</f>
        <v>21814.680000000051</v>
      </c>
      <c r="AD22" s="135" t="s">
        <v>12</v>
      </c>
    </row>
    <row r="23" spans="1:30" ht="13.5" customHeight="1" x14ac:dyDescent="0.25">
      <c r="A23" s="69" t="s">
        <v>83</v>
      </c>
      <c r="B23" s="70">
        <f>XIRR(C22:AB22, C$5:AB$5, 0.1)</f>
        <v>5.1285788416862488E-2</v>
      </c>
      <c r="D23" s="82"/>
      <c r="E23" s="71"/>
      <c r="F23" s="71"/>
      <c r="G23" s="71"/>
      <c r="H23" s="71"/>
      <c r="I23" s="71"/>
      <c r="J23" s="72"/>
    </row>
    <row r="24" spans="1:30" ht="13.5" customHeight="1" x14ac:dyDescent="0.25">
      <c r="A24" s="96" t="s">
        <v>85</v>
      </c>
      <c r="B24" s="73">
        <f>XIRR(C21:AB21, C$5:AB$5, 0.1)</f>
        <v>0.21213086247444154</v>
      </c>
      <c r="D24" s="82"/>
      <c r="E24" s="71"/>
      <c r="F24" s="71"/>
      <c r="G24" s="71"/>
      <c r="H24" s="71"/>
      <c r="I24" s="71"/>
      <c r="J24" s="72"/>
    </row>
    <row r="25" spans="1:30" x14ac:dyDescent="0.25">
      <c r="A25" s="97" t="s">
        <v>86</v>
      </c>
      <c r="B25" s="84">
        <f>XNPV(A$1,C20:AB20,C$5:AB$5)/XNPV(A$1,C10:AB10,C$5:AB$5)</f>
        <v>1.0053679988176105</v>
      </c>
      <c r="E25" s="85"/>
      <c r="F25" s="85"/>
      <c r="G25" s="85"/>
      <c r="H25" s="85"/>
      <c r="I25" s="85"/>
    </row>
    <row r="26" spans="1:30" x14ac:dyDescent="0.25">
      <c r="A26" s="96" t="s">
        <v>87</v>
      </c>
      <c r="B26" s="86">
        <f>(XNPV(A$1,C20:AB20,C$5:AB$5)+XNPV(A$1,C14:AB14,C$5:AB$5))/XNPV(A$1,C10:AB10,C$5:AB$5)</f>
        <v>1.8559864491154936</v>
      </c>
      <c r="E26" s="85"/>
      <c r="F26" s="85"/>
      <c r="G26" s="85"/>
      <c r="H26" s="85"/>
      <c r="I26" s="85"/>
    </row>
    <row r="27" spans="1:30" x14ac:dyDescent="0.25">
      <c r="A27" s="98" t="s">
        <v>84</v>
      </c>
      <c r="B27" s="74">
        <f>XNPV(A$1,C22:AB22,C$5:AB$5)</f>
        <v>353.81455155617391</v>
      </c>
      <c r="E27" s="85"/>
      <c r="F27" s="85"/>
      <c r="G27" s="85"/>
      <c r="H27" s="85"/>
      <c r="I27" s="85"/>
    </row>
    <row r="28" spans="1:30" x14ac:dyDescent="0.25">
      <c r="A28" s="96" t="s">
        <v>88</v>
      </c>
      <c r="B28" s="76">
        <f>XNPV(A$1,C21:AB21,C$5:AB$5)</f>
        <v>56419.621524205737</v>
      </c>
      <c r="E28" s="85"/>
      <c r="F28" s="85"/>
      <c r="G28" s="85"/>
      <c r="H28" s="85"/>
      <c r="I28" s="85"/>
    </row>
    <row r="29" spans="1:30" x14ac:dyDescent="0.25">
      <c r="A29" s="83" t="s">
        <v>76</v>
      </c>
      <c r="B29" s="74">
        <f>IF(Q29,$Q$4-$C$4)</f>
        <v>14</v>
      </c>
      <c r="C29" s="75">
        <f>C20/C10</f>
        <v>0</v>
      </c>
      <c r="D29" s="87">
        <f>SUM($C$20:D20)/SUM($C$10:D10)</f>
        <v>0.15626512853397836</v>
      </c>
      <c r="E29" s="87">
        <f>SUM($C$20:E20)/SUM($C$10:E10)</f>
        <v>0.28648606897896034</v>
      </c>
      <c r="F29" s="87">
        <f>SUM($C$20:F20)/SUM($C$10:F10)</f>
        <v>0.39667301858625281</v>
      </c>
      <c r="G29" s="87">
        <f>SUM($C$20:G20)/SUM($C$10:G10)</f>
        <v>0.49111897539250349</v>
      </c>
      <c r="H29" s="87">
        <f>SUM($C$20:H20)/SUM($C$10:H10)</f>
        <v>0.57297213795792068</v>
      </c>
      <c r="I29" s="87">
        <f>SUM($C$20:I20)/SUM($C$10:I10)</f>
        <v>0.64459365520266076</v>
      </c>
      <c r="J29" s="87">
        <f>SUM($C$20:J20)/SUM($C$10:J10)</f>
        <v>0.70778911159507851</v>
      </c>
      <c r="K29" s="87">
        <f>SUM($C$20:K20)/SUM($C$10:K10)</f>
        <v>0.76396285061056102</v>
      </c>
      <c r="L29" s="87">
        <f>SUM($C$20:L20)/SUM($C$10:L10)</f>
        <v>0.814223564466519</v>
      </c>
      <c r="M29" s="87">
        <f>SUM($C$20:M20)/SUM($C$10:M10)</f>
        <v>0.85945820693688124</v>
      </c>
      <c r="N29" s="87">
        <f>SUM($C$20:N20)/SUM($C$10:N10)</f>
        <v>0.90038478821959</v>
      </c>
      <c r="O29" s="87">
        <f>SUM($C$20:O20)/SUM($C$10:O10)</f>
        <v>0.93759077120387058</v>
      </c>
      <c r="P29" s="87">
        <f>SUM($C$20:P20)/SUM($C$10:P10)</f>
        <v>0.97156145131995286</v>
      </c>
      <c r="Q29" s="87">
        <f>SUM($C$20:Q20)/SUM($C$10:Q10)</f>
        <v>1.0027012414263616</v>
      </c>
      <c r="R29" s="87">
        <f>SUM($C$20:R20)/SUM($C$10:R10)</f>
        <v>1.0313498483242576</v>
      </c>
      <c r="S29" s="87">
        <f>SUM($C$20:S20)/SUM($C$10:S10)</f>
        <v>1.0577947162300076</v>
      </c>
      <c r="T29" s="87">
        <f>SUM($C$20:T20)/SUM($C$10:T10)</f>
        <v>1.0822807050316281</v>
      </c>
      <c r="U29" s="87">
        <f>SUM($C$20:U20)/SUM($C$10:U10)</f>
        <v>1.1050176946331329</v>
      </c>
      <c r="V29" s="87">
        <f>SUM($C$20:V20)/SUM($C$10:V10)</f>
        <v>1.1261866159862579</v>
      </c>
      <c r="W29" s="87">
        <f>SUM($C$20:W20)/SUM($C$10:W10)</f>
        <v>1.1459442759158414</v>
      </c>
      <c r="X29" s="87">
        <f>SUM($C$20:X20)/SUM($C$10:X10)</f>
        <v>1.1644272481080322</v>
      </c>
      <c r="Y29" s="87">
        <f>SUM($C$20:Y20)/SUM($C$10:Y10)</f>
        <v>1.1817550345382113</v>
      </c>
      <c r="Z29" s="87">
        <f>SUM($C$20:Z20)/SUM($C$10:Z10)</f>
        <v>1.198032652093834</v>
      </c>
      <c r="AA29" s="87">
        <f>SUM($C$20:AA20)/SUM($C$10:AA10)</f>
        <v>1.2133527627344201</v>
      </c>
      <c r="AB29" s="87">
        <f>SUM($C$20:AB20)/SUM($C$10:AB10)</f>
        <v>1.2277974384812584</v>
      </c>
    </row>
    <row r="30" spans="1:30" x14ac:dyDescent="0.25">
      <c r="A30" s="96" t="s">
        <v>89</v>
      </c>
      <c r="B30" s="76">
        <f>IF(H30,$H$4-$C$4)</f>
        <v>5</v>
      </c>
      <c r="C30" s="75">
        <f>(C20+C14)/C10</f>
        <v>0</v>
      </c>
      <c r="D30" s="87">
        <f>(SUM($C$20:D20)+SUM($C$14:D14))/SUM($C$10:D10)</f>
        <v>0.28304114349887532</v>
      </c>
      <c r="E30" s="87">
        <f>(SUM($C$20:E20)+SUM($C$14:E14))/SUM($C$10:E10)</f>
        <v>0.51934703166307272</v>
      </c>
      <c r="F30" s="87">
        <f>(SUM($C$20:F20)+SUM($C$14:F14))/SUM($C$10:F10)</f>
        <v>0.71971283730632885</v>
      </c>
      <c r="G30" s="87">
        <f>(SUM($C$20:G20)+SUM($C$14:G14))/SUM($C$10:G10)</f>
        <v>0.89184963293948127</v>
      </c>
      <c r="H30" s="87">
        <f>(SUM($C$20:H20)+SUM($C$14:H14))/SUM($C$10:H10)</f>
        <v>1.0414124296831258</v>
      </c>
      <c r="I30" s="87">
        <f>(SUM($C$20:I20)+SUM($C$14:I14))/SUM($C$10:I10)</f>
        <v>1.1726427017164258</v>
      </c>
      <c r="J30" s="87">
        <f>(SUM($C$20:J20)+SUM($C$14:J14))/SUM($C$10:J10)</f>
        <v>1.2887841375149156</v>
      </c>
      <c r="K30" s="87">
        <f>(SUM($C$20:K20)+SUM($C$14:K14))/SUM($C$10:K10)</f>
        <v>1.3923598074622785</v>
      </c>
      <c r="L30" s="87">
        <f>(SUM($C$20:L20)+SUM($C$14:L14))/SUM($C$10:L10)</f>
        <v>1.4853618049643196</v>
      </c>
      <c r="M30" s="87">
        <f>(SUM($C$20:M20)+SUM($C$14:M14))/SUM($C$10:M10)</f>
        <v>1.5693839953421291</v>
      </c>
      <c r="N30" s="87">
        <f>(SUM($C$20:N20)+SUM($C$14:N14))/SUM($C$10:N10)</f>
        <v>1.6457168365807395</v>
      </c>
      <c r="O30" s="87">
        <f>(SUM($C$20:O20)+SUM($C$14:O14))/SUM($C$10:O10)</f>
        <v>1.7154163399818969</v>
      </c>
      <c r="P30" s="87">
        <f>(SUM($C$20:P20)+SUM($C$14:P14))/SUM($C$10:P10)</f>
        <v>1.7793550411875005</v>
      </c>
      <c r="Q30" s="87">
        <f>(SUM($C$20:Q20)+SUM($C$14:Q14))/SUM($C$10:Q10)</f>
        <v>1.8382602285514784</v>
      </c>
      <c r="R30" s="87">
        <f>(SUM($C$20:R20)+SUM($C$14:R14))/SUM($C$10:R10)</f>
        <v>1.892742996805038</v>
      </c>
      <c r="S30" s="87">
        <f>(SUM($C$20:S20)+SUM($C$14:S14))/SUM($C$10:S10)</f>
        <v>1.9433205961310809</v>
      </c>
      <c r="T30" s="87">
        <f>(SUM($C$20:T20)+SUM($C$14:T14))/SUM($C$10:T10)</f>
        <v>1.9904338148774718</v>
      </c>
      <c r="U30" s="87">
        <f>(SUM($C$20:U20)+SUM($C$14:U14))/SUM($C$10:U10)</f>
        <v>2.0344606375018532</v>
      </c>
      <c r="V30" s="87">
        <f>(SUM($C$20:V20)+SUM($C$14:V14))/SUM($C$10:V10)</f>
        <v>2.0757270768324299</v>
      </c>
      <c r="W30" s="87">
        <f>(SUM($C$20:W20)+SUM($C$14:W14))/SUM($C$10:W10)</f>
        <v>2.1145158399733566</v>
      </c>
      <c r="X30" s="87">
        <f>(SUM($C$20:X20)+SUM($C$14:X14))/SUM($C$10:X10)</f>
        <v>2.1510733170340917</v>
      </c>
      <c r="Y30" s="87">
        <f>(SUM($C$20:Y20)+SUM($C$14:Y14))/SUM($C$10:Y10)</f>
        <v>2.1856152595673071</v>
      </c>
      <c r="Z30" s="87">
        <f>(SUM($C$20:Z20)+SUM($C$14:Z14))/SUM($C$10:Z10)</f>
        <v>2.2183314266582621</v>
      </c>
      <c r="AA30" s="87">
        <f>(SUM($C$20:AA20)+SUM($C$14:AA14))/SUM($C$10:AA10)</f>
        <v>2.2493894112102977</v>
      </c>
      <c r="AB30" s="87">
        <f>(SUM($C$20:AB20)+SUM($C$14:AB14))/SUM($C$10:AB10)</f>
        <v>2.2789378103895062</v>
      </c>
    </row>
    <row r="31" spans="1:30" x14ac:dyDescent="0.25">
      <c r="J31" s="8"/>
    </row>
    <row r="34" spans="1:32" ht="26.25" x14ac:dyDescent="0.4">
      <c r="A34" s="107">
        <v>9.5000000000000001E-2</v>
      </c>
      <c r="B34" s="107" t="s">
        <v>79</v>
      </c>
    </row>
    <row r="35" spans="1:32" ht="23.25" customHeight="1" x14ac:dyDescent="0.25">
      <c r="A35" s="316" t="s">
        <v>138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7"/>
      <c r="N35" s="317"/>
      <c r="O35" s="317"/>
      <c r="P35" s="317"/>
      <c r="Q35" s="317"/>
      <c r="R35" s="317"/>
      <c r="S35" s="317"/>
      <c r="T35" s="317"/>
      <c r="U35" s="317"/>
      <c r="V35" s="317"/>
      <c r="W35" s="317"/>
      <c r="X35" s="317"/>
      <c r="Y35" s="317"/>
      <c r="Z35" s="317"/>
      <c r="AA35" s="317"/>
      <c r="AB35" s="317"/>
      <c r="AC35" s="317"/>
      <c r="AD35" s="318"/>
    </row>
    <row r="36" spans="1:32" x14ac:dyDescent="0.25">
      <c r="A36" s="78"/>
      <c r="B36" s="78"/>
      <c r="C36" s="60" t="s">
        <v>8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1" t="s">
        <v>9</v>
      </c>
    </row>
    <row r="37" spans="1:32" ht="15.75" customHeight="1" x14ac:dyDescent="0.25">
      <c r="A37" s="319" t="s">
        <v>130</v>
      </c>
      <c r="B37" s="320"/>
      <c r="C37" s="224"/>
      <c r="D37" s="1">
        <v>1</v>
      </c>
      <c r="E37" s="1">
        <v>2</v>
      </c>
      <c r="F37" s="1">
        <v>3</v>
      </c>
      <c r="G37" s="1">
        <v>4</v>
      </c>
      <c r="H37" s="1">
        <v>5</v>
      </c>
      <c r="I37" s="1">
        <v>6</v>
      </c>
      <c r="J37" s="1">
        <v>7</v>
      </c>
      <c r="K37" s="1">
        <v>8</v>
      </c>
      <c r="L37" s="1">
        <v>9</v>
      </c>
      <c r="M37" s="1">
        <v>10</v>
      </c>
      <c r="N37" s="1">
        <v>11</v>
      </c>
      <c r="O37" s="1">
        <v>12</v>
      </c>
      <c r="P37" s="1">
        <v>13</v>
      </c>
      <c r="Q37" s="1">
        <v>14</v>
      </c>
      <c r="R37" s="1">
        <v>15</v>
      </c>
      <c r="S37" s="1">
        <v>16</v>
      </c>
      <c r="T37" s="1">
        <v>17</v>
      </c>
      <c r="U37" s="1">
        <v>18</v>
      </c>
      <c r="V37" s="1">
        <v>19</v>
      </c>
      <c r="W37" s="1">
        <v>20</v>
      </c>
      <c r="X37" s="1">
        <v>21</v>
      </c>
      <c r="Y37" s="1">
        <v>22</v>
      </c>
      <c r="Z37" s="1">
        <v>23</v>
      </c>
      <c r="AA37" s="1">
        <v>24</v>
      </c>
      <c r="AB37" s="1">
        <v>25</v>
      </c>
      <c r="AC37" s="62" t="s">
        <v>78</v>
      </c>
      <c r="AD37" s="7"/>
    </row>
    <row r="38" spans="1:32" ht="16.5" customHeight="1" x14ac:dyDescent="0.25">
      <c r="A38" s="89"/>
      <c r="B38" s="90"/>
      <c r="C38" s="99">
        <v>44197</v>
      </c>
      <c r="D38" s="99">
        <v>44562</v>
      </c>
      <c r="E38" s="99">
        <v>44927</v>
      </c>
      <c r="F38" s="99">
        <v>45292</v>
      </c>
      <c r="G38" s="99">
        <v>45658</v>
      </c>
      <c r="H38" s="99">
        <v>46023</v>
      </c>
      <c r="I38" s="99">
        <v>46388</v>
      </c>
      <c r="J38" s="99">
        <v>46753</v>
      </c>
      <c r="K38" s="99">
        <v>47119</v>
      </c>
      <c r="L38" s="99">
        <v>47484</v>
      </c>
      <c r="M38" s="99">
        <v>47849</v>
      </c>
      <c r="N38" s="99">
        <v>48214</v>
      </c>
      <c r="O38" s="99">
        <v>48580</v>
      </c>
      <c r="P38" s="99">
        <v>48945</v>
      </c>
      <c r="Q38" s="99">
        <v>49310</v>
      </c>
      <c r="R38" s="99">
        <v>49675</v>
      </c>
      <c r="S38" s="99">
        <v>50041</v>
      </c>
      <c r="T38" s="99">
        <v>50406</v>
      </c>
      <c r="U38" s="99">
        <v>50771</v>
      </c>
      <c r="V38" s="99">
        <v>51136</v>
      </c>
      <c r="W38" s="99">
        <v>51502</v>
      </c>
      <c r="X38" s="99">
        <v>51867</v>
      </c>
      <c r="Y38" s="99">
        <v>52232</v>
      </c>
      <c r="Z38" s="99">
        <v>52597</v>
      </c>
      <c r="AA38" s="99">
        <v>52963</v>
      </c>
      <c r="AB38" s="99">
        <v>53328</v>
      </c>
      <c r="AC38" s="91"/>
      <c r="AD38" s="92"/>
    </row>
    <row r="39" spans="1:32" s="106" customFormat="1" ht="16.5" customHeight="1" x14ac:dyDescent="0.25"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3"/>
      <c r="AD39" s="104"/>
      <c r="AE39" s="105"/>
      <c r="AF39" s="105"/>
    </row>
    <row r="40" spans="1:32" x14ac:dyDescent="0.25">
      <c r="A40" s="312" t="s">
        <v>10</v>
      </c>
      <c r="B40" s="313"/>
      <c r="C40" s="239"/>
      <c r="D40" s="63"/>
      <c r="E40" s="63"/>
      <c r="F40" s="63"/>
      <c r="G40" s="63"/>
      <c r="H40" s="63"/>
      <c r="I40" s="63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2" x14ac:dyDescent="0.25">
      <c r="A41" s="226" t="s">
        <v>11</v>
      </c>
      <c r="B41" s="59"/>
      <c r="C41" s="88">
        <f>Interventions!$F$6</f>
        <v>27361</v>
      </c>
      <c r="D41" s="65"/>
      <c r="E41" s="65"/>
      <c r="F41" s="65"/>
      <c r="G41" s="65"/>
      <c r="H41" s="65"/>
      <c r="I41" s="6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66">
        <f>SUM(C41:AB41)</f>
        <v>27361</v>
      </c>
      <c r="AD41" s="3" t="s">
        <v>12</v>
      </c>
    </row>
    <row r="42" spans="1:32" x14ac:dyDescent="0.25">
      <c r="A42" s="59" t="s">
        <v>136</v>
      </c>
      <c r="B42" s="226"/>
      <c r="C42" s="93"/>
      <c r="D42" s="67">
        <f>Interventions!$F$7</f>
        <v>2736.1000000000004</v>
      </c>
      <c r="E42" s="67">
        <f>Interventions!$F$7</f>
        <v>2736.1000000000004</v>
      </c>
      <c r="F42" s="67">
        <f>Interventions!$F$7</f>
        <v>2736.1000000000004</v>
      </c>
      <c r="G42" s="67">
        <f>Interventions!$F$7</f>
        <v>2736.1000000000004</v>
      </c>
      <c r="H42" s="67">
        <f>Interventions!$F$7</f>
        <v>2736.1000000000004</v>
      </c>
      <c r="I42" s="67">
        <f>Interventions!$F$7</f>
        <v>2736.1000000000004</v>
      </c>
      <c r="J42" s="67">
        <f>Interventions!$F$7</f>
        <v>2736.1000000000004</v>
      </c>
      <c r="K42" s="67">
        <f>Interventions!$F$7</f>
        <v>2736.1000000000004</v>
      </c>
      <c r="L42" s="67">
        <f>Interventions!$F$7</f>
        <v>2736.1000000000004</v>
      </c>
      <c r="M42" s="67">
        <f>Interventions!$F$7</f>
        <v>2736.1000000000004</v>
      </c>
      <c r="N42" s="67">
        <f>Interventions!$F$7</f>
        <v>2736.1000000000004</v>
      </c>
      <c r="O42" s="67">
        <f>Interventions!$F$7</f>
        <v>2736.1000000000004</v>
      </c>
      <c r="P42" s="67">
        <f>Interventions!$F$7</f>
        <v>2736.1000000000004</v>
      </c>
      <c r="Q42" s="67">
        <f>Interventions!$F$7</f>
        <v>2736.1000000000004</v>
      </c>
      <c r="R42" s="67">
        <f>Interventions!$F$7</f>
        <v>2736.1000000000004</v>
      </c>
      <c r="S42" s="67">
        <f>Interventions!$F$7</f>
        <v>2736.1000000000004</v>
      </c>
      <c r="T42" s="67">
        <f>Interventions!$F$7</f>
        <v>2736.1000000000004</v>
      </c>
      <c r="U42" s="67">
        <f>Interventions!$F$7</f>
        <v>2736.1000000000004</v>
      </c>
      <c r="V42" s="67">
        <f>Interventions!$F$7</f>
        <v>2736.1000000000004</v>
      </c>
      <c r="W42" s="67">
        <f>Interventions!$F$7</f>
        <v>2736.1000000000004</v>
      </c>
      <c r="X42" s="67">
        <f>Interventions!$F$7</f>
        <v>2736.1000000000004</v>
      </c>
      <c r="Y42" s="67">
        <f>Interventions!$F$7</f>
        <v>2736.1000000000004</v>
      </c>
      <c r="Z42" s="67">
        <f>Interventions!$F$7</f>
        <v>2736.1000000000004</v>
      </c>
      <c r="AA42" s="67">
        <f>Interventions!$F$7</f>
        <v>2736.1000000000004</v>
      </c>
      <c r="AB42" s="67">
        <f>Interventions!$F$7</f>
        <v>2736.1000000000004</v>
      </c>
      <c r="AC42" s="66">
        <f>SUM(C42:AB42)</f>
        <v>68402.499999999985</v>
      </c>
      <c r="AD42" s="3" t="s">
        <v>12</v>
      </c>
    </row>
    <row r="43" spans="1:32" x14ac:dyDescent="0.25">
      <c r="A43" s="310" t="s">
        <v>80</v>
      </c>
      <c r="B43" s="311"/>
      <c r="C43" s="94">
        <f t="shared" ref="C43:W43" si="36">SUM(C41:C42)</f>
        <v>27361</v>
      </c>
      <c r="D43" s="94">
        <f t="shared" si="36"/>
        <v>2736.1000000000004</v>
      </c>
      <c r="E43" s="94">
        <f t="shared" si="36"/>
        <v>2736.1000000000004</v>
      </c>
      <c r="F43" s="94">
        <f t="shared" si="36"/>
        <v>2736.1000000000004</v>
      </c>
      <c r="G43" s="94">
        <f t="shared" si="36"/>
        <v>2736.1000000000004</v>
      </c>
      <c r="H43" s="94">
        <f t="shared" si="36"/>
        <v>2736.1000000000004</v>
      </c>
      <c r="I43" s="94">
        <f t="shared" si="36"/>
        <v>2736.1000000000004</v>
      </c>
      <c r="J43" s="94">
        <f t="shared" si="36"/>
        <v>2736.1000000000004</v>
      </c>
      <c r="K43" s="94">
        <f t="shared" si="36"/>
        <v>2736.1000000000004</v>
      </c>
      <c r="L43" s="94">
        <f t="shared" si="36"/>
        <v>2736.1000000000004</v>
      </c>
      <c r="M43" s="94">
        <f t="shared" si="36"/>
        <v>2736.1000000000004</v>
      </c>
      <c r="N43" s="94">
        <f t="shared" si="36"/>
        <v>2736.1000000000004</v>
      </c>
      <c r="O43" s="94">
        <f t="shared" si="36"/>
        <v>2736.1000000000004</v>
      </c>
      <c r="P43" s="94">
        <f t="shared" si="36"/>
        <v>2736.1000000000004</v>
      </c>
      <c r="Q43" s="94">
        <f t="shared" si="36"/>
        <v>2736.1000000000004</v>
      </c>
      <c r="R43" s="94">
        <f t="shared" si="36"/>
        <v>2736.1000000000004</v>
      </c>
      <c r="S43" s="94">
        <f t="shared" si="36"/>
        <v>2736.1000000000004</v>
      </c>
      <c r="T43" s="94">
        <f t="shared" si="36"/>
        <v>2736.1000000000004</v>
      </c>
      <c r="U43" s="94">
        <f t="shared" si="36"/>
        <v>2736.1000000000004</v>
      </c>
      <c r="V43" s="94">
        <f t="shared" si="36"/>
        <v>2736.1000000000004</v>
      </c>
      <c r="W43" s="94">
        <f t="shared" si="36"/>
        <v>2736.1000000000004</v>
      </c>
      <c r="X43" s="94">
        <f t="shared" ref="X43:AB43" si="37">SUM(X41:X42)</f>
        <v>2736.1000000000004</v>
      </c>
      <c r="Y43" s="94">
        <f t="shared" si="37"/>
        <v>2736.1000000000004</v>
      </c>
      <c r="Z43" s="94">
        <f t="shared" si="37"/>
        <v>2736.1000000000004</v>
      </c>
      <c r="AA43" s="94">
        <f t="shared" si="37"/>
        <v>2736.1000000000004</v>
      </c>
      <c r="AB43" s="94">
        <f t="shared" si="37"/>
        <v>2736.1000000000004</v>
      </c>
      <c r="AC43" s="95">
        <f>SUM(AC41:AC42)</f>
        <v>95763.499999999985</v>
      </c>
      <c r="AD43" s="6" t="s">
        <v>12</v>
      </c>
    </row>
    <row r="44" spans="1:32" x14ac:dyDescent="0.25">
      <c r="A44" s="312" t="s">
        <v>154</v>
      </c>
      <c r="B44" s="313"/>
      <c r="C44" s="239"/>
      <c r="D44" s="63"/>
      <c r="E44" s="63"/>
      <c r="F44" s="63"/>
      <c r="G44" s="63"/>
      <c r="H44" s="63"/>
      <c r="I44" s="63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2" x14ac:dyDescent="0.25">
      <c r="A45" s="59" t="s">
        <v>170</v>
      </c>
      <c r="B45" s="59"/>
      <c r="C45" s="59"/>
      <c r="D45" s="67">
        <f>'Carbon avoided'!E12</f>
        <v>575.59040000000005</v>
      </c>
      <c r="E45" s="67">
        <f>'Carbon avoided'!F12</f>
        <v>589.98016000000007</v>
      </c>
      <c r="F45" s="67">
        <f>'Carbon avoided'!G12</f>
        <v>604.72966399999996</v>
      </c>
      <c r="G45" s="67">
        <f>'Carbon avoided'!H12</f>
        <v>619.84790559999999</v>
      </c>
      <c r="H45" s="67">
        <f>'Carbon avoided'!I12</f>
        <v>635.34410323999998</v>
      </c>
      <c r="I45" s="67">
        <f>'Carbon avoided'!J12</f>
        <v>651.22770582099986</v>
      </c>
      <c r="J45" s="67">
        <f>'Carbon avoided'!K12</f>
        <v>667.5083984665248</v>
      </c>
      <c r="K45" s="67">
        <f>'Carbon avoided'!L12</f>
        <v>684.19610842818781</v>
      </c>
      <c r="L45" s="67">
        <f>'Carbon avoided'!M12</f>
        <v>701.30101113889248</v>
      </c>
      <c r="M45" s="67">
        <f>'Carbon avoided'!N12</f>
        <v>718.83353641736471</v>
      </c>
      <c r="N45" s="67">
        <f>'Carbon avoided'!O12</f>
        <v>736.80437482779871</v>
      </c>
      <c r="O45" s="67">
        <f>'Carbon avoided'!P12</f>
        <v>755.22448419849366</v>
      </c>
      <c r="P45" s="67">
        <f>'Carbon avoided'!Q12</f>
        <v>774.10509630345587</v>
      </c>
      <c r="Q45" s="67">
        <f>'Carbon avoided'!R12</f>
        <v>793.45772371104215</v>
      </c>
      <c r="R45" s="67">
        <f>'Carbon avoided'!S12</f>
        <v>813.29416680381814</v>
      </c>
      <c r="S45" s="67">
        <f>'Carbon avoided'!T12</f>
        <v>833.62652097391356</v>
      </c>
      <c r="T45" s="67">
        <f>'Carbon avoided'!U12</f>
        <v>854.46718399826136</v>
      </c>
      <c r="U45" s="67">
        <f>'Carbon avoided'!V12</f>
        <v>875.82886359821782</v>
      </c>
      <c r="V45" s="67">
        <f>'Carbon avoided'!W12</f>
        <v>897.72458518817314</v>
      </c>
      <c r="W45" s="67">
        <f>'Carbon avoided'!X12</f>
        <v>920.16769981787741</v>
      </c>
      <c r="X45" s="67">
        <f>'Carbon avoided'!Y12</f>
        <v>943.17189231332429</v>
      </c>
      <c r="Y45" s="67">
        <f>'Carbon avoided'!Z12</f>
        <v>966.75118962115732</v>
      </c>
      <c r="Z45" s="67">
        <f>'Carbon avoided'!AA12</f>
        <v>990.9199693616863</v>
      </c>
      <c r="AA45" s="67">
        <f>'Carbon avoided'!AB12</f>
        <v>1015.6929685957284</v>
      </c>
      <c r="AB45" s="67">
        <f>'Carbon avoided'!AC12</f>
        <v>1041.0852928106215</v>
      </c>
      <c r="AC45" s="66">
        <f>SUM(C45:AB45)</f>
        <v>19660.88100523554</v>
      </c>
      <c r="AD45" s="3" t="s">
        <v>12</v>
      </c>
    </row>
    <row r="46" spans="1:32" ht="12.75" customHeight="1" x14ac:dyDescent="0.25">
      <c r="A46" s="59" t="s">
        <v>174</v>
      </c>
      <c r="B46" s="59"/>
      <c r="C46" s="59"/>
      <c r="D46" s="67">
        <f>Interventions!$F$10</f>
        <v>3240</v>
      </c>
      <c r="E46" s="67">
        <f>Interventions!$F$10</f>
        <v>3240</v>
      </c>
      <c r="F46" s="67">
        <f>Interventions!$F$10</f>
        <v>3240</v>
      </c>
      <c r="G46" s="67">
        <f>Interventions!$F$10</f>
        <v>3240</v>
      </c>
      <c r="H46" s="67">
        <f>Interventions!$F$10</f>
        <v>3240</v>
      </c>
      <c r="I46" s="67">
        <f>Interventions!$F$10</f>
        <v>3240</v>
      </c>
      <c r="J46" s="67">
        <f>Interventions!$F$10</f>
        <v>3240</v>
      </c>
      <c r="K46" s="67">
        <f>Interventions!$F$10</f>
        <v>3240</v>
      </c>
      <c r="L46" s="67">
        <f>Interventions!$F$10</f>
        <v>3240</v>
      </c>
      <c r="M46" s="67">
        <f>Interventions!$F$10</f>
        <v>3240</v>
      </c>
      <c r="N46" s="67">
        <f>Interventions!$F$10</f>
        <v>3240</v>
      </c>
      <c r="O46" s="67">
        <f>Interventions!$F$10</f>
        <v>3240</v>
      </c>
      <c r="P46" s="67">
        <f>Interventions!$F$10</f>
        <v>3240</v>
      </c>
      <c r="Q46" s="67">
        <f>Interventions!$F$10</f>
        <v>3240</v>
      </c>
      <c r="R46" s="67">
        <f>Interventions!$F$10</f>
        <v>3240</v>
      </c>
      <c r="S46" s="67">
        <f>Interventions!$F$10</f>
        <v>3240</v>
      </c>
      <c r="T46" s="67">
        <f>Interventions!$F$10</f>
        <v>3240</v>
      </c>
      <c r="U46" s="67">
        <f>Interventions!$F$10</f>
        <v>3240</v>
      </c>
      <c r="V46" s="67">
        <f>Interventions!$F$10</f>
        <v>3240</v>
      </c>
      <c r="W46" s="67">
        <f>Interventions!$F$10</f>
        <v>3240</v>
      </c>
      <c r="X46" s="67">
        <f>Interventions!$F$10</f>
        <v>3240</v>
      </c>
      <c r="Y46" s="67">
        <f>Interventions!$F$10</f>
        <v>3240</v>
      </c>
      <c r="Z46" s="67">
        <f>Interventions!$F$10</f>
        <v>3240</v>
      </c>
      <c r="AA46" s="67">
        <f>Interventions!$F$10</f>
        <v>3240</v>
      </c>
      <c r="AB46" s="67">
        <f>Interventions!$F$10</f>
        <v>3240</v>
      </c>
      <c r="AC46" s="66">
        <f>SUM(C46:AB46)</f>
        <v>81000</v>
      </c>
      <c r="AD46" s="3" t="s">
        <v>12</v>
      </c>
    </row>
    <row r="47" spans="1:32" x14ac:dyDescent="0.25">
      <c r="A47" s="310" t="s">
        <v>80</v>
      </c>
      <c r="B47" s="311"/>
      <c r="C47" s="68">
        <f t="shared" ref="C47:R47" si="38">SUM(C45:C46)</f>
        <v>0</v>
      </c>
      <c r="D47" s="68">
        <f t="shared" si="38"/>
        <v>3815.5904</v>
      </c>
      <c r="E47" s="68">
        <f t="shared" si="38"/>
        <v>3829.9801600000001</v>
      </c>
      <c r="F47" s="68">
        <f t="shared" si="38"/>
        <v>3844.729664</v>
      </c>
      <c r="G47" s="68">
        <f t="shared" si="38"/>
        <v>3859.8479056000001</v>
      </c>
      <c r="H47" s="68">
        <f t="shared" si="38"/>
        <v>3875.3441032400001</v>
      </c>
      <c r="I47" s="68">
        <f t="shared" si="38"/>
        <v>3891.2277058209997</v>
      </c>
      <c r="J47" s="68">
        <f t="shared" si="38"/>
        <v>3907.5083984665248</v>
      </c>
      <c r="K47" s="68">
        <f t="shared" si="38"/>
        <v>3924.1961084281879</v>
      </c>
      <c r="L47" s="68">
        <f t="shared" si="38"/>
        <v>3941.3010111388926</v>
      </c>
      <c r="M47" s="68">
        <f t="shared" si="38"/>
        <v>3958.8335364173645</v>
      </c>
      <c r="N47" s="68">
        <f t="shared" si="38"/>
        <v>3976.8043748277987</v>
      </c>
      <c r="O47" s="68">
        <f t="shared" si="38"/>
        <v>3995.2244841984939</v>
      </c>
      <c r="P47" s="68">
        <f t="shared" si="38"/>
        <v>4014.1050963034559</v>
      </c>
      <c r="Q47" s="68">
        <f t="shared" si="38"/>
        <v>4033.457723711042</v>
      </c>
      <c r="R47" s="68">
        <f t="shared" si="38"/>
        <v>4053.2941668038184</v>
      </c>
      <c r="S47" s="68">
        <f t="shared" ref="S47:W47" si="39">SUM(S45:S46)</f>
        <v>4073.6265209739136</v>
      </c>
      <c r="T47" s="68">
        <f t="shared" si="39"/>
        <v>4094.4671839982611</v>
      </c>
      <c r="U47" s="68">
        <f t="shared" si="39"/>
        <v>4115.828863598218</v>
      </c>
      <c r="V47" s="68">
        <f t="shared" si="39"/>
        <v>4137.7245851881735</v>
      </c>
      <c r="W47" s="68">
        <f t="shared" si="39"/>
        <v>4160.1676998178773</v>
      </c>
      <c r="X47" s="68">
        <f t="shared" ref="X47:AB47" si="40">SUM(X45:X46)</f>
        <v>4183.171892313324</v>
      </c>
      <c r="Y47" s="68">
        <f t="shared" si="40"/>
        <v>4206.7511896211572</v>
      </c>
      <c r="Z47" s="68">
        <f t="shared" si="40"/>
        <v>4230.9199693616865</v>
      </c>
      <c r="AA47" s="68">
        <f t="shared" si="40"/>
        <v>4255.6929685957284</v>
      </c>
      <c r="AB47" s="68">
        <f t="shared" si="40"/>
        <v>4281.0852928106215</v>
      </c>
      <c r="AC47" s="68">
        <f>SUM(AC45:AC46)</f>
        <v>100660.88100523554</v>
      </c>
      <c r="AD47" s="6" t="s">
        <v>12</v>
      </c>
    </row>
    <row r="48" spans="1:32" x14ac:dyDescent="0.25">
      <c r="A48" s="312" t="s">
        <v>149</v>
      </c>
      <c r="B48" s="313"/>
      <c r="C48" s="239"/>
      <c r="D48" s="63"/>
      <c r="E48" s="63"/>
      <c r="F48" s="63"/>
      <c r="G48" s="63"/>
      <c r="H48" s="63"/>
      <c r="I48" s="63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</row>
    <row r="49" spans="1:30" x14ac:dyDescent="0.25">
      <c r="A49" s="226"/>
      <c r="B49" s="59"/>
      <c r="C49" s="59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6"/>
      <c r="AD49" s="3"/>
    </row>
    <row r="50" spans="1:30" x14ac:dyDescent="0.25">
      <c r="A50" s="240"/>
      <c r="B50" s="59"/>
      <c r="C50" s="59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6"/>
      <c r="AD50" s="3"/>
    </row>
    <row r="51" spans="1:30" ht="13.5" customHeight="1" x14ac:dyDescent="0.25">
      <c r="A51" s="240"/>
      <c r="B51" s="59"/>
      <c r="C51" s="59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6"/>
      <c r="AD51" s="3"/>
    </row>
    <row r="52" spans="1:30" x14ac:dyDescent="0.25">
      <c r="A52" s="59" t="s">
        <v>36</v>
      </c>
      <c r="B52" s="59" t="s">
        <v>36</v>
      </c>
      <c r="C52" s="59"/>
      <c r="D52" s="67">
        <f>Interventions!$F$14</f>
        <v>5643.7526400000006</v>
      </c>
      <c r="E52" s="67">
        <f>Interventions!$F$14</f>
        <v>5643.7526400000006</v>
      </c>
      <c r="F52" s="67">
        <f>Interventions!$F$14</f>
        <v>5643.7526400000006</v>
      </c>
      <c r="G52" s="67">
        <f>Interventions!$F$14</f>
        <v>5643.7526400000006</v>
      </c>
      <c r="H52" s="67">
        <f>Interventions!$F$14</f>
        <v>5643.7526400000006</v>
      </c>
      <c r="I52" s="67">
        <f>Interventions!$F$14</f>
        <v>5643.7526400000006</v>
      </c>
      <c r="J52" s="67">
        <f>Interventions!$F$14</f>
        <v>5643.7526400000006</v>
      </c>
      <c r="K52" s="67">
        <f>Interventions!$F$14</f>
        <v>5643.7526400000006</v>
      </c>
      <c r="L52" s="67">
        <f>Interventions!$F$14</f>
        <v>5643.7526400000006</v>
      </c>
      <c r="M52" s="67">
        <f>Interventions!$F$14</f>
        <v>5643.7526400000006</v>
      </c>
      <c r="N52" s="67">
        <f>Interventions!$F$14</f>
        <v>5643.7526400000006</v>
      </c>
      <c r="O52" s="67">
        <f>Interventions!$F$14</f>
        <v>5643.7526400000006</v>
      </c>
      <c r="P52" s="67">
        <f>Interventions!$F$14</f>
        <v>5643.7526400000006</v>
      </c>
      <c r="Q52" s="67">
        <f>Interventions!$F$14</f>
        <v>5643.7526400000006</v>
      </c>
      <c r="R52" s="67">
        <f>Interventions!$F$14</f>
        <v>5643.7526400000006</v>
      </c>
      <c r="S52" s="67">
        <f>Interventions!$F$14</f>
        <v>5643.7526400000006</v>
      </c>
      <c r="T52" s="67">
        <f>Interventions!$F$14</f>
        <v>5643.7526400000006</v>
      </c>
      <c r="U52" s="67">
        <f>Interventions!$F$14</f>
        <v>5643.7526400000006</v>
      </c>
      <c r="V52" s="67">
        <f>Interventions!$F$14</f>
        <v>5643.7526400000006</v>
      </c>
      <c r="W52" s="67">
        <f>Interventions!$F$14</f>
        <v>5643.7526400000006</v>
      </c>
      <c r="X52" s="67">
        <f>Interventions!$F$14</f>
        <v>5643.7526400000006</v>
      </c>
      <c r="Y52" s="67">
        <f>Interventions!$F$14</f>
        <v>5643.7526400000006</v>
      </c>
      <c r="Z52" s="67">
        <f>Interventions!$F$14</f>
        <v>5643.7526400000006</v>
      </c>
      <c r="AA52" s="67">
        <f>Interventions!$F$14</f>
        <v>5643.7526400000006</v>
      </c>
      <c r="AB52" s="67">
        <f>Interventions!$F$14</f>
        <v>5643.7526400000006</v>
      </c>
      <c r="AC52" s="66">
        <f>SUM(D52:AB52)</f>
        <v>141093.81600000005</v>
      </c>
      <c r="AD52" s="3" t="s">
        <v>12</v>
      </c>
    </row>
    <row r="53" spans="1:30" x14ac:dyDescent="0.25">
      <c r="A53" s="310" t="s">
        <v>80</v>
      </c>
      <c r="B53" s="311"/>
      <c r="C53" s="81">
        <f>SUM(C49:C49)</f>
        <v>0</v>
      </c>
      <c r="D53" s="81">
        <f>SUM(D49:D52)</f>
        <v>5643.7526400000006</v>
      </c>
      <c r="E53" s="81">
        <f t="shared" ref="E53" si="41">SUM(E49:E52)</f>
        <v>5643.7526400000006</v>
      </c>
      <c r="F53" s="81">
        <f t="shared" ref="F53" si="42">SUM(F49:F52)</f>
        <v>5643.7526400000006</v>
      </c>
      <c r="G53" s="81">
        <f t="shared" ref="G53" si="43">SUM(G49:G52)</f>
        <v>5643.7526400000006</v>
      </c>
      <c r="H53" s="81">
        <f t="shared" ref="H53" si="44">SUM(H49:H52)</f>
        <v>5643.7526400000006</v>
      </c>
      <c r="I53" s="81">
        <f t="shared" ref="I53" si="45">SUM(I49:I52)</f>
        <v>5643.7526400000006</v>
      </c>
      <c r="J53" s="81">
        <f t="shared" ref="J53" si="46">SUM(J49:J52)</f>
        <v>5643.7526400000006</v>
      </c>
      <c r="K53" s="81">
        <f t="shared" ref="K53" si="47">SUM(K49:K52)</f>
        <v>5643.7526400000006</v>
      </c>
      <c r="L53" s="81">
        <f t="shared" ref="L53" si="48">SUM(L49:L52)</f>
        <v>5643.7526400000006</v>
      </c>
      <c r="M53" s="81">
        <f t="shared" ref="M53" si="49">SUM(M49:M52)</f>
        <v>5643.7526400000006</v>
      </c>
      <c r="N53" s="81">
        <f t="shared" ref="N53" si="50">SUM(N49:N52)</f>
        <v>5643.7526400000006</v>
      </c>
      <c r="O53" s="81">
        <f t="shared" ref="O53" si="51">SUM(O49:O52)</f>
        <v>5643.7526400000006</v>
      </c>
      <c r="P53" s="81">
        <f t="shared" ref="P53" si="52">SUM(P49:P52)</f>
        <v>5643.7526400000006</v>
      </c>
      <c r="Q53" s="81">
        <f t="shared" ref="Q53" si="53">SUM(Q49:Q52)</f>
        <v>5643.7526400000006</v>
      </c>
      <c r="R53" s="81">
        <f t="shared" ref="R53" si="54">SUM(R49:R52)</f>
        <v>5643.7526400000006</v>
      </c>
      <c r="S53" s="81">
        <f t="shared" ref="S53" si="55">SUM(S49:S52)</f>
        <v>5643.7526400000006</v>
      </c>
      <c r="T53" s="81">
        <f t="shared" ref="T53" si="56">SUM(T49:T52)</f>
        <v>5643.7526400000006</v>
      </c>
      <c r="U53" s="81">
        <f t="shared" ref="U53" si="57">SUM(U49:U52)</f>
        <v>5643.7526400000006</v>
      </c>
      <c r="V53" s="81">
        <f t="shared" ref="V53" si="58">SUM(V49:V52)</f>
        <v>5643.7526400000006</v>
      </c>
      <c r="W53" s="81">
        <f t="shared" ref="W53" si="59">SUM(W49:W52)</f>
        <v>5643.7526400000006</v>
      </c>
      <c r="X53" s="81">
        <f t="shared" ref="X53" si="60">SUM(X49:X52)</f>
        <v>5643.7526400000006</v>
      </c>
      <c r="Y53" s="81">
        <f t="shared" ref="Y53" si="61">SUM(Y49:Y52)</f>
        <v>5643.7526400000006</v>
      </c>
      <c r="Z53" s="81">
        <f t="shared" ref="Z53" si="62">SUM(Z49:Z52)</f>
        <v>5643.7526400000006</v>
      </c>
      <c r="AA53" s="81">
        <f t="shared" ref="AA53" si="63">SUM(AA49:AA52)</f>
        <v>5643.7526400000006</v>
      </c>
      <c r="AB53" s="81">
        <f t="shared" ref="AB53" si="64">SUM(AB49:AB52)</f>
        <v>5643.7526400000006</v>
      </c>
      <c r="AC53" s="81">
        <f t="shared" ref="AC53" si="65">SUM(AC49:AC52)</f>
        <v>141093.81600000005</v>
      </c>
      <c r="AD53" s="6" t="s">
        <v>12</v>
      </c>
    </row>
    <row r="54" spans="1:30" x14ac:dyDescent="0.25">
      <c r="A54" s="132"/>
      <c r="B54" s="133" t="s">
        <v>81</v>
      </c>
      <c r="C54" s="134">
        <f t="shared" ref="C54:R54" si="66">(C53+C47)-C43</f>
        <v>-27361</v>
      </c>
      <c r="D54" s="134">
        <f t="shared" si="66"/>
        <v>6723.2430399999994</v>
      </c>
      <c r="E54" s="134">
        <f t="shared" si="66"/>
        <v>6737.6328000000012</v>
      </c>
      <c r="F54" s="134">
        <f t="shared" si="66"/>
        <v>6752.3823040000007</v>
      </c>
      <c r="G54" s="134">
        <f t="shared" si="66"/>
        <v>6767.5005455999999</v>
      </c>
      <c r="H54" s="134">
        <f t="shared" si="66"/>
        <v>6782.9967432400008</v>
      </c>
      <c r="I54" s="134">
        <f t="shared" si="66"/>
        <v>6798.8803458210004</v>
      </c>
      <c r="J54" s="134">
        <f t="shared" si="66"/>
        <v>6815.1610384665255</v>
      </c>
      <c r="K54" s="134">
        <f t="shared" si="66"/>
        <v>6831.8487484281886</v>
      </c>
      <c r="L54" s="134">
        <f t="shared" si="66"/>
        <v>6848.9536511388924</v>
      </c>
      <c r="M54" s="134">
        <f t="shared" si="66"/>
        <v>6866.4861764173638</v>
      </c>
      <c r="N54" s="134">
        <f t="shared" si="66"/>
        <v>6884.457014827798</v>
      </c>
      <c r="O54" s="134">
        <f t="shared" si="66"/>
        <v>6902.8771241984941</v>
      </c>
      <c r="P54" s="134">
        <f t="shared" si="66"/>
        <v>6921.7577363034561</v>
      </c>
      <c r="Q54" s="134">
        <f t="shared" si="66"/>
        <v>6941.1103637110427</v>
      </c>
      <c r="R54" s="134">
        <f t="shared" si="66"/>
        <v>6960.9468068038186</v>
      </c>
      <c r="S54" s="134">
        <f t="shared" ref="S54:W54" si="67">(S53+S47)-S43</f>
        <v>6981.2791609739143</v>
      </c>
      <c r="T54" s="134">
        <f t="shared" si="67"/>
        <v>7002.1198239982605</v>
      </c>
      <c r="U54" s="134">
        <f t="shared" si="67"/>
        <v>7023.4815035982192</v>
      </c>
      <c r="V54" s="134">
        <f t="shared" si="67"/>
        <v>7045.3772251881728</v>
      </c>
      <c r="W54" s="134">
        <f t="shared" si="67"/>
        <v>7067.8203398178775</v>
      </c>
      <c r="X54" s="134">
        <f t="shared" ref="X54:AB54" si="68">(X53+X47)-X43</f>
        <v>7090.8245323133251</v>
      </c>
      <c r="Y54" s="134">
        <f t="shared" si="68"/>
        <v>7114.4038296211565</v>
      </c>
      <c r="Z54" s="134">
        <f t="shared" si="68"/>
        <v>7138.5726093616868</v>
      </c>
      <c r="AA54" s="134">
        <f t="shared" si="68"/>
        <v>7163.3456085957278</v>
      </c>
      <c r="AB54" s="134">
        <f t="shared" si="68"/>
        <v>7188.7379328106217</v>
      </c>
      <c r="AC54" s="134">
        <f>(AC53+AC47)-AC43</f>
        <v>145991.19700523559</v>
      </c>
      <c r="AD54" s="135" t="s">
        <v>12</v>
      </c>
    </row>
    <row r="55" spans="1:30" x14ac:dyDescent="0.25">
      <c r="A55" s="132"/>
      <c r="B55" s="133" t="s">
        <v>82</v>
      </c>
      <c r="C55" s="134">
        <f t="shared" ref="C55:R55" si="69">(C53)-C43</f>
        <v>-27361</v>
      </c>
      <c r="D55" s="134">
        <f t="shared" si="69"/>
        <v>2907.6526400000002</v>
      </c>
      <c r="E55" s="134">
        <f t="shared" si="69"/>
        <v>2907.6526400000002</v>
      </c>
      <c r="F55" s="134">
        <f t="shared" si="69"/>
        <v>2907.6526400000002</v>
      </c>
      <c r="G55" s="134">
        <f t="shared" si="69"/>
        <v>2907.6526400000002</v>
      </c>
      <c r="H55" s="134">
        <f t="shared" si="69"/>
        <v>2907.6526400000002</v>
      </c>
      <c r="I55" s="134">
        <f t="shared" si="69"/>
        <v>2907.6526400000002</v>
      </c>
      <c r="J55" s="134">
        <f t="shared" si="69"/>
        <v>2907.6526400000002</v>
      </c>
      <c r="K55" s="134">
        <f t="shared" si="69"/>
        <v>2907.6526400000002</v>
      </c>
      <c r="L55" s="134">
        <f t="shared" si="69"/>
        <v>2907.6526400000002</v>
      </c>
      <c r="M55" s="134">
        <f t="shared" si="69"/>
        <v>2907.6526400000002</v>
      </c>
      <c r="N55" s="134">
        <f t="shared" si="69"/>
        <v>2907.6526400000002</v>
      </c>
      <c r="O55" s="134">
        <f t="shared" si="69"/>
        <v>2907.6526400000002</v>
      </c>
      <c r="P55" s="134">
        <f t="shared" si="69"/>
        <v>2907.6526400000002</v>
      </c>
      <c r="Q55" s="134">
        <f t="shared" si="69"/>
        <v>2907.6526400000002</v>
      </c>
      <c r="R55" s="134">
        <f t="shared" si="69"/>
        <v>2907.6526400000002</v>
      </c>
      <c r="S55" s="134">
        <f t="shared" ref="S55:W55" si="70">(S53)-S43</f>
        <v>2907.6526400000002</v>
      </c>
      <c r="T55" s="134">
        <f t="shared" si="70"/>
        <v>2907.6526400000002</v>
      </c>
      <c r="U55" s="134">
        <f t="shared" si="70"/>
        <v>2907.6526400000002</v>
      </c>
      <c r="V55" s="134">
        <f t="shared" si="70"/>
        <v>2907.6526400000002</v>
      </c>
      <c r="W55" s="134">
        <f t="shared" si="70"/>
        <v>2907.6526400000002</v>
      </c>
      <c r="X55" s="134">
        <f t="shared" ref="X55:AB55" si="71">(X53)-X43</f>
        <v>2907.6526400000002</v>
      </c>
      <c r="Y55" s="134">
        <f t="shared" si="71"/>
        <v>2907.6526400000002</v>
      </c>
      <c r="Z55" s="134">
        <f t="shared" si="71"/>
        <v>2907.6526400000002</v>
      </c>
      <c r="AA55" s="134">
        <f t="shared" si="71"/>
        <v>2907.6526400000002</v>
      </c>
      <c r="AB55" s="134">
        <f t="shared" si="71"/>
        <v>2907.6526400000002</v>
      </c>
      <c r="AC55" s="134">
        <f>(AC53)-AC43</f>
        <v>45330.316000000064</v>
      </c>
      <c r="AD55" s="135" t="s">
        <v>12</v>
      </c>
    </row>
    <row r="56" spans="1:30" ht="13.5" customHeight="1" x14ac:dyDescent="0.25">
      <c r="A56" s="69" t="s">
        <v>83</v>
      </c>
      <c r="B56" s="70">
        <f>XIRR(C55:AB55, C$38:AB$38, 0.1)</f>
        <v>9.5314869284629816E-2</v>
      </c>
      <c r="D56" s="82"/>
      <c r="E56" s="71"/>
      <c r="F56" s="71"/>
      <c r="G56" s="71"/>
      <c r="H56" s="71"/>
      <c r="I56" s="71"/>
      <c r="J56" s="72"/>
    </row>
    <row r="57" spans="1:30" ht="13.5" customHeight="1" x14ac:dyDescent="0.25">
      <c r="A57" s="96" t="s">
        <v>85</v>
      </c>
      <c r="B57" s="73">
        <f>XIRR(C54:AB54, C$38:AB$38, 0.1)</f>
        <v>0.2468866288661957</v>
      </c>
      <c r="D57" s="82"/>
      <c r="E57" s="71"/>
      <c r="F57" s="71"/>
      <c r="G57" s="71"/>
      <c r="H57" s="71"/>
      <c r="I57" s="71"/>
      <c r="J57" s="72"/>
    </row>
    <row r="58" spans="1:30" x14ac:dyDescent="0.25">
      <c r="A58" s="97" t="s">
        <v>86</v>
      </c>
      <c r="B58" s="84">
        <f>XNPV(A$34,C53:AB53,C$38:AB$38)/XNPV(A$34,C43:AB43,C$38:AB$38)</f>
        <v>1.0012796590904536</v>
      </c>
      <c r="E58" s="85"/>
      <c r="F58" s="85"/>
      <c r="G58" s="85"/>
      <c r="H58" s="85"/>
      <c r="I58" s="85"/>
    </row>
    <row r="59" spans="1:30" x14ac:dyDescent="0.25">
      <c r="A59" s="96" t="s">
        <v>87</v>
      </c>
      <c r="B59" s="86">
        <f>(XNPV(A$34,C53:AB53,C$38:AB$38)+XNPV(A$34,C47:AB47,C$38:AB$38))/XNPV(A$34,C43:AB43,C$38:AB$38)</f>
        <v>1.7010276251334862</v>
      </c>
      <c r="E59" s="85"/>
      <c r="F59" s="85"/>
      <c r="G59" s="85"/>
      <c r="H59" s="85"/>
      <c r="I59" s="85"/>
    </row>
    <row r="60" spans="1:30" x14ac:dyDescent="0.25">
      <c r="A60" s="98" t="s">
        <v>84</v>
      </c>
      <c r="B60" s="74">
        <f>XNPV(A$34,C55:AB55,C$38:AB$38)</f>
        <v>68.041671670934704</v>
      </c>
      <c r="E60" s="85"/>
      <c r="F60" s="85"/>
      <c r="G60" s="85"/>
      <c r="H60" s="85"/>
      <c r="I60" s="85"/>
    </row>
    <row r="61" spans="1:30" x14ac:dyDescent="0.25">
      <c r="A61" s="96" t="s">
        <v>88</v>
      </c>
      <c r="B61" s="76">
        <f>XNPV(A$34,C54:AB54,C$38:AB$38)</f>
        <v>37274.842852621587</v>
      </c>
      <c r="E61" s="85"/>
      <c r="F61" s="85"/>
      <c r="G61" s="85"/>
      <c r="H61" s="85"/>
      <c r="I61" s="85"/>
    </row>
    <row r="62" spans="1:30" x14ac:dyDescent="0.25">
      <c r="A62" s="83" t="s">
        <v>76</v>
      </c>
      <c r="B62" s="74">
        <f>IF(M62,$M$37-$C$37)</f>
        <v>10</v>
      </c>
      <c r="C62" s="75">
        <f>C53/C43</f>
        <v>0</v>
      </c>
      <c r="D62" s="87">
        <f>SUM($C$53:D53)/SUM($C$43:D43)</f>
        <v>0.18751815424077406</v>
      </c>
      <c r="E62" s="87">
        <f>SUM($C$53:E53)/SUM($C$43:E43)</f>
        <v>0.34378328277475245</v>
      </c>
      <c r="F62" s="87">
        <f>SUM($C$53:F53)/SUM($C$43:F43)</f>
        <v>0.47600762230350346</v>
      </c>
      <c r="G62" s="87">
        <f>SUM($C$53:G53)/SUM($C$43:G43)</f>
        <v>0.58934277047100425</v>
      </c>
      <c r="H62" s="87">
        <f>SUM($C$53:H53)/SUM($C$43:H43)</f>
        <v>0.6875665655495049</v>
      </c>
      <c r="I62" s="87">
        <f>SUM($C$53:I53)/SUM($C$43:I43)</f>
        <v>0.77351238624319307</v>
      </c>
      <c r="J62" s="87">
        <f>SUM($C$53:J53)/SUM($C$43:J43)</f>
        <v>0.84934693391409433</v>
      </c>
      <c r="K62" s="87">
        <f>SUM($C$53:K53)/SUM($C$43:K43)</f>
        <v>0.91675542073267324</v>
      </c>
      <c r="L62" s="87">
        <f>SUM($C$53:L53)/SUM($C$43:L43)</f>
        <v>0.97706827735982271</v>
      </c>
      <c r="M62" s="87">
        <f>SUM($C$53:M53)/SUM($C$43:M43)</f>
        <v>1.0313498483242574</v>
      </c>
      <c r="N62" s="87">
        <f>SUM($C$53:N53)/SUM($C$43:N43)</f>
        <v>1.0804617458635077</v>
      </c>
      <c r="O62" s="87">
        <f>SUM($C$53:O53)/SUM($C$43:O43)</f>
        <v>1.1251089254446445</v>
      </c>
      <c r="P62" s="87">
        <f>SUM($C$53:P53)/SUM($C$43:P43)</f>
        <v>1.1658737415839433</v>
      </c>
      <c r="Q62" s="87">
        <f>SUM($C$53:Q53)/SUM($C$43:Q43)</f>
        <v>1.2032414897116339</v>
      </c>
      <c r="R62" s="87">
        <f>SUM($C$53:R53)/SUM($C$43:R43)</f>
        <v>1.2376198179891091</v>
      </c>
      <c r="S62" s="87">
        <f>SUM($C$53:S53)/SUM($C$43:S43)</f>
        <v>1.2693536594760093</v>
      </c>
      <c r="T62" s="87">
        <f>SUM($C$53:T53)/SUM($C$43:T43)</f>
        <v>1.2987368460379538</v>
      </c>
      <c r="U62" s="87">
        <f>SUM($C$53:U53)/SUM($C$43:U43)</f>
        <v>1.3260212335597596</v>
      </c>
      <c r="V62" s="87">
        <f>SUM($C$53:V53)/SUM($C$43:V43)</f>
        <v>1.3514239391835097</v>
      </c>
      <c r="W62" s="87">
        <f>SUM($C$53:W53)/SUM($C$43:W43)</f>
        <v>1.3751331310990098</v>
      </c>
      <c r="X62" s="87">
        <f>SUM($C$53:X53)/SUM($C$43:X43)</f>
        <v>1.3973126977296391</v>
      </c>
      <c r="Y62" s="87">
        <f>SUM($C$53:Y53)/SUM($C$43:Y43)</f>
        <v>1.4181060414458539</v>
      </c>
      <c r="Z62" s="87">
        <f>SUM($C$53:Z53)/SUM($C$43:Z43)</f>
        <v>1.4376391825126011</v>
      </c>
      <c r="AA62" s="87">
        <f>SUM($C$53:AA53)/SUM($C$43:AA43)</f>
        <v>1.4560233152813042</v>
      </c>
      <c r="AB62" s="87">
        <f>SUM($C$53:AB53)/SUM($C$43:AB43)</f>
        <v>1.4733569261775101</v>
      </c>
    </row>
    <row r="63" spans="1:30" x14ac:dyDescent="0.25">
      <c r="A63" s="96" t="s">
        <v>89</v>
      </c>
      <c r="B63" s="76">
        <f>IF(H63,$H$37-$C$37)</f>
        <v>5</v>
      </c>
      <c r="C63" s="75">
        <f>(C53+C47)/C43</f>
        <v>0</v>
      </c>
      <c r="D63" s="87">
        <f>(SUM($C$53:D53)+SUM($C$47:D47))/SUM($C$43:D43)</f>
        <v>0.31429416920567099</v>
      </c>
      <c r="E63" s="87">
        <f>(SUM($C$53:E53)+SUM($C$47:E47))/SUM($C$43:E43)</f>
        <v>0.57664424545886495</v>
      </c>
      <c r="F63" s="87">
        <f>(SUM($C$53:F53)+SUM($C$47:F47))/SUM($C$43:F43)</f>
        <v>0.7990474410235795</v>
      </c>
      <c r="G63" s="87">
        <f>(SUM($C$53:G53)+SUM($C$47:G47))/SUM($C$43:G43)</f>
        <v>0.99007342801798193</v>
      </c>
      <c r="H63" s="87">
        <f>(SUM($C$53:H53)+SUM($C$47:H47))/SUM($C$43:H43)</f>
        <v>1.15600685727471</v>
      </c>
      <c r="I63" s="87">
        <f>(SUM($C$53:I53)+SUM($C$47:I47))/SUM($C$43:I43)</f>
        <v>1.301561432756958</v>
      </c>
      <c r="J63" s="87">
        <f>(SUM($C$53:J53)+SUM($C$47:J47))/SUM($C$43:J43)</f>
        <v>1.4303419598339315</v>
      </c>
      <c r="K63" s="87">
        <f>(SUM($C$53:K53)+SUM($C$47:K47))/SUM($C$43:K43)</f>
        <v>1.5451523775843907</v>
      </c>
      <c r="L63" s="87">
        <f>(SUM($C$53:L53)+SUM($C$47:L47))/SUM($C$43:L43)</f>
        <v>1.6482065178576231</v>
      </c>
      <c r="M63" s="87">
        <f>(SUM($C$53:M53)+SUM($C$47:M47))/SUM($C$43:M43)</f>
        <v>1.741275636729505</v>
      </c>
      <c r="N63" s="87">
        <f>(SUM($C$53:N53)+SUM($C$47:N47))/SUM($C$43:N43)</f>
        <v>1.8257937942246574</v>
      </c>
      <c r="O63" s="87">
        <f>(SUM($C$53:O53)+SUM($C$47:O47))/SUM($C$43:O43)</f>
        <v>1.9029344942226707</v>
      </c>
      <c r="P63" s="87">
        <f>(SUM($C$53:P53)+SUM($C$47:P47))/SUM($C$43:P43)</f>
        <v>1.973667331451491</v>
      </c>
      <c r="Q63" s="87">
        <f>(SUM($C$53:Q53)+SUM($C$47:Q47))/SUM($C$43:Q43)</f>
        <v>2.0388004768367507</v>
      </c>
      <c r="R63" s="87">
        <f>(SUM($C$53:R53)+SUM($C$47:R47))/SUM($C$43:R43)</f>
        <v>2.0990129664698896</v>
      </c>
      <c r="S63" s="87">
        <f>(SUM($C$53:S53)+SUM($C$47:S47))/SUM($C$43:S43)</f>
        <v>2.1548795393770828</v>
      </c>
      <c r="T63" s="87">
        <f>(SUM($C$53:T53)+SUM($C$47:T47))/SUM($C$43:T43)</f>
        <v>2.2068899558837973</v>
      </c>
      <c r="U63" s="87">
        <f>(SUM($C$53:U53)+SUM($C$47:U47))/SUM($C$43:U43)</f>
        <v>2.2554641764284802</v>
      </c>
      <c r="V63" s="87">
        <f>(SUM($C$53:V53)+SUM($C$47:V47))/SUM($C$43:V43)</f>
        <v>2.3009644000296818</v>
      </c>
      <c r="W63" s="87">
        <f>(SUM($C$53:W53)+SUM($C$47:W47))/SUM($C$43:W43)</f>
        <v>2.343704695156525</v>
      </c>
      <c r="X63" s="87">
        <f>(SUM($C$53:X53)+SUM($C$47:X47))/SUM($C$43:X43)</f>
        <v>2.3839587666556983</v>
      </c>
      <c r="Y63" s="87">
        <f>(SUM($C$53:Y53)+SUM($C$47:Y47))/SUM($C$43:Y43)</f>
        <v>2.4219662664749495</v>
      </c>
      <c r="Z63" s="87">
        <f>(SUM($C$53:Z53)+SUM($C$47:Z47))/SUM($C$43:Z43)</f>
        <v>2.4579379570770294</v>
      </c>
      <c r="AA63" s="87">
        <f>(SUM($C$53:AA53)+SUM($C$47:AA47))/SUM($C$43:AA43)</f>
        <v>2.4920599637571819</v>
      </c>
      <c r="AB63" s="87">
        <f>(SUM($C$53:AB53)+SUM($C$47:AB47))/SUM($C$43:AB43)</f>
        <v>2.5244972980857581</v>
      </c>
    </row>
    <row r="67" spans="1:32" ht="26.25" x14ac:dyDescent="0.4">
      <c r="A67" s="107">
        <v>0.04</v>
      </c>
      <c r="B67" s="107" t="s">
        <v>79</v>
      </c>
    </row>
    <row r="68" spans="1:32" ht="23.25" customHeight="1" x14ac:dyDescent="0.25">
      <c r="A68" s="316" t="s">
        <v>139</v>
      </c>
      <c r="B68" s="317"/>
      <c r="C68" s="317"/>
      <c r="D68" s="317"/>
      <c r="E68" s="317"/>
      <c r="F68" s="317"/>
      <c r="G68" s="317"/>
      <c r="H68" s="317"/>
      <c r="I68" s="317"/>
      <c r="J68" s="317"/>
      <c r="K68" s="317"/>
      <c r="L68" s="317"/>
      <c r="M68" s="317"/>
      <c r="N68" s="317"/>
      <c r="O68" s="317"/>
      <c r="P68" s="317"/>
      <c r="Q68" s="317"/>
      <c r="R68" s="317"/>
      <c r="S68" s="317"/>
      <c r="T68" s="317"/>
      <c r="U68" s="317"/>
      <c r="V68" s="317"/>
      <c r="W68" s="317"/>
      <c r="X68" s="317"/>
      <c r="Y68" s="317"/>
      <c r="Z68" s="317"/>
      <c r="AA68" s="317"/>
      <c r="AB68" s="317"/>
      <c r="AC68" s="317"/>
      <c r="AD68" s="318"/>
    </row>
    <row r="69" spans="1:32" x14ac:dyDescent="0.25">
      <c r="A69" s="78"/>
      <c r="B69" s="78"/>
      <c r="C69" s="60" t="s">
        <v>8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1" t="s">
        <v>9</v>
      </c>
    </row>
    <row r="70" spans="1:32" ht="15.75" customHeight="1" x14ac:dyDescent="0.25">
      <c r="A70" s="319" t="s">
        <v>130</v>
      </c>
      <c r="B70" s="320"/>
      <c r="C70" s="224"/>
      <c r="D70" s="1">
        <v>1</v>
      </c>
      <c r="E70" s="1">
        <v>2</v>
      </c>
      <c r="F70" s="1">
        <v>3</v>
      </c>
      <c r="G70" s="1">
        <v>4</v>
      </c>
      <c r="H70" s="1">
        <v>5</v>
      </c>
      <c r="I70" s="1">
        <v>6</v>
      </c>
      <c r="J70" s="1">
        <v>7</v>
      </c>
      <c r="K70" s="1">
        <v>8</v>
      </c>
      <c r="L70" s="1">
        <v>9</v>
      </c>
      <c r="M70" s="1">
        <v>10</v>
      </c>
      <c r="N70" s="1">
        <v>11</v>
      </c>
      <c r="O70" s="1">
        <v>12</v>
      </c>
      <c r="P70" s="1">
        <v>13</v>
      </c>
      <c r="Q70" s="1">
        <v>14</v>
      </c>
      <c r="R70" s="1">
        <v>15</v>
      </c>
      <c r="S70" s="1">
        <v>16</v>
      </c>
      <c r="T70" s="1">
        <v>17</v>
      </c>
      <c r="U70" s="1">
        <v>18</v>
      </c>
      <c r="V70" s="1">
        <v>19</v>
      </c>
      <c r="W70" s="1">
        <v>20</v>
      </c>
      <c r="X70" s="1">
        <v>21</v>
      </c>
      <c r="Y70" s="1">
        <v>22</v>
      </c>
      <c r="Z70" s="1">
        <v>23</v>
      </c>
      <c r="AA70" s="1">
        <v>24</v>
      </c>
      <c r="AB70" s="1">
        <v>25</v>
      </c>
      <c r="AC70" s="62" t="s">
        <v>78</v>
      </c>
      <c r="AD70" s="7"/>
    </row>
    <row r="71" spans="1:32" ht="16.5" customHeight="1" x14ac:dyDescent="0.25">
      <c r="A71" s="89"/>
      <c r="B71" s="90"/>
      <c r="C71" s="99">
        <v>44197</v>
      </c>
      <c r="D71" s="99">
        <v>44562</v>
      </c>
      <c r="E71" s="99">
        <v>44927</v>
      </c>
      <c r="F71" s="99">
        <v>45292</v>
      </c>
      <c r="G71" s="99">
        <v>45658</v>
      </c>
      <c r="H71" s="99">
        <v>46023</v>
      </c>
      <c r="I71" s="99">
        <v>46388</v>
      </c>
      <c r="J71" s="99">
        <v>46753</v>
      </c>
      <c r="K71" s="99">
        <v>47119</v>
      </c>
      <c r="L71" s="99">
        <v>47484</v>
      </c>
      <c r="M71" s="99">
        <v>47849</v>
      </c>
      <c r="N71" s="99">
        <v>48214</v>
      </c>
      <c r="O71" s="99">
        <v>48580</v>
      </c>
      <c r="P71" s="99">
        <v>48945</v>
      </c>
      <c r="Q71" s="99">
        <v>49310</v>
      </c>
      <c r="R71" s="99">
        <v>49675</v>
      </c>
      <c r="S71" s="99">
        <v>50041</v>
      </c>
      <c r="T71" s="99">
        <v>50406</v>
      </c>
      <c r="U71" s="99">
        <v>50771</v>
      </c>
      <c r="V71" s="99">
        <v>51136</v>
      </c>
      <c r="W71" s="99">
        <v>51502</v>
      </c>
      <c r="X71" s="99">
        <v>51867</v>
      </c>
      <c r="Y71" s="99">
        <v>52232</v>
      </c>
      <c r="Z71" s="99">
        <v>52597</v>
      </c>
      <c r="AA71" s="99">
        <v>52963</v>
      </c>
      <c r="AB71" s="99">
        <v>53328</v>
      </c>
      <c r="AC71" s="91"/>
      <c r="AD71" s="92"/>
    </row>
    <row r="72" spans="1:32" s="106" customFormat="1" ht="16.5" customHeight="1" x14ac:dyDescent="0.25">
      <c r="C72" s="101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3"/>
      <c r="AD72" s="104"/>
      <c r="AE72" s="105"/>
      <c r="AF72" s="105"/>
    </row>
    <row r="73" spans="1:32" x14ac:dyDescent="0.25">
      <c r="A73" s="312" t="s">
        <v>10</v>
      </c>
      <c r="B73" s="313"/>
      <c r="C73" s="225"/>
      <c r="D73" s="63"/>
      <c r="E73" s="63"/>
      <c r="F73" s="63"/>
      <c r="G73" s="63"/>
      <c r="H73" s="63"/>
      <c r="I73" s="63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</row>
    <row r="74" spans="1:32" x14ac:dyDescent="0.25">
      <c r="A74" s="226" t="s">
        <v>11</v>
      </c>
      <c r="B74" s="59"/>
      <c r="C74" s="88">
        <f>Interventions!$G$6</f>
        <v>27361</v>
      </c>
      <c r="D74" s="65"/>
      <c r="E74" s="65"/>
      <c r="F74" s="65"/>
      <c r="G74" s="65"/>
      <c r="H74" s="65"/>
      <c r="I74" s="6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66">
        <f>SUM(C74:AB74)</f>
        <v>27361</v>
      </c>
      <c r="AD74" s="3" t="s">
        <v>12</v>
      </c>
    </row>
    <row r="75" spans="1:32" x14ac:dyDescent="0.25">
      <c r="A75" s="59" t="s">
        <v>136</v>
      </c>
      <c r="B75" s="226"/>
      <c r="C75" s="93"/>
      <c r="D75" s="67">
        <f>Interventions!$G$7</f>
        <v>2736.1000000000004</v>
      </c>
      <c r="E75" s="67">
        <f>Interventions!$G$7</f>
        <v>2736.1000000000004</v>
      </c>
      <c r="F75" s="67">
        <f>Interventions!$G$7</f>
        <v>2736.1000000000004</v>
      </c>
      <c r="G75" s="67">
        <f>Interventions!$G$7</f>
        <v>2736.1000000000004</v>
      </c>
      <c r="H75" s="67">
        <f>Interventions!$G$7</f>
        <v>2736.1000000000004</v>
      </c>
      <c r="I75" s="67">
        <f>Interventions!$G$7</f>
        <v>2736.1000000000004</v>
      </c>
      <c r="J75" s="67">
        <f>Interventions!$G$7</f>
        <v>2736.1000000000004</v>
      </c>
      <c r="K75" s="67">
        <f>Interventions!$G$7</f>
        <v>2736.1000000000004</v>
      </c>
      <c r="L75" s="67">
        <f>Interventions!$G$7</f>
        <v>2736.1000000000004</v>
      </c>
      <c r="M75" s="67">
        <f>Interventions!$G$7</f>
        <v>2736.1000000000004</v>
      </c>
      <c r="N75" s="67">
        <f>Interventions!$G$7</f>
        <v>2736.1000000000004</v>
      </c>
      <c r="O75" s="67">
        <f>Interventions!$G$7</f>
        <v>2736.1000000000004</v>
      </c>
      <c r="P75" s="67">
        <f>Interventions!$G$7</f>
        <v>2736.1000000000004</v>
      </c>
      <c r="Q75" s="67">
        <f>Interventions!$G$7</f>
        <v>2736.1000000000004</v>
      </c>
      <c r="R75" s="67">
        <f>Interventions!$G$7</f>
        <v>2736.1000000000004</v>
      </c>
      <c r="S75" s="67">
        <f>Interventions!$G$7</f>
        <v>2736.1000000000004</v>
      </c>
      <c r="T75" s="67">
        <f>Interventions!$G$7</f>
        <v>2736.1000000000004</v>
      </c>
      <c r="U75" s="67">
        <f>Interventions!$G$7</f>
        <v>2736.1000000000004</v>
      </c>
      <c r="V75" s="67">
        <f>Interventions!$G$7</f>
        <v>2736.1000000000004</v>
      </c>
      <c r="W75" s="67">
        <f>Interventions!$G$7</f>
        <v>2736.1000000000004</v>
      </c>
      <c r="X75" s="67">
        <f>Interventions!$G$7</f>
        <v>2736.1000000000004</v>
      </c>
      <c r="Y75" s="67">
        <f>Interventions!$G$7</f>
        <v>2736.1000000000004</v>
      </c>
      <c r="Z75" s="67">
        <f>Interventions!$G$7</f>
        <v>2736.1000000000004</v>
      </c>
      <c r="AA75" s="67">
        <f>Interventions!$G$7</f>
        <v>2736.1000000000004</v>
      </c>
      <c r="AB75" s="67">
        <f>Interventions!$G$7</f>
        <v>2736.1000000000004</v>
      </c>
      <c r="AC75" s="66">
        <f>SUM(C75:AB75)</f>
        <v>68402.499999999985</v>
      </c>
      <c r="AD75" s="3" t="s">
        <v>12</v>
      </c>
    </row>
    <row r="76" spans="1:32" x14ac:dyDescent="0.25">
      <c r="A76" s="310" t="s">
        <v>80</v>
      </c>
      <c r="B76" s="311"/>
      <c r="C76" s="94">
        <f t="shared" ref="C76:W76" si="72">SUM(C74:C75)</f>
        <v>27361</v>
      </c>
      <c r="D76" s="94">
        <f t="shared" si="72"/>
        <v>2736.1000000000004</v>
      </c>
      <c r="E76" s="94">
        <f t="shared" si="72"/>
        <v>2736.1000000000004</v>
      </c>
      <c r="F76" s="94">
        <f t="shared" si="72"/>
        <v>2736.1000000000004</v>
      </c>
      <c r="G76" s="94">
        <f t="shared" si="72"/>
        <v>2736.1000000000004</v>
      </c>
      <c r="H76" s="94">
        <f t="shared" si="72"/>
        <v>2736.1000000000004</v>
      </c>
      <c r="I76" s="94">
        <f t="shared" si="72"/>
        <v>2736.1000000000004</v>
      </c>
      <c r="J76" s="94">
        <f t="shared" si="72"/>
        <v>2736.1000000000004</v>
      </c>
      <c r="K76" s="94">
        <f t="shared" si="72"/>
        <v>2736.1000000000004</v>
      </c>
      <c r="L76" s="94">
        <f t="shared" si="72"/>
        <v>2736.1000000000004</v>
      </c>
      <c r="M76" s="94">
        <f t="shared" si="72"/>
        <v>2736.1000000000004</v>
      </c>
      <c r="N76" s="94">
        <f t="shared" si="72"/>
        <v>2736.1000000000004</v>
      </c>
      <c r="O76" s="94">
        <f t="shared" si="72"/>
        <v>2736.1000000000004</v>
      </c>
      <c r="P76" s="94">
        <f t="shared" si="72"/>
        <v>2736.1000000000004</v>
      </c>
      <c r="Q76" s="94">
        <f t="shared" si="72"/>
        <v>2736.1000000000004</v>
      </c>
      <c r="R76" s="94">
        <f t="shared" si="72"/>
        <v>2736.1000000000004</v>
      </c>
      <c r="S76" s="94">
        <f t="shared" si="72"/>
        <v>2736.1000000000004</v>
      </c>
      <c r="T76" s="94">
        <f t="shared" si="72"/>
        <v>2736.1000000000004</v>
      </c>
      <c r="U76" s="94">
        <f t="shared" si="72"/>
        <v>2736.1000000000004</v>
      </c>
      <c r="V76" s="94">
        <f t="shared" si="72"/>
        <v>2736.1000000000004</v>
      </c>
      <c r="W76" s="94">
        <f t="shared" si="72"/>
        <v>2736.1000000000004</v>
      </c>
      <c r="X76" s="94">
        <f t="shared" ref="X76:AB76" si="73">SUM(X74:X75)</f>
        <v>2736.1000000000004</v>
      </c>
      <c r="Y76" s="94">
        <f t="shared" si="73"/>
        <v>2736.1000000000004</v>
      </c>
      <c r="Z76" s="94">
        <f t="shared" si="73"/>
        <v>2736.1000000000004</v>
      </c>
      <c r="AA76" s="94">
        <f t="shared" si="73"/>
        <v>2736.1000000000004</v>
      </c>
      <c r="AB76" s="94">
        <f t="shared" si="73"/>
        <v>2736.1000000000004</v>
      </c>
      <c r="AC76" s="95">
        <f>SUM(AC74:AC75)</f>
        <v>95763.499999999985</v>
      </c>
      <c r="AD76" s="6" t="s">
        <v>12</v>
      </c>
    </row>
    <row r="77" spans="1:32" x14ac:dyDescent="0.25">
      <c r="A77" s="312" t="s">
        <v>154</v>
      </c>
      <c r="B77" s="313"/>
      <c r="C77" s="239"/>
      <c r="D77" s="63"/>
      <c r="E77" s="63"/>
      <c r="F77" s="63"/>
      <c r="G77" s="63"/>
      <c r="H77" s="63"/>
      <c r="I77" s="63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</row>
    <row r="78" spans="1:32" x14ac:dyDescent="0.25">
      <c r="A78" s="59" t="s">
        <v>170</v>
      </c>
      <c r="B78" s="59"/>
      <c r="C78" s="59"/>
      <c r="D78" s="67">
        <f>'Carbon avoided'!E12</f>
        <v>575.59040000000005</v>
      </c>
      <c r="E78" s="67">
        <f>'Carbon avoided'!F12</f>
        <v>589.98016000000007</v>
      </c>
      <c r="F78" s="67">
        <f>'Carbon avoided'!G12</f>
        <v>604.72966399999996</v>
      </c>
      <c r="G78" s="67">
        <f>'Carbon avoided'!H12</f>
        <v>619.84790559999999</v>
      </c>
      <c r="H78" s="67">
        <f>'Carbon avoided'!I12</f>
        <v>635.34410323999998</v>
      </c>
      <c r="I78" s="67">
        <f>'Carbon avoided'!J12</f>
        <v>651.22770582099986</v>
      </c>
      <c r="J78" s="67">
        <f>'Carbon avoided'!K12</f>
        <v>667.5083984665248</v>
      </c>
      <c r="K78" s="67">
        <f>'Carbon avoided'!L12</f>
        <v>684.19610842818781</v>
      </c>
      <c r="L78" s="67">
        <f>'Carbon avoided'!M12</f>
        <v>701.30101113889248</v>
      </c>
      <c r="M78" s="67">
        <f>'Carbon avoided'!N12</f>
        <v>718.83353641736471</v>
      </c>
      <c r="N78" s="67">
        <f>'Carbon avoided'!O12</f>
        <v>736.80437482779871</v>
      </c>
      <c r="O78" s="67">
        <f>'Carbon avoided'!P12</f>
        <v>755.22448419849366</v>
      </c>
      <c r="P78" s="67">
        <f>'Carbon avoided'!Q12</f>
        <v>774.10509630345587</v>
      </c>
      <c r="Q78" s="67">
        <f>'Carbon avoided'!R12</f>
        <v>793.45772371104215</v>
      </c>
      <c r="R78" s="67">
        <f>'Carbon avoided'!S12</f>
        <v>813.29416680381814</v>
      </c>
      <c r="S78" s="67">
        <f>'Carbon avoided'!T12</f>
        <v>833.62652097391356</v>
      </c>
      <c r="T78" s="67">
        <f>'Carbon avoided'!U12</f>
        <v>854.46718399826136</v>
      </c>
      <c r="U78" s="67">
        <f>'Carbon avoided'!V12</f>
        <v>875.82886359821782</v>
      </c>
      <c r="V78" s="67">
        <f>'Carbon avoided'!W12</f>
        <v>897.72458518817314</v>
      </c>
      <c r="W78" s="67">
        <f>'Carbon avoided'!X12</f>
        <v>920.16769981787741</v>
      </c>
      <c r="X78" s="67">
        <f>'Carbon avoided'!Y12</f>
        <v>943.17189231332429</v>
      </c>
      <c r="Y78" s="67">
        <f>'Carbon avoided'!Z12</f>
        <v>966.75118962115732</v>
      </c>
      <c r="Z78" s="67">
        <f>'Carbon avoided'!AA12</f>
        <v>990.9199693616863</v>
      </c>
      <c r="AA78" s="67">
        <f>'Carbon avoided'!AB12</f>
        <v>1015.6929685957284</v>
      </c>
      <c r="AB78" s="67">
        <f>'Carbon avoided'!AC12</f>
        <v>1041.0852928106215</v>
      </c>
      <c r="AC78" s="66">
        <f>SUM(C78:AB78)</f>
        <v>19660.88100523554</v>
      </c>
      <c r="AD78" s="3" t="s">
        <v>12</v>
      </c>
    </row>
    <row r="79" spans="1:32" ht="12.75" customHeight="1" x14ac:dyDescent="0.25">
      <c r="A79" s="59" t="s">
        <v>174</v>
      </c>
      <c r="B79" s="59"/>
      <c r="C79" s="59"/>
      <c r="D79" s="67">
        <f>Interventions!$G$10</f>
        <v>3240</v>
      </c>
      <c r="E79" s="67">
        <f>Interventions!$G$10</f>
        <v>3240</v>
      </c>
      <c r="F79" s="67">
        <f>Interventions!$G$10</f>
        <v>3240</v>
      </c>
      <c r="G79" s="67">
        <f>Interventions!$G$10</f>
        <v>3240</v>
      </c>
      <c r="H79" s="67">
        <f>Interventions!$G$10</f>
        <v>3240</v>
      </c>
      <c r="I79" s="67">
        <f>Interventions!$G$10</f>
        <v>3240</v>
      </c>
      <c r="J79" s="67">
        <f>Interventions!$G$10</f>
        <v>3240</v>
      </c>
      <c r="K79" s="67">
        <f>Interventions!$G$10</f>
        <v>3240</v>
      </c>
      <c r="L79" s="67">
        <f>Interventions!$G$10</f>
        <v>3240</v>
      </c>
      <c r="M79" s="67">
        <f>Interventions!$G$10</f>
        <v>3240</v>
      </c>
      <c r="N79" s="67">
        <f>Interventions!$G$10</f>
        <v>3240</v>
      </c>
      <c r="O79" s="67">
        <f>Interventions!$G$10</f>
        <v>3240</v>
      </c>
      <c r="P79" s="67">
        <f>Interventions!$G$10</f>
        <v>3240</v>
      </c>
      <c r="Q79" s="67">
        <f>Interventions!$G$10</f>
        <v>3240</v>
      </c>
      <c r="R79" s="67">
        <f>Interventions!$G$10</f>
        <v>3240</v>
      </c>
      <c r="S79" s="67">
        <f>Interventions!$G$10</f>
        <v>3240</v>
      </c>
      <c r="T79" s="67">
        <f>Interventions!$G$10</f>
        <v>3240</v>
      </c>
      <c r="U79" s="67">
        <f>Interventions!$G$10</f>
        <v>3240</v>
      </c>
      <c r="V79" s="67">
        <f>Interventions!$G$10</f>
        <v>3240</v>
      </c>
      <c r="W79" s="67">
        <f>Interventions!$G$10</f>
        <v>3240</v>
      </c>
      <c r="X79" s="67">
        <f>Interventions!$G$10</f>
        <v>3240</v>
      </c>
      <c r="Y79" s="67">
        <f>Interventions!$G$10</f>
        <v>3240</v>
      </c>
      <c r="Z79" s="67">
        <f>Interventions!$G$10</f>
        <v>3240</v>
      </c>
      <c r="AA79" s="67">
        <f>Interventions!$G$10</f>
        <v>3240</v>
      </c>
      <c r="AB79" s="67">
        <f>Interventions!$G$10</f>
        <v>3240</v>
      </c>
      <c r="AC79" s="66">
        <f>SUM(C79:AB79)</f>
        <v>81000</v>
      </c>
      <c r="AD79" s="3" t="s">
        <v>12</v>
      </c>
    </row>
    <row r="80" spans="1:32" x14ac:dyDescent="0.25">
      <c r="A80" s="310" t="s">
        <v>80</v>
      </c>
      <c r="B80" s="311"/>
      <c r="C80" s="68">
        <f t="shared" ref="C80:R80" si="74">SUM(C78:C79)</f>
        <v>0</v>
      </c>
      <c r="D80" s="68">
        <f t="shared" si="74"/>
        <v>3815.5904</v>
      </c>
      <c r="E80" s="68">
        <f t="shared" si="74"/>
        <v>3829.9801600000001</v>
      </c>
      <c r="F80" s="68">
        <f t="shared" si="74"/>
        <v>3844.729664</v>
      </c>
      <c r="G80" s="68">
        <f t="shared" si="74"/>
        <v>3859.8479056000001</v>
      </c>
      <c r="H80" s="68">
        <f t="shared" si="74"/>
        <v>3875.3441032400001</v>
      </c>
      <c r="I80" s="68">
        <f t="shared" si="74"/>
        <v>3891.2277058209997</v>
      </c>
      <c r="J80" s="68">
        <f t="shared" si="74"/>
        <v>3907.5083984665248</v>
      </c>
      <c r="K80" s="68">
        <f t="shared" si="74"/>
        <v>3924.1961084281879</v>
      </c>
      <c r="L80" s="68">
        <f t="shared" si="74"/>
        <v>3941.3010111388926</v>
      </c>
      <c r="M80" s="68">
        <f t="shared" si="74"/>
        <v>3958.8335364173645</v>
      </c>
      <c r="N80" s="68">
        <f t="shared" si="74"/>
        <v>3976.8043748277987</v>
      </c>
      <c r="O80" s="68">
        <f t="shared" si="74"/>
        <v>3995.2244841984939</v>
      </c>
      <c r="P80" s="68">
        <f t="shared" si="74"/>
        <v>4014.1050963034559</v>
      </c>
      <c r="Q80" s="68">
        <f t="shared" si="74"/>
        <v>4033.457723711042</v>
      </c>
      <c r="R80" s="68">
        <f t="shared" si="74"/>
        <v>4053.2941668038184</v>
      </c>
      <c r="S80" s="68">
        <f t="shared" ref="S80:W80" si="75">SUM(S78:S79)</f>
        <v>4073.6265209739136</v>
      </c>
      <c r="T80" s="68">
        <f t="shared" si="75"/>
        <v>4094.4671839982611</v>
      </c>
      <c r="U80" s="68">
        <f t="shared" si="75"/>
        <v>4115.828863598218</v>
      </c>
      <c r="V80" s="68">
        <f t="shared" si="75"/>
        <v>4137.7245851881735</v>
      </c>
      <c r="W80" s="68">
        <f t="shared" si="75"/>
        <v>4160.1676998178773</v>
      </c>
      <c r="X80" s="68">
        <f t="shared" ref="X80:AB80" si="76">SUM(X78:X79)</f>
        <v>4183.171892313324</v>
      </c>
      <c r="Y80" s="68">
        <f t="shared" si="76"/>
        <v>4206.7511896211572</v>
      </c>
      <c r="Z80" s="68">
        <f t="shared" si="76"/>
        <v>4230.9199693616865</v>
      </c>
      <c r="AA80" s="68">
        <f t="shared" si="76"/>
        <v>4255.6929685957284</v>
      </c>
      <c r="AB80" s="68">
        <f t="shared" si="76"/>
        <v>4281.0852928106215</v>
      </c>
      <c r="AC80" s="68">
        <f>SUM(AC78:AC79)</f>
        <v>100660.88100523554</v>
      </c>
      <c r="AD80" s="6" t="s">
        <v>12</v>
      </c>
    </row>
    <row r="81" spans="1:30" x14ac:dyDescent="0.25">
      <c r="A81" s="312" t="s">
        <v>149</v>
      </c>
      <c r="B81" s="313"/>
      <c r="C81" s="239"/>
      <c r="D81" s="63"/>
      <c r="E81" s="63"/>
      <c r="F81" s="63"/>
      <c r="G81" s="63"/>
      <c r="H81" s="63"/>
      <c r="I81" s="63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</row>
    <row r="82" spans="1:30" x14ac:dyDescent="0.25">
      <c r="A82" s="226"/>
      <c r="B82" s="59"/>
      <c r="C82" s="59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6"/>
      <c r="AD82" s="3"/>
    </row>
    <row r="83" spans="1:30" x14ac:dyDescent="0.25">
      <c r="A83" s="240"/>
      <c r="B83" s="59"/>
      <c r="C83" s="59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6"/>
      <c r="AD83" s="3"/>
    </row>
    <row r="84" spans="1:30" ht="13.5" customHeight="1" x14ac:dyDescent="0.25">
      <c r="A84" s="240"/>
      <c r="B84" s="59"/>
      <c r="C84" s="59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6"/>
      <c r="AD84" s="3"/>
    </row>
    <row r="85" spans="1:30" x14ac:dyDescent="0.25">
      <c r="A85" s="59" t="s">
        <v>36</v>
      </c>
      <c r="B85" s="59" t="s">
        <v>36</v>
      </c>
      <c r="C85" s="59"/>
      <c r="D85" s="67">
        <f>Interventions!$G$14</f>
        <v>4508.5150400000002</v>
      </c>
      <c r="E85" s="67">
        <f>Interventions!$G$14</f>
        <v>4508.5150400000002</v>
      </c>
      <c r="F85" s="67">
        <f>Interventions!$G$14</f>
        <v>4508.5150400000002</v>
      </c>
      <c r="G85" s="67">
        <f>Interventions!$G$14</f>
        <v>4508.5150400000002</v>
      </c>
      <c r="H85" s="67">
        <f>Interventions!$G$14</f>
        <v>4508.5150400000002</v>
      </c>
      <c r="I85" s="67">
        <f>Interventions!$G$14</f>
        <v>4508.5150400000002</v>
      </c>
      <c r="J85" s="67">
        <f>Interventions!$G$14</f>
        <v>4508.5150400000002</v>
      </c>
      <c r="K85" s="67">
        <f>Interventions!$G$14</f>
        <v>4508.5150400000002</v>
      </c>
      <c r="L85" s="67">
        <f>Interventions!$G$14</f>
        <v>4508.5150400000002</v>
      </c>
      <c r="M85" s="67">
        <f>Interventions!$G$14</f>
        <v>4508.5150400000002</v>
      </c>
      <c r="N85" s="67">
        <f>Interventions!$G$14</f>
        <v>4508.5150400000002</v>
      </c>
      <c r="O85" s="67">
        <f>Interventions!$G$14</f>
        <v>4508.5150400000002</v>
      </c>
      <c r="P85" s="67">
        <f>Interventions!$G$14</f>
        <v>4508.5150400000002</v>
      </c>
      <c r="Q85" s="67">
        <f>Interventions!$G$14</f>
        <v>4508.5150400000002</v>
      </c>
      <c r="R85" s="67">
        <f>Interventions!$G$14</f>
        <v>4508.5150400000002</v>
      </c>
      <c r="S85" s="67">
        <f>Interventions!$G$14</f>
        <v>4508.5150400000002</v>
      </c>
      <c r="T85" s="67">
        <f>Interventions!$G$14</f>
        <v>4508.5150400000002</v>
      </c>
      <c r="U85" s="67">
        <f>Interventions!$G$14</f>
        <v>4508.5150400000002</v>
      </c>
      <c r="V85" s="67">
        <f>Interventions!$G$14</f>
        <v>4508.5150400000002</v>
      </c>
      <c r="W85" s="67">
        <f>Interventions!$G$14</f>
        <v>4508.5150400000002</v>
      </c>
      <c r="X85" s="67">
        <f>Interventions!$G$14</f>
        <v>4508.5150400000002</v>
      </c>
      <c r="Y85" s="67">
        <f>Interventions!$G$14</f>
        <v>4508.5150400000002</v>
      </c>
      <c r="Z85" s="67">
        <f>Interventions!$G$14</f>
        <v>4508.5150400000002</v>
      </c>
      <c r="AA85" s="67">
        <f>Interventions!$G$14</f>
        <v>4508.5150400000002</v>
      </c>
      <c r="AB85" s="67">
        <f>Interventions!$G$14</f>
        <v>4508.5150400000002</v>
      </c>
      <c r="AC85" s="66">
        <f>SUM(D85:AB85)</f>
        <v>112712.87599999997</v>
      </c>
      <c r="AD85" s="3" t="s">
        <v>12</v>
      </c>
    </row>
    <row r="86" spans="1:30" x14ac:dyDescent="0.25">
      <c r="A86" s="310" t="s">
        <v>80</v>
      </c>
      <c r="B86" s="311"/>
      <c r="C86" s="81">
        <f>SUM(C82:C82)</f>
        <v>0</v>
      </c>
      <c r="D86" s="81">
        <f>SUM(D82:D85)</f>
        <v>4508.5150400000002</v>
      </c>
      <c r="E86" s="81">
        <f t="shared" ref="E86" si="77">SUM(E82:E85)</f>
        <v>4508.5150400000002</v>
      </c>
      <c r="F86" s="81">
        <f t="shared" ref="F86" si="78">SUM(F82:F85)</f>
        <v>4508.5150400000002</v>
      </c>
      <c r="G86" s="81">
        <f t="shared" ref="G86" si="79">SUM(G82:G85)</f>
        <v>4508.5150400000002</v>
      </c>
      <c r="H86" s="81">
        <f t="shared" ref="H86" si="80">SUM(H82:H85)</f>
        <v>4508.5150400000002</v>
      </c>
      <c r="I86" s="81">
        <f t="shared" ref="I86" si="81">SUM(I82:I85)</f>
        <v>4508.5150400000002</v>
      </c>
      <c r="J86" s="81">
        <f t="shared" ref="J86" si="82">SUM(J82:J85)</f>
        <v>4508.5150400000002</v>
      </c>
      <c r="K86" s="81">
        <f t="shared" ref="K86" si="83">SUM(K82:K85)</f>
        <v>4508.5150400000002</v>
      </c>
      <c r="L86" s="81">
        <f t="shared" ref="L86" si="84">SUM(L82:L85)</f>
        <v>4508.5150400000002</v>
      </c>
      <c r="M86" s="81">
        <f t="shared" ref="M86" si="85">SUM(M82:M85)</f>
        <v>4508.5150400000002</v>
      </c>
      <c r="N86" s="81">
        <f t="shared" ref="N86" si="86">SUM(N82:N85)</f>
        <v>4508.5150400000002</v>
      </c>
      <c r="O86" s="81">
        <f t="shared" ref="O86" si="87">SUM(O82:O85)</f>
        <v>4508.5150400000002</v>
      </c>
      <c r="P86" s="81">
        <f t="shared" ref="P86" si="88">SUM(P82:P85)</f>
        <v>4508.5150400000002</v>
      </c>
      <c r="Q86" s="81">
        <f t="shared" ref="Q86" si="89">SUM(Q82:Q85)</f>
        <v>4508.5150400000002</v>
      </c>
      <c r="R86" s="81">
        <f t="shared" ref="R86" si="90">SUM(R82:R85)</f>
        <v>4508.5150400000002</v>
      </c>
      <c r="S86" s="81">
        <f t="shared" ref="S86" si="91">SUM(S82:S85)</f>
        <v>4508.5150400000002</v>
      </c>
      <c r="T86" s="81">
        <f t="shared" ref="T86" si="92">SUM(T82:T85)</f>
        <v>4508.5150400000002</v>
      </c>
      <c r="U86" s="81">
        <f t="shared" ref="U86" si="93">SUM(U82:U85)</f>
        <v>4508.5150400000002</v>
      </c>
      <c r="V86" s="81">
        <f t="shared" ref="V86" si="94">SUM(V82:V85)</f>
        <v>4508.5150400000002</v>
      </c>
      <c r="W86" s="81">
        <f t="shared" ref="W86" si="95">SUM(W82:W85)</f>
        <v>4508.5150400000002</v>
      </c>
      <c r="X86" s="81">
        <f t="shared" ref="X86" si="96">SUM(X82:X85)</f>
        <v>4508.5150400000002</v>
      </c>
      <c r="Y86" s="81">
        <f t="shared" ref="Y86" si="97">SUM(Y82:Y85)</f>
        <v>4508.5150400000002</v>
      </c>
      <c r="Z86" s="81">
        <f t="shared" ref="Z86" si="98">SUM(Z82:Z85)</f>
        <v>4508.5150400000002</v>
      </c>
      <c r="AA86" s="81">
        <f t="shared" ref="AA86" si="99">SUM(AA82:AA85)</f>
        <v>4508.5150400000002</v>
      </c>
      <c r="AB86" s="81">
        <f t="shared" ref="AB86" si="100">SUM(AB82:AB85)</f>
        <v>4508.5150400000002</v>
      </c>
      <c r="AC86" s="81">
        <f t="shared" ref="AC86" si="101">SUM(AC82:AC85)</f>
        <v>112712.87599999997</v>
      </c>
      <c r="AD86" s="6" t="s">
        <v>12</v>
      </c>
    </row>
    <row r="87" spans="1:30" x14ac:dyDescent="0.25">
      <c r="A87" s="132"/>
      <c r="B87" s="133" t="s">
        <v>81</v>
      </c>
      <c r="C87" s="134">
        <f t="shared" ref="C87:R87" si="102">(C86+C80)-C76</f>
        <v>-27361</v>
      </c>
      <c r="D87" s="134">
        <f t="shared" si="102"/>
        <v>5588.005439999999</v>
      </c>
      <c r="E87" s="134">
        <f t="shared" si="102"/>
        <v>5602.3952000000008</v>
      </c>
      <c r="F87" s="134">
        <f t="shared" si="102"/>
        <v>5617.1447040000003</v>
      </c>
      <c r="G87" s="134">
        <f t="shared" si="102"/>
        <v>5632.2629455999995</v>
      </c>
      <c r="H87" s="134">
        <f t="shared" si="102"/>
        <v>5647.7591432400004</v>
      </c>
      <c r="I87" s="134">
        <f t="shared" si="102"/>
        <v>5663.6427458210001</v>
      </c>
      <c r="J87" s="134">
        <f t="shared" si="102"/>
        <v>5679.9234384665251</v>
      </c>
      <c r="K87" s="134">
        <f t="shared" si="102"/>
        <v>5696.6111484281882</v>
      </c>
      <c r="L87" s="134">
        <f t="shared" si="102"/>
        <v>5713.716051138892</v>
      </c>
      <c r="M87" s="134">
        <f t="shared" si="102"/>
        <v>5731.2485764173634</v>
      </c>
      <c r="N87" s="134">
        <f t="shared" si="102"/>
        <v>5749.2194148277977</v>
      </c>
      <c r="O87" s="134">
        <f t="shared" si="102"/>
        <v>5767.6395241984937</v>
      </c>
      <c r="P87" s="134">
        <f t="shared" si="102"/>
        <v>5786.5201363034557</v>
      </c>
      <c r="Q87" s="134">
        <f t="shared" si="102"/>
        <v>5805.8727637110424</v>
      </c>
      <c r="R87" s="134">
        <f t="shared" si="102"/>
        <v>5825.7092068038182</v>
      </c>
      <c r="S87" s="134">
        <f t="shared" ref="S87:W87" si="103">(S86+S80)-S76</f>
        <v>5846.0415609739139</v>
      </c>
      <c r="T87" s="134">
        <f t="shared" si="103"/>
        <v>5866.8822239982601</v>
      </c>
      <c r="U87" s="134">
        <f t="shared" si="103"/>
        <v>5888.2439035982188</v>
      </c>
      <c r="V87" s="134">
        <f t="shared" si="103"/>
        <v>5910.1396251881724</v>
      </c>
      <c r="W87" s="134">
        <f t="shared" si="103"/>
        <v>5932.5827398178772</v>
      </c>
      <c r="X87" s="134">
        <f t="shared" ref="X87:AB87" si="104">(X86+X80)-X76</f>
        <v>5955.5869323133247</v>
      </c>
      <c r="Y87" s="134">
        <f t="shared" si="104"/>
        <v>5979.1662296211562</v>
      </c>
      <c r="Z87" s="134">
        <f t="shared" si="104"/>
        <v>6003.3350093616864</v>
      </c>
      <c r="AA87" s="134">
        <f t="shared" si="104"/>
        <v>6028.1080085957274</v>
      </c>
      <c r="AB87" s="134">
        <f t="shared" si="104"/>
        <v>6053.5003328106213</v>
      </c>
      <c r="AC87" s="134">
        <f>(AC86+AC80)-AC76</f>
        <v>117610.25700523554</v>
      </c>
      <c r="AD87" s="135" t="s">
        <v>12</v>
      </c>
    </row>
    <row r="88" spans="1:30" x14ac:dyDescent="0.25">
      <c r="A88" s="132"/>
      <c r="B88" s="133" t="s">
        <v>82</v>
      </c>
      <c r="C88" s="134">
        <f t="shared" ref="C88:R88" si="105">(C86)-C76</f>
        <v>-27361</v>
      </c>
      <c r="D88" s="134">
        <f t="shared" si="105"/>
        <v>1772.4150399999999</v>
      </c>
      <c r="E88" s="134">
        <f t="shared" si="105"/>
        <v>1772.4150399999999</v>
      </c>
      <c r="F88" s="134">
        <f t="shared" si="105"/>
        <v>1772.4150399999999</v>
      </c>
      <c r="G88" s="134">
        <f t="shared" si="105"/>
        <v>1772.4150399999999</v>
      </c>
      <c r="H88" s="134">
        <f t="shared" si="105"/>
        <v>1772.4150399999999</v>
      </c>
      <c r="I88" s="134">
        <f t="shared" si="105"/>
        <v>1772.4150399999999</v>
      </c>
      <c r="J88" s="134">
        <f t="shared" si="105"/>
        <v>1772.4150399999999</v>
      </c>
      <c r="K88" s="134">
        <f t="shared" si="105"/>
        <v>1772.4150399999999</v>
      </c>
      <c r="L88" s="134">
        <f t="shared" si="105"/>
        <v>1772.4150399999999</v>
      </c>
      <c r="M88" s="134">
        <f t="shared" si="105"/>
        <v>1772.4150399999999</v>
      </c>
      <c r="N88" s="134">
        <f t="shared" si="105"/>
        <v>1772.4150399999999</v>
      </c>
      <c r="O88" s="134">
        <f t="shared" si="105"/>
        <v>1772.4150399999999</v>
      </c>
      <c r="P88" s="134">
        <f t="shared" si="105"/>
        <v>1772.4150399999999</v>
      </c>
      <c r="Q88" s="134">
        <f t="shared" si="105"/>
        <v>1772.4150399999999</v>
      </c>
      <c r="R88" s="134">
        <f t="shared" si="105"/>
        <v>1772.4150399999999</v>
      </c>
      <c r="S88" s="134">
        <f t="shared" ref="S88:W88" si="106">(S86)-S76</f>
        <v>1772.4150399999999</v>
      </c>
      <c r="T88" s="134">
        <f t="shared" si="106"/>
        <v>1772.4150399999999</v>
      </c>
      <c r="U88" s="134">
        <f t="shared" si="106"/>
        <v>1772.4150399999999</v>
      </c>
      <c r="V88" s="134">
        <f t="shared" si="106"/>
        <v>1772.4150399999999</v>
      </c>
      <c r="W88" s="134">
        <f t="shared" si="106"/>
        <v>1772.4150399999999</v>
      </c>
      <c r="X88" s="134">
        <f t="shared" ref="X88:AB88" si="107">(X86)-X76</f>
        <v>1772.4150399999999</v>
      </c>
      <c r="Y88" s="134">
        <f t="shared" si="107"/>
        <v>1772.4150399999999</v>
      </c>
      <c r="Z88" s="134">
        <f t="shared" si="107"/>
        <v>1772.4150399999999</v>
      </c>
      <c r="AA88" s="134">
        <f t="shared" si="107"/>
        <v>1772.4150399999999</v>
      </c>
      <c r="AB88" s="134">
        <f t="shared" si="107"/>
        <v>1772.4150399999999</v>
      </c>
      <c r="AC88" s="134">
        <f>(AC86)-AC76</f>
        <v>16949.375999999989</v>
      </c>
      <c r="AD88" s="135" t="s">
        <v>12</v>
      </c>
    </row>
    <row r="89" spans="1:30" ht="13.5" customHeight="1" x14ac:dyDescent="0.25">
      <c r="A89" s="69" t="s">
        <v>83</v>
      </c>
      <c r="B89" s="70">
        <f>XIRR(C88:AB88, C$38:AB$38, 0.1)</f>
        <v>4.1105356812477123E-2</v>
      </c>
      <c r="D89" s="82"/>
      <c r="E89" s="71"/>
      <c r="F89" s="71"/>
      <c r="G89" s="71"/>
      <c r="H89" s="71"/>
      <c r="I89" s="71"/>
      <c r="J89" s="72"/>
    </row>
    <row r="90" spans="1:30" ht="13.5" customHeight="1" x14ac:dyDescent="0.25">
      <c r="A90" s="96" t="s">
        <v>85</v>
      </c>
      <c r="B90" s="73">
        <f>XIRR(C87:AB87, C$38:AB$38, 0.1)</f>
        <v>0.20489134192466738</v>
      </c>
      <c r="D90" s="82"/>
      <c r="E90" s="71"/>
      <c r="F90" s="71"/>
      <c r="G90" s="71"/>
      <c r="H90" s="71"/>
      <c r="I90" s="71"/>
      <c r="J90" s="72"/>
    </row>
    <row r="91" spans="1:30" x14ac:dyDescent="0.25">
      <c r="A91" s="97" t="s">
        <v>86</v>
      </c>
      <c r="B91" s="84">
        <f>XNPV(A$67,C86:AB86,C$71:AB$71)/XNPV(A$67,C76:AB76,C$71:AB$71)</f>
        <v>1.0045759876928111</v>
      </c>
      <c r="E91" s="85"/>
      <c r="F91" s="85"/>
      <c r="G91" s="85"/>
      <c r="H91" s="85"/>
      <c r="I91" s="85"/>
    </row>
    <row r="92" spans="1:30" x14ac:dyDescent="0.25">
      <c r="A92" s="96" t="s">
        <v>87</v>
      </c>
      <c r="B92" s="86">
        <f>(XNPV(A$67,C86:AB86,C$71:AB$71)+XNPV(A$67,C80:AB80,C$71:AB$71))/XNPV(A$67,C76:AB76,C$71:AB$71)</f>
        <v>1.8931843996274966</v>
      </c>
      <c r="E92" s="85"/>
      <c r="F92" s="85"/>
      <c r="G92" s="85"/>
      <c r="H92" s="85"/>
      <c r="I92" s="85"/>
    </row>
    <row r="93" spans="1:30" x14ac:dyDescent="0.25">
      <c r="A93" s="98" t="s">
        <v>84</v>
      </c>
      <c r="B93" s="74">
        <f>XNPV(A$67,C88:AB88,C$71:AB$71)</f>
        <v>320.74777924536522</v>
      </c>
      <c r="E93" s="85"/>
      <c r="F93" s="85"/>
      <c r="G93" s="85"/>
      <c r="H93" s="85"/>
      <c r="I93" s="85"/>
    </row>
    <row r="94" spans="1:30" x14ac:dyDescent="0.25">
      <c r="A94" s="96" t="s">
        <v>88</v>
      </c>
      <c r="B94" s="76">
        <f>XNPV(A$67,C87:AB87,C$71:AB$71)</f>
        <v>62606.57411452513</v>
      </c>
      <c r="E94" s="85"/>
      <c r="F94" s="85"/>
      <c r="G94" s="85"/>
      <c r="H94" s="85"/>
      <c r="I94" s="85"/>
    </row>
    <row r="95" spans="1:30" x14ac:dyDescent="0.25">
      <c r="A95" s="83" t="s">
        <v>76</v>
      </c>
      <c r="B95" s="74">
        <f>IF(S95,S70-C70)</f>
        <v>16</v>
      </c>
      <c r="C95" s="75">
        <f>C86/C76</f>
        <v>0</v>
      </c>
      <c r="D95" s="87">
        <f>SUM($C$86:D86)/SUM($C$76:D76)</f>
        <v>0.1497989852842965</v>
      </c>
      <c r="E95" s="87">
        <f>SUM($C$86:E86)/SUM($C$76:E76)</f>
        <v>0.27463147302121027</v>
      </c>
      <c r="F95" s="87">
        <f>SUM($C$86:F86)/SUM($C$76:F76)</f>
        <v>0.38025896264475273</v>
      </c>
      <c r="G95" s="87">
        <f>SUM($C$86:G86)/SUM($C$76:G76)</f>
        <v>0.47079681089350334</v>
      </c>
      <c r="H95" s="87">
        <f>SUM($C$86:H86)/SUM($C$76:H76)</f>
        <v>0.54926294604242054</v>
      </c>
      <c r="I95" s="87">
        <f>SUM($C$86:I86)/SUM($C$76:I76)</f>
        <v>0.61792081429772305</v>
      </c>
      <c r="J95" s="87">
        <f>SUM($C$86:J86)/SUM($C$76:J76)</f>
        <v>0.6785012862876959</v>
      </c>
      <c r="K95" s="87">
        <f>SUM($C$86:K86)/SUM($C$76:K76)</f>
        <v>0.73235059472322739</v>
      </c>
      <c r="L95" s="87">
        <f>SUM($C$86:L86)/SUM($C$76:L76)</f>
        <v>0.78053155490238701</v>
      </c>
      <c r="M95" s="87">
        <f>SUM($C$86:M86)/SUM($C$76:M76)</f>
        <v>0.82389441906363081</v>
      </c>
      <c r="N95" s="87">
        <f>SUM($C$86:N86)/SUM($C$76:N76)</f>
        <v>0.86312748663808936</v>
      </c>
      <c r="O95" s="87">
        <f>SUM($C$86:O86)/SUM($C$76:O76)</f>
        <v>0.89879391170577905</v>
      </c>
      <c r="P95" s="87">
        <f>SUM($C$86:P86)/SUM($C$76:P76)</f>
        <v>0.9313589085067131</v>
      </c>
      <c r="Q95" s="87">
        <f>SUM($C$86:Q86)/SUM($C$76:Q76)</f>
        <v>0.96121015557423595</v>
      </c>
      <c r="R95" s="87">
        <f>SUM($C$86:R86)/SUM($C$76:R76)</f>
        <v>0.98867330287635691</v>
      </c>
      <c r="S95" s="87">
        <f>SUM($C$86:S86)/SUM($C$76:S76)</f>
        <v>1.014023900386007</v>
      </c>
      <c r="T95" s="87">
        <f>SUM($C$86:T86)/SUM($C$76:T76)</f>
        <v>1.0374966758579052</v>
      </c>
      <c r="U95" s="87">
        <f>SUM($C$86:U86)/SUM($C$76:U76)</f>
        <v>1.0592928245103821</v>
      </c>
      <c r="V95" s="87">
        <f>SUM($C$86:V86)/SUM($C$76:V76)</f>
        <v>1.0795857904971711</v>
      </c>
      <c r="W95" s="87">
        <f>SUM($C$86:W86)/SUM($C$76:W76)</f>
        <v>1.0985258920848406</v>
      </c>
      <c r="X95" s="87">
        <f>SUM($C$86:X86)/SUM($C$76:X76)</f>
        <v>1.1162440516345959</v>
      </c>
      <c r="Y95" s="87">
        <f>SUM($C$86:Y86)/SUM($C$76:Y76)</f>
        <v>1.1328548262124916</v>
      </c>
      <c r="Z95" s="87">
        <f>SUM($C$86:Z86)/SUM($C$76:Z76)</f>
        <v>1.1484588871796058</v>
      </c>
      <c r="AA95" s="87">
        <f>SUM($C$86:AA86)/SUM($C$76:AA76)</f>
        <v>1.1631450622074779</v>
      </c>
      <c r="AB95" s="87">
        <f>SUM($C$86:AB86)/SUM($C$76:AB76)</f>
        <v>1.1769920272337573</v>
      </c>
    </row>
    <row r="96" spans="1:30" x14ac:dyDescent="0.25">
      <c r="A96" s="96" t="s">
        <v>89</v>
      </c>
      <c r="B96" s="76">
        <f>IF(H96,H70-C70)</f>
        <v>5</v>
      </c>
      <c r="C96" s="75">
        <f>(C86+C80)/C76</f>
        <v>0</v>
      </c>
      <c r="D96" s="87">
        <f>(SUM($C$86:D86)+SUM($C$80:D80))/SUM($C$76:D76)</f>
        <v>0.27657500024919346</v>
      </c>
      <c r="E96" s="87">
        <f>(SUM($C$86:E86)+SUM($C$80:E80))/SUM($C$76:E76)</f>
        <v>0.50749243570532276</v>
      </c>
      <c r="F96" s="87">
        <f>(SUM($C$86:F86)+SUM($C$80:F80))/SUM($C$76:F76)</f>
        <v>0.70329878136482882</v>
      </c>
      <c r="G96" s="87">
        <f>(SUM($C$86:G86)+SUM($C$80:G80))/SUM($C$76:G76)</f>
        <v>0.87152746844048112</v>
      </c>
      <c r="H96" s="87">
        <f>(SUM($C$86:H86)+SUM($C$80:H80))/SUM($C$76:H76)</f>
        <v>1.0177032377676256</v>
      </c>
      <c r="I96" s="87">
        <f>(SUM($C$86:I86)+SUM($C$80:I80))/SUM($C$76:I76)</f>
        <v>1.1459698608114881</v>
      </c>
      <c r="J96" s="87">
        <f>(SUM($C$86:J86)+SUM($C$80:J80))/SUM($C$76:J76)</f>
        <v>1.2594963122075331</v>
      </c>
      <c r="K96" s="87">
        <f>(SUM($C$86:K86)+SUM($C$80:K80))/SUM($C$76:K76)</f>
        <v>1.360747551574945</v>
      </c>
      <c r="L96" s="87">
        <f>(SUM($C$86:L86)+SUM($C$80:L80))/SUM($C$76:L76)</f>
        <v>1.4516697954001876</v>
      </c>
      <c r="M96" s="87">
        <f>(SUM($C$86:M86)+SUM($C$80:M80))/SUM($C$76:M76)</f>
        <v>1.5338202074688787</v>
      </c>
      <c r="N96" s="87">
        <f>(SUM($C$86:N86)+SUM($C$80:N80))/SUM($C$76:N76)</f>
        <v>1.6084595349992392</v>
      </c>
      <c r="O96" s="87">
        <f>(SUM($C$86:O86)+SUM($C$80:O80))/SUM($C$76:O76)</f>
        <v>1.6766194804838055</v>
      </c>
      <c r="P96" s="87">
        <f>(SUM($C$86:P86)+SUM($C$80:P80))/SUM($C$76:P76)</f>
        <v>1.7391524983742606</v>
      </c>
      <c r="Q96" s="87">
        <f>(SUM($C$86:Q86)+SUM($C$80:Q80))/SUM($C$76:Q76)</f>
        <v>1.7967691426993526</v>
      </c>
      <c r="R96" s="87">
        <f>(SUM($C$86:R86)+SUM($C$80:R80))/SUM($C$76:R76)</f>
        <v>1.8500664513571372</v>
      </c>
      <c r="S96" s="87">
        <f>(SUM($C$86:S86)+SUM($C$80:S80))/SUM($C$76:S76)</f>
        <v>1.8995497802870804</v>
      </c>
      <c r="T96" s="87">
        <f>(SUM($C$86:T86)+SUM($C$80:T80))/SUM($C$76:T76)</f>
        <v>1.9456497857037489</v>
      </c>
      <c r="U96" s="87">
        <f>(SUM($C$86:U86)+SUM($C$80:U80))/SUM($C$76:U76)</f>
        <v>1.9887357673791026</v>
      </c>
      <c r="V96" s="87">
        <f>(SUM($C$86:V86)+SUM($C$80:V80))/SUM($C$76:V76)</f>
        <v>2.0291262513433432</v>
      </c>
      <c r="W96" s="87">
        <f>(SUM($C$86:W86)+SUM($C$80:W80))/SUM($C$76:W76)</f>
        <v>2.0670974561423554</v>
      </c>
      <c r="X96" s="87">
        <f>(SUM($C$86:X86)+SUM($C$80:X80))/SUM($C$76:X76)</f>
        <v>2.1028901205606556</v>
      </c>
      <c r="Y96" s="87">
        <f>(SUM($C$86:Y86)+SUM($C$80:Y80))/SUM($C$76:Y76)</f>
        <v>2.1367150512415871</v>
      </c>
      <c r="Z96" s="87">
        <f>(SUM($C$86:Z86)+SUM($C$80:Z80))/SUM($C$76:Z76)</f>
        <v>2.1687576617440341</v>
      </c>
      <c r="AA96" s="87">
        <f>(SUM($C$86:AA86)+SUM($C$80:AA80))/SUM($C$76:AA76)</f>
        <v>2.1991817106833556</v>
      </c>
      <c r="AB96" s="87">
        <f>(SUM($C$86:AB86)+SUM($C$80:AB80))/SUM($C$76:AB76)</f>
        <v>2.2281323991420052</v>
      </c>
    </row>
    <row r="100" spans="1:32" ht="26.25" x14ac:dyDescent="0.4">
      <c r="A100" s="107">
        <v>0.04</v>
      </c>
      <c r="B100" s="107" t="s">
        <v>79</v>
      </c>
    </row>
    <row r="101" spans="1:32" ht="23.25" customHeight="1" x14ac:dyDescent="0.25">
      <c r="A101" s="316" t="s">
        <v>140</v>
      </c>
      <c r="B101" s="317"/>
      <c r="C101" s="317"/>
      <c r="D101" s="317"/>
      <c r="E101" s="317"/>
      <c r="F101" s="317"/>
      <c r="G101" s="317"/>
      <c r="H101" s="317"/>
      <c r="I101" s="317"/>
      <c r="J101" s="317"/>
      <c r="K101" s="317"/>
      <c r="L101" s="317"/>
      <c r="M101" s="317"/>
      <c r="N101" s="317"/>
      <c r="O101" s="317"/>
      <c r="P101" s="317"/>
      <c r="Q101" s="317"/>
      <c r="R101" s="317"/>
      <c r="S101" s="317"/>
      <c r="T101" s="317"/>
      <c r="U101" s="317"/>
      <c r="V101" s="317"/>
      <c r="W101" s="317"/>
      <c r="X101" s="317"/>
      <c r="Y101" s="317"/>
      <c r="Z101" s="317"/>
      <c r="AA101" s="317"/>
      <c r="AB101" s="317"/>
      <c r="AC101" s="317"/>
      <c r="AD101" s="318"/>
    </row>
    <row r="102" spans="1:32" x14ac:dyDescent="0.25">
      <c r="A102" s="78"/>
      <c r="B102" s="78"/>
      <c r="C102" s="60" t="s">
        <v>8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1" t="s">
        <v>9</v>
      </c>
    </row>
    <row r="103" spans="1:32" ht="15.75" customHeight="1" x14ac:dyDescent="0.25">
      <c r="A103" s="319" t="s">
        <v>130</v>
      </c>
      <c r="B103" s="320"/>
      <c r="C103" s="224"/>
      <c r="D103" s="1">
        <v>1</v>
      </c>
      <c r="E103" s="1">
        <v>2</v>
      </c>
      <c r="F103" s="1">
        <v>3</v>
      </c>
      <c r="G103" s="1">
        <v>4</v>
      </c>
      <c r="H103" s="1">
        <v>5</v>
      </c>
      <c r="I103" s="1">
        <v>6</v>
      </c>
      <c r="J103" s="1">
        <v>7</v>
      </c>
      <c r="K103" s="1">
        <v>8</v>
      </c>
      <c r="L103" s="1">
        <v>9</v>
      </c>
      <c r="M103" s="1">
        <v>10</v>
      </c>
      <c r="N103" s="1">
        <v>11</v>
      </c>
      <c r="O103" s="1">
        <v>12</v>
      </c>
      <c r="P103" s="1">
        <v>13</v>
      </c>
      <c r="Q103" s="1">
        <v>14</v>
      </c>
      <c r="R103" s="1">
        <v>15</v>
      </c>
      <c r="S103" s="1">
        <v>16</v>
      </c>
      <c r="T103" s="1">
        <v>17</v>
      </c>
      <c r="U103" s="1">
        <v>18</v>
      </c>
      <c r="V103" s="1">
        <v>19</v>
      </c>
      <c r="W103" s="1">
        <v>20</v>
      </c>
      <c r="X103" s="1">
        <v>21</v>
      </c>
      <c r="Y103" s="1">
        <v>22</v>
      </c>
      <c r="Z103" s="1">
        <v>23</v>
      </c>
      <c r="AA103" s="1">
        <v>24</v>
      </c>
      <c r="AB103" s="1">
        <v>25</v>
      </c>
      <c r="AC103" s="62" t="s">
        <v>78</v>
      </c>
      <c r="AD103" s="7"/>
    </row>
    <row r="104" spans="1:32" ht="16.5" customHeight="1" x14ac:dyDescent="0.25">
      <c r="A104" s="89"/>
      <c r="B104" s="90"/>
      <c r="C104" s="99">
        <v>44197</v>
      </c>
      <c r="D104" s="99">
        <v>44562</v>
      </c>
      <c r="E104" s="99">
        <v>44927</v>
      </c>
      <c r="F104" s="99">
        <v>45292</v>
      </c>
      <c r="G104" s="99">
        <v>45658</v>
      </c>
      <c r="H104" s="99">
        <v>46023</v>
      </c>
      <c r="I104" s="99">
        <v>46388</v>
      </c>
      <c r="J104" s="99">
        <v>46753</v>
      </c>
      <c r="K104" s="99">
        <v>47119</v>
      </c>
      <c r="L104" s="99">
        <v>47484</v>
      </c>
      <c r="M104" s="99">
        <v>47849</v>
      </c>
      <c r="N104" s="99">
        <v>48214</v>
      </c>
      <c r="O104" s="99">
        <v>48580</v>
      </c>
      <c r="P104" s="99">
        <v>48945</v>
      </c>
      <c r="Q104" s="99">
        <v>49310</v>
      </c>
      <c r="R104" s="99">
        <v>49675</v>
      </c>
      <c r="S104" s="99">
        <v>50041</v>
      </c>
      <c r="T104" s="99">
        <v>50406</v>
      </c>
      <c r="U104" s="99">
        <v>50771</v>
      </c>
      <c r="V104" s="99">
        <v>51136</v>
      </c>
      <c r="W104" s="99">
        <v>51502</v>
      </c>
      <c r="X104" s="99">
        <v>51867</v>
      </c>
      <c r="Y104" s="99">
        <v>52232</v>
      </c>
      <c r="Z104" s="99">
        <v>52597</v>
      </c>
      <c r="AA104" s="99">
        <v>52963</v>
      </c>
      <c r="AB104" s="99">
        <v>53328</v>
      </c>
      <c r="AC104" s="91"/>
      <c r="AD104" s="92"/>
    </row>
    <row r="105" spans="1:32" s="106" customFormat="1" ht="16.5" customHeight="1" x14ac:dyDescent="0.25">
      <c r="C105" s="101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3"/>
      <c r="AD105" s="104"/>
      <c r="AE105" s="105"/>
      <c r="AF105" s="105"/>
    </row>
    <row r="106" spans="1:32" x14ac:dyDescent="0.25">
      <c r="A106" s="312" t="s">
        <v>10</v>
      </c>
      <c r="B106" s="313"/>
      <c r="C106" s="225"/>
      <c r="D106" s="63"/>
      <c r="E106" s="63"/>
      <c r="F106" s="63"/>
      <c r="G106" s="63"/>
      <c r="H106" s="63"/>
      <c r="I106" s="63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</row>
    <row r="107" spans="1:32" x14ac:dyDescent="0.25">
      <c r="A107" s="226" t="s">
        <v>11</v>
      </c>
      <c r="B107" s="59"/>
      <c r="C107" s="88">
        <f>Interventions!$H$6</f>
        <v>27361</v>
      </c>
      <c r="D107" s="65"/>
      <c r="E107" s="65"/>
      <c r="F107" s="65"/>
      <c r="G107" s="65"/>
      <c r="H107" s="65"/>
      <c r="I107" s="6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66">
        <f>SUM(C107:AB107)</f>
        <v>27361</v>
      </c>
      <c r="AD107" s="3" t="s">
        <v>12</v>
      </c>
    </row>
    <row r="108" spans="1:32" x14ac:dyDescent="0.25">
      <c r="A108" s="59" t="s">
        <v>136</v>
      </c>
      <c r="B108" s="226"/>
      <c r="C108" s="93"/>
      <c r="D108" s="67">
        <f>Interventions!$H$7</f>
        <v>2736.1000000000004</v>
      </c>
      <c r="E108" s="67">
        <f>Interventions!$H$7</f>
        <v>2736.1000000000004</v>
      </c>
      <c r="F108" s="67">
        <f>Interventions!$H$7</f>
        <v>2736.1000000000004</v>
      </c>
      <c r="G108" s="67">
        <f>Interventions!$H$7</f>
        <v>2736.1000000000004</v>
      </c>
      <c r="H108" s="67">
        <f>Interventions!$H$7</f>
        <v>2736.1000000000004</v>
      </c>
      <c r="I108" s="67">
        <f>Interventions!$H$7</f>
        <v>2736.1000000000004</v>
      </c>
      <c r="J108" s="67">
        <f>Interventions!$H$7</f>
        <v>2736.1000000000004</v>
      </c>
      <c r="K108" s="67">
        <f>Interventions!$H$7</f>
        <v>2736.1000000000004</v>
      </c>
      <c r="L108" s="67">
        <f>Interventions!$H$7</f>
        <v>2736.1000000000004</v>
      </c>
      <c r="M108" s="67">
        <f>Interventions!$H$7</f>
        <v>2736.1000000000004</v>
      </c>
      <c r="N108" s="67">
        <f>Interventions!$H$7</f>
        <v>2736.1000000000004</v>
      </c>
      <c r="O108" s="67">
        <f>Interventions!$H$7</f>
        <v>2736.1000000000004</v>
      </c>
      <c r="P108" s="67">
        <f>Interventions!$H$7</f>
        <v>2736.1000000000004</v>
      </c>
      <c r="Q108" s="67">
        <f>Interventions!$H$7</f>
        <v>2736.1000000000004</v>
      </c>
      <c r="R108" s="67">
        <f>Interventions!$H$7</f>
        <v>2736.1000000000004</v>
      </c>
      <c r="S108" s="67">
        <f>Interventions!$H$7</f>
        <v>2736.1000000000004</v>
      </c>
      <c r="T108" s="67">
        <f>Interventions!$H$7</f>
        <v>2736.1000000000004</v>
      </c>
      <c r="U108" s="67">
        <f>Interventions!$H$7</f>
        <v>2736.1000000000004</v>
      </c>
      <c r="V108" s="67">
        <f>Interventions!$H$7</f>
        <v>2736.1000000000004</v>
      </c>
      <c r="W108" s="67">
        <f>Interventions!$H$7</f>
        <v>2736.1000000000004</v>
      </c>
      <c r="X108" s="67">
        <f>Interventions!$H$7</f>
        <v>2736.1000000000004</v>
      </c>
      <c r="Y108" s="67">
        <f>Interventions!$H$7</f>
        <v>2736.1000000000004</v>
      </c>
      <c r="Z108" s="67">
        <f>Interventions!$H$7</f>
        <v>2736.1000000000004</v>
      </c>
      <c r="AA108" s="67">
        <f>Interventions!$H$7</f>
        <v>2736.1000000000004</v>
      </c>
      <c r="AB108" s="67">
        <f>Interventions!$H$7</f>
        <v>2736.1000000000004</v>
      </c>
      <c r="AC108" s="66">
        <f>SUM(C108:AB108)</f>
        <v>68402.499999999985</v>
      </c>
      <c r="AD108" s="3" t="s">
        <v>12</v>
      </c>
    </row>
    <row r="109" spans="1:32" x14ac:dyDescent="0.25">
      <c r="A109" s="310" t="s">
        <v>80</v>
      </c>
      <c r="B109" s="311"/>
      <c r="C109" s="94">
        <f t="shared" ref="C109:W109" si="108">SUM(C107:C108)</f>
        <v>27361</v>
      </c>
      <c r="D109" s="94">
        <f t="shared" si="108"/>
        <v>2736.1000000000004</v>
      </c>
      <c r="E109" s="94">
        <f t="shared" si="108"/>
        <v>2736.1000000000004</v>
      </c>
      <c r="F109" s="94">
        <f t="shared" si="108"/>
        <v>2736.1000000000004</v>
      </c>
      <c r="G109" s="94">
        <f t="shared" si="108"/>
        <v>2736.1000000000004</v>
      </c>
      <c r="H109" s="94">
        <f t="shared" si="108"/>
        <v>2736.1000000000004</v>
      </c>
      <c r="I109" s="94">
        <f t="shared" si="108"/>
        <v>2736.1000000000004</v>
      </c>
      <c r="J109" s="94">
        <f t="shared" si="108"/>
        <v>2736.1000000000004</v>
      </c>
      <c r="K109" s="94">
        <f t="shared" si="108"/>
        <v>2736.1000000000004</v>
      </c>
      <c r="L109" s="94">
        <f t="shared" si="108"/>
        <v>2736.1000000000004</v>
      </c>
      <c r="M109" s="94">
        <f t="shared" si="108"/>
        <v>2736.1000000000004</v>
      </c>
      <c r="N109" s="94">
        <f t="shared" si="108"/>
        <v>2736.1000000000004</v>
      </c>
      <c r="O109" s="94">
        <f t="shared" si="108"/>
        <v>2736.1000000000004</v>
      </c>
      <c r="P109" s="94">
        <f t="shared" si="108"/>
        <v>2736.1000000000004</v>
      </c>
      <c r="Q109" s="94">
        <f t="shared" si="108"/>
        <v>2736.1000000000004</v>
      </c>
      <c r="R109" s="94">
        <f t="shared" si="108"/>
        <v>2736.1000000000004</v>
      </c>
      <c r="S109" s="94">
        <f t="shared" si="108"/>
        <v>2736.1000000000004</v>
      </c>
      <c r="T109" s="94">
        <f t="shared" si="108"/>
        <v>2736.1000000000004</v>
      </c>
      <c r="U109" s="94">
        <f t="shared" si="108"/>
        <v>2736.1000000000004</v>
      </c>
      <c r="V109" s="94">
        <f t="shared" si="108"/>
        <v>2736.1000000000004</v>
      </c>
      <c r="W109" s="94">
        <f t="shared" si="108"/>
        <v>2736.1000000000004</v>
      </c>
      <c r="X109" s="94">
        <f t="shared" ref="X109:AB109" si="109">SUM(X107:X108)</f>
        <v>2736.1000000000004</v>
      </c>
      <c r="Y109" s="94">
        <f t="shared" si="109"/>
        <v>2736.1000000000004</v>
      </c>
      <c r="Z109" s="94">
        <f t="shared" si="109"/>
        <v>2736.1000000000004</v>
      </c>
      <c r="AA109" s="94">
        <f t="shared" si="109"/>
        <v>2736.1000000000004</v>
      </c>
      <c r="AB109" s="94">
        <f t="shared" si="109"/>
        <v>2736.1000000000004</v>
      </c>
      <c r="AC109" s="95">
        <f>SUM(AC107:AC108)</f>
        <v>95763.499999999985</v>
      </c>
      <c r="AD109" s="6" t="s">
        <v>12</v>
      </c>
    </row>
    <row r="110" spans="1:32" x14ac:dyDescent="0.25">
      <c r="A110" s="312" t="s">
        <v>154</v>
      </c>
      <c r="B110" s="313"/>
      <c r="C110" s="239"/>
      <c r="D110" s="63"/>
      <c r="E110" s="63"/>
      <c r="F110" s="63"/>
      <c r="G110" s="63"/>
      <c r="H110" s="63"/>
      <c r="I110" s="63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</row>
    <row r="111" spans="1:32" x14ac:dyDescent="0.25">
      <c r="A111" s="59" t="s">
        <v>170</v>
      </c>
      <c r="B111" s="59"/>
      <c r="C111" s="59"/>
      <c r="D111" s="67">
        <f>'Carbon avoided'!E12</f>
        <v>575.59040000000005</v>
      </c>
      <c r="E111" s="67">
        <f>'Carbon avoided'!F12</f>
        <v>589.98016000000007</v>
      </c>
      <c r="F111" s="67">
        <f>'Carbon avoided'!G12</f>
        <v>604.72966399999996</v>
      </c>
      <c r="G111" s="67">
        <f>'Carbon avoided'!H12</f>
        <v>619.84790559999999</v>
      </c>
      <c r="H111" s="67">
        <f>'Carbon avoided'!I12</f>
        <v>635.34410323999998</v>
      </c>
      <c r="I111" s="67">
        <f>'Carbon avoided'!J12</f>
        <v>651.22770582099986</v>
      </c>
      <c r="J111" s="67">
        <f>'Carbon avoided'!K12</f>
        <v>667.5083984665248</v>
      </c>
      <c r="K111" s="67">
        <f>'Carbon avoided'!L12</f>
        <v>684.19610842818781</v>
      </c>
      <c r="L111" s="67">
        <f>'Carbon avoided'!M12</f>
        <v>701.30101113889248</v>
      </c>
      <c r="M111" s="67">
        <f>'Carbon avoided'!N12</f>
        <v>718.83353641736471</v>
      </c>
      <c r="N111" s="67">
        <f>'Carbon avoided'!O12</f>
        <v>736.80437482779871</v>
      </c>
      <c r="O111" s="67">
        <f>'Carbon avoided'!P12</f>
        <v>755.22448419849366</v>
      </c>
      <c r="P111" s="67">
        <f>'Carbon avoided'!Q12</f>
        <v>774.10509630345587</v>
      </c>
      <c r="Q111" s="67">
        <f>'Carbon avoided'!R12</f>
        <v>793.45772371104215</v>
      </c>
      <c r="R111" s="67">
        <f>'Carbon avoided'!S12</f>
        <v>813.29416680381814</v>
      </c>
      <c r="S111" s="67">
        <f>'Carbon avoided'!T12</f>
        <v>833.62652097391356</v>
      </c>
      <c r="T111" s="67">
        <f>'Carbon avoided'!U12</f>
        <v>854.46718399826136</v>
      </c>
      <c r="U111" s="67">
        <f>'Carbon avoided'!V12</f>
        <v>875.82886359821782</v>
      </c>
      <c r="V111" s="67">
        <f>'Carbon avoided'!W12</f>
        <v>897.72458518817314</v>
      </c>
      <c r="W111" s="67">
        <f>'Carbon avoided'!X12</f>
        <v>920.16769981787741</v>
      </c>
      <c r="X111" s="67">
        <f>'Carbon avoided'!Y12</f>
        <v>943.17189231332429</v>
      </c>
      <c r="Y111" s="67">
        <f>'Carbon avoided'!Z12</f>
        <v>966.75118962115732</v>
      </c>
      <c r="Z111" s="67">
        <f>'Carbon avoided'!AA12</f>
        <v>990.9199693616863</v>
      </c>
      <c r="AA111" s="67">
        <f>'Carbon avoided'!AB12</f>
        <v>1015.6929685957284</v>
      </c>
      <c r="AB111" s="67">
        <f>'Carbon avoided'!AC12</f>
        <v>1041.0852928106215</v>
      </c>
      <c r="AC111" s="66">
        <f>SUM(C111:AB111)</f>
        <v>19660.88100523554</v>
      </c>
      <c r="AD111" s="3" t="s">
        <v>12</v>
      </c>
    </row>
    <row r="112" spans="1:32" ht="12.75" customHeight="1" x14ac:dyDescent="0.25">
      <c r="A112" s="59" t="s">
        <v>174</v>
      </c>
      <c r="B112" s="59"/>
      <c r="C112" s="59"/>
      <c r="D112" s="67">
        <f>Interventions!$H$10</f>
        <v>3240</v>
      </c>
      <c r="E112" s="67">
        <f>Interventions!$H$10</f>
        <v>3240</v>
      </c>
      <c r="F112" s="67">
        <f>Interventions!$H$10</f>
        <v>3240</v>
      </c>
      <c r="G112" s="67">
        <f>Interventions!$H$10</f>
        <v>3240</v>
      </c>
      <c r="H112" s="67">
        <f>Interventions!$H$10</f>
        <v>3240</v>
      </c>
      <c r="I112" s="67">
        <f>Interventions!$H$10</f>
        <v>3240</v>
      </c>
      <c r="J112" s="67">
        <f>Interventions!$H$10</f>
        <v>3240</v>
      </c>
      <c r="K112" s="67">
        <f>Interventions!$H$10</f>
        <v>3240</v>
      </c>
      <c r="L112" s="67">
        <f>Interventions!$H$10</f>
        <v>3240</v>
      </c>
      <c r="M112" s="67">
        <f>Interventions!$H$10</f>
        <v>3240</v>
      </c>
      <c r="N112" s="67">
        <f>Interventions!$H$10</f>
        <v>3240</v>
      </c>
      <c r="O112" s="67">
        <f>Interventions!$H$10</f>
        <v>3240</v>
      </c>
      <c r="P112" s="67">
        <f>Interventions!$H$10</f>
        <v>3240</v>
      </c>
      <c r="Q112" s="67">
        <f>Interventions!$H$10</f>
        <v>3240</v>
      </c>
      <c r="R112" s="67">
        <f>Interventions!$H$10</f>
        <v>3240</v>
      </c>
      <c r="S112" s="67">
        <f>Interventions!$H$10</f>
        <v>3240</v>
      </c>
      <c r="T112" s="67">
        <f>Interventions!$H$10</f>
        <v>3240</v>
      </c>
      <c r="U112" s="67">
        <f>Interventions!$H$10</f>
        <v>3240</v>
      </c>
      <c r="V112" s="67">
        <f>Interventions!$H$10</f>
        <v>3240</v>
      </c>
      <c r="W112" s="67">
        <f>Interventions!$H$10</f>
        <v>3240</v>
      </c>
      <c r="X112" s="67">
        <f>Interventions!$H$10</f>
        <v>3240</v>
      </c>
      <c r="Y112" s="67">
        <f>Interventions!$H$10</f>
        <v>3240</v>
      </c>
      <c r="Z112" s="67">
        <f>Interventions!$H$10</f>
        <v>3240</v>
      </c>
      <c r="AA112" s="67">
        <f>Interventions!$H$10</f>
        <v>3240</v>
      </c>
      <c r="AB112" s="67">
        <f>Interventions!$H$10</f>
        <v>3240</v>
      </c>
      <c r="AC112" s="66">
        <f>SUM(C112:AB112)</f>
        <v>81000</v>
      </c>
      <c r="AD112" s="3" t="s">
        <v>12</v>
      </c>
    </row>
    <row r="113" spans="1:30" x14ac:dyDescent="0.25">
      <c r="A113" s="310" t="s">
        <v>80</v>
      </c>
      <c r="B113" s="311"/>
      <c r="C113" s="68">
        <f t="shared" ref="C113:R113" si="110">SUM(C111:C112)</f>
        <v>0</v>
      </c>
      <c r="D113" s="68">
        <f t="shared" si="110"/>
        <v>3815.5904</v>
      </c>
      <c r="E113" s="68">
        <f t="shared" si="110"/>
        <v>3829.9801600000001</v>
      </c>
      <c r="F113" s="68">
        <f t="shared" si="110"/>
        <v>3844.729664</v>
      </c>
      <c r="G113" s="68">
        <f t="shared" si="110"/>
        <v>3859.8479056000001</v>
      </c>
      <c r="H113" s="68">
        <f t="shared" si="110"/>
        <v>3875.3441032400001</v>
      </c>
      <c r="I113" s="68">
        <f t="shared" si="110"/>
        <v>3891.2277058209997</v>
      </c>
      <c r="J113" s="68">
        <f t="shared" si="110"/>
        <v>3907.5083984665248</v>
      </c>
      <c r="K113" s="68">
        <f t="shared" si="110"/>
        <v>3924.1961084281879</v>
      </c>
      <c r="L113" s="68">
        <f t="shared" si="110"/>
        <v>3941.3010111388926</v>
      </c>
      <c r="M113" s="68">
        <f t="shared" si="110"/>
        <v>3958.8335364173645</v>
      </c>
      <c r="N113" s="68">
        <f t="shared" si="110"/>
        <v>3976.8043748277987</v>
      </c>
      <c r="O113" s="68">
        <f t="shared" si="110"/>
        <v>3995.2244841984939</v>
      </c>
      <c r="P113" s="68">
        <f t="shared" si="110"/>
        <v>4014.1050963034559</v>
      </c>
      <c r="Q113" s="68">
        <f t="shared" si="110"/>
        <v>4033.457723711042</v>
      </c>
      <c r="R113" s="68">
        <f t="shared" si="110"/>
        <v>4053.2941668038184</v>
      </c>
      <c r="S113" s="68">
        <f t="shared" ref="S113:W113" si="111">SUM(S111:S112)</f>
        <v>4073.6265209739136</v>
      </c>
      <c r="T113" s="68">
        <f t="shared" si="111"/>
        <v>4094.4671839982611</v>
      </c>
      <c r="U113" s="68">
        <f t="shared" si="111"/>
        <v>4115.828863598218</v>
      </c>
      <c r="V113" s="68">
        <f t="shared" si="111"/>
        <v>4137.7245851881735</v>
      </c>
      <c r="W113" s="68">
        <f t="shared" si="111"/>
        <v>4160.1676998178773</v>
      </c>
      <c r="X113" s="68">
        <f t="shared" ref="X113:AB113" si="112">SUM(X111:X112)</f>
        <v>4183.171892313324</v>
      </c>
      <c r="Y113" s="68">
        <f t="shared" si="112"/>
        <v>4206.7511896211572</v>
      </c>
      <c r="Z113" s="68">
        <f t="shared" si="112"/>
        <v>4230.9199693616865</v>
      </c>
      <c r="AA113" s="68">
        <f t="shared" si="112"/>
        <v>4255.6929685957284</v>
      </c>
      <c r="AB113" s="68">
        <f t="shared" si="112"/>
        <v>4281.0852928106215</v>
      </c>
      <c r="AC113" s="68">
        <f>SUM(AC111:AC112)</f>
        <v>100660.88100523554</v>
      </c>
      <c r="AD113" s="6" t="s">
        <v>12</v>
      </c>
    </row>
    <row r="114" spans="1:30" x14ac:dyDescent="0.25">
      <c r="A114" s="312" t="s">
        <v>149</v>
      </c>
      <c r="B114" s="313"/>
      <c r="C114" s="239"/>
      <c r="D114" s="63"/>
      <c r="E114" s="63"/>
      <c r="F114" s="63"/>
      <c r="G114" s="63"/>
      <c r="H114" s="63"/>
      <c r="I114" s="63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</row>
    <row r="115" spans="1:30" x14ac:dyDescent="0.25">
      <c r="A115" s="226"/>
      <c r="B115" s="59"/>
      <c r="C115" s="59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6"/>
      <c r="AD115" s="3"/>
    </row>
    <row r="116" spans="1:30" x14ac:dyDescent="0.25">
      <c r="A116" s="240"/>
      <c r="B116" s="59"/>
      <c r="C116" s="59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6"/>
      <c r="AD116" s="3"/>
    </row>
    <row r="117" spans="1:30" ht="13.5" customHeight="1" x14ac:dyDescent="0.25">
      <c r="A117" s="240"/>
      <c r="B117" s="59"/>
      <c r="C117" s="59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6"/>
      <c r="AD117" s="3"/>
    </row>
    <row r="118" spans="1:30" x14ac:dyDescent="0.25">
      <c r="A118" s="59" t="s">
        <v>36</v>
      </c>
      <c r="B118" s="59" t="s">
        <v>36</v>
      </c>
      <c r="C118" s="59"/>
      <c r="D118" s="67">
        <f>Interventions!$H$14</f>
        <v>4508.5150400000002</v>
      </c>
      <c r="E118" s="67">
        <f>Interventions!$H$14</f>
        <v>4508.5150400000002</v>
      </c>
      <c r="F118" s="67">
        <f>Interventions!$H$14</f>
        <v>4508.5150400000002</v>
      </c>
      <c r="G118" s="67">
        <f>Interventions!$H$14</f>
        <v>4508.5150400000002</v>
      </c>
      <c r="H118" s="67">
        <f>Interventions!$H$14</f>
        <v>4508.5150400000002</v>
      </c>
      <c r="I118" s="67">
        <f>Interventions!$H$14</f>
        <v>4508.5150400000002</v>
      </c>
      <c r="J118" s="67">
        <f>Interventions!$H$14</f>
        <v>4508.5150400000002</v>
      </c>
      <c r="K118" s="67">
        <f>Interventions!$H$14</f>
        <v>4508.5150400000002</v>
      </c>
      <c r="L118" s="67">
        <f>Interventions!$H$14</f>
        <v>4508.5150400000002</v>
      </c>
      <c r="M118" s="67">
        <f>Interventions!$H$14</f>
        <v>4508.5150400000002</v>
      </c>
      <c r="N118" s="67">
        <f>Interventions!$H$14</f>
        <v>4508.5150400000002</v>
      </c>
      <c r="O118" s="67">
        <f>Interventions!$H$14</f>
        <v>4508.5150400000002</v>
      </c>
      <c r="P118" s="67">
        <f>Interventions!$H$14</f>
        <v>4508.5150400000002</v>
      </c>
      <c r="Q118" s="67">
        <f>Interventions!$H$14</f>
        <v>4508.5150400000002</v>
      </c>
      <c r="R118" s="67">
        <f>Interventions!$H$14</f>
        <v>4508.5150400000002</v>
      </c>
      <c r="S118" s="67">
        <f>Interventions!$H$14</f>
        <v>4508.5150400000002</v>
      </c>
      <c r="T118" s="67">
        <f>Interventions!$H$14</f>
        <v>4508.5150400000002</v>
      </c>
      <c r="U118" s="67">
        <f>Interventions!$H$14</f>
        <v>4508.5150400000002</v>
      </c>
      <c r="V118" s="67">
        <f>Interventions!$H$14</f>
        <v>4508.5150400000002</v>
      </c>
      <c r="W118" s="67">
        <f>Interventions!$H$14</f>
        <v>4508.5150400000002</v>
      </c>
      <c r="X118" s="67">
        <f>Interventions!$H$14</f>
        <v>4508.5150400000002</v>
      </c>
      <c r="Y118" s="67">
        <f>Interventions!$H$14</f>
        <v>4508.5150400000002</v>
      </c>
      <c r="Z118" s="67">
        <f>Interventions!$H$14</f>
        <v>4508.5150400000002</v>
      </c>
      <c r="AA118" s="67">
        <f>Interventions!$H$14</f>
        <v>4508.5150400000002</v>
      </c>
      <c r="AB118" s="67">
        <f>Interventions!$H$14</f>
        <v>4508.5150400000002</v>
      </c>
      <c r="AC118" s="66">
        <f>SUM(D118:AB118)</f>
        <v>112712.87599999997</v>
      </c>
      <c r="AD118" s="3" t="s">
        <v>12</v>
      </c>
    </row>
    <row r="119" spans="1:30" x14ac:dyDescent="0.25">
      <c r="A119" s="310" t="s">
        <v>80</v>
      </c>
      <c r="B119" s="311"/>
      <c r="C119" s="81">
        <f>SUM(C115:C115)</f>
        <v>0</v>
      </c>
      <c r="D119" s="81">
        <f>SUM(D115:D118)</f>
        <v>4508.5150400000002</v>
      </c>
      <c r="E119" s="81">
        <f t="shared" ref="E119" si="113">SUM(E115:E118)</f>
        <v>4508.5150400000002</v>
      </c>
      <c r="F119" s="81">
        <f t="shared" ref="F119" si="114">SUM(F115:F118)</f>
        <v>4508.5150400000002</v>
      </c>
      <c r="G119" s="81">
        <f t="shared" ref="G119" si="115">SUM(G115:G118)</f>
        <v>4508.5150400000002</v>
      </c>
      <c r="H119" s="81">
        <f t="shared" ref="H119" si="116">SUM(H115:H118)</f>
        <v>4508.5150400000002</v>
      </c>
      <c r="I119" s="81">
        <f t="shared" ref="I119" si="117">SUM(I115:I118)</f>
        <v>4508.5150400000002</v>
      </c>
      <c r="J119" s="81">
        <f t="shared" ref="J119" si="118">SUM(J115:J118)</f>
        <v>4508.5150400000002</v>
      </c>
      <c r="K119" s="81">
        <f t="shared" ref="K119" si="119">SUM(K115:K118)</f>
        <v>4508.5150400000002</v>
      </c>
      <c r="L119" s="81">
        <f t="shared" ref="L119" si="120">SUM(L115:L118)</f>
        <v>4508.5150400000002</v>
      </c>
      <c r="M119" s="81">
        <f t="shared" ref="M119" si="121">SUM(M115:M118)</f>
        <v>4508.5150400000002</v>
      </c>
      <c r="N119" s="81">
        <f t="shared" ref="N119" si="122">SUM(N115:N118)</f>
        <v>4508.5150400000002</v>
      </c>
      <c r="O119" s="81">
        <f t="shared" ref="O119" si="123">SUM(O115:O118)</f>
        <v>4508.5150400000002</v>
      </c>
      <c r="P119" s="81">
        <f t="shared" ref="P119" si="124">SUM(P115:P118)</f>
        <v>4508.5150400000002</v>
      </c>
      <c r="Q119" s="81">
        <f t="shared" ref="Q119" si="125">SUM(Q115:Q118)</f>
        <v>4508.5150400000002</v>
      </c>
      <c r="R119" s="81">
        <f t="shared" ref="R119" si="126">SUM(R115:R118)</f>
        <v>4508.5150400000002</v>
      </c>
      <c r="S119" s="81">
        <f t="shared" ref="S119" si="127">SUM(S115:S118)</f>
        <v>4508.5150400000002</v>
      </c>
      <c r="T119" s="81">
        <f t="shared" ref="T119" si="128">SUM(T115:T118)</f>
        <v>4508.5150400000002</v>
      </c>
      <c r="U119" s="81">
        <f t="shared" ref="U119" si="129">SUM(U115:U118)</f>
        <v>4508.5150400000002</v>
      </c>
      <c r="V119" s="81">
        <f t="shared" ref="V119" si="130">SUM(V115:V118)</f>
        <v>4508.5150400000002</v>
      </c>
      <c r="W119" s="81">
        <f t="shared" ref="W119" si="131">SUM(W115:W118)</f>
        <v>4508.5150400000002</v>
      </c>
      <c r="X119" s="81">
        <f t="shared" ref="X119" si="132">SUM(X115:X118)</f>
        <v>4508.5150400000002</v>
      </c>
      <c r="Y119" s="81">
        <f t="shared" ref="Y119" si="133">SUM(Y115:Y118)</f>
        <v>4508.5150400000002</v>
      </c>
      <c r="Z119" s="81">
        <f t="shared" ref="Z119" si="134">SUM(Z115:Z118)</f>
        <v>4508.5150400000002</v>
      </c>
      <c r="AA119" s="81">
        <f t="shared" ref="AA119" si="135">SUM(AA115:AA118)</f>
        <v>4508.5150400000002</v>
      </c>
      <c r="AB119" s="81">
        <f t="shared" ref="AB119" si="136">SUM(AB115:AB118)</f>
        <v>4508.5150400000002</v>
      </c>
      <c r="AC119" s="81">
        <f t="shared" ref="AC119" si="137">SUM(AC115:AC118)</f>
        <v>112712.87599999997</v>
      </c>
      <c r="AD119" s="6" t="s">
        <v>12</v>
      </c>
    </row>
    <row r="120" spans="1:30" x14ac:dyDescent="0.25">
      <c r="A120" s="132"/>
      <c r="B120" s="133" t="s">
        <v>81</v>
      </c>
      <c r="C120" s="134">
        <f t="shared" ref="C120:R120" si="138">(C119+C113)-C109</f>
        <v>-27361</v>
      </c>
      <c r="D120" s="134">
        <f t="shared" si="138"/>
        <v>5588.005439999999</v>
      </c>
      <c r="E120" s="134">
        <f t="shared" si="138"/>
        <v>5602.3952000000008</v>
      </c>
      <c r="F120" s="134">
        <f t="shared" si="138"/>
        <v>5617.1447040000003</v>
      </c>
      <c r="G120" s="134">
        <f t="shared" si="138"/>
        <v>5632.2629455999995</v>
      </c>
      <c r="H120" s="134">
        <f t="shared" si="138"/>
        <v>5647.7591432400004</v>
      </c>
      <c r="I120" s="134">
        <f t="shared" si="138"/>
        <v>5663.6427458210001</v>
      </c>
      <c r="J120" s="134">
        <f t="shared" si="138"/>
        <v>5679.9234384665251</v>
      </c>
      <c r="K120" s="134">
        <f t="shared" si="138"/>
        <v>5696.6111484281882</v>
      </c>
      <c r="L120" s="134">
        <f t="shared" si="138"/>
        <v>5713.716051138892</v>
      </c>
      <c r="M120" s="134">
        <f t="shared" si="138"/>
        <v>5731.2485764173634</v>
      </c>
      <c r="N120" s="134">
        <f t="shared" si="138"/>
        <v>5749.2194148277977</v>
      </c>
      <c r="O120" s="134">
        <f t="shared" si="138"/>
        <v>5767.6395241984937</v>
      </c>
      <c r="P120" s="134">
        <f t="shared" si="138"/>
        <v>5786.5201363034557</v>
      </c>
      <c r="Q120" s="134">
        <f t="shared" si="138"/>
        <v>5805.8727637110424</v>
      </c>
      <c r="R120" s="134">
        <f t="shared" si="138"/>
        <v>5825.7092068038182</v>
      </c>
      <c r="S120" s="134">
        <f t="shared" ref="S120:W120" si="139">(S119+S113)-S109</f>
        <v>5846.0415609739139</v>
      </c>
      <c r="T120" s="134">
        <f t="shared" si="139"/>
        <v>5866.8822239982601</v>
      </c>
      <c r="U120" s="134">
        <f t="shared" si="139"/>
        <v>5888.2439035982188</v>
      </c>
      <c r="V120" s="134">
        <f t="shared" si="139"/>
        <v>5910.1396251881724</v>
      </c>
      <c r="W120" s="134">
        <f t="shared" si="139"/>
        <v>5932.5827398178772</v>
      </c>
      <c r="X120" s="134">
        <f t="shared" ref="X120:AB120" si="140">(X119+X113)-X109</f>
        <v>5955.5869323133247</v>
      </c>
      <c r="Y120" s="134">
        <f t="shared" si="140"/>
        <v>5979.1662296211562</v>
      </c>
      <c r="Z120" s="134">
        <f t="shared" si="140"/>
        <v>6003.3350093616864</v>
      </c>
      <c r="AA120" s="134">
        <f t="shared" si="140"/>
        <v>6028.1080085957274</v>
      </c>
      <c r="AB120" s="134">
        <f t="shared" si="140"/>
        <v>6053.5003328106213</v>
      </c>
      <c r="AC120" s="134">
        <f>(AC119+AC113)-AC109</f>
        <v>117610.25700523554</v>
      </c>
      <c r="AD120" s="135" t="s">
        <v>12</v>
      </c>
    </row>
    <row r="121" spans="1:30" x14ac:dyDescent="0.25">
      <c r="A121" s="132"/>
      <c r="B121" s="133" t="s">
        <v>82</v>
      </c>
      <c r="C121" s="134">
        <f t="shared" ref="C121:R121" si="141">(C119)-C109</f>
        <v>-27361</v>
      </c>
      <c r="D121" s="134">
        <f t="shared" si="141"/>
        <v>1772.4150399999999</v>
      </c>
      <c r="E121" s="134">
        <f t="shared" si="141"/>
        <v>1772.4150399999999</v>
      </c>
      <c r="F121" s="134">
        <f t="shared" si="141"/>
        <v>1772.4150399999999</v>
      </c>
      <c r="G121" s="134">
        <f t="shared" si="141"/>
        <v>1772.4150399999999</v>
      </c>
      <c r="H121" s="134">
        <f t="shared" si="141"/>
        <v>1772.4150399999999</v>
      </c>
      <c r="I121" s="134">
        <f t="shared" si="141"/>
        <v>1772.4150399999999</v>
      </c>
      <c r="J121" s="134">
        <f t="shared" si="141"/>
        <v>1772.4150399999999</v>
      </c>
      <c r="K121" s="134">
        <f t="shared" si="141"/>
        <v>1772.4150399999999</v>
      </c>
      <c r="L121" s="134">
        <f t="shared" si="141"/>
        <v>1772.4150399999999</v>
      </c>
      <c r="M121" s="134">
        <f t="shared" si="141"/>
        <v>1772.4150399999999</v>
      </c>
      <c r="N121" s="134">
        <f t="shared" si="141"/>
        <v>1772.4150399999999</v>
      </c>
      <c r="O121" s="134">
        <f t="shared" si="141"/>
        <v>1772.4150399999999</v>
      </c>
      <c r="P121" s="134">
        <f t="shared" si="141"/>
        <v>1772.4150399999999</v>
      </c>
      <c r="Q121" s="134">
        <f t="shared" si="141"/>
        <v>1772.4150399999999</v>
      </c>
      <c r="R121" s="134">
        <f t="shared" si="141"/>
        <v>1772.4150399999999</v>
      </c>
      <c r="S121" s="134">
        <f t="shared" ref="S121:W121" si="142">(S119)-S109</f>
        <v>1772.4150399999999</v>
      </c>
      <c r="T121" s="134">
        <f t="shared" si="142"/>
        <v>1772.4150399999999</v>
      </c>
      <c r="U121" s="134">
        <f t="shared" si="142"/>
        <v>1772.4150399999999</v>
      </c>
      <c r="V121" s="134">
        <f t="shared" si="142"/>
        <v>1772.4150399999999</v>
      </c>
      <c r="W121" s="134">
        <f t="shared" si="142"/>
        <v>1772.4150399999999</v>
      </c>
      <c r="X121" s="134">
        <f t="shared" ref="X121:AB121" si="143">(X119)-X109</f>
        <v>1772.4150399999999</v>
      </c>
      <c r="Y121" s="134">
        <f t="shared" si="143"/>
        <v>1772.4150399999999</v>
      </c>
      <c r="Z121" s="134">
        <f t="shared" si="143"/>
        <v>1772.4150399999999</v>
      </c>
      <c r="AA121" s="134">
        <f t="shared" si="143"/>
        <v>1772.4150399999999</v>
      </c>
      <c r="AB121" s="134">
        <f t="shared" si="143"/>
        <v>1772.4150399999999</v>
      </c>
      <c r="AC121" s="134">
        <f>(AC119)-AC109</f>
        <v>16949.375999999989</v>
      </c>
      <c r="AD121" s="135" t="s">
        <v>12</v>
      </c>
    </row>
    <row r="122" spans="1:30" ht="13.5" customHeight="1" x14ac:dyDescent="0.25">
      <c r="A122" s="69" t="s">
        <v>83</v>
      </c>
      <c r="B122" s="70">
        <f>XIRR(C121:AB121, C$38:AB$38, 0.1)</f>
        <v>4.1105356812477123E-2</v>
      </c>
      <c r="D122" s="82"/>
      <c r="E122" s="71"/>
      <c r="F122" s="71"/>
      <c r="G122" s="71"/>
      <c r="H122" s="71"/>
      <c r="I122" s="71"/>
      <c r="J122" s="72"/>
    </row>
    <row r="123" spans="1:30" ht="13.5" customHeight="1" x14ac:dyDescent="0.25">
      <c r="A123" s="96" t="s">
        <v>85</v>
      </c>
      <c r="B123" s="73">
        <f>XIRR(C120:AB120, C$38:AB$38, 0.1)</f>
        <v>0.20489134192466738</v>
      </c>
      <c r="D123" s="82"/>
      <c r="E123" s="71"/>
      <c r="F123" s="71"/>
      <c r="G123" s="71"/>
      <c r="H123" s="71"/>
      <c r="I123" s="71"/>
      <c r="J123" s="72"/>
    </row>
    <row r="124" spans="1:30" x14ac:dyDescent="0.25">
      <c r="A124" s="97" t="s">
        <v>86</v>
      </c>
      <c r="B124" s="84">
        <f>XNPV(A$100,C119:AB119,C$104:AB$104)/XNPV(A$100,C109:AB109,C$104:AB$104)</f>
        <v>1.0045759876928111</v>
      </c>
      <c r="E124" s="85"/>
      <c r="F124" s="85"/>
      <c r="G124" s="85"/>
      <c r="H124" s="85"/>
      <c r="I124" s="85"/>
    </row>
    <row r="125" spans="1:30" x14ac:dyDescent="0.25">
      <c r="A125" s="96" t="s">
        <v>87</v>
      </c>
      <c r="B125" s="86">
        <f>(XNPV(A$100,C119:AB119,C$104:AB$104)+XNPV(A$100,C113:AB113,C$104:AB$104))/XNPV(A$100,C109:AB109,C$104:AB$104)</f>
        <v>1.8931843996274966</v>
      </c>
      <c r="E125" s="85"/>
      <c r="F125" s="85"/>
      <c r="G125" s="85"/>
      <c r="H125" s="85"/>
      <c r="I125" s="85"/>
    </row>
    <row r="126" spans="1:30" x14ac:dyDescent="0.25">
      <c r="A126" s="98" t="s">
        <v>84</v>
      </c>
      <c r="B126" s="74">
        <f>XNPV(A$100,C121:AB121,C$104:AB$104)</f>
        <v>320.74777924536522</v>
      </c>
      <c r="E126" s="85"/>
      <c r="F126" s="85"/>
      <c r="G126" s="85"/>
      <c r="H126" s="85"/>
      <c r="I126" s="85"/>
    </row>
    <row r="127" spans="1:30" x14ac:dyDescent="0.25">
      <c r="A127" s="96" t="s">
        <v>88</v>
      </c>
      <c r="B127" s="76">
        <f>XNPV(A$100,C120:AB120,C$104:AB$104)</f>
        <v>62606.57411452513</v>
      </c>
      <c r="E127" s="85"/>
      <c r="F127" s="85"/>
      <c r="G127" s="85"/>
      <c r="H127" s="85"/>
      <c r="I127" s="85"/>
    </row>
    <row r="128" spans="1:30" x14ac:dyDescent="0.25">
      <c r="A128" s="83" t="s">
        <v>76</v>
      </c>
      <c r="B128" s="74">
        <f>IF(S128,S103-C103)</f>
        <v>16</v>
      </c>
      <c r="C128" s="75">
        <f>C119/C109</f>
        <v>0</v>
      </c>
      <c r="D128" s="87">
        <f>SUM($C$119:D119)/SUM($C$109:D109)</f>
        <v>0.1497989852842965</v>
      </c>
      <c r="E128" s="87">
        <f>SUM($C$119:E119)/SUM($C$109:E109)</f>
        <v>0.27463147302121027</v>
      </c>
      <c r="F128" s="87">
        <f>SUM($C$119:F119)/SUM($C$109:F109)</f>
        <v>0.38025896264475273</v>
      </c>
      <c r="G128" s="87">
        <f>SUM($C$119:G119)/SUM($C$109:G109)</f>
        <v>0.47079681089350334</v>
      </c>
      <c r="H128" s="87">
        <f>SUM($C$119:H119)/SUM($C$109:H109)</f>
        <v>0.54926294604242054</v>
      </c>
      <c r="I128" s="87">
        <f>SUM($C$119:I119)/SUM($C$109:I109)</f>
        <v>0.61792081429772305</v>
      </c>
      <c r="J128" s="87">
        <f>SUM($C$119:J119)/SUM($C$109:J109)</f>
        <v>0.6785012862876959</v>
      </c>
      <c r="K128" s="87">
        <f>SUM($C$119:K119)/SUM($C$109:K109)</f>
        <v>0.73235059472322739</v>
      </c>
      <c r="L128" s="87">
        <f>SUM($C$119:L119)/SUM($C$109:L109)</f>
        <v>0.78053155490238701</v>
      </c>
      <c r="M128" s="87">
        <f>SUM($C$119:M119)/SUM($C$109:M109)</f>
        <v>0.82389441906363081</v>
      </c>
      <c r="N128" s="87">
        <f>SUM($C$119:N119)/SUM($C$109:N109)</f>
        <v>0.86312748663808936</v>
      </c>
      <c r="O128" s="87">
        <f>SUM($C$119:O119)/SUM($C$109:O109)</f>
        <v>0.89879391170577905</v>
      </c>
      <c r="P128" s="87">
        <f>SUM($C$119:P119)/SUM($C$109:P109)</f>
        <v>0.9313589085067131</v>
      </c>
      <c r="Q128" s="87">
        <f>SUM($C$119:Q119)/SUM($C$109:Q109)</f>
        <v>0.96121015557423595</v>
      </c>
      <c r="R128" s="87">
        <f>SUM($C$119:R119)/SUM($C$109:R109)</f>
        <v>0.98867330287635691</v>
      </c>
      <c r="S128" s="87">
        <f>SUM($C$119:S119)/SUM($C$109:S109)</f>
        <v>1.014023900386007</v>
      </c>
      <c r="T128" s="87">
        <f>SUM($C$119:T119)/SUM($C$109:T109)</f>
        <v>1.0374966758579052</v>
      </c>
      <c r="U128" s="87">
        <f>SUM($C$119:U119)/SUM($C$109:U109)</f>
        <v>1.0592928245103821</v>
      </c>
      <c r="V128" s="87">
        <f>SUM($C$119:V119)/SUM($C$109:V109)</f>
        <v>1.0795857904971711</v>
      </c>
      <c r="W128" s="87">
        <f>SUM($C$119:W119)/SUM($C$109:W109)</f>
        <v>1.0985258920848406</v>
      </c>
      <c r="X128" s="87">
        <f>SUM($C$119:X119)/SUM($C$109:X109)</f>
        <v>1.1162440516345959</v>
      </c>
      <c r="Y128" s="87">
        <f>SUM($C$119:Y119)/SUM($C$109:Y109)</f>
        <v>1.1328548262124916</v>
      </c>
      <c r="Z128" s="87">
        <f>SUM($C$119:Z119)/SUM($C$109:Z109)</f>
        <v>1.1484588871796058</v>
      </c>
      <c r="AA128" s="87">
        <f>SUM($C$119:AA119)/SUM($C$109:AA109)</f>
        <v>1.1631450622074779</v>
      </c>
      <c r="AB128" s="87">
        <f>SUM($C$119:AB119)/SUM($C$109:AB109)</f>
        <v>1.1769920272337573</v>
      </c>
    </row>
    <row r="129" spans="1:32" x14ac:dyDescent="0.25">
      <c r="A129" s="96" t="s">
        <v>89</v>
      </c>
      <c r="B129" s="76">
        <f>IF(H129,H103-C103)</f>
        <v>5</v>
      </c>
      <c r="C129" s="75">
        <f>(C119+C113)/C109</f>
        <v>0</v>
      </c>
      <c r="D129" s="87">
        <f>(SUM($C$119:D119)+SUM($C$113:D113))/SUM($C$109:D109)</f>
        <v>0.27657500024919346</v>
      </c>
      <c r="E129" s="87">
        <f>(SUM($C$119:E119)+SUM($C$113:E113))/SUM($C$109:E109)</f>
        <v>0.50749243570532276</v>
      </c>
      <c r="F129" s="87">
        <f>(SUM($C$119:F119)+SUM($C$113:F113))/SUM($C$109:F109)</f>
        <v>0.70329878136482882</v>
      </c>
      <c r="G129" s="87">
        <f>(SUM($C$119:G119)+SUM($C$113:G113))/SUM($C$109:G109)</f>
        <v>0.87152746844048112</v>
      </c>
      <c r="H129" s="87">
        <f>(SUM($C$119:H119)+SUM($C$113:H113))/SUM($C$109:H109)</f>
        <v>1.0177032377676256</v>
      </c>
      <c r="I129" s="87">
        <f>(SUM($C$119:I119)+SUM($C$113:I113))/SUM($C$109:I109)</f>
        <v>1.1459698608114881</v>
      </c>
      <c r="J129" s="87">
        <f>(SUM($C$119:J119)+SUM($C$113:J113))/SUM($C$109:J109)</f>
        <v>1.2594963122075331</v>
      </c>
      <c r="K129" s="87">
        <f>(SUM($C$119:K119)+SUM($C$113:K113))/SUM($C$109:K109)</f>
        <v>1.360747551574945</v>
      </c>
      <c r="L129" s="87">
        <f>(SUM($C$119:L119)+SUM($C$113:L113))/SUM($C$109:L109)</f>
        <v>1.4516697954001876</v>
      </c>
      <c r="M129" s="87">
        <f>(SUM($C$119:M119)+SUM($C$113:M113))/SUM($C$109:M109)</f>
        <v>1.5338202074688787</v>
      </c>
      <c r="N129" s="87">
        <f>(SUM($C$119:N119)+SUM($C$113:N113))/SUM($C$109:N109)</f>
        <v>1.6084595349992392</v>
      </c>
      <c r="O129" s="87">
        <f>(SUM($C$119:O119)+SUM($C$113:O113))/SUM($C$109:O109)</f>
        <v>1.6766194804838055</v>
      </c>
      <c r="P129" s="87">
        <f>(SUM($C$119:P119)+SUM($C$113:P113))/SUM($C$109:P109)</f>
        <v>1.7391524983742606</v>
      </c>
      <c r="Q129" s="87">
        <f>(SUM($C$119:Q119)+SUM($C$113:Q113))/SUM($C$109:Q109)</f>
        <v>1.7967691426993526</v>
      </c>
      <c r="R129" s="87">
        <f>(SUM($C$119:R119)+SUM($C$113:R113))/SUM($C$109:R109)</f>
        <v>1.8500664513571372</v>
      </c>
      <c r="S129" s="87">
        <f>(SUM($C$119:S119)+SUM($C$113:S113))/SUM($C$109:S109)</f>
        <v>1.8995497802870804</v>
      </c>
      <c r="T129" s="87">
        <f>(SUM($C$119:T119)+SUM($C$113:T113))/SUM($C$109:T109)</f>
        <v>1.9456497857037489</v>
      </c>
      <c r="U129" s="87">
        <f>(SUM($C$119:U119)+SUM($C$113:U113))/SUM($C$109:U109)</f>
        <v>1.9887357673791026</v>
      </c>
      <c r="V129" s="87">
        <f>(SUM($C$119:V119)+SUM($C$113:V113))/SUM($C$109:V109)</f>
        <v>2.0291262513433432</v>
      </c>
      <c r="W129" s="87">
        <f>(SUM($C$119:W119)+SUM($C$113:W113))/SUM($C$109:W109)</f>
        <v>2.0670974561423554</v>
      </c>
      <c r="X129" s="87">
        <f>(SUM($C$119:X119)+SUM($C$113:X113))/SUM($C$109:X109)</f>
        <v>2.1028901205606556</v>
      </c>
      <c r="Y129" s="87">
        <f>(SUM($C$119:Y119)+SUM($C$113:Y113))/SUM($C$109:Y109)</f>
        <v>2.1367150512415871</v>
      </c>
      <c r="Z129" s="87">
        <f>(SUM($C$119:Z119)+SUM($C$113:Z113))/SUM($C$109:Z109)</f>
        <v>2.1687576617440341</v>
      </c>
      <c r="AA129" s="87">
        <f>(SUM($C$119:AA119)+SUM($C$113:AA113))/SUM($C$109:AA109)</f>
        <v>2.1991817106833556</v>
      </c>
      <c r="AB129" s="87">
        <f>(SUM($C$119:AB119)+SUM($C$113:AB113))/SUM($C$109:AB109)</f>
        <v>2.2281323991420052</v>
      </c>
    </row>
    <row r="133" spans="1:32" ht="26.25" x14ac:dyDescent="0.4">
      <c r="A133" s="107">
        <v>0.04</v>
      </c>
      <c r="B133" s="107" t="s">
        <v>79</v>
      </c>
    </row>
    <row r="134" spans="1:32" ht="23.25" customHeight="1" x14ac:dyDescent="0.25">
      <c r="A134" s="316" t="s">
        <v>141</v>
      </c>
      <c r="B134" s="317"/>
      <c r="C134" s="317"/>
      <c r="D134" s="317"/>
      <c r="E134" s="317"/>
      <c r="F134" s="317"/>
      <c r="G134" s="317"/>
      <c r="H134" s="317"/>
      <c r="I134" s="317"/>
      <c r="J134" s="317"/>
      <c r="K134" s="317"/>
      <c r="L134" s="317"/>
      <c r="M134" s="317"/>
      <c r="N134" s="317"/>
      <c r="O134" s="317"/>
      <c r="P134" s="317"/>
      <c r="Q134" s="317"/>
      <c r="R134" s="317"/>
      <c r="S134" s="317"/>
      <c r="T134" s="317"/>
      <c r="U134" s="317"/>
      <c r="V134" s="317"/>
      <c r="W134" s="317"/>
      <c r="X134" s="317"/>
      <c r="Y134" s="317"/>
      <c r="Z134" s="317"/>
      <c r="AA134" s="317"/>
      <c r="AB134" s="317"/>
      <c r="AC134" s="317"/>
      <c r="AD134" s="318"/>
    </row>
    <row r="135" spans="1:32" x14ac:dyDescent="0.25">
      <c r="A135" s="78"/>
      <c r="B135" s="78"/>
      <c r="C135" s="60" t="s">
        <v>8</v>
      </c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1" t="s">
        <v>9</v>
      </c>
    </row>
    <row r="136" spans="1:32" ht="15.75" customHeight="1" x14ac:dyDescent="0.25">
      <c r="A136" s="319" t="s">
        <v>130</v>
      </c>
      <c r="B136" s="320"/>
      <c r="C136" s="224"/>
      <c r="D136" s="1">
        <v>1</v>
      </c>
      <c r="E136" s="1">
        <v>2</v>
      </c>
      <c r="F136" s="1">
        <v>3</v>
      </c>
      <c r="G136" s="1">
        <v>4</v>
      </c>
      <c r="H136" s="1">
        <v>5</v>
      </c>
      <c r="I136" s="1">
        <v>6</v>
      </c>
      <c r="J136" s="1">
        <v>7</v>
      </c>
      <c r="K136" s="1">
        <v>8</v>
      </c>
      <c r="L136" s="1">
        <v>9</v>
      </c>
      <c r="M136" s="1">
        <v>10</v>
      </c>
      <c r="N136" s="1">
        <v>11</v>
      </c>
      <c r="O136" s="1">
        <v>12</v>
      </c>
      <c r="P136" s="1">
        <v>13</v>
      </c>
      <c r="Q136" s="1">
        <v>14</v>
      </c>
      <c r="R136" s="1">
        <v>15</v>
      </c>
      <c r="S136" s="1">
        <v>16</v>
      </c>
      <c r="T136" s="1">
        <v>17</v>
      </c>
      <c r="U136" s="1">
        <v>18</v>
      </c>
      <c r="V136" s="1">
        <v>19</v>
      </c>
      <c r="W136" s="1">
        <v>20</v>
      </c>
      <c r="X136" s="1">
        <v>21</v>
      </c>
      <c r="Y136" s="1">
        <v>22</v>
      </c>
      <c r="Z136" s="1">
        <v>23</v>
      </c>
      <c r="AA136" s="1">
        <v>24</v>
      </c>
      <c r="AB136" s="1">
        <v>25</v>
      </c>
      <c r="AC136" s="62" t="s">
        <v>78</v>
      </c>
      <c r="AD136" s="7"/>
    </row>
    <row r="137" spans="1:32" ht="16.5" customHeight="1" x14ac:dyDescent="0.25">
      <c r="A137" s="89"/>
      <c r="B137" s="90"/>
      <c r="C137" s="99">
        <v>44197</v>
      </c>
      <c r="D137" s="99">
        <v>44562</v>
      </c>
      <c r="E137" s="99">
        <v>44927</v>
      </c>
      <c r="F137" s="99">
        <v>45292</v>
      </c>
      <c r="G137" s="99">
        <v>45658</v>
      </c>
      <c r="H137" s="99">
        <v>46023</v>
      </c>
      <c r="I137" s="99">
        <v>46388</v>
      </c>
      <c r="J137" s="99">
        <v>46753</v>
      </c>
      <c r="K137" s="99">
        <v>47119</v>
      </c>
      <c r="L137" s="99">
        <v>47484</v>
      </c>
      <c r="M137" s="99">
        <v>47849</v>
      </c>
      <c r="N137" s="99">
        <v>48214</v>
      </c>
      <c r="O137" s="99">
        <v>48580</v>
      </c>
      <c r="P137" s="99">
        <v>48945</v>
      </c>
      <c r="Q137" s="99">
        <v>49310</v>
      </c>
      <c r="R137" s="99">
        <v>49675</v>
      </c>
      <c r="S137" s="99">
        <v>50041</v>
      </c>
      <c r="T137" s="99">
        <v>50406</v>
      </c>
      <c r="U137" s="99">
        <v>50771</v>
      </c>
      <c r="V137" s="99">
        <v>51136</v>
      </c>
      <c r="W137" s="99">
        <v>51502</v>
      </c>
      <c r="X137" s="99">
        <v>51867</v>
      </c>
      <c r="Y137" s="99">
        <v>52232</v>
      </c>
      <c r="Z137" s="99">
        <v>52597</v>
      </c>
      <c r="AA137" s="99">
        <v>52963</v>
      </c>
      <c r="AB137" s="99">
        <v>53328</v>
      </c>
      <c r="AC137" s="91"/>
      <c r="AD137" s="92"/>
    </row>
    <row r="138" spans="1:32" s="106" customFormat="1" ht="16.5" customHeight="1" x14ac:dyDescent="0.25">
      <c r="C138" s="101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3"/>
      <c r="AD138" s="104"/>
      <c r="AE138" s="105"/>
      <c r="AF138" s="105"/>
    </row>
    <row r="139" spans="1:32" x14ac:dyDescent="0.25">
      <c r="A139" s="312" t="s">
        <v>10</v>
      </c>
      <c r="B139" s="313"/>
      <c r="C139" s="225"/>
      <c r="D139" s="63"/>
      <c r="E139" s="63"/>
      <c r="F139" s="63"/>
      <c r="G139" s="63"/>
      <c r="H139" s="63"/>
      <c r="I139" s="63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</row>
    <row r="140" spans="1:32" x14ac:dyDescent="0.25">
      <c r="A140" s="226" t="s">
        <v>11</v>
      </c>
      <c r="B140" s="59"/>
      <c r="C140" s="88">
        <f>Interventions!$I$6</f>
        <v>27361</v>
      </c>
      <c r="D140" s="65"/>
      <c r="E140" s="65"/>
      <c r="F140" s="65"/>
      <c r="G140" s="65"/>
      <c r="H140" s="65"/>
      <c r="I140" s="6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66">
        <f>SUM(C140:AB140)</f>
        <v>27361</v>
      </c>
      <c r="AD140" s="3" t="s">
        <v>12</v>
      </c>
    </row>
    <row r="141" spans="1:32" x14ac:dyDescent="0.25">
      <c r="A141" s="59" t="s">
        <v>136</v>
      </c>
      <c r="B141" s="226"/>
      <c r="C141" s="93"/>
      <c r="D141" s="67">
        <f>Interventions!$I$7</f>
        <v>2736.1000000000004</v>
      </c>
      <c r="E141" s="67">
        <f>Interventions!$I$7</f>
        <v>2736.1000000000004</v>
      </c>
      <c r="F141" s="67">
        <f>Interventions!$I$7</f>
        <v>2736.1000000000004</v>
      </c>
      <c r="G141" s="67">
        <f>Interventions!$I$7</f>
        <v>2736.1000000000004</v>
      </c>
      <c r="H141" s="67">
        <f>Interventions!$I$7</f>
        <v>2736.1000000000004</v>
      </c>
      <c r="I141" s="67">
        <f>Interventions!$I$7</f>
        <v>2736.1000000000004</v>
      </c>
      <c r="J141" s="67">
        <f>Interventions!$I$7</f>
        <v>2736.1000000000004</v>
      </c>
      <c r="K141" s="67">
        <f>Interventions!$I$7</f>
        <v>2736.1000000000004</v>
      </c>
      <c r="L141" s="67">
        <f>Interventions!$I$7</f>
        <v>2736.1000000000004</v>
      </c>
      <c r="M141" s="67">
        <f>Interventions!$I$7</f>
        <v>2736.1000000000004</v>
      </c>
      <c r="N141" s="67">
        <f>Interventions!$I$7</f>
        <v>2736.1000000000004</v>
      </c>
      <c r="O141" s="67">
        <f>Interventions!$I$7</f>
        <v>2736.1000000000004</v>
      </c>
      <c r="P141" s="67">
        <f>Interventions!$I$7</f>
        <v>2736.1000000000004</v>
      </c>
      <c r="Q141" s="67">
        <f>Interventions!$I$7</f>
        <v>2736.1000000000004</v>
      </c>
      <c r="R141" s="67">
        <f>Interventions!$I$7</f>
        <v>2736.1000000000004</v>
      </c>
      <c r="S141" s="67">
        <f>Interventions!$I$7</f>
        <v>2736.1000000000004</v>
      </c>
      <c r="T141" s="67">
        <f>Interventions!$I$7</f>
        <v>2736.1000000000004</v>
      </c>
      <c r="U141" s="67">
        <f>Interventions!$I$7</f>
        <v>2736.1000000000004</v>
      </c>
      <c r="V141" s="67">
        <f>Interventions!$I$7</f>
        <v>2736.1000000000004</v>
      </c>
      <c r="W141" s="67">
        <f>Interventions!$I$7</f>
        <v>2736.1000000000004</v>
      </c>
      <c r="X141" s="67">
        <f>Interventions!$I$7</f>
        <v>2736.1000000000004</v>
      </c>
      <c r="Y141" s="67">
        <f>Interventions!$I$7</f>
        <v>2736.1000000000004</v>
      </c>
      <c r="Z141" s="67">
        <f>Interventions!$I$7</f>
        <v>2736.1000000000004</v>
      </c>
      <c r="AA141" s="67">
        <f>Interventions!$I$7</f>
        <v>2736.1000000000004</v>
      </c>
      <c r="AB141" s="67">
        <f>Interventions!$I$7</f>
        <v>2736.1000000000004</v>
      </c>
      <c r="AC141" s="66">
        <f>SUM(C141:AB141)</f>
        <v>68402.499999999985</v>
      </c>
      <c r="AD141" s="3" t="s">
        <v>12</v>
      </c>
    </row>
    <row r="142" spans="1:32" x14ac:dyDescent="0.25">
      <c r="A142" s="310" t="s">
        <v>80</v>
      </c>
      <c r="B142" s="311"/>
      <c r="C142" s="94">
        <f t="shared" ref="C142:W142" si="144">SUM(C140:C141)</f>
        <v>27361</v>
      </c>
      <c r="D142" s="94">
        <f t="shared" si="144"/>
        <v>2736.1000000000004</v>
      </c>
      <c r="E142" s="94">
        <f t="shared" si="144"/>
        <v>2736.1000000000004</v>
      </c>
      <c r="F142" s="94">
        <f t="shared" si="144"/>
        <v>2736.1000000000004</v>
      </c>
      <c r="G142" s="94">
        <f t="shared" si="144"/>
        <v>2736.1000000000004</v>
      </c>
      <c r="H142" s="94">
        <f t="shared" si="144"/>
        <v>2736.1000000000004</v>
      </c>
      <c r="I142" s="94">
        <f t="shared" si="144"/>
        <v>2736.1000000000004</v>
      </c>
      <c r="J142" s="94">
        <f t="shared" si="144"/>
        <v>2736.1000000000004</v>
      </c>
      <c r="K142" s="94">
        <f t="shared" si="144"/>
        <v>2736.1000000000004</v>
      </c>
      <c r="L142" s="94">
        <f t="shared" si="144"/>
        <v>2736.1000000000004</v>
      </c>
      <c r="M142" s="94">
        <f t="shared" si="144"/>
        <v>2736.1000000000004</v>
      </c>
      <c r="N142" s="94">
        <f t="shared" si="144"/>
        <v>2736.1000000000004</v>
      </c>
      <c r="O142" s="94">
        <f t="shared" si="144"/>
        <v>2736.1000000000004</v>
      </c>
      <c r="P142" s="94">
        <f t="shared" si="144"/>
        <v>2736.1000000000004</v>
      </c>
      <c r="Q142" s="94">
        <f t="shared" si="144"/>
        <v>2736.1000000000004</v>
      </c>
      <c r="R142" s="94">
        <f t="shared" si="144"/>
        <v>2736.1000000000004</v>
      </c>
      <c r="S142" s="94">
        <f t="shared" si="144"/>
        <v>2736.1000000000004</v>
      </c>
      <c r="T142" s="94">
        <f t="shared" si="144"/>
        <v>2736.1000000000004</v>
      </c>
      <c r="U142" s="94">
        <f t="shared" si="144"/>
        <v>2736.1000000000004</v>
      </c>
      <c r="V142" s="94">
        <f t="shared" si="144"/>
        <v>2736.1000000000004</v>
      </c>
      <c r="W142" s="94">
        <f t="shared" si="144"/>
        <v>2736.1000000000004</v>
      </c>
      <c r="X142" s="94">
        <f t="shared" ref="X142:AB142" si="145">SUM(X140:X141)</f>
        <v>2736.1000000000004</v>
      </c>
      <c r="Y142" s="94">
        <f t="shared" si="145"/>
        <v>2736.1000000000004</v>
      </c>
      <c r="Z142" s="94">
        <f t="shared" si="145"/>
        <v>2736.1000000000004</v>
      </c>
      <c r="AA142" s="94">
        <f t="shared" si="145"/>
        <v>2736.1000000000004</v>
      </c>
      <c r="AB142" s="94">
        <f t="shared" si="145"/>
        <v>2736.1000000000004</v>
      </c>
      <c r="AC142" s="95">
        <f>SUM(AC140:AC141)</f>
        <v>95763.499999999985</v>
      </c>
      <c r="AD142" s="6" t="s">
        <v>12</v>
      </c>
    </row>
    <row r="143" spans="1:32" x14ac:dyDescent="0.25">
      <c r="A143" s="312" t="s">
        <v>154</v>
      </c>
      <c r="B143" s="313"/>
      <c r="C143" s="239"/>
      <c r="D143" s="63"/>
      <c r="E143" s="63"/>
      <c r="F143" s="63"/>
      <c r="G143" s="63"/>
      <c r="H143" s="63"/>
      <c r="I143" s="63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</row>
    <row r="144" spans="1:32" x14ac:dyDescent="0.25">
      <c r="A144" s="59" t="s">
        <v>170</v>
      </c>
      <c r="B144" s="59"/>
      <c r="C144" s="59"/>
      <c r="D144" s="67">
        <f>'Carbon avoided'!E12</f>
        <v>575.59040000000005</v>
      </c>
      <c r="E144" s="67">
        <f>'Carbon avoided'!F12</f>
        <v>589.98016000000007</v>
      </c>
      <c r="F144" s="67">
        <f>'Carbon avoided'!G12</f>
        <v>604.72966399999996</v>
      </c>
      <c r="G144" s="67">
        <f>'Carbon avoided'!H12</f>
        <v>619.84790559999999</v>
      </c>
      <c r="H144" s="67">
        <f>'Carbon avoided'!I12</f>
        <v>635.34410323999998</v>
      </c>
      <c r="I144" s="67">
        <f>'Carbon avoided'!J12</f>
        <v>651.22770582099986</v>
      </c>
      <c r="J144" s="67">
        <f>'Carbon avoided'!K12</f>
        <v>667.5083984665248</v>
      </c>
      <c r="K144" s="67">
        <f>'Carbon avoided'!L12</f>
        <v>684.19610842818781</v>
      </c>
      <c r="L144" s="67">
        <f>'Carbon avoided'!M12</f>
        <v>701.30101113889248</v>
      </c>
      <c r="M144" s="67">
        <f>'Carbon avoided'!N12</f>
        <v>718.83353641736471</v>
      </c>
      <c r="N144" s="67">
        <f>'Carbon avoided'!O12</f>
        <v>736.80437482779871</v>
      </c>
      <c r="O144" s="67">
        <f>'Carbon avoided'!P12</f>
        <v>755.22448419849366</v>
      </c>
      <c r="P144" s="67">
        <f>'Carbon avoided'!Q12</f>
        <v>774.10509630345587</v>
      </c>
      <c r="Q144" s="67">
        <f>'Carbon avoided'!R12</f>
        <v>793.45772371104215</v>
      </c>
      <c r="R144" s="67">
        <f>'Carbon avoided'!S12</f>
        <v>813.29416680381814</v>
      </c>
      <c r="S144" s="67">
        <f>'Carbon avoided'!T12</f>
        <v>833.62652097391356</v>
      </c>
      <c r="T144" s="67">
        <f>'Carbon avoided'!U12</f>
        <v>854.46718399826136</v>
      </c>
      <c r="U144" s="67">
        <f>'Carbon avoided'!V12</f>
        <v>875.82886359821782</v>
      </c>
      <c r="V144" s="67">
        <f>'Carbon avoided'!W12</f>
        <v>897.72458518817314</v>
      </c>
      <c r="W144" s="67">
        <f>'Carbon avoided'!X12</f>
        <v>920.16769981787741</v>
      </c>
      <c r="X144" s="67">
        <f>'Carbon avoided'!Y12</f>
        <v>943.17189231332429</v>
      </c>
      <c r="Y144" s="67">
        <f>'Carbon avoided'!Z12</f>
        <v>966.75118962115732</v>
      </c>
      <c r="Z144" s="67">
        <f>'Carbon avoided'!AA12</f>
        <v>990.9199693616863</v>
      </c>
      <c r="AA144" s="67">
        <f>'Carbon avoided'!AB12</f>
        <v>1015.6929685957284</v>
      </c>
      <c r="AB144" s="67">
        <f>'Carbon avoided'!AC12</f>
        <v>1041.0852928106215</v>
      </c>
      <c r="AC144" s="66">
        <f>SUM(C144:AB144)</f>
        <v>19660.88100523554</v>
      </c>
      <c r="AD144" s="3" t="s">
        <v>12</v>
      </c>
    </row>
    <row r="145" spans="1:30" ht="12.75" customHeight="1" x14ac:dyDescent="0.25">
      <c r="A145" s="59" t="s">
        <v>174</v>
      </c>
      <c r="B145" s="59"/>
      <c r="C145" s="59"/>
      <c r="D145" s="67">
        <f>Interventions!$I$10</f>
        <v>3240</v>
      </c>
      <c r="E145" s="67">
        <f>Interventions!$I$10</f>
        <v>3240</v>
      </c>
      <c r="F145" s="67">
        <f>Interventions!$I$10</f>
        <v>3240</v>
      </c>
      <c r="G145" s="67">
        <f>Interventions!$I$10</f>
        <v>3240</v>
      </c>
      <c r="H145" s="67">
        <f>Interventions!$I$10</f>
        <v>3240</v>
      </c>
      <c r="I145" s="67">
        <f>Interventions!$I$10</f>
        <v>3240</v>
      </c>
      <c r="J145" s="67">
        <f>Interventions!$I$10</f>
        <v>3240</v>
      </c>
      <c r="K145" s="67">
        <f>Interventions!$I$10</f>
        <v>3240</v>
      </c>
      <c r="L145" s="67">
        <f>Interventions!$I$10</f>
        <v>3240</v>
      </c>
      <c r="M145" s="67">
        <f>Interventions!$I$10</f>
        <v>3240</v>
      </c>
      <c r="N145" s="67">
        <f>Interventions!$I$10</f>
        <v>3240</v>
      </c>
      <c r="O145" s="67">
        <f>Interventions!$I$10</f>
        <v>3240</v>
      </c>
      <c r="P145" s="67">
        <f>Interventions!$I$10</f>
        <v>3240</v>
      </c>
      <c r="Q145" s="67">
        <f>Interventions!$I$10</f>
        <v>3240</v>
      </c>
      <c r="R145" s="67">
        <f>Interventions!$I$10</f>
        <v>3240</v>
      </c>
      <c r="S145" s="67">
        <f>Interventions!$I$10</f>
        <v>3240</v>
      </c>
      <c r="T145" s="67">
        <f>Interventions!$I$10</f>
        <v>3240</v>
      </c>
      <c r="U145" s="67">
        <f>Interventions!$I$10</f>
        <v>3240</v>
      </c>
      <c r="V145" s="67">
        <f>Interventions!$I$10</f>
        <v>3240</v>
      </c>
      <c r="W145" s="67">
        <f>Interventions!$I$10</f>
        <v>3240</v>
      </c>
      <c r="X145" s="67">
        <f>Interventions!$I$10</f>
        <v>3240</v>
      </c>
      <c r="Y145" s="67">
        <f>Interventions!$I$10</f>
        <v>3240</v>
      </c>
      <c r="Z145" s="67">
        <f>Interventions!$I$10</f>
        <v>3240</v>
      </c>
      <c r="AA145" s="67">
        <f>Interventions!$I$10</f>
        <v>3240</v>
      </c>
      <c r="AB145" s="67">
        <f>Interventions!$I$10</f>
        <v>3240</v>
      </c>
      <c r="AC145" s="66">
        <f>SUM(C145:AB145)</f>
        <v>81000</v>
      </c>
      <c r="AD145" s="3" t="s">
        <v>12</v>
      </c>
    </row>
    <row r="146" spans="1:30" x14ac:dyDescent="0.25">
      <c r="A146" s="310" t="s">
        <v>80</v>
      </c>
      <c r="B146" s="311"/>
      <c r="C146" s="68">
        <f t="shared" ref="C146:R146" si="146">SUM(C144:C145)</f>
        <v>0</v>
      </c>
      <c r="D146" s="68">
        <f t="shared" si="146"/>
        <v>3815.5904</v>
      </c>
      <c r="E146" s="68">
        <f t="shared" si="146"/>
        <v>3829.9801600000001</v>
      </c>
      <c r="F146" s="68">
        <f t="shared" si="146"/>
        <v>3844.729664</v>
      </c>
      <c r="G146" s="68">
        <f t="shared" si="146"/>
        <v>3859.8479056000001</v>
      </c>
      <c r="H146" s="68">
        <f t="shared" si="146"/>
        <v>3875.3441032400001</v>
      </c>
      <c r="I146" s="68">
        <f t="shared" si="146"/>
        <v>3891.2277058209997</v>
      </c>
      <c r="J146" s="68">
        <f t="shared" si="146"/>
        <v>3907.5083984665248</v>
      </c>
      <c r="K146" s="68">
        <f t="shared" si="146"/>
        <v>3924.1961084281879</v>
      </c>
      <c r="L146" s="68">
        <f t="shared" si="146"/>
        <v>3941.3010111388926</v>
      </c>
      <c r="M146" s="68">
        <f t="shared" si="146"/>
        <v>3958.8335364173645</v>
      </c>
      <c r="N146" s="68">
        <f t="shared" si="146"/>
        <v>3976.8043748277987</v>
      </c>
      <c r="O146" s="68">
        <f t="shared" si="146"/>
        <v>3995.2244841984939</v>
      </c>
      <c r="P146" s="68">
        <f t="shared" si="146"/>
        <v>4014.1050963034559</v>
      </c>
      <c r="Q146" s="68">
        <f t="shared" si="146"/>
        <v>4033.457723711042</v>
      </c>
      <c r="R146" s="68">
        <f t="shared" si="146"/>
        <v>4053.2941668038184</v>
      </c>
      <c r="S146" s="68">
        <f t="shared" ref="S146:W146" si="147">SUM(S144:S145)</f>
        <v>4073.6265209739136</v>
      </c>
      <c r="T146" s="68">
        <f t="shared" si="147"/>
        <v>4094.4671839982611</v>
      </c>
      <c r="U146" s="68">
        <f t="shared" si="147"/>
        <v>4115.828863598218</v>
      </c>
      <c r="V146" s="68">
        <f t="shared" si="147"/>
        <v>4137.7245851881735</v>
      </c>
      <c r="W146" s="68">
        <f t="shared" si="147"/>
        <v>4160.1676998178773</v>
      </c>
      <c r="X146" s="68">
        <f t="shared" ref="X146:AB146" si="148">SUM(X144:X145)</f>
        <v>4183.171892313324</v>
      </c>
      <c r="Y146" s="68">
        <f t="shared" si="148"/>
        <v>4206.7511896211572</v>
      </c>
      <c r="Z146" s="68">
        <f t="shared" si="148"/>
        <v>4230.9199693616865</v>
      </c>
      <c r="AA146" s="68">
        <f t="shared" si="148"/>
        <v>4255.6929685957284</v>
      </c>
      <c r="AB146" s="68">
        <f t="shared" si="148"/>
        <v>4281.0852928106215</v>
      </c>
      <c r="AC146" s="68">
        <f>SUM(AC144:AC145)</f>
        <v>100660.88100523554</v>
      </c>
      <c r="AD146" s="6" t="s">
        <v>12</v>
      </c>
    </row>
    <row r="147" spans="1:30" x14ac:dyDescent="0.25">
      <c r="A147" s="312" t="s">
        <v>149</v>
      </c>
      <c r="B147" s="313"/>
      <c r="C147" s="239"/>
      <c r="D147" s="63"/>
      <c r="E147" s="63"/>
      <c r="F147" s="63"/>
      <c r="G147" s="63"/>
      <c r="H147" s="63"/>
      <c r="I147" s="63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</row>
    <row r="148" spans="1:30" x14ac:dyDescent="0.25">
      <c r="A148" s="226"/>
      <c r="B148" s="59"/>
      <c r="C148" s="59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6"/>
      <c r="AD148" s="3"/>
    </row>
    <row r="149" spans="1:30" x14ac:dyDescent="0.25">
      <c r="A149" s="240"/>
      <c r="B149" s="59"/>
      <c r="C149" s="59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6"/>
      <c r="AD149" s="3"/>
    </row>
    <row r="150" spans="1:30" ht="13.5" customHeight="1" x14ac:dyDescent="0.25">
      <c r="A150" s="240"/>
      <c r="B150" s="59"/>
      <c r="C150" s="59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6"/>
      <c r="AD150" s="3"/>
    </row>
    <row r="151" spans="1:30" x14ac:dyDescent="0.25">
      <c r="A151" s="59" t="s">
        <v>36</v>
      </c>
      <c r="B151" s="59" t="s">
        <v>36</v>
      </c>
      <c r="C151" s="59"/>
      <c r="D151" s="67">
        <f>Interventions!$I$14</f>
        <v>4508.5150400000002</v>
      </c>
      <c r="E151" s="67">
        <f>Interventions!$I$14</f>
        <v>4508.5150400000002</v>
      </c>
      <c r="F151" s="67">
        <f>Interventions!$I$14</f>
        <v>4508.5150400000002</v>
      </c>
      <c r="G151" s="67">
        <f>Interventions!$I$14</f>
        <v>4508.5150400000002</v>
      </c>
      <c r="H151" s="67">
        <f>Interventions!$I$14</f>
        <v>4508.5150400000002</v>
      </c>
      <c r="I151" s="67">
        <f>Interventions!$I$14</f>
        <v>4508.5150400000002</v>
      </c>
      <c r="J151" s="67">
        <f>Interventions!$I$14</f>
        <v>4508.5150400000002</v>
      </c>
      <c r="K151" s="67">
        <f>Interventions!$I$14</f>
        <v>4508.5150400000002</v>
      </c>
      <c r="L151" s="67">
        <f>Interventions!$I$14</f>
        <v>4508.5150400000002</v>
      </c>
      <c r="M151" s="67">
        <f>Interventions!$I$14</f>
        <v>4508.5150400000002</v>
      </c>
      <c r="N151" s="67">
        <f>Interventions!$I$14</f>
        <v>4508.5150400000002</v>
      </c>
      <c r="O151" s="67">
        <f>Interventions!$I$14</f>
        <v>4508.5150400000002</v>
      </c>
      <c r="P151" s="67">
        <f>Interventions!$I$14</f>
        <v>4508.5150400000002</v>
      </c>
      <c r="Q151" s="67">
        <f>Interventions!$I$14</f>
        <v>4508.5150400000002</v>
      </c>
      <c r="R151" s="67">
        <f>Interventions!$I$14</f>
        <v>4508.5150400000002</v>
      </c>
      <c r="S151" s="67">
        <f>Interventions!$I$14</f>
        <v>4508.5150400000002</v>
      </c>
      <c r="T151" s="67">
        <f>Interventions!$I$14</f>
        <v>4508.5150400000002</v>
      </c>
      <c r="U151" s="67">
        <f>Interventions!$I$14</f>
        <v>4508.5150400000002</v>
      </c>
      <c r="V151" s="67">
        <f>Interventions!$I$14</f>
        <v>4508.5150400000002</v>
      </c>
      <c r="W151" s="67">
        <f>Interventions!$I$14</f>
        <v>4508.5150400000002</v>
      </c>
      <c r="X151" s="67">
        <f>Interventions!$I$14</f>
        <v>4508.5150400000002</v>
      </c>
      <c r="Y151" s="67">
        <f>Interventions!$I$14</f>
        <v>4508.5150400000002</v>
      </c>
      <c r="Z151" s="67">
        <f>Interventions!$I$14</f>
        <v>4508.5150400000002</v>
      </c>
      <c r="AA151" s="67">
        <f>Interventions!$I$14</f>
        <v>4508.5150400000002</v>
      </c>
      <c r="AB151" s="67">
        <f>Interventions!$I$14</f>
        <v>4508.5150400000002</v>
      </c>
      <c r="AC151" s="66">
        <f>SUM(D151:AB151)</f>
        <v>112712.87599999997</v>
      </c>
      <c r="AD151" s="3" t="s">
        <v>12</v>
      </c>
    </row>
    <row r="152" spans="1:30" x14ac:dyDescent="0.25">
      <c r="A152" s="310" t="s">
        <v>80</v>
      </c>
      <c r="B152" s="311"/>
      <c r="C152" s="81">
        <f>SUM(C148:C148)</f>
        <v>0</v>
      </c>
      <c r="D152" s="81">
        <f>SUM(D148:D151)</f>
        <v>4508.5150400000002</v>
      </c>
      <c r="E152" s="81">
        <f t="shared" ref="E152:AC152" si="149">SUM(E148:E151)</f>
        <v>4508.5150400000002</v>
      </c>
      <c r="F152" s="81">
        <f t="shared" si="149"/>
        <v>4508.5150400000002</v>
      </c>
      <c r="G152" s="81">
        <f t="shared" si="149"/>
        <v>4508.5150400000002</v>
      </c>
      <c r="H152" s="81">
        <f t="shared" si="149"/>
        <v>4508.5150400000002</v>
      </c>
      <c r="I152" s="81">
        <f t="shared" si="149"/>
        <v>4508.5150400000002</v>
      </c>
      <c r="J152" s="81">
        <f t="shared" si="149"/>
        <v>4508.5150400000002</v>
      </c>
      <c r="K152" s="81">
        <f t="shared" si="149"/>
        <v>4508.5150400000002</v>
      </c>
      <c r="L152" s="81">
        <f t="shared" si="149"/>
        <v>4508.5150400000002</v>
      </c>
      <c r="M152" s="81">
        <f t="shared" si="149"/>
        <v>4508.5150400000002</v>
      </c>
      <c r="N152" s="81">
        <f t="shared" si="149"/>
        <v>4508.5150400000002</v>
      </c>
      <c r="O152" s="81">
        <f t="shared" si="149"/>
        <v>4508.5150400000002</v>
      </c>
      <c r="P152" s="81">
        <f t="shared" si="149"/>
        <v>4508.5150400000002</v>
      </c>
      <c r="Q152" s="81">
        <f t="shared" si="149"/>
        <v>4508.5150400000002</v>
      </c>
      <c r="R152" s="81">
        <f t="shared" si="149"/>
        <v>4508.5150400000002</v>
      </c>
      <c r="S152" s="81">
        <f t="shared" si="149"/>
        <v>4508.5150400000002</v>
      </c>
      <c r="T152" s="81">
        <f t="shared" si="149"/>
        <v>4508.5150400000002</v>
      </c>
      <c r="U152" s="81">
        <f t="shared" si="149"/>
        <v>4508.5150400000002</v>
      </c>
      <c r="V152" s="81">
        <f t="shared" si="149"/>
        <v>4508.5150400000002</v>
      </c>
      <c r="W152" s="81">
        <f t="shared" si="149"/>
        <v>4508.5150400000002</v>
      </c>
      <c r="X152" s="81">
        <f t="shared" si="149"/>
        <v>4508.5150400000002</v>
      </c>
      <c r="Y152" s="81">
        <f t="shared" si="149"/>
        <v>4508.5150400000002</v>
      </c>
      <c r="Z152" s="81">
        <f t="shared" si="149"/>
        <v>4508.5150400000002</v>
      </c>
      <c r="AA152" s="81">
        <f t="shared" si="149"/>
        <v>4508.5150400000002</v>
      </c>
      <c r="AB152" s="81">
        <f t="shared" si="149"/>
        <v>4508.5150400000002</v>
      </c>
      <c r="AC152" s="81">
        <f t="shared" si="149"/>
        <v>112712.87599999997</v>
      </c>
      <c r="AD152" s="6" t="s">
        <v>12</v>
      </c>
    </row>
    <row r="153" spans="1:30" x14ac:dyDescent="0.25">
      <c r="A153" s="132"/>
      <c r="B153" s="133" t="s">
        <v>81</v>
      </c>
      <c r="C153" s="134">
        <f t="shared" ref="C153:R153" si="150">(C152+C146)-C142</f>
        <v>-27361</v>
      </c>
      <c r="D153" s="134">
        <f t="shared" si="150"/>
        <v>5588.005439999999</v>
      </c>
      <c r="E153" s="134">
        <f t="shared" si="150"/>
        <v>5602.3952000000008</v>
      </c>
      <c r="F153" s="134">
        <f t="shared" si="150"/>
        <v>5617.1447040000003</v>
      </c>
      <c r="G153" s="134">
        <f t="shared" si="150"/>
        <v>5632.2629455999995</v>
      </c>
      <c r="H153" s="134">
        <f t="shared" si="150"/>
        <v>5647.7591432400004</v>
      </c>
      <c r="I153" s="134">
        <f t="shared" si="150"/>
        <v>5663.6427458210001</v>
      </c>
      <c r="J153" s="134">
        <f t="shared" si="150"/>
        <v>5679.9234384665251</v>
      </c>
      <c r="K153" s="134">
        <f t="shared" si="150"/>
        <v>5696.6111484281882</v>
      </c>
      <c r="L153" s="134">
        <f t="shared" si="150"/>
        <v>5713.716051138892</v>
      </c>
      <c r="M153" s="134">
        <f t="shared" si="150"/>
        <v>5731.2485764173634</v>
      </c>
      <c r="N153" s="134">
        <f t="shared" si="150"/>
        <v>5749.2194148277977</v>
      </c>
      <c r="O153" s="134">
        <f t="shared" si="150"/>
        <v>5767.6395241984937</v>
      </c>
      <c r="P153" s="134">
        <f t="shared" si="150"/>
        <v>5786.5201363034557</v>
      </c>
      <c r="Q153" s="134">
        <f t="shared" si="150"/>
        <v>5805.8727637110424</v>
      </c>
      <c r="R153" s="134">
        <f t="shared" si="150"/>
        <v>5825.7092068038182</v>
      </c>
      <c r="S153" s="134">
        <f t="shared" ref="S153:W153" si="151">(S152+S146)-S142</f>
        <v>5846.0415609739139</v>
      </c>
      <c r="T153" s="134">
        <f t="shared" si="151"/>
        <v>5866.8822239982601</v>
      </c>
      <c r="U153" s="134">
        <f t="shared" si="151"/>
        <v>5888.2439035982188</v>
      </c>
      <c r="V153" s="134">
        <f t="shared" si="151"/>
        <v>5910.1396251881724</v>
      </c>
      <c r="W153" s="134">
        <f t="shared" si="151"/>
        <v>5932.5827398178772</v>
      </c>
      <c r="X153" s="134">
        <f t="shared" ref="X153:AB153" si="152">(X152+X146)-X142</f>
        <v>5955.5869323133247</v>
      </c>
      <c r="Y153" s="134">
        <f t="shared" si="152"/>
        <v>5979.1662296211562</v>
      </c>
      <c r="Z153" s="134">
        <f t="shared" si="152"/>
        <v>6003.3350093616864</v>
      </c>
      <c r="AA153" s="134">
        <f t="shared" si="152"/>
        <v>6028.1080085957274</v>
      </c>
      <c r="AB153" s="134">
        <f t="shared" si="152"/>
        <v>6053.5003328106213</v>
      </c>
      <c r="AC153" s="134">
        <f>(AC152+AC146)-AC142</f>
        <v>117610.25700523554</v>
      </c>
      <c r="AD153" s="135" t="s">
        <v>12</v>
      </c>
    </row>
    <row r="154" spans="1:30" x14ac:dyDescent="0.25">
      <c r="A154" s="132"/>
      <c r="B154" s="133" t="s">
        <v>82</v>
      </c>
      <c r="C154" s="134">
        <f t="shared" ref="C154:R154" si="153">(C152)-C142</f>
        <v>-27361</v>
      </c>
      <c r="D154" s="134">
        <f t="shared" si="153"/>
        <v>1772.4150399999999</v>
      </c>
      <c r="E154" s="134">
        <f t="shared" si="153"/>
        <v>1772.4150399999999</v>
      </c>
      <c r="F154" s="134">
        <f t="shared" si="153"/>
        <v>1772.4150399999999</v>
      </c>
      <c r="G154" s="134">
        <f t="shared" si="153"/>
        <v>1772.4150399999999</v>
      </c>
      <c r="H154" s="134">
        <f t="shared" si="153"/>
        <v>1772.4150399999999</v>
      </c>
      <c r="I154" s="134">
        <f t="shared" si="153"/>
        <v>1772.4150399999999</v>
      </c>
      <c r="J154" s="134">
        <f t="shared" si="153"/>
        <v>1772.4150399999999</v>
      </c>
      <c r="K154" s="134">
        <f t="shared" si="153"/>
        <v>1772.4150399999999</v>
      </c>
      <c r="L154" s="134">
        <f t="shared" si="153"/>
        <v>1772.4150399999999</v>
      </c>
      <c r="M154" s="134">
        <f t="shared" si="153"/>
        <v>1772.4150399999999</v>
      </c>
      <c r="N154" s="134">
        <f t="shared" si="153"/>
        <v>1772.4150399999999</v>
      </c>
      <c r="O154" s="134">
        <f t="shared" si="153"/>
        <v>1772.4150399999999</v>
      </c>
      <c r="P154" s="134">
        <f t="shared" si="153"/>
        <v>1772.4150399999999</v>
      </c>
      <c r="Q154" s="134">
        <f t="shared" si="153"/>
        <v>1772.4150399999999</v>
      </c>
      <c r="R154" s="134">
        <f t="shared" si="153"/>
        <v>1772.4150399999999</v>
      </c>
      <c r="S154" s="134">
        <f t="shared" ref="S154:W154" si="154">(S152)-S142</f>
        <v>1772.4150399999999</v>
      </c>
      <c r="T154" s="134">
        <f t="shared" si="154"/>
        <v>1772.4150399999999</v>
      </c>
      <c r="U154" s="134">
        <f t="shared" si="154"/>
        <v>1772.4150399999999</v>
      </c>
      <c r="V154" s="134">
        <f t="shared" si="154"/>
        <v>1772.4150399999999</v>
      </c>
      <c r="W154" s="134">
        <f t="shared" si="154"/>
        <v>1772.4150399999999</v>
      </c>
      <c r="X154" s="134">
        <f t="shared" ref="X154:AB154" si="155">(X152)-X142</f>
        <v>1772.4150399999999</v>
      </c>
      <c r="Y154" s="134">
        <f t="shared" si="155"/>
        <v>1772.4150399999999</v>
      </c>
      <c r="Z154" s="134">
        <f t="shared" si="155"/>
        <v>1772.4150399999999</v>
      </c>
      <c r="AA154" s="134">
        <f t="shared" si="155"/>
        <v>1772.4150399999999</v>
      </c>
      <c r="AB154" s="134">
        <f t="shared" si="155"/>
        <v>1772.4150399999999</v>
      </c>
      <c r="AC154" s="134">
        <f>(AC152)-AC142</f>
        <v>16949.375999999989</v>
      </c>
      <c r="AD154" s="135" t="s">
        <v>12</v>
      </c>
    </row>
    <row r="155" spans="1:30" ht="13.5" customHeight="1" x14ac:dyDescent="0.25">
      <c r="A155" s="69" t="s">
        <v>83</v>
      </c>
      <c r="B155" s="70">
        <f>XIRR(C154:AB154, C$38:AB$38, 0.1)</f>
        <v>4.1105356812477123E-2</v>
      </c>
      <c r="D155" s="82"/>
      <c r="E155" s="71"/>
      <c r="F155" s="71"/>
      <c r="G155" s="71"/>
      <c r="H155" s="71"/>
      <c r="I155" s="71"/>
      <c r="J155" s="72"/>
    </row>
    <row r="156" spans="1:30" ht="13.5" customHeight="1" x14ac:dyDescent="0.25">
      <c r="A156" s="96" t="s">
        <v>85</v>
      </c>
      <c r="B156" s="73">
        <f>XIRR(C153:AB153, C$38:AB$38, 0.1)</f>
        <v>0.20489134192466738</v>
      </c>
      <c r="D156" s="82"/>
      <c r="E156" s="71"/>
      <c r="F156" s="71"/>
      <c r="G156" s="71"/>
      <c r="H156" s="71"/>
      <c r="I156" s="71"/>
      <c r="J156" s="72"/>
    </row>
    <row r="157" spans="1:30" x14ac:dyDescent="0.25">
      <c r="A157" s="97" t="s">
        <v>86</v>
      </c>
      <c r="B157" s="84">
        <f>XNPV(A$133,C152:AB152,C$137:AB$137)/XNPV(A$133,C142:AB142,C$137:AB$137)</f>
        <v>1.0045759876928111</v>
      </c>
      <c r="E157" s="85"/>
      <c r="F157" s="85"/>
      <c r="G157" s="85"/>
      <c r="H157" s="85"/>
      <c r="I157" s="85"/>
    </row>
    <row r="158" spans="1:30" x14ac:dyDescent="0.25">
      <c r="A158" s="96" t="s">
        <v>87</v>
      </c>
      <c r="B158" s="86">
        <f>(XNPV(A$133,C152:AB152,C$137:AB$137)+XNPV(A$133,C146:AB146,C$137:AB$137))/XNPV(A$133,C142:AB142,C$137:AB$137)</f>
        <v>1.8931843996274966</v>
      </c>
      <c r="E158" s="85"/>
      <c r="F158" s="85"/>
      <c r="G158" s="85"/>
      <c r="H158" s="85"/>
      <c r="I158" s="85"/>
    </row>
    <row r="159" spans="1:30" x14ac:dyDescent="0.25">
      <c r="A159" s="98" t="s">
        <v>84</v>
      </c>
      <c r="B159" s="74">
        <f>XNPV(A$133,C154:AB154,C$137:AB$137)</f>
        <v>320.74777924536522</v>
      </c>
      <c r="E159" s="85"/>
      <c r="F159" s="85"/>
      <c r="G159" s="85"/>
      <c r="H159" s="85"/>
      <c r="I159" s="85"/>
    </row>
    <row r="160" spans="1:30" x14ac:dyDescent="0.25">
      <c r="A160" s="96" t="s">
        <v>88</v>
      </c>
      <c r="B160" s="76">
        <f>XNPV(A$133,C153:AB153,C$137:AB$137)</f>
        <v>62606.57411452513</v>
      </c>
      <c r="E160" s="85"/>
      <c r="F160" s="85"/>
      <c r="G160" s="85"/>
      <c r="H160" s="85"/>
      <c r="I160" s="85"/>
    </row>
    <row r="161" spans="1:28" x14ac:dyDescent="0.25">
      <c r="A161" s="83" t="s">
        <v>76</v>
      </c>
      <c r="B161" s="74">
        <f>IF(S161,S136-C136)</f>
        <v>16</v>
      </c>
      <c r="C161" s="75">
        <f>C152/C142</f>
        <v>0</v>
      </c>
      <c r="D161" s="87">
        <f>SUM($C$152:D152)/SUM($C$142:D142)</f>
        <v>0.1497989852842965</v>
      </c>
      <c r="E161" s="87">
        <f>SUM($C$152:E152)/SUM($C$142:E142)</f>
        <v>0.27463147302121027</v>
      </c>
      <c r="F161" s="87">
        <f>SUM($C$152:F152)/SUM($C$142:F142)</f>
        <v>0.38025896264475273</v>
      </c>
      <c r="G161" s="87">
        <f>SUM($C$152:G152)/SUM($C$142:G142)</f>
        <v>0.47079681089350334</v>
      </c>
      <c r="H161" s="87">
        <f>SUM($C$152:H152)/SUM($C$142:H142)</f>
        <v>0.54926294604242054</v>
      </c>
      <c r="I161" s="87">
        <f>SUM($C$152:I152)/SUM($C$142:I142)</f>
        <v>0.61792081429772305</v>
      </c>
      <c r="J161" s="87">
        <f>SUM($C$152:J152)/SUM($C$142:J142)</f>
        <v>0.6785012862876959</v>
      </c>
      <c r="K161" s="87">
        <f>SUM($C$152:K152)/SUM($C$142:K142)</f>
        <v>0.73235059472322739</v>
      </c>
      <c r="L161" s="87">
        <f>SUM($C$152:L152)/SUM($C$142:L142)</f>
        <v>0.78053155490238701</v>
      </c>
      <c r="M161" s="87">
        <f>SUM($C$152:M152)/SUM($C$142:M142)</f>
        <v>0.82389441906363081</v>
      </c>
      <c r="N161" s="87">
        <f>SUM($C$152:N152)/SUM($C$142:N142)</f>
        <v>0.86312748663808936</v>
      </c>
      <c r="O161" s="87">
        <f>SUM($C$152:O152)/SUM($C$142:O142)</f>
        <v>0.89879391170577905</v>
      </c>
      <c r="P161" s="87">
        <f>SUM($C$152:P152)/SUM($C$142:P142)</f>
        <v>0.9313589085067131</v>
      </c>
      <c r="Q161" s="87">
        <f>SUM($C$152:Q152)/SUM($C$142:Q142)</f>
        <v>0.96121015557423595</v>
      </c>
      <c r="R161" s="87">
        <f>SUM($C$152:R152)/SUM($C$142:R142)</f>
        <v>0.98867330287635691</v>
      </c>
      <c r="S161" s="87">
        <f>SUM($C$152:S152)/SUM($C$142:S142)</f>
        <v>1.014023900386007</v>
      </c>
      <c r="T161" s="87">
        <f>SUM($C$152:T152)/SUM($C$142:T142)</f>
        <v>1.0374966758579052</v>
      </c>
      <c r="U161" s="87">
        <f>SUM($C$152:U152)/SUM($C$142:U142)</f>
        <v>1.0592928245103821</v>
      </c>
      <c r="V161" s="87">
        <f>SUM($C$152:V152)/SUM($C$142:V142)</f>
        <v>1.0795857904971711</v>
      </c>
      <c r="W161" s="87">
        <f>SUM($C$152:W152)/SUM($C$142:W142)</f>
        <v>1.0985258920848406</v>
      </c>
      <c r="X161" s="87">
        <f>SUM($C$152:X152)/SUM($C$142:X142)</f>
        <v>1.1162440516345959</v>
      </c>
      <c r="Y161" s="87">
        <f>SUM($C$152:Y152)/SUM($C$142:Y142)</f>
        <v>1.1328548262124916</v>
      </c>
      <c r="Z161" s="87">
        <f>SUM($C$152:Z152)/SUM($C$142:Z142)</f>
        <v>1.1484588871796058</v>
      </c>
      <c r="AA161" s="87">
        <f>SUM($C$152:AA152)/SUM($C$142:AA142)</f>
        <v>1.1631450622074779</v>
      </c>
      <c r="AB161" s="87">
        <f>SUM($C$152:AB152)/SUM($C$142:AB142)</f>
        <v>1.1769920272337573</v>
      </c>
    </row>
    <row r="162" spans="1:28" x14ac:dyDescent="0.25">
      <c r="A162" s="96" t="s">
        <v>89</v>
      </c>
      <c r="B162" s="76">
        <f>IF(H162,H136-C136)</f>
        <v>5</v>
      </c>
      <c r="C162" s="75">
        <f>(C152+C146)/C142</f>
        <v>0</v>
      </c>
      <c r="D162" s="87">
        <f>(SUM($C$152:D152)+SUM($C$146:D146))/SUM($C$142:D142)</f>
        <v>0.27657500024919346</v>
      </c>
      <c r="E162" s="87">
        <f>(SUM($C$152:E152)+SUM($C$146:E146))/SUM($C$142:E142)</f>
        <v>0.50749243570532276</v>
      </c>
      <c r="F162" s="87">
        <f>(SUM($C$152:F152)+SUM($C$146:F146))/SUM($C$142:F142)</f>
        <v>0.70329878136482882</v>
      </c>
      <c r="G162" s="87">
        <f>(SUM($C$152:G152)+SUM($C$146:G146))/SUM($C$142:G142)</f>
        <v>0.87152746844048112</v>
      </c>
      <c r="H162" s="87">
        <f>(SUM($C$152:H152)+SUM($C$146:H146))/SUM($C$142:H142)</f>
        <v>1.0177032377676256</v>
      </c>
      <c r="I162" s="87">
        <f>(SUM($C$152:I152)+SUM($C$146:I146))/SUM($C$142:I142)</f>
        <v>1.1459698608114881</v>
      </c>
      <c r="J162" s="87">
        <f>(SUM($C$152:J152)+SUM($C$146:J146))/SUM($C$142:J142)</f>
        <v>1.2594963122075331</v>
      </c>
      <c r="K162" s="87">
        <f>(SUM($C$152:K152)+SUM($C$146:K146))/SUM($C$142:K142)</f>
        <v>1.360747551574945</v>
      </c>
      <c r="L162" s="87">
        <f>(SUM($C$152:L152)+SUM($C$146:L146))/SUM($C$142:L142)</f>
        <v>1.4516697954001876</v>
      </c>
      <c r="M162" s="87">
        <f>(SUM($C$152:M152)+SUM($C$146:M146))/SUM($C$142:M142)</f>
        <v>1.5338202074688787</v>
      </c>
      <c r="N162" s="87">
        <f>(SUM($C$152:N152)+SUM($C$146:N146))/SUM($C$142:N142)</f>
        <v>1.6084595349992392</v>
      </c>
      <c r="O162" s="87">
        <f>(SUM($C$152:O152)+SUM($C$146:O146))/SUM($C$142:O142)</f>
        <v>1.6766194804838055</v>
      </c>
      <c r="P162" s="87">
        <f>(SUM($C$152:P152)+SUM($C$146:P146))/SUM($C$142:P142)</f>
        <v>1.7391524983742606</v>
      </c>
      <c r="Q162" s="87">
        <f>(SUM($C$152:Q152)+SUM($C$146:Q146))/SUM($C$142:Q142)</f>
        <v>1.7967691426993526</v>
      </c>
      <c r="R162" s="87">
        <f>(SUM($C$152:R152)+SUM($C$146:R146))/SUM($C$142:R142)</f>
        <v>1.8500664513571372</v>
      </c>
      <c r="S162" s="87">
        <f>(SUM($C$152:S152)+SUM($C$146:S146))/SUM($C$142:S142)</f>
        <v>1.8995497802870804</v>
      </c>
      <c r="T162" s="87">
        <f>(SUM($C$152:T152)+SUM($C$146:T146))/SUM($C$142:T142)</f>
        <v>1.9456497857037489</v>
      </c>
      <c r="U162" s="87">
        <f>(SUM($C$152:U152)+SUM($C$146:U146))/SUM($C$142:U142)</f>
        <v>1.9887357673791026</v>
      </c>
      <c r="V162" s="87">
        <f>(SUM($C$152:V152)+SUM($C$146:V146))/SUM($C$142:V142)</f>
        <v>2.0291262513433432</v>
      </c>
      <c r="W162" s="87">
        <f>(SUM($C$152:W152)+SUM($C$146:W146))/SUM($C$142:W142)</f>
        <v>2.0670974561423554</v>
      </c>
      <c r="X162" s="87">
        <f>(SUM($C$152:X152)+SUM($C$146:X146))/SUM($C$142:X142)</f>
        <v>2.1028901205606556</v>
      </c>
      <c r="Y162" s="87">
        <f>(SUM($C$152:Y152)+SUM($C$146:Y146))/SUM($C$142:Y142)</f>
        <v>2.1367150512415871</v>
      </c>
      <c r="Z162" s="87">
        <f>(SUM($C$152:Z152)+SUM($C$146:Z146))/SUM($C$142:Z142)</f>
        <v>2.1687576617440341</v>
      </c>
      <c r="AA162" s="87">
        <f>(SUM($C$152:AA152)+SUM($C$146:AA146))/SUM($C$142:AA142)</f>
        <v>2.1991817106833556</v>
      </c>
      <c r="AB162" s="87">
        <f>(SUM($C$152:AB152)+SUM($C$146:AB146))/SUM($C$142:AB142)</f>
        <v>2.2281323991420052</v>
      </c>
    </row>
  </sheetData>
  <mergeCells count="40">
    <mergeCell ref="A147:B147"/>
    <mergeCell ref="A152:B152"/>
    <mergeCell ref="A136:B136"/>
    <mergeCell ref="A139:B139"/>
    <mergeCell ref="A142:B142"/>
    <mergeCell ref="A143:B143"/>
    <mergeCell ref="A146:B146"/>
    <mergeCell ref="A110:B110"/>
    <mergeCell ref="A113:B113"/>
    <mergeCell ref="A114:B114"/>
    <mergeCell ref="A119:B119"/>
    <mergeCell ref="A134:AD134"/>
    <mergeCell ref="A86:B86"/>
    <mergeCell ref="A101:AD101"/>
    <mergeCell ref="A103:B103"/>
    <mergeCell ref="A106:B106"/>
    <mergeCell ref="A109:B109"/>
    <mergeCell ref="A73:B73"/>
    <mergeCell ref="A76:B76"/>
    <mergeCell ref="A77:B77"/>
    <mergeCell ref="A80:B80"/>
    <mergeCell ref="A81:B81"/>
    <mergeCell ref="A47:B47"/>
    <mergeCell ref="A48:B48"/>
    <mergeCell ref="A53:B53"/>
    <mergeCell ref="A68:AD68"/>
    <mergeCell ref="A70:B70"/>
    <mergeCell ref="A35:AD35"/>
    <mergeCell ref="A37:B37"/>
    <mergeCell ref="A40:B40"/>
    <mergeCell ref="A43:B43"/>
    <mergeCell ref="A44:B44"/>
    <mergeCell ref="A14:B14"/>
    <mergeCell ref="A15:B15"/>
    <mergeCell ref="A20:B20"/>
    <mergeCell ref="A2:AD2"/>
    <mergeCell ref="A4:B4"/>
    <mergeCell ref="A7:B7"/>
    <mergeCell ref="A10:B10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"/>
  <sheetViews>
    <sheetView tabSelected="1" zoomScale="59" zoomScaleNormal="59" workbookViewId="0">
      <selection activeCell="P13" sqref="P13"/>
    </sheetView>
  </sheetViews>
  <sheetFormatPr defaultRowHeight="15" outlineLevelRow="1" x14ac:dyDescent="0.25"/>
  <cols>
    <col min="2" max="2" width="41.5703125" style="235" customWidth="1"/>
    <col min="3" max="3" width="33.5703125" style="235" customWidth="1"/>
    <col min="4" max="4" width="14.140625" style="229" customWidth="1"/>
    <col min="5" max="5" width="15.7109375" style="229" customWidth="1"/>
    <col min="6" max="6" width="20.7109375" style="229" customWidth="1"/>
    <col min="7" max="9" width="15.7109375" style="229" customWidth="1"/>
    <col min="11" max="11" width="22.42578125" customWidth="1"/>
    <col min="14" max="14" width="17.140625" customWidth="1"/>
    <col min="15" max="15" width="19.5703125" customWidth="1"/>
  </cols>
  <sheetData>
    <row r="1" spans="1:17" ht="45" customHeight="1" x14ac:dyDescent="0.25">
      <c r="A1" s="153" t="s">
        <v>122</v>
      </c>
      <c r="B1" s="230"/>
      <c r="C1" s="231"/>
      <c r="D1" s="232"/>
      <c r="E1" s="232" t="s">
        <v>0</v>
      </c>
      <c r="F1" s="232" t="s">
        <v>123</v>
      </c>
      <c r="G1" s="232" t="s">
        <v>124</v>
      </c>
      <c r="H1" s="232" t="s">
        <v>14</v>
      </c>
      <c r="I1" s="232" t="s">
        <v>125</v>
      </c>
    </row>
    <row r="2" spans="1:17" ht="23.25" customHeight="1" x14ac:dyDescent="0.25">
      <c r="A2" s="153"/>
      <c r="B2" s="230"/>
      <c r="C2" s="231"/>
      <c r="D2" s="233" t="s">
        <v>13</v>
      </c>
      <c r="E2" s="232"/>
      <c r="F2" s="232"/>
      <c r="G2" s="232"/>
      <c r="H2" s="232"/>
      <c r="I2" s="232"/>
    </row>
    <row r="3" spans="1:17" ht="18.75" collapsed="1" x14ac:dyDescent="0.3">
      <c r="A3" s="227">
        <v>1</v>
      </c>
      <c r="B3" s="321" t="s">
        <v>130</v>
      </c>
      <c r="C3" s="321"/>
    </row>
    <row r="4" spans="1:17" ht="18.75" outlineLevel="1" x14ac:dyDescent="0.3">
      <c r="A4" s="227"/>
      <c r="B4" s="322" t="s">
        <v>10</v>
      </c>
      <c r="C4" s="322"/>
      <c r="K4" t="s">
        <v>132</v>
      </c>
      <c r="L4" s="266">
        <v>0.1</v>
      </c>
    </row>
    <row r="5" spans="1:17" ht="18.75" outlineLevel="1" x14ac:dyDescent="0.3">
      <c r="A5" s="227"/>
      <c r="B5" s="237" t="s">
        <v>126</v>
      </c>
    </row>
    <row r="6" spans="1:17" ht="18.75" outlineLevel="1" x14ac:dyDescent="0.3">
      <c r="A6" s="227"/>
      <c r="B6" s="235" t="s">
        <v>11</v>
      </c>
      <c r="D6" s="234" t="s">
        <v>12</v>
      </c>
      <c r="E6" s="236">
        <f>27361</f>
        <v>27361</v>
      </c>
      <c r="F6" s="236">
        <f>27361</f>
        <v>27361</v>
      </c>
      <c r="G6" s="236">
        <f>27361</f>
        <v>27361</v>
      </c>
      <c r="H6" s="236">
        <f>27361</f>
        <v>27361</v>
      </c>
      <c r="I6" s="236">
        <f>27361</f>
        <v>27361</v>
      </c>
    </row>
    <row r="7" spans="1:17" ht="18.75" outlineLevel="1" x14ac:dyDescent="0.3">
      <c r="A7" s="227"/>
      <c r="B7" s="235" t="s">
        <v>131</v>
      </c>
      <c r="D7" s="234" t="s">
        <v>12</v>
      </c>
      <c r="E7" s="236">
        <f>E6*$L$4</f>
        <v>2736.1000000000004</v>
      </c>
      <c r="F7" s="236">
        <f t="shared" ref="F7:I7" si="0">F6*$L$4</f>
        <v>2736.1000000000004</v>
      </c>
      <c r="G7" s="236">
        <f t="shared" si="0"/>
        <v>2736.1000000000004</v>
      </c>
      <c r="H7" s="236">
        <f t="shared" si="0"/>
        <v>2736.1000000000004</v>
      </c>
      <c r="I7" s="236">
        <f t="shared" si="0"/>
        <v>2736.1000000000004</v>
      </c>
    </row>
    <row r="8" spans="1:17" ht="18.75" outlineLevel="1" x14ac:dyDescent="0.3">
      <c r="A8" s="227"/>
      <c r="D8" s="234"/>
      <c r="E8" s="236"/>
      <c r="F8" s="236"/>
      <c r="G8" s="236"/>
      <c r="H8" s="236"/>
      <c r="I8" s="236"/>
    </row>
    <row r="9" spans="1:17" ht="18.75" outlineLevel="1" x14ac:dyDescent="0.3">
      <c r="A9" s="227"/>
      <c r="B9" s="237" t="s">
        <v>151</v>
      </c>
      <c r="D9" s="236"/>
      <c r="E9" s="236"/>
      <c r="F9" s="236"/>
      <c r="G9" s="236"/>
      <c r="H9" s="236"/>
      <c r="I9" s="236"/>
      <c r="K9" t="s">
        <v>155</v>
      </c>
      <c r="L9">
        <v>27</v>
      </c>
      <c r="M9" t="s">
        <v>156</v>
      </c>
    </row>
    <row r="10" spans="1:17" ht="18.75" outlineLevel="1" x14ac:dyDescent="0.3">
      <c r="A10" s="227"/>
      <c r="B10" s="237"/>
      <c r="D10" s="234" t="s">
        <v>12</v>
      </c>
      <c r="E10" s="236">
        <f>$L$9*$L$10*$L$11</f>
        <v>3240</v>
      </c>
      <c r="F10" s="236">
        <f t="shared" ref="F10:I10" si="1">$L$9*$L$10*$L$11</f>
        <v>3240</v>
      </c>
      <c r="G10" s="236">
        <f t="shared" si="1"/>
        <v>3240</v>
      </c>
      <c r="H10" s="236">
        <f t="shared" si="1"/>
        <v>3240</v>
      </c>
      <c r="I10" s="236">
        <f t="shared" si="1"/>
        <v>3240</v>
      </c>
      <c r="K10" t="s">
        <v>158</v>
      </c>
      <c r="L10">
        <v>12</v>
      </c>
    </row>
    <row r="11" spans="1:17" ht="18.75" outlineLevel="1" x14ac:dyDescent="0.3">
      <c r="A11" s="227"/>
      <c r="D11" s="234"/>
      <c r="E11" s="236"/>
      <c r="F11" s="236"/>
      <c r="G11" s="236"/>
      <c r="H11" s="236"/>
      <c r="I11" s="236"/>
      <c r="K11" t="s">
        <v>157</v>
      </c>
      <c r="L11">
        <v>10</v>
      </c>
    </row>
    <row r="12" spans="1:17" ht="18.75" outlineLevel="1" x14ac:dyDescent="0.3">
      <c r="A12" s="227"/>
      <c r="B12" s="237" t="s">
        <v>149</v>
      </c>
    </row>
    <row r="13" spans="1:17" ht="18.75" outlineLevel="1" x14ac:dyDescent="0.3">
      <c r="A13" s="227"/>
      <c r="B13" s="235" t="s">
        <v>172</v>
      </c>
      <c r="D13" s="234" t="s">
        <v>173</v>
      </c>
      <c r="E13" s="255">
        <f>$L$13*$P$13</f>
        <v>9344</v>
      </c>
      <c r="F13" s="255">
        <f>$L$13*$P$13</f>
        <v>9344</v>
      </c>
      <c r="G13" s="255">
        <f>$L$13*$P$13</f>
        <v>9344</v>
      </c>
      <c r="H13" s="255">
        <f>$L$13*$P$13</f>
        <v>9344</v>
      </c>
      <c r="I13" s="255">
        <f>$L$13*$P$13</f>
        <v>9344</v>
      </c>
      <c r="K13" t="s">
        <v>133</v>
      </c>
      <c r="L13">
        <v>11680</v>
      </c>
      <c r="O13" t="s">
        <v>180</v>
      </c>
      <c r="P13">
        <v>0.8</v>
      </c>
    </row>
    <row r="14" spans="1:17" ht="18.75" outlineLevel="1" x14ac:dyDescent="0.3">
      <c r="A14" s="227"/>
      <c r="B14" s="228" t="s">
        <v>36</v>
      </c>
      <c r="D14" s="234" t="s">
        <v>173</v>
      </c>
      <c r="E14" s="297">
        <f>$L$13*$P$14</f>
        <v>4703.1271999999999</v>
      </c>
      <c r="F14" s="297">
        <f>$L$13*$P$15</f>
        <v>5643.7526400000006</v>
      </c>
      <c r="G14" s="297">
        <f>$L$13*$P$16</f>
        <v>4508.5150400000002</v>
      </c>
      <c r="H14" s="297">
        <f>$L$13*$P$17</f>
        <v>4508.5150400000002</v>
      </c>
      <c r="I14" s="297">
        <f>$L$13*$P$18</f>
        <v>4508.5150400000002</v>
      </c>
      <c r="N14" t="s">
        <v>181</v>
      </c>
      <c r="O14" t="s">
        <v>179</v>
      </c>
      <c r="P14" s="299">
        <f>0.2777*'Minigrids - Parity'!D3</f>
        <v>0.402665</v>
      </c>
      <c r="Q14" s="298"/>
    </row>
    <row r="15" spans="1:17" ht="18.75" customHeight="1" x14ac:dyDescent="0.25">
      <c r="E15" s="78"/>
      <c r="F15" s="78"/>
      <c r="G15" s="78"/>
      <c r="H15" s="78"/>
      <c r="I15" s="78"/>
      <c r="K15" t="s">
        <v>178</v>
      </c>
      <c r="L15">
        <v>1.232E-3</v>
      </c>
      <c r="N15" t="s">
        <v>182</v>
      </c>
      <c r="O15" t="s">
        <v>179</v>
      </c>
      <c r="P15" s="299">
        <f>0.2777*'Minigrids - Parity'!D13</f>
        <v>0.48319800000000002</v>
      </c>
      <c r="Q15" s="298"/>
    </row>
    <row r="16" spans="1:17" ht="18.75" customHeight="1" x14ac:dyDescent="0.25">
      <c r="E16" s="78"/>
      <c r="F16" s="78"/>
      <c r="G16" s="78"/>
      <c r="H16" s="78"/>
      <c r="I16" s="78"/>
      <c r="N16" t="s">
        <v>183</v>
      </c>
      <c r="O16" t="s">
        <v>179</v>
      </c>
      <c r="P16" s="299">
        <f>0.2777*'Minigrids - Parity'!D23</f>
        <v>0.38600299999999999</v>
      </c>
      <c r="Q16" s="298"/>
    </row>
    <row r="17" spans="5:17" ht="18.75" customHeight="1" x14ac:dyDescent="0.25">
      <c r="E17" s="78"/>
      <c r="F17" s="78"/>
      <c r="G17" s="78"/>
      <c r="H17" s="78"/>
      <c r="I17" s="78"/>
      <c r="N17" t="s">
        <v>184</v>
      </c>
      <c r="O17" t="s">
        <v>179</v>
      </c>
      <c r="P17" s="299">
        <f>0.2777*'Minigrids - Parity'!D33</f>
        <v>0.38600299999999999</v>
      </c>
      <c r="Q17" s="298"/>
    </row>
    <row r="18" spans="5:17" ht="18.75" customHeight="1" x14ac:dyDescent="0.25">
      <c r="N18" t="s">
        <v>185</v>
      </c>
      <c r="O18" t="s">
        <v>179</v>
      </c>
      <c r="P18" s="299">
        <f>0.2777*'Minigrids - Parity'!D43</f>
        <v>0.38600299999999999</v>
      </c>
      <c r="Q18" s="298"/>
    </row>
    <row r="19" spans="5:17" ht="18.75" customHeight="1" x14ac:dyDescent="0.25"/>
    <row r="20" spans="5:17" ht="18.75" customHeight="1" x14ac:dyDescent="0.25"/>
  </sheetData>
  <mergeCells count="2">
    <mergeCell ref="B3:C3"/>
    <mergeCell ref="B4:C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2243-E769-4892-927C-81423448B817}">
  <dimension ref="A1:AE61"/>
  <sheetViews>
    <sheetView workbookViewId="0">
      <pane ySplit="1" topLeftCell="A2" activePane="bottomLeft" state="frozen"/>
      <selection pane="bottomLeft" activeCell="D3" sqref="D3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24" t="s">
        <v>130</v>
      </c>
      <c r="B1" s="324"/>
      <c r="C1" s="248"/>
      <c r="E1" s="246">
        <v>44197</v>
      </c>
      <c r="F1" s="246">
        <v>44562</v>
      </c>
      <c r="G1" s="246">
        <v>44927</v>
      </c>
      <c r="H1" s="246">
        <v>45292</v>
      </c>
      <c r="I1" s="246">
        <v>45658</v>
      </c>
      <c r="J1" s="246">
        <v>46023</v>
      </c>
      <c r="K1" s="246">
        <v>46388</v>
      </c>
      <c r="L1" s="246">
        <v>46753</v>
      </c>
      <c r="M1" s="246">
        <v>47119</v>
      </c>
      <c r="N1" s="246">
        <v>47484</v>
      </c>
      <c r="O1" s="246">
        <v>47849</v>
      </c>
      <c r="P1" s="246">
        <v>48214</v>
      </c>
      <c r="Q1" s="246">
        <v>48580</v>
      </c>
      <c r="R1" s="246">
        <v>48945</v>
      </c>
      <c r="S1" s="246">
        <v>49310</v>
      </c>
      <c r="T1" s="246">
        <v>49675</v>
      </c>
      <c r="U1" s="246">
        <v>50041</v>
      </c>
      <c r="V1" s="246">
        <v>50406</v>
      </c>
      <c r="W1" s="246">
        <v>50771</v>
      </c>
      <c r="X1" s="246">
        <v>51136</v>
      </c>
      <c r="Y1" s="246">
        <v>51502</v>
      </c>
      <c r="Z1" s="246">
        <v>51867</v>
      </c>
      <c r="AA1" s="246">
        <v>52232</v>
      </c>
      <c r="AB1" s="246">
        <v>52597</v>
      </c>
      <c r="AC1" s="246">
        <v>52963</v>
      </c>
      <c r="AD1" s="246">
        <v>53328</v>
      </c>
      <c r="AE1" s="243"/>
    </row>
    <row r="2" spans="1:31" ht="14.25" customHeight="1" x14ac:dyDescent="0.25"/>
    <row r="3" spans="1:31" x14ac:dyDescent="0.25">
      <c r="A3" s="323" t="s">
        <v>148</v>
      </c>
      <c r="B3" s="323"/>
      <c r="C3" s="323"/>
      <c r="D3" s="245">
        <v>1.45</v>
      </c>
    </row>
    <row r="4" spans="1:31" x14ac:dyDescent="0.25">
      <c r="A4" s="247" t="s">
        <v>0</v>
      </c>
    </row>
    <row r="5" spans="1:31" x14ac:dyDescent="0.25">
      <c r="A5" s="4" t="s">
        <v>127</v>
      </c>
      <c r="E5" s="54">
        <f>'Minigrids - 1 item'!C10</f>
        <v>27361</v>
      </c>
      <c r="F5" s="54">
        <f>'Minigrids - 1 item'!D10</f>
        <v>2736.1000000000004</v>
      </c>
      <c r="G5" s="54">
        <f>'Minigrids - 1 item'!E10</f>
        <v>2736.1000000000004</v>
      </c>
      <c r="H5" s="54">
        <f>'Minigrids - 1 item'!F10</f>
        <v>2736.1000000000004</v>
      </c>
      <c r="I5" s="54">
        <f>'Minigrids - 1 item'!G10</f>
        <v>2736.1000000000004</v>
      </c>
      <c r="J5" s="54">
        <f>'Minigrids - 1 item'!H10</f>
        <v>2736.1000000000004</v>
      </c>
      <c r="K5" s="54">
        <f>'Minigrids - 1 item'!I10</f>
        <v>2736.1000000000004</v>
      </c>
      <c r="L5" s="54">
        <f>'Minigrids - 1 item'!J10</f>
        <v>2736.1000000000004</v>
      </c>
      <c r="M5" s="54">
        <f>'Minigrids - 1 item'!K10</f>
        <v>2736.1000000000004</v>
      </c>
      <c r="N5" s="54">
        <f>'Minigrids - 1 item'!L10</f>
        <v>2736.1000000000004</v>
      </c>
      <c r="O5" s="54">
        <f>'Minigrids - 1 item'!M10</f>
        <v>2736.1000000000004</v>
      </c>
      <c r="P5" s="54">
        <f>'Minigrids - 1 item'!N10</f>
        <v>2736.1000000000004</v>
      </c>
      <c r="Q5" s="54">
        <f>'Minigrids - 1 item'!O10</f>
        <v>2736.1000000000004</v>
      </c>
      <c r="R5" s="54">
        <f>'Minigrids - 1 item'!P10</f>
        <v>2736.1000000000004</v>
      </c>
      <c r="S5" s="54">
        <f>'Minigrids - 1 item'!Q10</f>
        <v>2736.1000000000004</v>
      </c>
      <c r="T5" s="54">
        <f>'Minigrids - 1 item'!R10</f>
        <v>2736.1000000000004</v>
      </c>
      <c r="U5" s="54">
        <f>'Minigrids - 1 item'!S10</f>
        <v>2736.1000000000004</v>
      </c>
      <c r="V5" s="54">
        <f>'Minigrids - 1 item'!T10</f>
        <v>2736.1000000000004</v>
      </c>
      <c r="W5" s="54">
        <f>'Minigrids - 1 item'!U10</f>
        <v>2736.1000000000004</v>
      </c>
      <c r="X5" s="54">
        <f>'Minigrids - 1 item'!V10</f>
        <v>2736.1000000000004</v>
      </c>
      <c r="Y5" s="54">
        <f>'Minigrids - 1 item'!W10</f>
        <v>2736.1000000000004</v>
      </c>
      <c r="Z5" s="54">
        <f>'Minigrids - 1 item'!X10</f>
        <v>2736.1000000000004</v>
      </c>
      <c r="AA5" s="54">
        <f>'Minigrids - 1 item'!Y10</f>
        <v>2736.1000000000004</v>
      </c>
      <c r="AB5" s="54">
        <f>'Minigrids - 1 item'!Z10</f>
        <v>2736.1000000000004</v>
      </c>
      <c r="AC5" s="54">
        <f>'Minigrids - 1 item'!AA10</f>
        <v>2736.1000000000004</v>
      </c>
      <c r="AD5" s="54">
        <f>'Minigrids - 1 item'!AB10</f>
        <v>2736.1000000000004</v>
      </c>
      <c r="AE5" s="4" t="s">
        <v>12</v>
      </c>
    </row>
    <row r="6" spans="1:31" x14ac:dyDescent="0.25">
      <c r="A6" s="4" t="s">
        <v>128</v>
      </c>
      <c r="E6" s="244">
        <f>'Minigrids - 1 item'!C20*$D$3</f>
        <v>0</v>
      </c>
      <c r="F6" s="244">
        <f>'Minigrids - 1 item'!D20*$D$3</f>
        <v>6819.5344399999994</v>
      </c>
      <c r="G6" s="244">
        <f>'Minigrids - 1 item'!E20*$D$3</f>
        <v>6819.5344399999994</v>
      </c>
      <c r="H6" s="244">
        <f>'Minigrids - 1 item'!F20*$D$3</f>
        <v>6819.5344399999994</v>
      </c>
      <c r="I6" s="244">
        <f>'Minigrids - 1 item'!G20*$D$3</f>
        <v>6819.5344399999994</v>
      </c>
      <c r="J6" s="244">
        <f>'Minigrids - 1 item'!H20*$D$3</f>
        <v>6819.5344399999994</v>
      </c>
      <c r="K6" s="244">
        <f>'Minigrids - 1 item'!I20*$D$3</f>
        <v>6819.5344399999994</v>
      </c>
      <c r="L6" s="244">
        <f>'Minigrids - 1 item'!J20*$D$3</f>
        <v>6819.5344399999994</v>
      </c>
      <c r="M6" s="244">
        <f>'Minigrids - 1 item'!K20*$D$3</f>
        <v>6819.5344399999994</v>
      </c>
      <c r="N6" s="244">
        <f>'Minigrids - 1 item'!L20*$D$3</f>
        <v>6819.5344399999994</v>
      </c>
      <c r="O6" s="244">
        <f>'Minigrids - 1 item'!M20*$D$3</f>
        <v>6819.5344399999994</v>
      </c>
      <c r="P6" s="244">
        <f>'Minigrids - 1 item'!N20*$D$3</f>
        <v>6819.5344399999994</v>
      </c>
      <c r="Q6" s="244">
        <f>'Minigrids - 1 item'!O20*$D$3</f>
        <v>6819.5344399999994</v>
      </c>
      <c r="R6" s="244">
        <f>'Minigrids - 1 item'!P20*$D$3</f>
        <v>6819.5344399999994</v>
      </c>
      <c r="S6" s="244">
        <f>'Minigrids - 1 item'!Q20*$D$3</f>
        <v>6819.5344399999994</v>
      </c>
      <c r="T6" s="244">
        <f>'Minigrids - 1 item'!R20*$D$3</f>
        <v>6819.5344399999994</v>
      </c>
      <c r="U6" s="244">
        <f>'Minigrids - 1 item'!S20*$D$3</f>
        <v>6819.5344399999994</v>
      </c>
      <c r="V6" s="244">
        <f>'Minigrids - 1 item'!T20*$D$3</f>
        <v>6819.5344399999994</v>
      </c>
      <c r="W6" s="244">
        <f>'Minigrids - 1 item'!U20*$D$3</f>
        <v>6819.5344399999994</v>
      </c>
      <c r="X6" s="244">
        <f>'Minigrids - 1 item'!V20*$D$3</f>
        <v>6819.5344399999994</v>
      </c>
      <c r="Y6" s="244">
        <f>'Minigrids - 1 item'!W20*$D$3</f>
        <v>6819.5344399999994</v>
      </c>
      <c r="Z6" s="244">
        <f>'Minigrids - 1 item'!X20*$D$3</f>
        <v>6819.5344399999994</v>
      </c>
      <c r="AA6" s="244">
        <f>'Minigrids - 1 item'!Y20*$D$3</f>
        <v>6819.5344399999994</v>
      </c>
      <c r="AB6" s="244">
        <f>'Minigrids - 1 item'!Z20*$D$3</f>
        <v>6819.5344399999994</v>
      </c>
      <c r="AC6" s="244">
        <f>'Minigrids - 1 item'!AA20*$D$3</f>
        <v>6819.5344399999994</v>
      </c>
      <c r="AD6" s="244">
        <f>'Minigrids - 1 item'!AB20*$D$3</f>
        <v>6819.5344399999994</v>
      </c>
      <c r="AE6" s="4" t="s">
        <v>12</v>
      </c>
    </row>
    <row r="7" spans="1:31" x14ac:dyDescent="0.25">
      <c r="A7" s="4" t="s">
        <v>129</v>
      </c>
      <c r="E7" s="244">
        <f>E6-E5</f>
        <v>-27361</v>
      </c>
      <c r="F7" s="244">
        <f>F6-F5</f>
        <v>4083.4344399999991</v>
      </c>
      <c r="G7" s="244">
        <f t="shared" ref="G7:X7" si="0">G6-G5</f>
        <v>4083.4344399999991</v>
      </c>
      <c r="H7" s="244">
        <f t="shared" si="0"/>
        <v>4083.4344399999991</v>
      </c>
      <c r="I7" s="244">
        <f t="shared" si="0"/>
        <v>4083.4344399999991</v>
      </c>
      <c r="J7" s="244">
        <f t="shared" si="0"/>
        <v>4083.4344399999991</v>
      </c>
      <c r="K7" s="244">
        <f t="shared" si="0"/>
        <v>4083.4344399999991</v>
      </c>
      <c r="L7" s="244">
        <f t="shared" si="0"/>
        <v>4083.4344399999991</v>
      </c>
      <c r="M7" s="244">
        <f t="shared" si="0"/>
        <v>4083.4344399999991</v>
      </c>
      <c r="N7" s="244">
        <f t="shared" si="0"/>
        <v>4083.4344399999991</v>
      </c>
      <c r="O7" s="244">
        <f t="shared" si="0"/>
        <v>4083.4344399999991</v>
      </c>
      <c r="P7" s="244">
        <f t="shared" si="0"/>
        <v>4083.4344399999991</v>
      </c>
      <c r="Q7" s="244">
        <f t="shared" si="0"/>
        <v>4083.4344399999991</v>
      </c>
      <c r="R7" s="244">
        <f t="shared" si="0"/>
        <v>4083.4344399999991</v>
      </c>
      <c r="S7" s="244">
        <f t="shared" si="0"/>
        <v>4083.4344399999991</v>
      </c>
      <c r="T7" s="244">
        <f t="shared" si="0"/>
        <v>4083.4344399999991</v>
      </c>
      <c r="U7" s="244">
        <f t="shared" si="0"/>
        <v>4083.4344399999991</v>
      </c>
      <c r="V7" s="244">
        <f t="shared" si="0"/>
        <v>4083.4344399999991</v>
      </c>
      <c r="W7" s="244">
        <f t="shared" si="0"/>
        <v>4083.4344399999991</v>
      </c>
      <c r="X7" s="244">
        <f t="shared" si="0"/>
        <v>4083.4344399999991</v>
      </c>
      <c r="Y7" s="244">
        <f t="shared" ref="Y7:AD7" si="1">Y6-Y5</f>
        <v>4083.4344399999991</v>
      </c>
      <c r="Z7" s="244">
        <f t="shared" si="1"/>
        <v>4083.4344399999991</v>
      </c>
      <c r="AA7" s="244">
        <f t="shared" si="1"/>
        <v>4083.4344399999991</v>
      </c>
      <c r="AB7" s="244">
        <f t="shared" si="1"/>
        <v>4083.4344399999991</v>
      </c>
      <c r="AC7" s="244">
        <f t="shared" si="1"/>
        <v>4083.4344399999991</v>
      </c>
      <c r="AD7" s="244">
        <f t="shared" si="1"/>
        <v>4083.4344399999991</v>
      </c>
      <c r="AE7" s="4" t="s">
        <v>12</v>
      </c>
    </row>
    <row r="9" spans="1:31" x14ac:dyDescent="0.25">
      <c r="A9" s="4" t="s">
        <v>84</v>
      </c>
      <c r="C9" s="12">
        <f>XNPV(B$11,E7:AD7,$E$1:$AD$1)</f>
        <v>30173.348400488634</v>
      </c>
    </row>
    <row r="10" spans="1:31" x14ac:dyDescent="0.25">
      <c r="A10" s="4" t="s">
        <v>83</v>
      </c>
      <c r="C10" s="249">
        <f>XIRR(E7:AD7,$E$1:$AD$1,0.1)</f>
        <v>0.1440028250217438</v>
      </c>
    </row>
    <row r="11" spans="1:31" x14ac:dyDescent="0.25">
      <c r="A11" s="4" t="s">
        <v>79</v>
      </c>
      <c r="B11">
        <v>0.05</v>
      </c>
    </row>
    <row r="12" spans="1:31" x14ac:dyDescent="0.25">
      <c r="A12" s="4"/>
    </row>
    <row r="13" spans="1:31" x14ac:dyDescent="0.25">
      <c r="A13" s="323" t="s">
        <v>148</v>
      </c>
      <c r="B13" s="323"/>
      <c r="C13" s="323"/>
      <c r="D13" s="245">
        <v>1.74</v>
      </c>
    </row>
    <row r="14" spans="1:31" x14ac:dyDescent="0.25">
      <c r="A14" s="247" t="s">
        <v>123</v>
      </c>
    </row>
    <row r="15" spans="1:31" x14ac:dyDescent="0.25">
      <c r="A15" s="4" t="s">
        <v>127</v>
      </c>
      <c r="E15" s="54">
        <f>'Minigrids - 1 item'!C43</f>
        <v>27361</v>
      </c>
      <c r="F15" s="54">
        <f>'Minigrids - 1 item'!D43</f>
        <v>2736.1000000000004</v>
      </c>
      <c r="G15" s="54">
        <f>'Minigrids - 1 item'!E43</f>
        <v>2736.1000000000004</v>
      </c>
      <c r="H15" s="54">
        <f>'Minigrids - 1 item'!F43</f>
        <v>2736.1000000000004</v>
      </c>
      <c r="I15" s="54">
        <f>'Minigrids - 1 item'!G43</f>
        <v>2736.1000000000004</v>
      </c>
      <c r="J15" s="54">
        <f>'Minigrids - 1 item'!H43</f>
        <v>2736.1000000000004</v>
      </c>
      <c r="K15" s="54">
        <f>'Minigrids - 1 item'!I43</f>
        <v>2736.1000000000004</v>
      </c>
      <c r="L15" s="54">
        <f>'Minigrids - 1 item'!J43</f>
        <v>2736.1000000000004</v>
      </c>
      <c r="M15" s="54">
        <f>'Minigrids - 1 item'!K43</f>
        <v>2736.1000000000004</v>
      </c>
      <c r="N15" s="54">
        <f>'Minigrids - 1 item'!L43</f>
        <v>2736.1000000000004</v>
      </c>
      <c r="O15" s="54">
        <f>'Minigrids - 1 item'!M43</f>
        <v>2736.1000000000004</v>
      </c>
      <c r="P15" s="54">
        <f>'Minigrids - 1 item'!N43</f>
        <v>2736.1000000000004</v>
      </c>
      <c r="Q15" s="54">
        <f>'Minigrids - 1 item'!O43</f>
        <v>2736.1000000000004</v>
      </c>
      <c r="R15" s="54">
        <f>'Minigrids - 1 item'!P43</f>
        <v>2736.1000000000004</v>
      </c>
      <c r="S15" s="54">
        <f>'Minigrids - 1 item'!Q43</f>
        <v>2736.1000000000004</v>
      </c>
      <c r="T15" s="54">
        <f>'Minigrids - 1 item'!R43</f>
        <v>2736.1000000000004</v>
      </c>
      <c r="U15" s="54">
        <f>'Minigrids - 1 item'!S43</f>
        <v>2736.1000000000004</v>
      </c>
      <c r="V15" s="54">
        <f>'Minigrids - 1 item'!T43</f>
        <v>2736.1000000000004</v>
      </c>
      <c r="W15" s="54">
        <f>'Minigrids - 1 item'!U43</f>
        <v>2736.1000000000004</v>
      </c>
      <c r="X15" s="54">
        <f>'Minigrids - 1 item'!V43</f>
        <v>2736.1000000000004</v>
      </c>
      <c r="Y15" s="54">
        <f>'Minigrids - 1 item'!W43</f>
        <v>2736.1000000000004</v>
      </c>
      <c r="Z15" s="54">
        <f>'Minigrids - 1 item'!X43</f>
        <v>2736.1000000000004</v>
      </c>
      <c r="AA15" s="54">
        <f>'Minigrids - 1 item'!Y43</f>
        <v>2736.1000000000004</v>
      </c>
      <c r="AB15" s="54">
        <f>'Minigrids - 1 item'!Z43</f>
        <v>2736.1000000000004</v>
      </c>
      <c r="AC15" s="54">
        <f>'Minigrids - 1 item'!AA43</f>
        <v>2736.1000000000004</v>
      </c>
      <c r="AD15" s="54">
        <f>'Minigrids - 1 item'!AB43</f>
        <v>2736.1000000000004</v>
      </c>
      <c r="AE15" s="4" t="s">
        <v>12</v>
      </c>
    </row>
    <row r="16" spans="1:31" x14ac:dyDescent="0.25">
      <c r="A16" s="4" t="s">
        <v>128</v>
      </c>
      <c r="E16" s="57">
        <f>'Minigrids - 1 item'!C53*$D$13</f>
        <v>0</v>
      </c>
      <c r="F16" s="57">
        <f>'Minigrids - 1 item'!D53*$D$13</f>
        <v>9820.1295936000006</v>
      </c>
      <c r="G16" s="57">
        <f>'Minigrids - 1 item'!E53*$D$13</f>
        <v>9820.1295936000006</v>
      </c>
      <c r="H16" s="57">
        <f>'Minigrids - 1 item'!F53*$D$13</f>
        <v>9820.1295936000006</v>
      </c>
      <c r="I16" s="57">
        <f>'Minigrids - 1 item'!G53*$D$13</f>
        <v>9820.1295936000006</v>
      </c>
      <c r="J16" s="57">
        <f>'Minigrids - 1 item'!H53*$D$13</f>
        <v>9820.1295936000006</v>
      </c>
      <c r="K16" s="57">
        <f>'Minigrids - 1 item'!I53*$D$13</f>
        <v>9820.1295936000006</v>
      </c>
      <c r="L16" s="57">
        <f>'Minigrids - 1 item'!J53*$D$13</f>
        <v>9820.1295936000006</v>
      </c>
      <c r="M16" s="57">
        <f>'Minigrids - 1 item'!K53*$D$13</f>
        <v>9820.1295936000006</v>
      </c>
      <c r="N16" s="57">
        <f>'Minigrids - 1 item'!L53*$D$13</f>
        <v>9820.1295936000006</v>
      </c>
      <c r="O16" s="57">
        <f>'Minigrids - 1 item'!M53*$D$13</f>
        <v>9820.1295936000006</v>
      </c>
      <c r="P16" s="57">
        <f>'Minigrids - 1 item'!N53*$D$13</f>
        <v>9820.1295936000006</v>
      </c>
      <c r="Q16" s="57">
        <f>'Minigrids - 1 item'!O53*$D$13</f>
        <v>9820.1295936000006</v>
      </c>
      <c r="R16" s="57">
        <f>'Minigrids - 1 item'!P53*$D$13</f>
        <v>9820.1295936000006</v>
      </c>
      <c r="S16" s="57">
        <f>'Minigrids - 1 item'!Q53*$D$13</f>
        <v>9820.1295936000006</v>
      </c>
      <c r="T16" s="57">
        <f>'Minigrids - 1 item'!R53*$D$13</f>
        <v>9820.1295936000006</v>
      </c>
      <c r="U16" s="57">
        <f>'Minigrids - 1 item'!S53*$D$13</f>
        <v>9820.1295936000006</v>
      </c>
      <c r="V16" s="57">
        <f>'Minigrids - 1 item'!T53*$D$13</f>
        <v>9820.1295936000006</v>
      </c>
      <c r="W16" s="57">
        <f>'Minigrids - 1 item'!U53*$D$13</f>
        <v>9820.1295936000006</v>
      </c>
      <c r="X16" s="57">
        <f>'Minigrids - 1 item'!V53*$D$13</f>
        <v>9820.1295936000006</v>
      </c>
      <c r="Y16" s="57">
        <f>'Minigrids - 1 item'!W53*$D$13</f>
        <v>9820.1295936000006</v>
      </c>
      <c r="Z16" s="57">
        <f>'Minigrids - 1 item'!X53*$D$13</f>
        <v>9820.1295936000006</v>
      </c>
      <c r="AA16" s="57">
        <f>'Minigrids - 1 item'!Y53*$D$13</f>
        <v>9820.1295936000006</v>
      </c>
      <c r="AB16" s="57">
        <f>'Minigrids - 1 item'!Z53*$D$13</f>
        <v>9820.1295936000006</v>
      </c>
      <c r="AC16" s="57">
        <f>'Minigrids - 1 item'!AA53*$D$13</f>
        <v>9820.1295936000006</v>
      </c>
      <c r="AD16" s="57">
        <f>'Minigrids - 1 item'!AB53*$D$13</f>
        <v>9820.1295936000006</v>
      </c>
      <c r="AE16" s="4" t="s">
        <v>12</v>
      </c>
    </row>
    <row r="17" spans="1:31" x14ac:dyDescent="0.25">
      <c r="A17" s="4" t="s">
        <v>129</v>
      </c>
      <c r="E17" s="57">
        <f>E16-E15</f>
        <v>-27361</v>
      </c>
      <c r="F17" s="57">
        <f t="shared" ref="F17:X17" si="2">F16-F15</f>
        <v>7084.0295936000002</v>
      </c>
      <c r="G17" s="57">
        <f t="shared" si="2"/>
        <v>7084.0295936000002</v>
      </c>
      <c r="H17" s="57">
        <f t="shared" si="2"/>
        <v>7084.0295936000002</v>
      </c>
      <c r="I17" s="57">
        <f t="shared" si="2"/>
        <v>7084.0295936000002</v>
      </c>
      <c r="J17" s="57">
        <f t="shared" si="2"/>
        <v>7084.0295936000002</v>
      </c>
      <c r="K17" s="57">
        <f t="shared" si="2"/>
        <v>7084.0295936000002</v>
      </c>
      <c r="L17" s="57">
        <f t="shared" si="2"/>
        <v>7084.0295936000002</v>
      </c>
      <c r="M17" s="57">
        <f t="shared" si="2"/>
        <v>7084.0295936000002</v>
      </c>
      <c r="N17" s="57">
        <f t="shared" si="2"/>
        <v>7084.0295936000002</v>
      </c>
      <c r="O17" s="57">
        <f t="shared" si="2"/>
        <v>7084.0295936000002</v>
      </c>
      <c r="P17" s="57">
        <f t="shared" si="2"/>
        <v>7084.0295936000002</v>
      </c>
      <c r="Q17" s="57">
        <f t="shared" si="2"/>
        <v>7084.0295936000002</v>
      </c>
      <c r="R17" s="57">
        <f t="shared" si="2"/>
        <v>7084.0295936000002</v>
      </c>
      <c r="S17" s="57">
        <f t="shared" si="2"/>
        <v>7084.0295936000002</v>
      </c>
      <c r="T17" s="57">
        <f t="shared" si="2"/>
        <v>7084.0295936000002</v>
      </c>
      <c r="U17" s="57">
        <f t="shared" si="2"/>
        <v>7084.0295936000002</v>
      </c>
      <c r="V17" s="57">
        <f t="shared" si="2"/>
        <v>7084.0295936000002</v>
      </c>
      <c r="W17" s="57">
        <f t="shared" si="2"/>
        <v>7084.0295936000002</v>
      </c>
      <c r="X17" s="57">
        <f t="shared" si="2"/>
        <v>7084.0295936000002</v>
      </c>
      <c r="Y17" s="57">
        <f t="shared" ref="Y17:AD17" si="3">Y16-Y15</f>
        <v>7084.0295936000002</v>
      </c>
      <c r="Z17" s="57">
        <f t="shared" si="3"/>
        <v>7084.0295936000002</v>
      </c>
      <c r="AA17" s="57">
        <f t="shared" si="3"/>
        <v>7084.0295936000002</v>
      </c>
      <c r="AB17" s="57">
        <f t="shared" si="3"/>
        <v>7084.0295936000002</v>
      </c>
      <c r="AC17" s="57">
        <f t="shared" si="3"/>
        <v>7084.0295936000002</v>
      </c>
      <c r="AD17" s="57">
        <f t="shared" si="3"/>
        <v>7084.0295936000002</v>
      </c>
      <c r="AE17" s="4" t="s">
        <v>12</v>
      </c>
    </row>
    <row r="19" spans="1:31" x14ac:dyDescent="0.25">
      <c r="A19" s="4" t="s">
        <v>84</v>
      </c>
      <c r="C19" s="12">
        <f>XNPV(B$21,E17:AD17,$E$1:$AD$1)</f>
        <v>39465.463468553957</v>
      </c>
    </row>
    <row r="20" spans="1:31" x14ac:dyDescent="0.25">
      <c r="A20" s="4" t="s">
        <v>83</v>
      </c>
      <c r="C20" s="249">
        <f>XIRR(E17:AD17,$E$1:$AD$1,0.1)</f>
        <v>0.25794250369071969</v>
      </c>
    </row>
    <row r="21" spans="1:31" x14ac:dyDescent="0.25">
      <c r="A21" s="4" t="s">
        <v>79</v>
      </c>
      <c r="B21">
        <v>9.5000000000000001E-2</v>
      </c>
    </row>
    <row r="22" spans="1:31" x14ac:dyDescent="0.25">
      <c r="A22" s="4"/>
    </row>
    <row r="23" spans="1:31" x14ac:dyDescent="0.25">
      <c r="A23" s="323" t="s">
        <v>148</v>
      </c>
      <c r="B23" s="323"/>
      <c r="C23" s="323"/>
      <c r="D23" s="245">
        <v>1.39</v>
      </c>
    </row>
    <row r="24" spans="1:31" x14ac:dyDescent="0.25">
      <c r="A24" s="247" t="s">
        <v>124</v>
      </c>
    </row>
    <row r="25" spans="1:31" x14ac:dyDescent="0.25">
      <c r="A25" s="4" t="s">
        <v>127</v>
      </c>
      <c r="E25" s="54">
        <f>'Minigrids - 1 item'!C76</f>
        <v>27361</v>
      </c>
      <c r="F25" s="54">
        <f>'Minigrids - 1 item'!D76</f>
        <v>2736.1000000000004</v>
      </c>
      <c r="G25" s="54">
        <f>'Minigrids - 1 item'!E76</f>
        <v>2736.1000000000004</v>
      </c>
      <c r="H25" s="54">
        <f>'Minigrids - 1 item'!F76</f>
        <v>2736.1000000000004</v>
      </c>
      <c r="I25" s="54">
        <f>'Minigrids - 1 item'!G76</f>
        <v>2736.1000000000004</v>
      </c>
      <c r="J25" s="54">
        <f>'Minigrids - 1 item'!H76</f>
        <v>2736.1000000000004</v>
      </c>
      <c r="K25" s="54">
        <f>'Minigrids - 1 item'!I76</f>
        <v>2736.1000000000004</v>
      </c>
      <c r="L25" s="54">
        <f>'Minigrids - 1 item'!J76</f>
        <v>2736.1000000000004</v>
      </c>
      <c r="M25" s="54">
        <f>'Minigrids - 1 item'!K76</f>
        <v>2736.1000000000004</v>
      </c>
      <c r="N25" s="54">
        <f>'Minigrids - 1 item'!L76</f>
        <v>2736.1000000000004</v>
      </c>
      <c r="O25" s="54">
        <f>'Minigrids - 1 item'!M76</f>
        <v>2736.1000000000004</v>
      </c>
      <c r="P25" s="54">
        <f>'Minigrids - 1 item'!N76</f>
        <v>2736.1000000000004</v>
      </c>
      <c r="Q25" s="54">
        <f>'Minigrids - 1 item'!O76</f>
        <v>2736.1000000000004</v>
      </c>
      <c r="R25" s="54">
        <f>'Minigrids - 1 item'!P76</f>
        <v>2736.1000000000004</v>
      </c>
      <c r="S25" s="54">
        <f>'Minigrids - 1 item'!Q76</f>
        <v>2736.1000000000004</v>
      </c>
      <c r="T25" s="54">
        <f>'Minigrids - 1 item'!R76</f>
        <v>2736.1000000000004</v>
      </c>
      <c r="U25" s="54">
        <f>'Minigrids - 1 item'!S76</f>
        <v>2736.1000000000004</v>
      </c>
      <c r="V25" s="54">
        <f>'Minigrids - 1 item'!T76</f>
        <v>2736.1000000000004</v>
      </c>
      <c r="W25" s="54">
        <f>'Minigrids - 1 item'!U76</f>
        <v>2736.1000000000004</v>
      </c>
      <c r="X25" s="54">
        <f>'Minigrids - 1 item'!V76</f>
        <v>2736.1000000000004</v>
      </c>
      <c r="Y25" s="54">
        <f>'Minigrids - 1 item'!W76</f>
        <v>2736.1000000000004</v>
      </c>
      <c r="Z25" s="54">
        <f>'Minigrids - 1 item'!X76</f>
        <v>2736.1000000000004</v>
      </c>
      <c r="AA25" s="54">
        <f>'Minigrids - 1 item'!Y76</f>
        <v>2736.1000000000004</v>
      </c>
      <c r="AB25" s="54">
        <f>'Minigrids - 1 item'!Z76</f>
        <v>2736.1000000000004</v>
      </c>
      <c r="AC25" s="54">
        <f>'Minigrids - 1 item'!AA76</f>
        <v>2736.1000000000004</v>
      </c>
      <c r="AD25" s="54">
        <f>'Minigrids - 1 item'!AB76</f>
        <v>2736.1000000000004</v>
      </c>
      <c r="AE25" s="4" t="s">
        <v>12</v>
      </c>
    </row>
    <row r="26" spans="1:31" x14ac:dyDescent="0.25">
      <c r="A26" s="4" t="s">
        <v>128</v>
      </c>
      <c r="E26" s="57">
        <f>'Minigrids - 1 item'!C86*$D$23</f>
        <v>0</v>
      </c>
      <c r="F26" s="57">
        <f>'Minigrids - 1 item'!D86*$D$23</f>
        <v>6266.8359055999999</v>
      </c>
      <c r="G26" s="57">
        <f>'Minigrids - 1 item'!E86*$D$23</f>
        <v>6266.8359055999999</v>
      </c>
      <c r="H26" s="57">
        <f>'Minigrids - 1 item'!F86*$D$23</f>
        <v>6266.8359055999999</v>
      </c>
      <c r="I26" s="57">
        <f>'Minigrids - 1 item'!G86*$D$23</f>
        <v>6266.8359055999999</v>
      </c>
      <c r="J26" s="57">
        <f>'Minigrids - 1 item'!H86*$D$23</f>
        <v>6266.8359055999999</v>
      </c>
      <c r="K26" s="57">
        <f>'Minigrids - 1 item'!I86*$D$23</f>
        <v>6266.8359055999999</v>
      </c>
      <c r="L26" s="57">
        <f>'Minigrids - 1 item'!J86*$D$23</f>
        <v>6266.8359055999999</v>
      </c>
      <c r="M26" s="57">
        <f>'Minigrids - 1 item'!K86*$D$23</f>
        <v>6266.8359055999999</v>
      </c>
      <c r="N26" s="57">
        <f>'Minigrids - 1 item'!L86*$D$23</f>
        <v>6266.8359055999999</v>
      </c>
      <c r="O26" s="57">
        <f>'Minigrids - 1 item'!M86*$D$23</f>
        <v>6266.8359055999999</v>
      </c>
      <c r="P26" s="57">
        <f>'Minigrids - 1 item'!N86*$D$23</f>
        <v>6266.8359055999999</v>
      </c>
      <c r="Q26" s="57">
        <f>'Minigrids - 1 item'!O86*$D$23</f>
        <v>6266.8359055999999</v>
      </c>
      <c r="R26" s="57">
        <f>'Minigrids - 1 item'!P86*$D$23</f>
        <v>6266.8359055999999</v>
      </c>
      <c r="S26" s="57">
        <f>'Minigrids - 1 item'!Q86*$D$23</f>
        <v>6266.8359055999999</v>
      </c>
      <c r="T26" s="57">
        <f>'Minigrids - 1 item'!R86*$D$23</f>
        <v>6266.8359055999999</v>
      </c>
      <c r="U26" s="57">
        <f>'Minigrids - 1 item'!S86*$D$23</f>
        <v>6266.8359055999999</v>
      </c>
      <c r="V26" s="57">
        <f>'Minigrids - 1 item'!T86*$D$23</f>
        <v>6266.8359055999999</v>
      </c>
      <c r="W26" s="57">
        <f>'Minigrids - 1 item'!U86*$D$23</f>
        <v>6266.8359055999999</v>
      </c>
      <c r="X26" s="57">
        <f>'Minigrids - 1 item'!V86*$D$23</f>
        <v>6266.8359055999999</v>
      </c>
      <c r="Y26" s="57">
        <f>'Minigrids - 1 item'!W86*$D$23</f>
        <v>6266.8359055999999</v>
      </c>
      <c r="Z26" s="57">
        <f>'Minigrids - 1 item'!X86*$D$23</f>
        <v>6266.8359055999999</v>
      </c>
      <c r="AA26" s="57">
        <f>'Minigrids - 1 item'!Y86*$D$23</f>
        <v>6266.8359055999999</v>
      </c>
      <c r="AB26" s="57">
        <f>'Minigrids - 1 item'!Z86*$D$23</f>
        <v>6266.8359055999999</v>
      </c>
      <c r="AC26" s="57">
        <f>'Minigrids - 1 item'!AA86*$D$23</f>
        <v>6266.8359055999999</v>
      </c>
      <c r="AD26" s="57">
        <f>'Minigrids - 1 item'!AB86*$D$23</f>
        <v>6266.8359055999999</v>
      </c>
      <c r="AE26" s="4" t="s">
        <v>12</v>
      </c>
    </row>
    <row r="27" spans="1:31" x14ac:dyDescent="0.25">
      <c r="A27" s="4" t="s">
        <v>129</v>
      </c>
      <c r="E27" s="57">
        <f>E26-E25</f>
        <v>-27361</v>
      </c>
      <c r="F27" s="57">
        <f t="shared" ref="F27:X27" si="4">F26-F25</f>
        <v>3530.7359055999996</v>
      </c>
      <c r="G27" s="57">
        <f t="shared" si="4"/>
        <v>3530.7359055999996</v>
      </c>
      <c r="H27" s="57">
        <f t="shared" si="4"/>
        <v>3530.7359055999996</v>
      </c>
      <c r="I27" s="57">
        <f t="shared" si="4"/>
        <v>3530.7359055999996</v>
      </c>
      <c r="J27" s="57">
        <f t="shared" si="4"/>
        <v>3530.7359055999996</v>
      </c>
      <c r="K27" s="57">
        <f t="shared" si="4"/>
        <v>3530.7359055999996</v>
      </c>
      <c r="L27" s="57">
        <f t="shared" si="4"/>
        <v>3530.7359055999996</v>
      </c>
      <c r="M27" s="57">
        <f t="shared" si="4"/>
        <v>3530.7359055999996</v>
      </c>
      <c r="N27" s="57">
        <f t="shared" si="4"/>
        <v>3530.7359055999996</v>
      </c>
      <c r="O27" s="57">
        <f t="shared" si="4"/>
        <v>3530.7359055999996</v>
      </c>
      <c r="P27" s="57">
        <f t="shared" si="4"/>
        <v>3530.7359055999996</v>
      </c>
      <c r="Q27" s="57">
        <f t="shared" si="4"/>
        <v>3530.7359055999996</v>
      </c>
      <c r="R27" s="57">
        <f t="shared" si="4"/>
        <v>3530.7359055999996</v>
      </c>
      <c r="S27" s="57">
        <f t="shared" si="4"/>
        <v>3530.7359055999996</v>
      </c>
      <c r="T27" s="57">
        <f t="shared" si="4"/>
        <v>3530.7359055999996</v>
      </c>
      <c r="U27" s="57">
        <f t="shared" si="4"/>
        <v>3530.7359055999996</v>
      </c>
      <c r="V27" s="57">
        <f t="shared" si="4"/>
        <v>3530.7359055999996</v>
      </c>
      <c r="W27" s="57">
        <f t="shared" si="4"/>
        <v>3530.7359055999996</v>
      </c>
      <c r="X27" s="57">
        <f t="shared" si="4"/>
        <v>3530.7359055999996</v>
      </c>
      <c r="Y27" s="57">
        <f t="shared" ref="Y27:AD27" si="5">Y26-Y25</f>
        <v>3530.7359055999996</v>
      </c>
      <c r="Z27" s="57">
        <f t="shared" si="5"/>
        <v>3530.7359055999996</v>
      </c>
      <c r="AA27" s="57">
        <f t="shared" si="5"/>
        <v>3530.7359055999996</v>
      </c>
      <c r="AB27" s="57">
        <f t="shared" si="5"/>
        <v>3530.7359055999996</v>
      </c>
      <c r="AC27" s="57">
        <f t="shared" si="5"/>
        <v>3530.7359055999996</v>
      </c>
      <c r="AD27" s="57">
        <f t="shared" si="5"/>
        <v>3530.7359055999996</v>
      </c>
      <c r="AE27" s="4" t="s">
        <v>12</v>
      </c>
    </row>
    <row r="29" spans="1:31" x14ac:dyDescent="0.25">
      <c r="A29" s="4" t="s">
        <v>84</v>
      </c>
      <c r="C29" s="12">
        <f>XNPV(B$31,E27:AD27,$E$1:$AD$1)</f>
        <v>27782.371393386886</v>
      </c>
    </row>
    <row r="30" spans="1:31" x14ac:dyDescent="0.25">
      <c r="A30" s="4" t="s">
        <v>83</v>
      </c>
      <c r="C30" s="249">
        <f>XIRR(E27:AD27,$E$1:$AD$1,0.1)</f>
        <v>0.12167019248008729</v>
      </c>
    </row>
    <row r="31" spans="1:31" x14ac:dyDescent="0.25">
      <c r="A31" s="4" t="s">
        <v>79</v>
      </c>
      <c r="B31">
        <v>0.04</v>
      </c>
    </row>
    <row r="32" spans="1:31" x14ac:dyDescent="0.25">
      <c r="A32" s="4"/>
    </row>
    <row r="33" spans="1:31" x14ac:dyDescent="0.25">
      <c r="A33" s="323" t="s">
        <v>148</v>
      </c>
      <c r="B33" s="323"/>
      <c r="C33" s="323"/>
      <c r="D33" s="245">
        <v>1.39</v>
      </c>
    </row>
    <row r="34" spans="1:31" x14ac:dyDescent="0.25">
      <c r="A34" s="247" t="s">
        <v>14</v>
      </c>
    </row>
    <row r="35" spans="1:31" x14ac:dyDescent="0.25">
      <c r="A35" s="4" t="s">
        <v>127</v>
      </c>
      <c r="E35" s="54">
        <f>'Minigrids - 1 item'!C109</f>
        <v>27361</v>
      </c>
      <c r="F35" s="54">
        <f>'Minigrids - 1 item'!D109</f>
        <v>2736.1000000000004</v>
      </c>
      <c r="G35" s="54">
        <f>'Minigrids - 1 item'!E109</f>
        <v>2736.1000000000004</v>
      </c>
      <c r="H35" s="54">
        <f>'Minigrids - 1 item'!F109</f>
        <v>2736.1000000000004</v>
      </c>
      <c r="I35" s="54">
        <f>'Minigrids - 1 item'!G109</f>
        <v>2736.1000000000004</v>
      </c>
      <c r="J35" s="54">
        <f>'Minigrids - 1 item'!H109</f>
        <v>2736.1000000000004</v>
      </c>
      <c r="K35" s="54">
        <f>'Minigrids - 1 item'!I109</f>
        <v>2736.1000000000004</v>
      </c>
      <c r="L35" s="54">
        <f>'Minigrids - 1 item'!J109</f>
        <v>2736.1000000000004</v>
      </c>
      <c r="M35" s="54">
        <f>'Minigrids - 1 item'!K109</f>
        <v>2736.1000000000004</v>
      </c>
      <c r="N35" s="54">
        <f>'Minigrids - 1 item'!L109</f>
        <v>2736.1000000000004</v>
      </c>
      <c r="O35" s="54">
        <f>'Minigrids - 1 item'!M109</f>
        <v>2736.1000000000004</v>
      </c>
      <c r="P35" s="54">
        <f>'Minigrids - 1 item'!N109</f>
        <v>2736.1000000000004</v>
      </c>
      <c r="Q35" s="54">
        <f>'Minigrids - 1 item'!O109</f>
        <v>2736.1000000000004</v>
      </c>
      <c r="R35" s="54">
        <f>'Minigrids - 1 item'!P109</f>
        <v>2736.1000000000004</v>
      </c>
      <c r="S35" s="54">
        <f>'Minigrids - 1 item'!Q109</f>
        <v>2736.1000000000004</v>
      </c>
      <c r="T35" s="54">
        <f>'Minigrids - 1 item'!R109</f>
        <v>2736.1000000000004</v>
      </c>
      <c r="U35" s="54">
        <f>'Minigrids - 1 item'!S109</f>
        <v>2736.1000000000004</v>
      </c>
      <c r="V35" s="54">
        <f>'Minigrids - 1 item'!T109</f>
        <v>2736.1000000000004</v>
      </c>
      <c r="W35" s="54">
        <f>'Minigrids - 1 item'!U109</f>
        <v>2736.1000000000004</v>
      </c>
      <c r="X35" s="54">
        <f>'Minigrids - 1 item'!V109</f>
        <v>2736.1000000000004</v>
      </c>
      <c r="Y35" s="54">
        <f>'Minigrids - 1 item'!W109</f>
        <v>2736.1000000000004</v>
      </c>
      <c r="Z35" s="54">
        <f>'Minigrids - 1 item'!X109</f>
        <v>2736.1000000000004</v>
      </c>
      <c r="AA35" s="54">
        <f>'Minigrids - 1 item'!Y109</f>
        <v>2736.1000000000004</v>
      </c>
      <c r="AB35" s="54">
        <f>'Minigrids - 1 item'!Z109</f>
        <v>2736.1000000000004</v>
      </c>
      <c r="AC35" s="54">
        <f>'Minigrids - 1 item'!AA109</f>
        <v>2736.1000000000004</v>
      </c>
      <c r="AD35" s="54">
        <f>'Minigrids - 1 item'!AB109</f>
        <v>2736.1000000000004</v>
      </c>
      <c r="AE35" s="4" t="s">
        <v>12</v>
      </c>
    </row>
    <row r="36" spans="1:31" x14ac:dyDescent="0.25">
      <c r="A36" s="4" t="s">
        <v>128</v>
      </c>
      <c r="E36" s="57">
        <f>'Minigrids - 1 item'!C119*$D$33</f>
        <v>0</v>
      </c>
      <c r="F36" s="57">
        <f>'Minigrids - 1 item'!D119*$D$33</f>
        <v>6266.8359055999999</v>
      </c>
      <c r="G36" s="57">
        <f>'Minigrids - 1 item'!E119*$D$33</f>
        <v>6266.8359055999999</v>
      </c>
      <c r="H36" s="57">
        <f>'Minigrids - 1 item'!F119*$D$33</f>
        <v>6266.8359055999999</v>
      </c>
      <c r="I36" s="57">
        <f>'Minigrids - 1 item'!G119*$D$33</f>
        <v>6266.8359055999999</v>
      </c>
      <c r="J36" s="57">
        <f>'Minigrids - 1 item'!H119*$D$33</f>
        <v>6266.8359055999999</v>
      </c>
      <c r="K36" s="57">
        <f>'Minigrids - 1 item'!I119*$D$33</f>
        <v>6266.8359055999999</v>
      </c>
      <c r="L36" s="57">
        <f>'Minigrids - 1 item'!J119*$D$33</f>
        <v>6266.8359055999999</v>
      </c>
      <c r="M36" s="57">
        <f>'Minigrids - 1 item'!K119*$D$33</f>
        <v>6266.8359055999999</v>
      </c>
      <c r="N36" s="57">
        <f>'Minigrids - 1 item'!L119*$D$33</f>
        <v>6266.8359055999999</v>
      </c>
      <c r="O36" s="57">
        <f>'Minigrids - 1 item'!M119*$D$33</f>
        <v>6266.8359055999999</v>
      </c>
      <c r="P36" s="57">
        <f>'Minigrids - 1 item'!N119*$D$33</f>
        <v>6266.8359055999999</v>
      </c>
      <c r="Q36" s="57">
        <f>'Minigrids - 1 item'!O119*$D$33</f>
        <v>6266.8359055999999</v>
      </c>
      <c r="R36" s="57">
        <f>'Minigrids - 1 item'!P119*$D$33</f>
        <v>6266.8359055999999</v>
      </c>
      <c r="S36" s="57">
        <f>'Minigrids - 1 item'!Q119*$D$33</f>
        <v>6266.8359055999999</v>
      </c>
      <c r="T36" s="57">
        <f>'Minigrids - 1 item'!R119*$D$33</f>
        <v>6266.8359055999999</v>
      </c>
      <c r="U36" s="57">
        <f>'Minigrids - 1 item'!S119*$D$33</f>
        <v>6266.8359055999999</v>
      </c>
      <c r="V36" s="57">
        <f>'Minigrids - 1 item'!T119*$D$33</f>
        <v>6266.8359055999999</v>
      </c>
      <c r="W36" s="57">
        <f>'Minigrids - 1 item'!U119*$D$33</f>
        <v>6266.8359055999999</v>
      </c>
      <c r="X36" s="57">
        <f>'Minigrids - 1 item'!V119*$D$33</f>
        <v>6266.8359055999999</v>
      </c>
      <c r="Y36" s="57">
        <f>'Minigrids - 1 item'!W119*$D$33</f>
        <v>6266.8359055999999</v>
      </c>
      <c r="Z36" s="57">
        <f>'Minigrids - 1 item'!X119*$D$33</f>
        <v>6266.8359055999999</v>
      </c>
      <c r="AA36" s="57">
        <f>'Minigrids - 1 item'!Y119*$D$33</f>
        <v>6266.8359055999999</v>
      </c>
      <c r="AB36" s="57">
        <f>'Minigrids - 1 item'!Z119*$D$33</f>
        <v>6266.8359055999999</v>
      </c>
      <c r="AC36" s="57">
        <f>'Minigrids - 1 item'!AA119*$D$33</f>
        <v>6266.8359055999999</v>
      </c>
      <c r="AD36" s="57">
        <f>'Minigrids - 1 item'!AB119*$D$33</f>
        <v>6266.8359055999999</v>
      </c>
      <c r="AE36" s="4" t="s">
        <v>12</v>
      </c>
    </row>
    <row r="37" spans="1:31" x14ac:dyDescent="0.25">
      <c r="A37" s="4" t="s">
        <v>129</v>
      </c>
      <c r="E37" s="57">
        <f>E36-E35</f>
        <v>-27361</v>
      </c>
      <c r="F37" s="57">
        <f t="shared" ref="F37:X37" si="6">F36-F35</f>
        <v>3530.7359055999996</v>
      </c>
      <c r="G37" s="57">
        <f t="shared" si="6"/>
        <v>3530.7359055999996</v>
      </c>
      <c r="H37" s="57">
        <f t="shared" si="6"/>
        <v>3530.7359055999996</v>
      </c>
      <c r="I37" s="57">
        <f t="shared" si="6"/>
        <v>3530.7359055999996</v>
      </c>
      <c r="J37" s="57">
        <f t="shared" si="6"/>
        <v>3530.7359055999996</v>
      </c>
      <c r="K37" s="57">
        <f t="shared" si="6"/>
        <v>3530.7359055999996</v>
      </c>
      <c r="L37" s="57">
        <f t="shared" si="6"/>
        <v>3530.7359055999996</v>
      </c>
      <c r="M37" s="57">
        <f t="shared" si="6"/>
        <v>3530.7359055999996</v>
      </c>
      <c r="N37" s="57">
        <f t="shared" si="6"/>
        <v>3530.7359055999996</v>
      </c>
      <c r="O37" s="57">
        <f t="shared" si="6"/>
        <v>3530.7359055999996</v>
      </c>
      <c r="P37" s="57">
        <f t="shared" si="6"/>
        <v>3530.7359055999996</v>
      </c>
      <c r="Q37" s="57">
        <f t="shared" si="6"/>
        <v>3530.7359055999996</v>
      </c>
      <c r="R37" s="57">
        <f t="shared" si="6"/>
        <v>3530.7359055999996</v>
      </c>
      <c r="S37" s="57">
        <f t="shared" si="6"/>
        <v>3530.7359055999996</v>
      </c>
      <c r="T37" s="57">
        <f t="shared" si="6"/>
        <v>3530.7359055999996</v>
      </c>
      <c r="U37" s="57">
        <f t="shared" si="6"/>
        <v>3530.7359055999996</v>
      </c>
      <c r="V37" s="57">
        <f t="shared" si="6"/>
        <v>3530.7359055999996</v>
      </c>
      <c r="W37" s="57">
        <f t="shared" si="6"/>
        <v>3530.7359055999996</v>
      </c>
      <c r="X37" s="57">
        <f t="shared" si="6"/>
        <v>3530.7359055999996</v>
      </c>
      <c r="Y37" s="57">
        <f t="shared" ref="Y37:AD37" si="7">Y36-Y35</f>
        <v>3530.7359055999996</v>
      </c>
      <c r="Z37" s="57">
        <f t="shared" si="7"/>
        <v>3530.7359055999996</v>
      </c>
      <c r="AA37" s="57">
        <f t="shared" si="7"/>
        <v>3530.7359055999996</v>
      </c>
      <c r="AB37" s="57">
        <f t="shared" si="7"/>
        <v>3530.7359055999996</v>
      </c>
      <c r="AC37" s="57">
        <f t="shared" si="7"/>
        <v>3530.7359055999996</v>
      </c>
      <c r="AD37" s="57">
        <f t="shared" si="7"/>
        <v>3530.7359055999996</v>
      </c>
      <c r="AE37" s="4" t="s">
        <v>12</v>
      </c>
    </row>
    <row r="39" spans="1:31" x14ac:dyDescent="0.25">
      <c r="A39" s="4" t="s">
        <v>84</v>
      </c>
      <c r="C39" s="12">
        <f>XNPV(B$41,E37:AD37,$E$1:$AD$1)</f>
        <v>27782.371393386886</v>
      </c>
    </row>
    <row r="40" spans="1:31" x14ac:dyDescent="0.25">
      <c r="A40" s="4" t="s">
        <v>83</v>
      </c>
      <c r="C40" s="249">
        <f>XIRR(E37:AD37,$E$1:$AD$1,0.1)</f>
        <v>0.12167019248008729</v>
      </c>
    </row>
    <row r="41" spans="1:31" x14ac:dyDescent="0.25">
      <c r="A41" s="4" t="s">
        <v>79</v>
      </c>
      <c r="B41">
        <v>0.04</v>
      </c>
    </row>
    <row r="42" spans="1:31" x14ac:dyDescent="0.25">
      <c r="A42" s="4"/>
    </row>
    <row r="43" spans="1:31" x14ac:dyDescent="0.25">
      <c r="A43" s="323" t="s">
        <v>148</v>
      </c>
      <c r="B43" s="323"/>
      <c r="C43" s="323"/>
      <c r="D43" s="245">
        <v>1.39</v>
      </c>
    </row>
    <row r="44" spans="1:31" x14ac:dyDescent="0.25">
      <c r="A44" s="247" t="s">
        <v>125</v>
      </c>
    </row>
    <row r="45" spans="1:31" x14ac:dyDescent="0.25">
      <c r="A45" s="4" t="s">
        <v>127</v>
      </c>
      <c r="E45" s="54">
        <f>'Minigrids - 1 item'!C142</f>
        <v>27361</v>
      </c>
      <c r="F45" s="54">
        <f>'Minigrids - 1 item'!D142</f>
        <v>2736.1000000000004</v>
      </c>
      <c r="G45" s="54">
        <f>'Minigrids - 1 item'!E142</f>
        <v>2736.1000000000004</v>
      </c>
      <c r="H45" s="54">
        <f>'Minigrids - 1 item'!F142</f>
        <v>2736.1000000000004</v>
      </c>
      <c r="I45" s="54">
        <f>'Minigrids - 1 item'!G142</f>
        <v>2736.1000000000004</v>
      </c>
      <c r="J45" s="54">
        <f>'Minigrids - 1 item'!H142</f>
        <v>2736.1000000000004</v>
      </c>
      <c r="K45" s="54">
        <f>'Minigrids - 1 item'!I142</f>
        <v>2736.1000000000004</v>
      </c>
      <c r="L45" s="54">
        <f>'Minigrids - 1 item'!J142</f>
        <v>2736.1000000000004</v>
      </c>
      <c r="M45" s="54">
        <f>'Minigrids - 1 item'!K142</f>
        <v>2736.1000000000004</v>
      </c>
      <c r="N45" s="54">
        <f>'Minigrids - 1 item'!L142</f>
        <v>2736.1000000000004</v>
      </c>
      <c r="O45" s="54">
        <f>'Minigrids - 1 item'!M142</f>
        <v>2736.1000000000004</v>
      </c>
      <c r="P45" s="54">
        <f>'Minigrids - 1 item'!N142</f>
        <v>2736.1000000000004</v>
      </c>
      <c r="Q45" s="54">
        <f>'Minigrids - 1 item'!O142</f>
        <v>2736.1000000000004</v>
      </c>
      <c r="R45" s="54">
        <f>'Minigrids - 1 item'!P142</f>
        <v>2736.1000000000004</v>
      </c>
      <c r="S45" s="54">
        <f>'Minigrids - 1 item'!Q142</f>
        <v>2736.1000000000004</v>
      </c>
      <c r="T45" s="54">
        <f>'Minigrids - 1 item'!R142</f>
        <v>2736.1000000000004</v>
      </c>
      <c r="U45" s="54">
        <f>'Minigrids - 1 item'!S142</f>
        <v>2736.1000000000004</v>
      </c>
      <c r="V45" s="54">
        <f>'Minigrids - 1 item'!T142</f>
        <v>2736.1000000000004</v>
      </c>
      <c r="W45" s="54">
        <f>'Minigrids - 1 item'!U142</f>
        <v>2736.1000000000004</v>
      </c>
      <c r="X45" s="54">
        <f>'Minigrids - 1 item'!V142</f>
        <v>2736.1000000000004</v>
      </c>
      <c r="Y45" s="54">
        <f>'Minigrids - 1 item'!W142</f>
        <v>2736.1000000000004</v>
      </c>
      <c r="Z45" s="54">
        <f>'Minigrids - 1 item'!X142</f>
        <v>2736.1000000000004</v>
      </c>
      <c r="AA45" s="54">
        <f>'Minigrids - 1 item'!Y142</f>
        <v>2736.1000000000004</v>
      </c>
      <c r="AB45" s="54">
        <f>'Minigrids - 1 item'!Z142</f>
        <v>2736.1000000000004</v>
      </c>
      <c r="AC45" s="54">
        <f>'Minigrids - 1 item'!AA142</f>
        <v>2736.1000000000004</v>
      </c>
      <c r="AD45" s="54">
        <f>'Minigrids - 1 item'!AB142</f>
        <v>2736.1000000000004</v>
      </c>
      <c r="AE45" s="4" t="s">
        <v>12</v>
      </c>
    </row>
    <row r="46" spans="1:31" x14ac:dyDescent="0.25">
      <c r="A46" s="4" t="s">
        <v>128</v>
      </c>
      <c r="E46" s="57">
        <f>'Minigrids - 1 item'!C152*$D$43</f>
        <v>0</v>
      </c>
      <c r="F46" s="57">
        <f>'Minigrids - 1 item'!D152*$D$43</f>
        <v>6266.8359055999999</v>
      </c>
      <c r="G46" s="57">
        <f>'Minigrids - 1 item'!E152*$D$43</f>
        <v>6266.8359055999999</v>
      </c>
      <c r="H46" s="57">
        <f>'Minigrids - 1 item'!F152*$D$43</f>
        <v>6266.8359055999999</v>
      </c>
      <c r="I46" s="57">
        <f>'Minigrids - 1 item'!G152*$D$43</f>
        <v>6266.8359055999999</v>
      </c>
      <c r="J46" s="57">
        <f>'Minigrids - 1 item'!H152*$D$43</f>
        <v>6266.8359055999999</v>
      </c>
      <c r="K46" s="57">
        <f>'Minigrids - 1 item'!I152*$D$43</f>
        <v>6266.8359055999999</v>
      </c>
      <c r="L46" s="57">
        <f>'Minigrids - 1 item'!J152*$D$43</f>
        <v>6266.8359055999999</v>
      </c>
      <c r="M46" s="57">
        <f>'Minigrids - 1 item'!K152*$D$43</f>
        <v>6266.8359055999999</v>
      </c>
      <c r="N46" s="57">
        <f>'Minigrids - 1 item'!L152*$D$43</f>
        <v>6266.8359055999999</v>
      </c>
      <c r="O46" s="57">
        <f>'Minigrids - 1 item'!M152*$D$43</f>
        <v>6266.8359055999999</v>
      </c>
      <c r="P46" s="57">
        <f>'Minigrids - 1 item'!N152*$D$43</f>
        <v>6266.8359055999999</v>
      </c>
      <c r="Q46" s="57">
        <f>'Minigrids - 1 item'!O152*$D$43</f>
        <v>6266.8359055999999</v>
      </c>
      <c r="R46" s="57">
        <f>'Minigrids - 1 item'!P152*$D$43</f>
        <v>6266.8359055999999</v>
      </c>
      <c r="S46" s="57">
        <f>'Minigrids - 1 item'!Q152*$D$43</f>
        <v>6266.8359055999999</v>
      </c>
      <c r="T46" s="57">
        <f>'Minigrids - 1 item'!R152*$D$43</f>
        <v>6266.8359055999999</v>
      </c>
      <c r="U46" s="57">
        <f>'Minigrids - 1 item'!S152*$D$43</f>
        <v>6266.8359055999999</v>
      </c>
      <c r="V46" s="57">
        <f>'Minigrids - 1 item'!T152*$D$43</f>
        <v>6266.8359055999999</v>
      </c>
      <c r="W46" s="57">
        <f>'Minigrids - 1 item'!U152*$D$43</f>
        <v>6266.8359055999999</v>
      </c>
      <c r="X46" s="57">
        <f>'Minigrids - 1 item'!V152*$D$43</f>
        <v>6266.8359055999999</v>
      </c>
      <c r="Y46" s="57">
        <f>'Minigrids - 1 item'!W152*$D$43</f>
        <v>6266.8359055999999</v>
      </c>
      <c r="Z46" s="57">
        <f>'Minigrids - 1 item'!X152*$D$43</f>
        <v>6266.8359055999999</v>
      </c>
      <c r="AA46" s="57">
        <f>'Minigrids - 1 item'!Y152*$D$43</f>
        <v>6266.8359055999999</v>
      </c>
      <c r="AB46" s="57">
        <f>'Minigrids - 1 item'!Z152*$D$43</f>
        <v>6266.8359055999999</v>
      </c>
      <c r="AC46" s="57">
        <f>'Minigrids - 1 item'!AA152*$D$43</f>
        <v>6266.8359055999999</v>
      </c>
      <c r="AD46" s="57">
        <f>'Minigrids - 1 item'!AB152*$D$43</f>
        <v>6266.8359055999999</v>
      </c>
      <c r="AE46" s="4" t="s">
        <v>12</v>
      </c>
    </row>
    <row r="47" spans="1:31" x14ac:dyDescent="0.25">
      <c r="A47" s="4" t="s">
        <v>129</v>
      </c>
      <c r="E47" s="57">
        <f>E46-E45</f>
        <v>-27361</v>
      </c>
      <c r="F47" s="57">
        <f t="shared" ref="F47:X47" si="8">F46-F45</f>
        <v>3530.7359055999996</v>
      </c>
      <c r="G47" s="57">
        <f t="shared" si="8"/>
        <v>3530.7359055999996</v>
      </c>
      <c r="H47" s="57">
        <f t="shared" si="8"/>
        <v>3530.7359055999996</v>
      </c>
      <c r="I47" s="57">
        <f t="shared" si="8"/>
        <v>3530.7359055999996</v>
      </c>
      <c r="J47" s="57">
        <f t="shared" si="8"/>
        <v>3530.7359055999996</v>
      </c>
      <c r="K47" s="57">
        <f t="shared" si="8"/>
        <v>3530.7359055999996</v>
      </c>
      <c r="L47" s="57">
        <f t="shared" si="8"/>
        <v>3530.7359055999996</v>
      </c>
      <c r="M47" s="57">
        <f t="shared" si="8"/>
        <v>3530.7359055999996</v>
      </c>
      <c r="N47" s="57">
        <f t="shared" si="8"/>
        <v>3530.7359055999996</v>
      </c>
      <c r="O47" s="57">
        <f t="shared" si="8"/>
        <v>3530.7359055999996</v>
      </c>
      <c r="P47" s="57">
        <f t="shared" si="8"/>
        <v>3530.7359055999996</v>
      </c>
      <c r="Q47" s="57">
        <f t="shared" si="8"/>
        <v>3530.7359055999996</v>
      </c>
      <c r="R47" s="57">
        <f t="shared" si="8"/>
        <v>3530.7359055999996</v>
      </c>
      <c r="S47" s="57">
        <f t="shared" si="8"/>
        <v>3530.7359055999996</v>
      </c>
      <c r="T47" s="57">
        <f t="shared" si="8"/>
        <v>3530.7359055999996</v>
      </c>
      <c r="U47" s="57">
        <f t="shared" si="8"/>
        <v>3530.7359055999996</v>
      </c>
      <c r="V47" s="57">
        <f t="shared" si="8"/>
        <v>3530.7359055999996</v>
      </c>
      <c r="W47" s="57">
        <f t="shared" si="8"/>
        <v>3530.7359055999996</v>
      </c>
      <c r="X47" s="57">
        <f t="shared" si="8"/>
        <v>3530.7359055999996</v>
      </c>
      <c r="Y47" s="57">
        <f t="shared" ref="Y47:AD47" si="9">Y46-Y45</f>
        <v>3530.7359055999996</v>
      </c>
      <c r="Z47" s="57">
        <f t="shared" si="9"/>
        <v>3530.7359055999996</v>
      </c>
      <c r="AA47" s="57">
        <f t="shared" si="9"/>
        <v>3530.7359055999996</v>
      </c>
      <c r="AB47" s="57">
        <f t="shared" si="9"/>
        <v>3530.7359055999996</v>
      </c>
      <c r="AC47" s="57">
        <f t="shared" si="9"/>
        <v>3530.7359055999996</v>
      </c>
      <c r="AD47" s="57">
        <f t="shared" si="9"/>
        <v>3530.7359055999996</v>
      </c>
      <c r="AE47" s="4" t="s">
        <v>12</v>
      </c>
    </row>
    <row r="49" spans="1:3" x14ac:dyDescent="0.25">
      <c r="A49" s="4" t="s">
        <v>84</v>
      </c>
      <c r="C49" s="12">
        <f>XNPV(B$51,E47:AD47,$E$1:$AD$1)</f>
        <v>27782.371393386886</v>
      </c>
    </row>
    <row r="50" spans="1:3" x14ac:dyDescent="0.25">
      <c r="A50" s="4" t="s">
        <v>83</v>
      </c>
      <c r="C50" s="249">
        <f>XIRR(E47:AD47,$E$1:$AD$1,0.1)</f>
        <v>0.12167019248008729</v>
      </c>
    </row>
    <row r="51" spans="1:3" x14ac:dyDescent="0.25">
      <c r="A51" s="4" t="s">
        <v>79</v>
      </c>
      <c r="B51">
        <v>0.04</v>
      </c>
    </row>
    <row r="55" spans="1:3" x14ac:dyDescent="0.25">
      <c r="B55" s="242" t="s">
        <v>83</v>
      </c>
      <c r="C55" s="242" t="s">
        <v>84</v>
      </c>
    </row>
    <row r="56" spans="1:3" x14ac:dyDescent="0.25">
      <c r="A56" s="247" t="s">
        <v>0</v>
      </c>
      <c r="B56" s="250">
        <f>C10</f>
        <v>0.1440028250217438</v>
      </c>
      <c r="C56" s="52">
        <f>C9</f>
        <v>30173.348400488634</v>
      </c>
    </row>
    <row r="57" spans="1:3" x14ac:dyDescent="0.25">
      <c r="A57" s="247" t="s">
        <v>123</v>
      </c>
      <c r="B57" s="270">
        <f>C20</f>
        <v>0.25794250369071969</v>
      </c>
      <c r="C57" s="52">
        <f>C19</f>
        <v>39465.463468553957</v>
      </c>
    </row>
    <row r="58" spans="1:3" x14ac:dyDescent="0.25">
      <c r="A58" s="247" t="s">
        <v>124</v>
      </c>
      <c r="B58" s="250">
        <f>C30</f>
        <v>0.12167019248008729</v>
      </c>
      <c r="C58" s="52">
        <f>C29</f>
        <v>27782.371393386886</v>
      </c>
    </row>
    <row r="59" spans="1:3" x14ac:dyDescent="0.25">
      <c r="A59" s="247" t="s">
        <v>14</v>
      </c>
      <c r="B59" s="250">
        <f>C40</f>
        <v>0.12167019248008729</v>
      </c>
      <c r="C59" s="52">
        <f>C39</f>
        <v>27782.371393386886</v>
      </c>
    </row>
    <row r="60" spans="1:3" x14ac:dyDescent="0.25">
      <c r="A60" s="247" t="s">
        <v>125</v>
      </c>
      <c r="B60" s="250">
        <f>C50</f>
        <v>0.12167019248008729</v>
      </c>
      <c r="C60" s="52">
        <f>C49</f>
        <v>27782.371393386886</v>
      </c>
    </row>
    <row r="61" spans="1:3" x14ac:dyDescent="0.25">
      <c r="C61" s="251"/>
    </row>
  </sheetData>
  <mergeCells count="6">
    <mergeCell ref="A43:C43"/>
    <mergeCell ref="A3:C3"/>
    <mergeCell ref="A1:B1"/>
    <mergeCell ref="A13:C13"/>
    <mergeCell ref="A23:C23"/>
    <mergeCell ref="A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 of Results</vt:lpstr>
      <vt:lpstr>Minigrids - BF</vt:lpstr>
      <vt:lpstr>Minigrids - GH</vt:lpstr>
      <vt:lpstr>Minigrids - CIV</vt:lpstr>
      <vt:lpstr>Minigrids - ML</vt:lpstr>
      <vt:lpstr>Minigrids - SN</vt:lpstr>
      <vt:lpstr>Minigrids - 1 item</vt:lpstr>
      <vt:lpstr>Interventions</vt:lpstr>
      <vt:lpstr>Minigrids - Parity</vt:lpstr>
      <vt:lpstr>Minigrids -20% revenues</vt:lpstr>
      <vt:lpstr>Carbon avoided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Marco Guzzetti</cp:lastModifiedBy>
  <dcterms:created xsi:type="dcterms:W3CDTF">2015-06-05T18:17:20Z</dcterms:created>
  <dcterms:modified xsi:type="dcterms:W3CDTF">2021-11-09T11:13:18Z</dcterms:modified>
</cp:coreProperties>
</file>