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acer\Dropbox\MESI\2021\IFAD\IFADOctober\Minigrids\November\Investor\Minigrids Parity\"/>
    </mc:Choice>
  </mc:AlternateContent>
  <xr:revisionPtr revIDLastSave="0" documentId="13_ncr:1_{ACD72DF2-4959-47C1-A4D5-201586EEA31C}" xr6:coauthVersionLast="47" xr6:coauthVersionMax="47" xr10:uidLastSave="{00000000-0000-0000-0000-000000000000}"/>
  <bookViews>
    <workbookView xWindow="-120" yWindow="-120" windowWidth="20730" windowHeight="11160" xr2:uid="{3B738C3B-5D9C-48C7-8547-50B2D911D36F}"/>
  </bookViews>
  <sheets>
    <sheet name="Summary of Results" sheetId="30" r:id="rId1"/>
    <sheet name="Minigrids - BF" sheetId="2" r:id="rId2"/>
    <sheet name="Minigrids - GH" sheetId="32" r:id="rId3"/>
    <sheet name="Minigrids - CIV" sheetId="33" r:id="rId4"/>
    <sheet name="Minigrids - ML" sheetId="34" r:id="rId5"/>
    <sheet name="Minigrids - SN" sheetId="35" r:id="rId6"/>
    <sheet name="Minigrids - 1 item" sheetId="31" r:id="rId7"/>
    <sheet name="Interventions" sheetId="1" r:id="rId8"/>
    <sheet name="Minigrids - Parity" sheetId="36" r:id="rId9"/>
    <sheet name="Minigrids -20% revenues" sheetId="37" r:id="rId10"/>
    <sheet name="Carbon avoided" sheetId="3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6" i="2" l="1"/>
  <c r="C64" i="2"/>
  <c r="C65" i="2"/>
  <c r="C66" i="32"/>
  <c r="O4" i="30" s="1"/>
  <c r="C64" i="32"/>
  <c r="C65" i="32"/>
  <c r="C66" i="33"/>
  <c r="C64" i="33"/>
  <c r="C65" i="33"/>
  <c r="C66" i="34"/>
  <c r="C65" i="34"/>
  <c r="C64" i="34"/>
  <c r="C66" i="35"/>
  <c r="C64" i="35"/>
  <c r="B29" i="31"/>
  <c r="B30" i="31"/>
  <c r="B63" i="31"/>
  <c r="B96" i="31"/>
  <c r="B95" i="31"/>
  <c r="B129" i="31"/>
  <c r="B128" i="31"/>
  <c r="B162" i="31"/>
  <c r="B161" i="31"/>
  <c r="F14" i="1" l="1"/>
  <c r="I14" i="1"/>
  <c r="H14" i="1"/>
  <c r="G14" i="1"/>
  <c r="E14" i="1"/>
  <c r="I13" i="1"/>
  <c r="H13" i="1"/>
  <c r="G13" i="1"/>
  <c r="F13" i="1"/>
  <c r="E13" i="1"/>
  <c r="G85" i="31" l="1"/>
  <c r="K85" i="31"/>
  <c r="O85" i="31"/>
  <c r="S85" i="31"/>
  <c r="W85" i="31"/>
  <c r="AA85" i="31"/>
  <c r="I85" i="31"/>
  <c r="Q85" i="31"/>
  <c r="Y85" i="31"/>
  <c r="J85" i="31"/>
  <c r="R85" i="31"/>
  <c r="Z85" i="31"/>
  <c r="H85" i="31"/>
  <c r="L85" i="31"/>
  <c r="P85" i="31"/>
  <c r="T85" i="31"/>
  <c r="X85" i="31"/>
  <c r="AB85" i="31"/>
  <c r="E85" i="31"/>
  <c r="M85" i="31"/>
  <c r="U85" i="31"/>
  <c r="D85" i="31"/>
  <c r="F85" i="31"/>
  <c r="N85" i="31"/>
  <c r="V85" i="31"/>
  <c r="E151" i="31"/>
  <c r="I151" i="31"/>
  <c r="M151" i="31"/>
  <c r="Q151" i="31"/>
  <c r="U151" i="31"/>
  <c r="Y151" i="31"/>
  <c r="D151" i="31"/>
  <c r="K151" i="31"/>
  <c r="S151" i="31"/>
  <c r="AA151" i="31"/>
  <c r="H151" i="31"/>
  <c r="T151" i="31"/>
  <c r="AB151" i="31"/>
  <c r="F151" i="31"/>
  <c r="J151" i="31"/>
  <c r="N151" i="31"/>
  <c r="R151" i="31"/>
  <c r="V151" i="31"/>
  <c r="Z151" i="31"/>
  <c r="G151" i="31"/>
  <c r="O151" i="31"/>
  <c r="W151" i="31"/>
  <c r="L151" i="31"/>
  <c r="P151" i="31"/>
  <c r="X151" i="31"/>
  <c r="H118" i="31"/>
  <c r="L118" i="31"/>
  <c r="P118" i="31"/>
  <c r="T118" i="31"/>
  <c r="X118" i="31"/>
  <c r="AB118" i="31"/>
  <c r="J118" i="31"/>
  <c r="R118" i="31"/>
  <c r="Z118" i="31"/>
  <c r="K118" i="31"/>
  <c r="S118" i="31"/>
  <c r="AA118" i="31"/>
  <c r="E118" i="31"/>
  <c r="I118" i="31"/>
  <c r="M118" i="31"/>
  <c r="Q118" i="31"/>
  <c r="U118" i="31"/>
  <c r="Y118" i="31"/>
  <c r="D118" i="31"/>
  <c r="F118" i="31"/>
  <c r="N118" i="31"/>
  <c r="V118" i="31"/>
  <c r="G118" i="31"/>
  <c r="O118" i="31"/>
  <c r="W118" i="31"/>
  <c r="F52" i="31"/>
  <c r="J52" i="31"/>
  <c r="N52" i="31"/>
  <c r="R52" i="31"/>
  <c r="V52" i="31"/>
  <c r="Z52" i="31"/>
  <c r="H52" i="31"/>
  <c r="P52" i="31"/>
  <c r="X52" i="31"/>
  <c r="I52" i="31"/>
  <c r="Q52" i="31"/>
  <c r="Y52" i="31"/>
  <c r="G52" i="31"/>
  <c r="K52" i="31"/>
  <c r="O52" i="31"/>
  <c r="S52" i="31"/>
  <c r="W52" i="31"/>
  <c r="AA52" i="31"/>
  <c r="L52" i="31"/>
  <c r="T52" i="31"/>
  <c r="AB52" i="31"/>
  <c r="E52" i="31"/>
  <c r="M52" i="31"/>
  <c r="U52" i="31"/>
  <c r="D52" i="31"/>
  <c r="E37" i="34"/>
  <c r="F9" i="38"/>
  <c r="G9" i="38"/>
  <c r="H9" i="38"/>
  <c r="I9" i="38"/>
  <c r="J9" i="38"/>
  <c r="K9" i="38"/>
  <c r="L9" i="38"/>
  <c r="M9" i="38"/>
  <c r="N9" i="38"/>
  <c r="O9" i="38"/>
  <c r="P9" i="38"/>
  <c r="Q9" i="38"/>
  <c r="R9" i="38"/>
  <c r="S9" i="38"/>
  <c r="T9" i="38"/>
  <c r="U9" i="38"/>
  <c r="V9" i="38"/>
  <c r="W9" i="38"/>
  <c r="X9" i="38"/>
  <c r="Y9" i="38"/>
  <c r="Z9" i="38"/>
  <c r="AA9" i="38"/>
  <c r="AB9" i="38"/>
  <c r="AC9" i="38"/>
  <c r="E9" i="38"/>
  <c r="H37" i="34"/>
  <c r="L37" i="34"/>
  <c r="P37" i="34"/>
  <c r="T37" i="34"/>
  <c r="X37" i="34"/>
  <c r="AB37" i="34"/>
  <c r="AF37" i="34"/>
  <c r="E37" i="33"/>
  <c r="F37" i="33"/>
  <c r="G37" i="33"/>
  <c r="H37" i="33"/>
  <c r="I37" i="33"/>
  <c r="J37" i="33"/>
  <c r="K37" i="33"/>
  <c r="L37" i="33"/>
  <c r="M37" i="33"/>
  <c r="N37" i="33"/>
  <c r="O37" i="33"/>
  <c r="P37" i="33"/>
  <c r="Q37" i="33"/>
  <c r="R37" i="33"/>
  <c r="S37" i="33"/>
  <c r="T37" i="33"/>
  <c r="U37" i="33"/>
  <c r="V37" i="33"/>
  <c r="W37" i="33"/>
  <c r="X37" i="33"/>
  <c r="Y37" i="33"/>
  <c r="Z37" i="33"/>
  <c r="AA37" i="33"/>
  <c r="AB37" i="33"/>
  <c r="AC37" i="33"/>
  <c r="AD37" i="33"/>
  <c r="AE37" i="33"/>
  <c r="AF37" i="33"/>
  <c r="AG37" i="33"/>
  <c r="AH37" i="33"/>
  <c r="D37" i="33"/>
  <c r="E37" i="32"/>
  <c r="F37" i="32"/>
  <c r="G37" i="32"/>
  <c r="H37" i="32"/>
  <c r="I37" i="32"/>
  <c r="J37" i="32"/>
  <c r="K37" i="32"/>
  <c r="L37" i="32"/>
  <c r="M37" i="32"/>
  <c r="N37" i="32"/>
  <c r="O37" i="32"/>
  <c r="P37" i="32"/>
  <c r="Q37" i="32"/>
  <c r="R37" i="32"/>
  <c r="S37" i="32"/>
  <c r="T37" i="32"/>
  <c r="U37" i="32"/>
  <c r="V37" i="32"/>
  <c r="W37" i="32"/>
  <c r="X37" i="32"/>
  <c r="Y37" i="32"/>
  <c r="Z37" i="32"/>
  <c r="AA37" i="32"/>
  <c r="AB37" i="32"/>
  <c r="AC37" i="32"/>
  <c r="AD37" i="32"/>
  <c r="AE37" i="32"/>
  <c r="AF37" i="32"/>
  <c r="AG37" i="32"/>
  <c r="AH37" i="32"/>
  <c r="D37" i="3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D37" i="2"/>
  <c r="C34" i="2"/>
  <c r="C34" i="32"/>
  <c r="C34" i="33"/>
  <c r="C34" i="34"/>
  <c r="E37" i="35"/>
  <c r="F37" i="35"/>
  <c r="G37" i="35"/>
  <c r="H37" i="35"/>
  <c r="I37" i="35"/>
  <c r="J37" i="35"/>
  <c r="K37" i="35"/>
  <c r="L37" i="35"/>
  <c r="M37" i="35"/>
  <c r="N37" i="35"/>
  <c r="O37" i="35"/>
  <c r="P37" i="35"/>
  <c r="Q37" i="35"/>
  <c r="R37" i="35"/>
  <c r="S37" i="35"/>
  <c r="T37" i="35"/>
  <c r="U37" i="35"/>
  <c r="V37" i="35"/>
  <c r="W37" i="35"/>
  <c r="X37" i="35"/>
  <c r="Y37" i="35"/>
  <c r="Z37" i="35"/>
  <c r="AA37" i="35"/>
  <c r="AB37" i="35"/>
  <c r="AC37" i="35"/>
  <c r="AD37" i="35"/>
  <c r="AE37" i="35"/>
  <c r="AF37" i="35"/>
  <c r="AG37" i="35"/>
  <c r="AH37" i="35"/>
  <c r="D37" i="35"/>
  <c r="C152" i="31"/>
  <c r="C119" i="31"/>
  <c r="C86" i="31"/>
  <c r="C53" i="31"/>
  <c r="AB150" i="31"/>
  <c r="AA150" i="31"/>
  <c r="Z150" i="31"/>
  <c r="Y150" i="31"/>
  <c r="X150" i="31"/>
  <c r="W150" i="31"/>
  <c r="V150" i="31"/>
  <c r="U150" i="31"/>
  <c r="T150" i="31"/>
  <c r="S150" i="31"/>
  <c r="R150" i="31"/>
  <c r="Q150" i="31"/>
  <c r="P150" i="31"/>
  <c r="O150" i="31"/>
  <c r="N150" i="31"/>
  <c r="M150" i="31"/>
  <c r="L150" i="31"/>
  <c r="K150" i="31"/>
  <c r="J150" i="31"/>
  <c r="I150" i="31"/>
  <c r="H150" i="31"/>
  <c r="G150" i="31"/>
  <c r="F150" i="31"/>
  <c r="E150" i="31"/>
  <c r="D150" i="31"/>
  <c r="AB117" i="31"/>
  <c r="AA117" i="31"/>
  <c r="Z117" i="31"/>
  <c r="Y117" i="31"/>
  <c r="X117" i="31"/>
  <c r="W117" i="31"/>
  <c r="V117" i="31"/>
  <c r="U117" i="31"/>
  <c r="T117" i="31"/>
  <c r="S117" i="31"/>
  <c r="R117" i="31"/>
  <c r="Q117" i="31"/>
  <c r="P117" i="31"/>
  <c r="O117" i="31"/>
  <c r="N117" i="31"/>
  <c r="M117" i="31"/>
  <c r="L117" i="31"/>
  <c r="K117" i="31"/>
  <c r="J117" i="31"/>
  <c r="I117" i="31"/>
  <c r="H117" i="31"/>
  <c r="G117" i="31"/>
  <c r="F117" i="31"/>
  <c r="E117" i="31"/>
  <c r="D117" i="31"/>
  <c r="AB84" i="31"/>
  <c r="AA84" i="31"/>
  <c r="Z84" i="31"/>
  <c r="Y84" i="31"/>
  <c r="X84" i="31"/>
  <c r="W84" i="31"/>
  <c r="V84" i="31"/>
  <c r="U84" i="31"/>
  <c r="T84" i="31"/>
  <c r="S84" i="31"/>
  <c r="R84" i="31"/>
  <c r="Q84" i="31"/>
  <c r="P84" i="31"/>
  <c r="O84" i="31"/>
  <c r="N84" i="31"/>
  <c r="M84" i="31"/>
  <c r="L84" i="31"/>
  <c r="K84" i="31"/>
  <c r="J84" i="31"/>
  <c r="I84" i="31"/>
  <c r="H84" i="31"/>
  <c r="G84" i="31"/>
  <c r="F84" i="31"/>
  <c r="E84" i="31"/>
  <c r="D84" i="31"/>
  <c r="AB51" i="31"/>
  <c r="AA51" i="31"/>
  <c r="Z51" i="31"/>
  <c r="Y51" i="31"/>
  <c r="X51" i="31"/>
  <c r="W51" i="31"/>
  <c r="V51" i="31"/>
  <c r="U51" i="31"/>
  <c r="T51" i="31"/>
  <c r="S51" i="31"/>
  <c r="R51" i="31"/>
  <c r="Q51" i="31"/>
  <c r="P51" i="31"/>
  <c r="O51" i="31"/>
  <c r="N51" i="31"/>
  <c r="M51" i="31"/>
  <c r="L51" i="31"/>
  <c r="K51" i="31"/>
  <c r="J51" i="31"/>
  <c r="I51" i="31"/>
  <c r="H51" i="31"/>
  <c r="G51" i="31"/>
  <c r="F51" i="31"/>
  <c r="E51" i="31"/>
  <c r="D51" i="31"/>
  <c r="E18" i="31"/>
  <c r="F18" i="31"/>
  <c r="G18" i="31"/>
  <c r="H18" i="31"/>
  <c r="I18" i="31"/>
  <c r="J18" i="31"/>
  <c r="K18" i="31"/>
  <c r="L18" i="31"/>
  <c r="M18" i="31"/>
  <c r="N18" i="31"/>
  <c r="O18" i="31"/>
  <c r="P18" i="31"/>
  <c r="Q18" i="31"/>
  <c r="R18" i="31"/>
  <c r="S18" i="31"/>
  <c r="T18" i="31"/>
  <c r="U18" i="31"/>
  <c r="V18" i="31"/>
  <c r="W18" i="31"/>
  <c r="X18" i="31"/>
  <c r="Y18" i="31"/>
  <c r="Z18" i="31"/>
  <c r="AA18" i="31"/>
  <c r="AB18" i="31"/>
  <c r="D18" i="31"/>
  <c r="AC150" i="31" l="1"/>
  <c r="D37" i="34"/>
  <c r="AE37" i="34"/>
  <c r="AA37" i="34"/>
  <c r="W37" i="34"/>
  <c r="S37" i="34"/>
  <c r="O37" i="34"/>
  <c r="K37" i="34"/>
  <c r="G37" i="34"/>
  <c r="AC84" i="31"/>
  <c r="AH37" i="34"/>
  <c r="AD37" i="34"/>
  <c r="Z37" i="34"/>
  <c r="V37" i="34"/>
  <c r="R37" i="34"/>
  <c r="N37" i="34"/>
  <c r="J37" i="34"/>
  <c r="F37" i="34"/>
  <c r="AG37" i="34"/>
  <c r="AC37" i="34"/>
  <c r="Y37" i="34"/>
  <c r="U37" i="34"/>
  <c r="Q37" i="34"/>
  <c r="M37" i="34"/>
  <c r="I37" i="34"/>
  <c r="AC18" i="31"/>
  <c r="AC51" i="31"/>
  <c r="AC117" i="31"/>
  <c r="Y5" i="38"/>
  <c r="Z5" i="38" s="1"/>
  <c r="Y12" i="38"/>
  <c r="X144" i="31" s="1"/>
  <c r="X12" i="31" l="1"/>
  <c r="X45" i="31"/>
  <c r="X78" i="31"/>
  <c r="X111" i="31"/>
  <c r="AA5" i="38"/>
  <c r="Z12" i="38"/>
  <c r="E5" i="38"/>
  <c r="F5" i="38" s="1"/>
  <c r="Y12" i="31" l="1"/>
  <c r="Y78" i="31"/>
  <c r="Y144" i="31"/>
  <c r="Y111" i="31"/>
  <c r="Y45" i="31"/>
  <c r="AA12" i="38"/>
  <c r="AB5" i="38"/>
  <c r="E12" i="38"/>
  <c r="G5" i="38"/>
  <c r="F12" i="38"/>
  <c r="E78" i="31" l="1"/>
  <c r="E12" i="31"/>
  <c r="E111" i="31"/>
  <c r="E144" i="31"/>
  <c r="E45" i="31"/>
  <c r="Z12" i="31"/>
  <c r="Z144" i="31"/>
  <c r="Z111" i="31"/>
  <c r="Z78" i="31"/>
  <c r="Z45" i="31"/>
  <c r="D111" i="31"/>
  <c r="D12" i="31"/>
  <c r="D78" i="31"/>
  <c r="D45" i="31"/>
  <c r="D144" i="31"/>
  <c r="AC5" i="38"/>
  <c r="AC12" i="38" s="1"/>
  <c r="AB12" i="38"/>
  <c r="H5" i="38"/>
  <c r="G12" i="38"/>
  <c r="AB12" i="31" l="1"/>
  <c r="AB144" i="31"/>
  <c r="AB111" i="31"/>
  <c r="AB78" i="31"/>
  <c r="AB45" i="31"/>
  <c r="F144" i="31"/>
  <c r="F111" i="31"/>
  <c r="F78" i="31"/>
  <c r="F45" i="31"/>
  <c r="F12" i="31"/>
  <c r="AA12" i="31"/>
  <c r="AA144" i="31"/>
  <c r="AA111" i="31"/>
  <c r="AA78" i="31"/>
  <c r="AA45" i="31"/>
  <c r="H12" i="38"/>
  <c r="I5" i="38"/>
  <c r="G144" i="31" l="1"/>
  <c r="G111" i="31"/>
  <c r="G78" i="31"/>
  <c r="G45" i="31"/>
  <c r="G12" i="31"/>
  <c r="I12" i="38"/>
  <c r="J5" i="38"/>
  <c r="H12" i="31" l="1"/>
  <c r="H144" i="31"/>
  <c r="H111" i="31"/>
  <c r="H78" i="31"/>
  <c r="H45" i="31"/>
  <c r="K5" i="38"/>
  <c r="J12" i="38"/>
  <c r="I45" i="31" l="1"/>
  <c r="I12" i="31"/>
  <c r="I144" i="31"/>
  <c r="I78" i="31"/>
  <c r="I111" i="31"/>
  <c r="L5" i="38"/>
  <c r="K12" i="38"/>
  <c r="J144" i="31" l="1"/>
  <c r="J111" i="31"/>
  <c r="J78" i="31"/>
  <c r="J45" i="31"/>
  <c r="J12" i="31"/>
  <c r="L12" i="38"/>
  <c r="M5" i="38"/>
  <c r="K12" i="31" l="1"/>
  <c r="K144" i="31"/>
  <c r="K111" i="31"/>
  <c r="K78" i="31"/>
  <c r="K45" i="31"/>
  <c r="M12" i="38"/>
  <c r="N5" i="38"/>
  <c r="L12" i="31" l="1"/>
  <c r="L144" i="31"/>
  <c r="L111" i="31"/>
  <c r="L78" i="31"/>
  <c r="L45" i="31"/>
  <c r="O5" i="38"/>
  <c r="N12" i="38"/>
  <c r="M12" i="31" l="1"/>
  <c r="M111" i="31"/>
  <c r="M45" i="31"/>
  <c r="M144" i="31"/>
  <c r="M78" i="31"/>
  <c r="P5" i="38"/>
  <c r="O12" i="38"/>
  <c r="N144" i="31" l="1"/>
  <c r="N111" i="31"/>
  <c r="N78" i="31"/>
  <c r="N45" i="31"/>
  <c r="N12" i="31"/>
  <c r="P12" i="38"/>
  <c r="Q5" i="38"/>
  <c r="O144" i="31" l="1"/>
  <c r="O111" i="31"/>
  <c r="O78" i="31"/>
  <c r="O45" i="31"/>
  <c r="O12" i="31"/>
  <c r="R5" i="38"/>
  <c r="Q12" i="38"/>
  <c r="P12" i="31" l="1"/>
  <c r="P144" i="31"/>
  <c r="P111" i="31"/>
  <c r="P78" i="31"/>
  <c r="P45" i="31"/>
  <c r="S5" i="38"/>
  <c r="R12" i="38"/>
  <c r="Q12" i="31" l="1"/>
  <c r="Q144" i="31"/>
  <c r="Q111" i="31"/>
  <c r="Q78" i="31"/>
  <c r="Q45" i="31"/>
  <c r="T5" i="38"/>
  <c r="S12" i="38"/>
  <c r="R144" i="31" l="1"/>
  <c r="R111" i="31"/>
  <c r="R78" i="31"/>
  <c r="R45" i="31"/>
  <c r="R12" i="31"/>
  <c r="T12" i="38"/>
  <c r="U5" i="38"/>
  <c r="S144" i="31" l="1"/>
  <c r="S111" i="31"/>
  <c r="S78" i="31"/>
  <c r="S45" i="31"/>
  <c r="S12" i="31"/>
  <c r="U12" i="38"/>
  <c r="V5" i="38"/>
  <c r="T12" i="31" l="1"/>
  <c r="T144" i="31"/>
  <c r="T111" i="31"/>
  <c r="T78" i="31"/>
  <c r="T45" i="31"/>
  <c r="W5" i="38"/>
  <c r="V12" i="38"/>
  <c r="U12" i="31" l="1"/>
  <c r="U144" i="31"/>
  <c r="U111" i="31"/>
  <c r="U78" i="31"/>
  <c r="U45" i="31"/>
  <c r="X5" i="38"/>
  <c r="W12" i="38"/>
  <c r="V144" i="31" l="1"/>
  <c r="V111" i="31"/>
  <c r="V78" i="31"/>
  <c r="V45" i="31"/>
  <c r="V12" i="31"/>
  <c r="X12" i="38"/>
  <c r="W144" i="31" l="1"/>
  <c r="AC144" i="31" s="1"/>
  <c r="W111" i="31"/>
  <c r="AC111" i="31" s="1"/>
  <c r="W78" i="31"/>
  <c r="AC78" i="31" s="1"/>
  <c r="W45" i="31"/>
  <c r="AC45" i="31" s="1"/>
  <c r="W12" i="31"/>
  <c r="AC12" i="31" s="1"/>
  <c r="E48" i="37"/>
  <c r="E38" i="37"/>
  <c r="E28" i="37"/>
  <c r="E18" i="37"/>
  <c r="E8" i="37"/>
  <c r="C7" i="30"/>
  <c r="C6" i="30"/>
  <c r="C5" i="30"/>
  <c r="C4" i="30"/>
  <c r="C3" i="30"/>
  <c r="C3" i="33"/>
  <c r="C3" i="32"/>
  <c r="C3" i="35"/>
  <c r="C3" i="34"/>
  <c r="C3" i="2"/>
  <c r="E145" i="31" l="1"/>
  <c r="F145" i="31"/>
  <c r="G145" i="31"/>
  <c r="AC145" i="31" s="1"/>
  <c r="H145" i="31"/>
  <c r="I145" i="31"/>
  <c r="J145" i="31"/>
  <c r="K145" i="31"/>
  <c r="L145" i="31"/>
  <c r="M145" i="31"/>
  <c r="N145" i="31"/>
  <c r="O145" i="31"/>
  <c r="P145" i="31"/>
  <c r="Q145" i="31"/>
  <c r="R145" i="31"/>
  <c r="S145" i="31"/>
  <c r="T145" i="31"/>
  <c r="U145" i="31"/>
  <c r="V145" i="31"/>
  <c r="W145" i="31"/>
  <c r="X145" i="31"/>
  <c r="Y145" i="31"/>
  <c r="Z145" i="31"/>
  <c r="AA145" i="31"/>
  <c r="AB145" i="31"/>
  <c r="D145" i="31"/>
  <c r="E112" i="31"/>
  <c r="F112" i="31"/>
  <c r="G112" i="31"/>
  <c r="H112" i="31"/>
  <c r="I112" i="31"/>
  <c r="J112" i="31"/>
  <c r="K112" i="31"/>
  <c r="L112" i="31"/>
  <c r="M112" i="31"/>
  <c r="N112" i="31"/>
  <c r="O112" i="31"/>
  <c r="P112" i="31"/>
  <c r="Q112" i="31"/>
  <c r="R112" i="31"/>
  <c r="S112" i="31"/>
  <c r="T112" i="31"/>
  <c r="U112" i="31"/>
  <c r="V112" i="31"/>
  <c r="W112" i="31"/>
  <c r="X112" i="31"/>
  <c r="Y112" i="31"/>
  <c r="Z112" i="31"/>
  <c r="AA112" i="31"/>
  <c r="AB112" i="31"/>
  <c r="D112" i="31"/>
  <c r="AC112" i="31" s="1"/>
  <c r="E79" i="31"/>
  <c r="F79" i="31"/>
  <c r="G79" i="31"/>
  <c r="H79" i="31"/>
  <c r="I79" i="31"/>
  <c r="J79" i="31"/>
  <c r="K79" i="31"/>
  <c r="L79" i="31"/>
  <c r="M79" i="31"/>
  <c r="N79" i="31"/>
  <c r="O79" i="31"/>
  <c r="P79" i="31"/>
  <c r="Q79" i="31"/>
  <c r="R79" i="31"/>
  <c r="S79" i="31"/>
  <c r="T79" i="31"/>
  <c r="U79" i="31"/>
  <c r="V79" i="31"/>
  <c r="W79" i="31"/>
  <c r="X79" i="31"/>
  <c r="Y79" i="31"/>
  <c r="Z79" i="31"/>
  <c r="AA79" i="31"/>
  <c r="AB79" i="31"/>
  <c r="D79" i="31"/>
  <c r="AC79" i="31" s="1"/>
  <c r="E46" i="31"/>
  <c r="F46" i="31"/>
  <c r="G46" i="31"/>
  <c r="H46" i="31"/>
  <c r="AC46" i="31" s="1"/>
  <c r="I46" i="31"/>
  <c r="J46" i="31"/>
  <c r="K46" i="31"/>
  <c r="L46" i="31"/>
  <c r="M46" i="31"/>
  <c r="N46" i="31"/>
  <c r="O46" i="31"/>
  <c r="P46" i="31"/>
  <c r="Q46" i="31"/>
  <c r="R46" i="31"/>
  <c r="S46" i="31"/>
  <c r="T46" i="31"/>
  <c r="U46" i="31"/>
  <c r="V46" i="31"/>
  <c r="W46" i="31"/>
  <c r="X46" i="31"/>
  <c r="Y46" i="31"/>
  <c r="Z46" i="31"/>
  <c r="AA46" i="31"/>
  <c r="AB46" i="31"/>
  <c r="D46" i="31"/>
  <c r="E13" i="31" l="1"/>
  <c r="F13" i="31"/>
  <c r="G13" i="31"/>
  <c r="H13" i="31"/>
  <c r="I13" i="31"/>
  <c r="J13" i="31"/>
  <c r="K13" i="31"/>
  <c r="L13" i="31"/>
  <c r="M13" i="31"/>
  <c r="N13" i="31"/>
  <c r="O13" i="31"/>
  <c r="P13" i="31"/>
  <c r="Q13" i="31"/>
  <c r="R13" i="31"/>
  <c r="S13" i="31"/>
  <c r="T13" i="31"/>
  <c r="U13" i="31"/>
  <c r="V13" i="31"/>
  <c r="W13" i="31"/>
  <c r="X13" i="31"/>
  <c r="Y13" i="31"/>
  <c r="Z13" i="31"/>
  <c r="AA13" i="31"/>
  <c r="AB13" i="31"/>
  <c r="D13" i="31"/>
  <c r="AC13" i="31" s="1"/>
  <c r="F10" i="1"/>
  <c r="G10" i="1"/>
  <c r="H10" i="1"/>
  <c r="I10" i="1"/>
  <c r="E10" i="1"/>
  <c r="C95" i="33"/>
  <c r="I91" i="33"/>
  <c r="J90" i="33"/>
  <c r="H88" i="33"/>
  <c r="I87" i="33"/>
  <c r="J87" i="33" s="1"/>
  <c r="G85" i="33"/>
  <c r="H84" i="33"/>
  <c r="H85" i="33" s="1"/>
  <c r="F82" i="33"/>
  <c r="A82" i="33"/>
  <c r="A85" i="33" s="1"/>
  <c r="A88" i="33" s="1"/>
  <c r="A91" i="33" s="1"/>
  <c r="G81" i="33"/>
  <c r="E79" i="33"/>
  <c r="A79" i="33"/>
  <c r="F78" i="33"/>
  <c r="F79" i="33" s="1"/>
  <c r="D76" i="33"/>
  <c r="D70" i="33" s="1"/>
  <c r="F75" i="33"/>
  <c r="E75" i="33"/>
  <c r="E76" i="33" s="1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Q72" i="33"/>
  <c r="P72" i="33"/>
  <c r="O72" i="33"/>
  <c r="N72" i="33"/>
  <c r="M72" i="33"/>
  <c r="L72" i="33"/>
  <c r="K72" i="33"/>
  <c r="J72" i="33"/>
  <c r="I72" i="33"/>
  <c r="C71" i="33"/>
  <c r="C97" i="33" s="1"/>
  <c r="C70" i="33"/>
  <c r="C94" i="33"/>
  <c r="C96" i="33" s="1"/>
  <c r="C98" i="33" s="1"/>
  <c r="C100" i="33" s="1"/>
  <c r="C30" i="33"/>
  <c r="C40" i="33" s="1"/>
  <c r="C25" i="33"/>
  <c r="C16" i="33"/>
  <c r="C15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O8" i="33"/>
  <c r="N8" i="33"/>
  <c r="M8" i="33"/>
  <c r="L8" i="33"/>
  <c r="K8" i="33"/>
  <c r="J8" i="33"/>
  <c r="I8" i="33"/>
  <c r="H8" i="33"/>
  <c r="G8" i="33"/>
  <c r="F8" i="33"/>
  <c r="E8" i="33"/>
  <c r="D8" i="33"/>
  <c r="C8" i="33"/>
  <c r="C46" i="33" s="1"/>
  <c r="C42" i="33" l="1"/>
  <c r="C24" i="33"/>
  <c r="C72" i="33" s="1"/>
  <c r="E70" i="33"/>
  <c r="C45" i="33"/>
  <c r="C57" i="33" s="1"/>
  <c r="F76" i="33"/>
  <c r="F70" i="33" s="1"/>
  <c r="G75" i="33"/>
  <c r="I88" i="33"/>
  <c r="F77" i="33"/>
  <c r="G77" i="33"/>
  <c r="E77" i="33"/>
  <c r="D77" i="33"/>
  <c r="D71" i="33" s="1"/>
  <c r="D97" i="33" s="1"/>
  <c r="C43" i="33"/>
  <c r="K87" i="33"/>
  <c r="C47" i="33"/>
  <c r="C101" i="33"/>
  <c r="C102" i="33" s="1"/>
  <c r="C53" i="33"/>
  <c r="H81" i="33"/>
  <c r="G82" i="33"/>
  <c r="G78" i="33"/>
  <c r="I84" i="33"/>
  <c r="J91" i="33"/>
  <c r="K90" i="33"/>
  <c r="L87" i="33" l="1"/>
  <c r="H75" i="33"/>
  <c r="G76" i="33"/>
  <c r="H77" i="33" s="1"/>
  <c r="L90" i="33"/>
  <c r="H78" i="33"/>
  <c r="C112" i="33"/>
  <c r="C110" i="33"/>
  <c r="C108" i="33"/>
  <c r="C103" i="33"/>
  <c r="C104" i="33" s="1"/>
  <c r="C48" i="33"/>
  <c r="C55" i="33"/>
  <c r="J84" i="33"/>
  <c r="I81" i="33"/>
  <c r="H76" i="33" l="1"/>
  <c r="I75" i="33"/>
  <c r="I78" i="33"/>
  <c r="M90" i="33"/>
  <c r="M87" i="33"/>
  <c r="J81" i="33"/>
  <c r="K84" i="33"/>
  <c r="L84" i="33" l="1"/>
  <c r="N87" i="33"/>
  <c r="K81" i="33"/>
  <c r="J78" i="33"/>
  <c r="I77" i="33"/>
  <c r="N90" i="33"/>
  <c r="I76" i="33"/>
  <c r="J75" i="33"/>
  <c r="J76" i="33" l="1"/>
  <c r="K77" i="33" s="1"/>
  <c r="K75" i="33"/>
  <c r="K78" i="33"/>
  <c r="O87" i="33"/>
  <c r="M84" i="33"/>
  <c r="L81" i="33"/>
  <c r="J77" i="33"/>
  <c r="O90" i="33"/>
  <c r="N84" i="33" l="1"/>
  <c r="P90" i="33"/>
  <c r="M81" i="33"/>
  <c r="K76" i="33"/>
  <c r="L77" i="33" s="1"/>
  <c r="L75" i="33"/>
  <c r="L78" i="33"/>
  <c r="P87" i="33"/>
  <c r="Q87" i="33" l="1"/>
  <c r="M75" i="33"/>
  <c r="L76" i="33"/>
  <c r="M77" i="33" s="1"/>
  <c r="N81" i="33"/>
  <c r="O84" i="33"/>
  <c r="M78" i="33"/>
  <c r="Q90" i="33"/>
  <c r="R90" i="33" l="1"/>
  <c r="N78" i="33"/>
  <c r="R87" i="33"/>
  <c r="M76" i="33"/>
  <c r="N75" i="33"/>
  <c r="P84" i="33"/>
  <c r="O81" i="33"/>
  <c r="O75" i="33" l="1"/>
  <c r="N76" i="33"/>
  <c r="S87" i="33"/>
  <c r="S90" i="33"/>
  <c r="Q84" i="33"/>
  <c r="N77" i="33"/>
  <c r="P81" i="33"/>
  <c r="O78" i="33"/>
  <c r="O77" i="33" l="1"/>
  <c r="R84" i="33"/>
  <c r="T90" i="33"/>
  <c r="P75" i="33"/>
  <c r="O76" i="33"/>
  <c r="Q81" i="33"/>
  <c r="P78" i="33"/>
  <c r="T87" i="33"/>
  <c r="U90" i="33" l="1"/>
  <c r="U87" i="33"/>
  <c r="Q78" i="33"/>
  <c r="P77" i="33"/>
  <c r="S84" i="33"/>
  <c r="R81" i="33"/>
  <c r="P76" i="33"/>
  <c r="Q75" i="33"/>
  <c r="Q76" i="33" l="1"/>
  <c r="R75" i="33"/>
  <c r="R78" i="33"/>
  <c r="V90" i="33"/>
  <c r="Q77" i="33"/>
  <c r="S81" i="33"/>
  <c r="T84" i="33"/>
  <c r="V87" i="33"/>
  <c r="T81" i="33" l="1"/>
  <c r="U84" i="33"/>
  <c r="S78" i="33"/>
  <c r="W90" i="33"/>
  <c r="R77" i="33"/>
  <c r="W87" i="33"/>
  <c r="S75" i="33"/>
  <c r="R76" i="33"/>
  <c r="U81" i="33" l="1"/>
  <c r="X90" i="33"/>
  <c r="T75" i="33"/>
  <c r="S76" i="33"/>
  <c r="X87" i="33"/>
  <c r="T78" i="33"/>
  <c r="S77" i="33"/>
  <c r="V84" i="33"/>
  <c r="T76" i="33" l="1"/>
  <c r="U75" i="33"/>
  <c r="Y90" i="33"/>
  <c r="W84" i="33"/>
  <c r="V81" i="33"/>
  <c r="U78" i="33"/>
  <c r="Y87" i="33"/>
  <c r="T77" i="33"/>
  <c r="Z87" i="33" l="1"/>
  <c r="U77" i="33"/>
  <c r="W81" i="33"/>
  <c r="V78" i="33"/>
  <c r="Z90" i="33"/>
  <c r="X84" i="33"/>
  <c r="U76" i="33"/>
  <c r="V75" i="33"/>
  <c r="AA90" i="33" l="1"/>
  <c r="Y84" i="33"/>
  <c r="X81" i="33"/>
  <c r="AA87" i="33"/>
  <c r="V76" i="33"/>
  <c r="W75" i="33"/>
  <c r="V77" i="33"/>
  <c r="W78" i="33"/>
  <c r="Z84" i="33" l="1"/>
  <c r="AB90" i="33"/>
  <c r="X75" i="33"/>
  <c r="W76" i="33"/>
  <c r="X78" i="33"/>
  <c r="W77" i="33"/>
  <c r="AB87" i="33"/>
  <c r="Y81" i="33"/>
  <c r="AC87" i="33" l="1"/>
  <c r="Y78" i="33"/>
  <c r="X76" i="33"/>
  <c r="Y75" i="33"/>
  <c r="AC90" i="33"/>
  <c r="Z81" i="33"/>
  <c r="AA84" i="33"/>
  <c r="X77" i="33"/>
  <c r="AB84" i="33" l="1"/>
  <c r="AA81" i="33"/>
  <c r="Z78" i="33"/>
  <c r="Y77" i="33"/>
  <c r="AD87" i="33"/>
  <c r="AD90" i="33"/>
  <c r="Y76" i="33"/>
  <c r="Z75" i="33"/>
  <c r="AE90" i="33" l="1"/>
  <c r="AC84" i="33"/>
  <c r="Z76" i="33"/>
  <c r="AA75" i="33"/>
  <c r="AE87" i="33"/>
  <c r="AA78" i="33"/>
  <c r="Z77" i="33"/>
  <c r="AB81" i="33"/>
  <c r="AA76" i="33" l="1"/>
  <c r="AB75" i="33"/>
  <c r="AF90" i="33"/>
  <c r="AA77" i="33"/>
  <c r="AC81" i="33"/>
  <c r="AB78" i="33"/>
  <c r="AD84" i="33"/>
  <c r="AF87" i="33"/>
  <c r="AG87" i="33" l="1"/>
  <c r="AE84" i="33"/>
  <c r="AD81" i="33"/>
  <c r="AG90" i="33"/>
  <c r="AC78" i="33"/>
  <c r="AC75" i="33"/>
  <c r="AB76" i="33"/>
  <c r="AB77" i="33"/>
  <c r="AE81" i="33" l="1"/>
  <c r="AH87" i="33"/>
  <c r="AC76" i="33"/>
  <c r="AD75" i="33"/>
  <c r="AC77" i="33"/>
  <c r="AD78" i="33"/>
  <c r="AH90" i="33"/>
  <c r="AF84" i="33"/>
  <c r="AE78" i="33" l="1"/>
  <c r="AF81" i="33"/>
  <c r="AE75" i="33"/>
  <c r="AD76" i="33"/>
  <c r="AG84" i="33"/>
  <c r="AD77" i="33"/>
  <c r="AF78" i="33" l="1"/>
  <c r="AG81" i="33"/>
  <c r="AE77" i="33"/>
  <c r="AH84" i="33"/>
  <c r="AF75" i="33"/>
  <c r="AE76" i="33"/>
  <c r="AF77" i="33" l="1"/>
  <c r="AG78" i="33"/>
  <c r="AF76" i="33"/>
  <c r="AG75" i="33"/>
  <c r="AH81" i="33"/>
  <c r="AG77" i="33" l="1"/>
  <c r="AH78" i="33"/>
  <c r="AG76" i="33"/>
  <c r="AH75" i="33"/>
  <c r="AH76" i="33" l="1"/>
  <c r="AH77" i="33"/>
  <c r="C95" i="32" l="1"/>
  <c r="I91" i="32"/>
  <c r="J90" i="32"/>
  <c r="H88" i="32"/>
  <c r="K87" i="32"/>
  <c r="L87" i="32" s="1"/>
  <c r="J87" i="32"/>
  <c r="I87" i="32"/>
  <c r="I88" i="32" s="1"/>
  <c r="H85" i="32"/>
  <c r="G85" i="32"/>
  <c r="J84" i="32"/>
  <c r="I84" i="32"/>
  <c r="H84" i="32"/>
  <c r="F82" i="32"/>
  <c r="A82" i="32"/>
  <c r="A85" i="32" s="1"/>
  <c r="A88" i="32" s="1"/>
  <c r="A91" i="32" s="1"/>
  <c r="H81" i="32"/>
  <c r="G81" i="32"/>
  <c r="G82" i="32" s="1"/>
  <c r="F79" i="32"/>
  <c r="E79" i="32"/>
  <c r="A79" i="32"/>
  <c r="F78" i="32"/>
  <c r="G78" i="32" s="1"/>
  <c r="E76" i="32"/>
  <c r="D76" i="32"/>
  <c r="D70" i="32" s="1"/>
  <c r="H75" i="32"/>
  <c r="G75" i="32"/>
  <c r="E75" i="32"/>
  <c r="F75" i="32" s="1"/>
  <c r="AH72" i="32"/>
  <c r="AG72" i="32"/>
  <c r="AF72" i="32"/>
  <c r="AE72" i="32"/>
  <c r="AD72" i="32"/>
  <c r="AC72" i="32"/>
  <c r="AB72" i="32"/>
  <c r="AA72" i="32"/>
  <c r="Z72" i="32"/>
  <c r="Y72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C71" i="32"/>
  <c r="C97" i="32" s="1"/>
  <c r="C70" i="32"/>
  <c r="C30" i="32"/>
  <c r="C25" i="32"/>
  <c r="C24" i="32" s="1"/>
  <c r="C72" i="32" s="1"/>
  <c r="C16" i="32"/>
  <c r="C15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C10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C8" i="32"/>
  <c r="C95" i="35"/>
  <c r="I91" i="35"/>
  <c r="J90" i="35"/>
  <c r="H88" i="35"/>
  <c r="L87" i="35"/>
  <c r="M87" i="35" s="1"/>
  <c r="J87" i="35"/>
  <c r="K87" i="35" s="1"/>
  <c r="I87" i="35"/>
  <c r="I88" i="35" s="1"/>
  <c r="H85" i="35"/>
  <c r="G85" i="35"/>
  <c r="I84" i="35"/>
  <c r="H84" i="35"/>
  <c r="G82" i="35"/>
  <c r="F82" i="35"/>
  <c r="A82" i="35"/>
  <c r="A85" i="35" s="1"/>
  <c r="A88" i="35" s="1"/>
  <c r="A91" i="35" s="1"/>
  <c r="J81" i="35"/>
  <c r="I81" i="35"/>
  <c r="G81" i="35"/>
  <c r="H81" i="35" s="1"/>
  <c r="F79" i="35"/>
  <c r="E79" i="35"/>
  <c r="A79" i="35"/>
  <c r="F78" i="35"/>
  <c r="G78" i="35" s="1"/>
  <c r="E76" i="35"/>
  <c r="D76" i="35"/>
  <c r="D70" i="35" s="1"/>
  <c r="E75" i="35"/>
  <c r="F75" i="35" s="1"/>
  <c r="AH72" i="35"/>
  <c r="AG72" i="35"/>
  <c r="AF72" i="35"/>
  <c r="AE72" i="35"/>
  <c r="AD72" i="35"/>
  <c r="AC72" i="35"/>
  <c r="AB72" i="35"/>
  <c r="AA72" i="35"/>
  <c r="Z72" i="35"/>
  <c r="Y72" i="35"/>
  <c r="X72" i="35"/>
  <c r="W72" i="35"/>
  <c r="V72" i="35"/>
  <c r="U72" i="35"/>
  <c r="T72" i="35"/>
  <c r="S72" i="35"/>
  <c r="R72" i="35"/>
  <c r="Q72" i="35"/>
  <c r="P72" i="35"/>
  <c r="O72" i="35"/>
  <c r="N72" i="35"/>
  <c r="M72" i="35"/>
  <c r="L72" i="35"/>
  <c r="K72" i="35"/>
  <c r="J72" i="35"/>
  <c r="I72" i="35"/>
  <c r="C71" i="35"/>
  <c r="C97" i="35" s="1"/>
  <c r="C70" i="35"/>
  <c r="C34" i="35"/>
  <c r="C94" i="35" s="1"/>
  <c r="C30" i="35"/>
  <c r="C25" i="35"/>
  <c r="C16" i="35"/>
  <c r="C15" i="35"/>
  <c r="AH10" i="35"/>
  <c r="AG10" i="35"/>
  <c r="AF10" i="35"/>
  <c r="AE10" i="35"/>
  <c r="AD10" i="35"/>
  <c r="AC10" i="35"/>
  <c r="AB10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O10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AH8" i="35"/>
  <c r="AG8" i="35"/>
  <c r="AF8" i="35"/>
  <c r="AE8" i="35"/>
  <c r="AD8" i="35"/>
  <c r="AC8" i="35"/>
  <c r="AB8" i="35"/>
  <c r="AA8" i="35"/>
  <c r="Z8" i="35"/>
  <c r="Y8" i="35"/>
  <c r="X8" i="35"/>
  <c r="W8" i="35"/>
  <c r="V8" i="35"/>
  <c r="U8" i="35"/>
  <c r="T8" i="35"/>
  <c r="S8" i="35"/>
  <c r="R8" i="35"/>
  <c r="Q8" i="35"/>
  <c r="P8" i="35"/>
  <c r="O8" i="35"/>
  <c r="N8" i="35"/>
  <c r="M8" i="35"/>
  <c r="L8" i="35"/>
  <c r="K8" i="35"/>
  <c r="J8" i="35"/>
  <c r="I8" i="35"/>
  <c r="H8" i="35"/>
  <c r="G8" i="35"/>
  <c r="F8" i="35"/>
  <c r="E8" i="35"/>
  <c r="D8" i="35"/>
  <c r="C8" i="35"/>
  <c r="C46" i="35" s="1"/>
  <c r="C95" i="34"/>
  <c r="I91" i="34"/>
  <c r="L90" i="34"/>
  <c r="M90" i="34" s="1"/>
  <c r="K90" i="34"/>
  <c r="J90" i="34"/>
  <c r="J91" i="34" s="1"/>
  <c r="H88" i="34"/>
  <c r="K87" i="34"/>
  <c r="J87" i="34"/>
  <c r="I87" i="34"/>
  <c r="I88" i="34" s="1"/>
  <c r="G85" i="34"/>
  <c r="H84" i="34"/>
  <c r="H85" i="34" s="1"/>
  <c r="F82" i="34"/>
  <c r="G81" i="34"/>
  <c r="G82" i="34" s="1"/>
  <c r="E79" i="34"/>
  <c r="A79" i="34"/>
  <c r="A82" i="34" s="1"/>
  <c r="A85" i="34" s="1"/>
  <c r="A88" i="34" s="1"/>
  <c r="A91" i="34" s="1"/>
  <c r="F78" i="34"/>
  <c r="F79" i="34" s="1"/>
  <c r="D76" i="34"/>
  <c r="D70" i="34" s="1"/>
  <c r="G75" i="34"/>
  <c r="F75" i="34"/>
  <c r="E75" i="34"/>
  <c r="E76" i="34" s="1"/>
  <c r="AH72" i="34"/>
  <c r="AG72" i="34"/>
  <c r="AF72" i="34"/>
  <c r="AE72" i="34"/>
  <c r="AD72" i="34"/>
  <c r="AC72" i="34"/>
  <c r="AB72" i="34"/>
  <c r="AA72" i="34"/>
  <c r="Z72" i="34"/>
  <c r="Y72" i="34"/>
  <c r="X72" i="34"/>
  <c r="W72" i="34"/>
  <c r="V72" i="34"/>
  <c r="U72" i="34"/>
  <c r="T72" i="34"/>
  <c r="S72" i="34"/>
  <c r="R72" i="34"/>
  <c r="Q72" i="34"/>
  <c r="P72" i="34"/>
  <c r="O72" i="34"/>
  <c r="N72" i="34"/>
  <c r="M72" i="34"/>
  <c r="L72" i="34"/>
  <c r="K72" i="34"/>
  <c r="J72" i="34"/>
  <c r="I72" i="34"/>
  <c r="C71" i="34"/>
  <c r="C97" i="34" s="1"/>
  <c r="C70" i="34"/>
  <c r="C94" i="34"/>
  <c r="C96" i="34" s="1"/>
  <c r="C98" i="34" s="1"/>
  <c r="C100" i="34" s="1"/>
  <c r="C30" i="34"/>
  <c r="C40" i="34" s="1"/>
  <c r="C25" i="34"/>
  <c r="C24" i="34"/>
  <c r="C72" i="34" s="1"/>
  <c r="C16" i="34"/>
  <c r="C15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O10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O8" i="34"/>
  <c r="N8" i="34"/>
  <c r="M8" i="34"/>
  <c r="L8" i="34"/>
  <c r="K8" i="34"/>
  <c r="J8" i="34"/>
  <c r="I8" i="34"/>
  <c r="H8" i="34"/>
  <c r="G8" i="34"/>
  <c r="F8" i="34"/>
  <c r="E8" i="34"/>
  <c r="D8" i="34"/>
  <c r="C8" i="34"/>
  <c r="C45" i="35" l="1"/>
  <c r="C47" i="35"/>
  <c r="C40" i="35"/>
  <c r="C24" i="35"/>
  <c r="C72" i="35" s="1"/>
  <c r="C42" i="34"/>
  <c r="C96" i="35"/>
  <c r="C98" i="35" s="1"/>
  <c r="C100" i="35" s="1"/>
  <c r="E70" i="32"/>
  <c r="C45" i="32"/>
  <c r="C47" i="32"/>
  <c r="C40" i="32"/>
  <c r="C42" i="32" s="1"/>
  <c r="C53" i="32"/>
  <c r="C94" i="32"/>
  <c r="C96" i="32" s="1"/>
  <c r="C98" i="32" s="1"/>
  <c r="C100" i="32" s="1"/>
  <c r="C46" i="32"/>
  <c r="C43" i="32"/>
  <c r="D77" i="32"/>
  <c r="D71" i="32" s="1"/>
  <c r="D97" i="32" s="1"/>
  <c r="F77" i="32"/>
  <c r="E77" i="32"/>
  <c r="M87" i="32"/>
  <c r="I75" i="32"/>
  <c r="H78" i="32"/>
  <c r="J91" i="32"/>
  <c r="K90" i="32"/>
  <c r="I81" i="32"/>
  <c r="K84" i="32"/>
  <c r="F76" i="32"/>
  <c r="F70" i="32" s="1"/>
  <c r="E70" i="35"/>
  <c r="C45" i="34"/>
  <c r="E70" i="34"/>
  <c r="E77" i="35"/>
  <c r="D77" i="35"/>
  <c r="D71" i="35" s="1"/>
  <c r="D97" i="35" s="1"/>
  <c r="F77" i="35"/>
  <c r="C43" i="35"/>
  <c r="C55" i="35"/>
  <c r="C48" i="35"/>
  <c r="K81" i="35"/>
  <c r="G75" i="35"/>
  <c r="F76" i="35"/>
  <c r="F70" i="35" s="1"/>
  <c r="C53" i="35"/>
  <c r="H78" i="35"/>
  <c r="C57" i="35"/>
  <c r="C101" i="35"/>
  <c r="C102" i="35" s="1"/>
  <c r="J84" i="35"/>
  <c r="K90" i="35"/>
  <c r="J91" i="35"/>
  <c r="N87" i="35"/>
  <c r="C47" i="34"/>
  <c r="F76" i="34"/>
  <c r="F70" i="34" s="1"/>
  <c r="F77" i="34"/>
  <c r="E77" i="34"/>
  <c r="D77" i="34"/>
  <c r="D71" i="34" s="1"/>
  <c r="D97" i="34" s="1"/>
  <c r="C43" i="34"/>
  <c r="C46" i="34"/>
  <c r="C53" i="34"/>
  <c r="C101" i="34"/>
  <c r="C102" i="34" s="1"/>
  <c r="G76" i="34"/>
  <c r="H75" i="34"/>
  <c r="G78" i="34"/>
  <c r="I84" i="34"/>
  <c r="L87" i="34"/>
  <c r="N90" i="34"/>
  <c r="H81" i="34"/>
  <c r="G76" i="32" l="1"/>
  <c r="C42" i="35"/>
  <c r="G77" i="34"/>
  <c r="C57" i="32"/>
  <c r="J75" i="32"/>
  <c r="C48" i="32"/>
  <c r="C55" i="32"/>
  <c r="J81" i="32"/>
  <c r="I78" i="32"/>
  <c r="N87" i="32"/>
  <c r="G77" i="32"/>
  <c r="H77" i="32"/>
  <c r="L84" i="32"/>
  <c r="L90" i="32"/>
  <c r="H76" i="32"/>
  <c r="C101" i="32"/>
  <c r="C102" i="32" s="1"/>
  <c r="C112" i="35"/>
  <c r="C110" i="35"/>
  <c r="C108" i="35"/>
  <c r="C103" i="35"/>
  <c r="C104" i="35" s="1"/>
  <c r="O87" i="35"/>
  <c r="G76" i="35"/>
  <c r="H77" i="35" s="1"/>
  <c r="H75" i="35"/>
  <c r="G77" i="35"/>
  <c r="K84" i="35"/>
  <c r="I78" i="35"/>
  <c r="L81" i="35"/>
  <c r="L90" i="35"/>
  <c r="O90" i="34"/>
  <c r="H78" i="34"/>
  <c r="C57" i="34"/>
  <c r="H77" i="34"/>
  <c r="M87" i="34"/>
  <c r="H76" i="34"/>
  <c r="I75" i="34"/>
  <c r="C112" i="34"/>
  <c r="C110" i="34"/>
  <c r="C108" i="34"/>
  <c r="C103" i="34"/>
  <c r="C104" i="34" s="1"/>
  <c r="C48" i="34"/>
  <c r="C55" i="34"/>
  <c r="I81" i="34"/>
  <c r="J84" i="34"/>
  <c r="C110" i="32" l="1"/>
  <c r="C108" i="32"/>
  <c r="C103" i="32"/>
  <c r="C104" i="32" s="1"/>
  <c r="C112" i="32"/>
  <c r="I76" i="32"/>
  <c r="J77" i="32" s="1"/>
  <c r="K75" i="32"/>
  <c r="M90" i="32"/>
  <c r="K81" i="32"/>
  <c r="I77" i="32"/>
  <c r="M84" i="32"/>
  <c r="O87" i="32"/>
  <c r="J78" i="32"/>
  <c r="J78" i="35"/>
  <c r="M90" i="35"/>
  <c r="L84" i="35"/>
  <c r="M81" i="35"/>
  <c r="P87" i="35"/>
  <c r="H76" i="35"/>
  <c r="I75" i="35"/>
  <c r="J81" i="34"/>
  <c r="K84" i="34"/>
  <c r="I77" i="34"/>
  <c r="P90" i="34"/>
  <c r="N87" i="34"/>
  <c r="I78" i="34"/>
  <c r="I76" i="34"/>
  <c r="J75" i="34"/>
  <c r="L75" i="32" l="1"/>
  <c r="K78" i="32"/>
  <c r="N84" i="32"/>
  <c r="L81" i="32"/>
  <c r="N90" i="32"/>
  <c r="P87" i="32"/>
  <c r="J76" i="32"/>
  <c r="I77" i="35"/>
  <c r="K78" i="35"/>
  <c r="J75" i="35"/>
  <c r="I76" i="35"/>
  <c r="Q87" i="35"/>
  <c r="N81" i="35"/>
  <c r="M84" i="35"/>
  <c r="N90" i="35"/>
  <c r="J77" i="34"/>
  <c r="Q90" i="34"/>
  <c r="L84" i="34"/>
  <c r="K81" i="34"/>
  <c r="J76" i="34"/>
  <c r="K75" i="34"/>
  <c r="J78" i="34"/>
  <c r="O87" i="34"/>
  <c r="O90" i="32" l="1"/>
  <c r="K77" i="32"/>
  <c r="Q87" i="32"/>
  <c r="O84" i="32"/>
  <c r="M75" i="32"/>
  <c r="M81" i="32"/>
  <c r="L78" i="32"/>
  <c r="K76" i="32"/>
  <c r="L76" i="32" s="1"/>
  <c r="O90" i="35"/>
  <c r="O81" i="35"/>
  <c r="K75" i="35"/>
  <c r="J76" i="35"/>
  <c r="R87" i="35"/>
  <c r="L78" i="35"/>
  <c r="N84" i="35"/>
  <c r="J77" i="35"/>
  <c r="P87" i="34"/>
  <c r="K77" i="34"/>
  <c r="K76" i="34"/>
  <c r="L77" i="34" s="1"/>
  <c r="L75" i="34"/>
  <c r="R90" i="34"/>
  <c r="M84" i="34"/>
  <c r="K78" i="34"/>
  <c r="L81" i="34"/>
  <c r="L77" i="32" l="1"/>
  <c r="N75" i="32"/>
  <c r="M76" i="32"/>
  <c r="N77" i="32" s="1"/>
  <c r="P90" i="32"/>
  <c r="N81" i="32"/>
  <c r="M77" i="32"/>
  <c r="M78" i="32"/>
  <c r="P84" i="32"/>
  <c r="R87" i="32"/>
  <c r="M78" i="35"/>
  <c r="K76" i="35"/>
  <c r="L77" i="35" s="1"/>
  <c r="L75" i="35"/>
  <c r="P90" i="35"/>
  <c r="S87" i="35"/>
  <c r="P81" i="35"/>
  <c r="O84" i="35"/>
  <c r="K77" i="35"/>
  <c r="M81" i="34"/>
  <c r="N84" i="34"/>
  <c r="L76" i="34"/>
  <c r="M75" i="34"/>
  <c r="L78" i="34"/>
  <c r="S90" i="34"/>
  <c r="Q87" i="34"/>
  <c r="N76" i="32" l="1"/>
  <c r="O75" i="32"/>
  <c r="S87" i="32"/>
  <c r="O81" i="32"/>
  <c r="Q90" i="32"/>
  <c r="N78" i="32"/>
  <c r="Q84" i="32"/>
  <c r="L76" i="35"/>
  <c r="M77" i="35" s="1"/>
  <c r="M75" i="35"/>
  <c r="T87" i="35"/>
  <c r="P84" i="35"/>
  <c r="Q81" i="35"/>
  <c r="Q90" i="35"/>
  <c r="N78" i="35"/>
  <c r="M76" i="34"/>
  <c r="N75" i="34"/>
  <c r="M78" i="34"/>
  <c r="M77" i="34"/>
  <c r="T90" i="34"/>
  <c r="R87" i="34"/>
  <c r="O84" i="34"/>
  <c r="N81" i="34"/>
  <c r="O77" i="32" l="1"/>
  <c r="R90" i="32"/>
  <c r="R84" i="32"/>
  <c r="O78" i="32"/>
  <c r="P81" i="32"/>
  <c r="T87" i="32"/>
  <c r="O76" i="32"/>
  <c r="P75" i="32"/>
  <c r="N75" i="35"/>
  <c r="M76" i="35"/>
  <c r="Q84" i="35"/>
  <c r="U87" i="35"/>
  <c r="O78" i="35"/>
  <c r="R81" i="35"/>
  <c r="R90" i="35"/>
  <c r="N76" i="34"/>
  <c r="O77" i="34" s="1"/>
  <c r="O75" i="34"/>
  <c r="U90" i="34"/>
  <c r="P84" i="34"/>
  <c r="S87" i="34"/>
  <c r="N77" i="34"/>
  <c r="O81" i="34"/>
  <c r="N78" i="34"/>
  <c r="P78" i="32" l="1"/>
  <c r="S84" i="32"/>
  <c r="U87" i="32"/>
  <c r="Q75" i="32"/>
  <c r="P76" i="32"/>
  <c r="Q81" i="32"/>
  <c r="S90" i="32"/>
  <c r="P77" i="32"/>
  <c r="V87" i="35"/>
  <c r="S81" i="35"/>
  <c r="O75" i="35"/>
  <c r="N76" i="35"/>
  <c r="S90" i="35"/>
  <c r="R84" i="35"/>
  <c r="P78" i="35"/>
  <c r="N77" i="35"/>
  <c r="T87" i="34"/>
  <c r="Q84" i="34"/>
  <c r="O76" i="34"/>
  <c r="P75" i="34"/>
  <c r="O78" i="34"/>
  <c r="P81" i="34"/>
  <c r="V90" i="34"/>
  <c r="T90" i="32" l="1"/>
  <c r="Q77" i="32"/>
  <c r="Q78" i="32"/>
  <c r="R75" i="32"/>
  <c r="Q76" i="32"/>
  <c r="V87" i="32"/>
  <c r="R81" i="32"/>
  <c r="T84" i="32"/>
  <c r="W87" i="35"/>
  <c r="Q78" i="35"/>
  <c r="O77" i="35"/>
  <c r="T81" i="35"/>
  <c r="S84" i="35"/>
  <c r="O76" i="35"/>
  <c r="P75" i="35"/>
  <c r="T90" i="35"/>
  <c r="P78" i="34"/>
  <c r="U87" i="34"/>
  <c r="W90" i="34"/>
  <c r="P76" i="34"/>
  <c r="Q75" i="34"/>
  <c r="Q81" i="34"/>
  <c r="P77" i="34"/>
  <c r="R84" i="34"/>
  <c r="R78" i="32" l="1"/>
  <c r="W87" i="32"/>
  <c r="U90" i="32"/>
  <c r="U84" i="32"/>
  <c r="S81" i="32"/>
  <c r="R77" i="32"/>
  <c r="R76" i="32"/>
  <c r="S75" i="32"/>
  <c r="P76" i="35"/>
  <c r="Q75" i="35"/>
  <c r="T84" i="35"/>
  <c r="U81" i="35"/>
  <c r="U90" i="35"/>
  <c r="P77" i="35"/>
  <c r="X87" i="35"/>
  <c r="R78" i="35"/>
  <c r="S84" i="34"/>
  <c r="Q76" i="34"/>
  <c r="R75" i="34"/>
  <c r="Q78" i="34"/>
  <c r="R81" i="34"/>
  <c r="Q77" i="34"/>
  <c r="X90" i="34"/>
  <c r="V87" i="34"/>
  <c r="S77" i="32" l="1"/>
  <c r="S78" i="32"/>
  <c r="S76" i="32"/>
  <c r="T75" i="32"/>
  <c r="V90" i="32"/>
  <c r="X87" i="32"/>
  <c r="T81" i="32"/>
  <c r="V84" i="32"/>
  <c r="S78" i="35"/>
  <c r="Q77" i="35"/>
  <c r="V81" i="35"/>
  <c r="V90" i="35"/>
  <c r="Y87" i="35"/>
  <c r="U84" i="35"/>
  <c r="R75" i="35"/>
  <c r="Q76" i="35"/>
  <c r="R76" i="34"/>
  <c r="S75" i="34"/>
  <c r="T84" i="34"/>
  <c r="R78" i="34"/>
  <c r="R77" i="34"/>
  <c r="Y90" i="34"/>
  <c r="S81" i="34"/>
  <c r="W87" i="34"/>
  <c r="Y87" i="32" l="1"/>
  <c r="T78" i="32"/>
  <c r="W84" i="32"/>
  <c r="W90" i="32"/>
  <c r="U75" i="32"/>
  <c r="T76" i="32"/>
  <c r="U81" i="32"/>
  <c r="T77" i="32"/>
  <c r="W81" i="35"/>
  <c r="R77" i="35"/>
  <c r="V84" i="35"/>
  <c r="Z87" i="35"/>
  <c r="S75" i="35"/>
  <c r="R76" i="35"/>
  <c r="T78" i="35"/>
  <c r="W90" i="35"/>
  <c r="X87" i="34"/>
  <c r="S77" i="34"/>
  <c r="T81" i="34"/>
  <c r="Z90" i="34"/>
  <c r="U84" i="34"/>
  <c r="S78" i="34"/>
  <c r="S76" i="34"/>
  <c r="T75" i="34"/>
  <c r="Z87" i="32" l="1"/>
  <c r="V81" i="32"/>
  <c r="X90" i="32"/>
  <c r="V75" i="32"/>
  <c r="U76" i="32"/>
  <c r="U77" i="32"/>
  <c r="X84" i="32"/>
  <c r="U78" i="32"/>
  <c r="S77" i="35"/>
  <c r="S76" i="35"/>
  <c r="T75" i="35"/>
  <c r="AA87" i="35"/>
  <c r="X81" i="35"/>
  <c r="X90" i="35"/>
  <c r="U78" i="35"/>
  <c r="W84" i="35"/>
  <c r="V84" i="34"/>
  <c r="T76" i="34"/>
  <c r="U75" i="34"/>
  <c r="T77" i="34"/>
  <c r="T78" i="34"/>
  <c r="AA90" i="34"/>
  <c r="Y87" i="34"/>
  <c r="U81" i="34"/>
  <c r="Y90" i="32" l="1"/>
  <c r="Y84" i="32"/>
  <c r="AA87" i="32"/>
  <c r="V78" i="32"/>
  <c r="V77" i="32"/>
  <c r="V76" i="32"/>
  <c r="W75" i="32"/>
  <c r="W81" i="32"/>
  <c r="Y81" i="35"/>
  <c r="Y90" i="35"/>
  <c r="T76" i="35"/>
  <c r="U75" i="35"/>
  <c r="X84" i="35"/>
  <c r="AB87" i="35"/>
  <c r="T77" i="35"/>
  <c r="V78" i="35"/>
  <c r="AB90" i="34"/>
  <c r="V81" i="34"/>
  <c r="Z87" i="34"/>
  <c r="U76" i="34"/>
  <c r="V75" i="34"/>
  <c r="W84" i="34"/>
  <c r="U78" i="34"/>
  <c r="U77" i="34"/>
  <c r="X81" i="32" l="1"/>
  <c r="W76" i="32"/>
  <c r="X75" i="32"/>
  <c r="W78" i="32"/>
  <c r="Z84" i="32"/>
  <c r="W77" i="32"/>
  <c r="AB87" i="32"/>
  <c r="Z90" i="32"/>
  <c r="U77" i="35"/>
  <c r="W78" i="35"/>
  <c r="Y84" i="35"/>
  <c r="Z81" i="35"/>
  <c r="V75" i="35"/>
  <c r="U76" i="35"/>
  <c r="AC87" i="35"/>
  <c r="Z90" i="35"/>
  <c r="V78" i="34"/>
  <c r="V77" i="34"/>
  <c r="W81" i="34"/>
  <c r="AC90" i="34"/>
  <c r="V76" i="34"/>
  <c r="W75" i="34"/>
  <c r="X84" i="34"/>
  <c r="AA87" i="34"/>
  <c r="AC87" i="32" l="1"/>
  <c r="X77" i="32"/>
  <c r="X78" i="32"/>
  <c r="Y81" i="32"/>
  <c r="AA90" i="32"/>
  <c r="AA84" i="32"/>
  <c r="Y75" i="32"/>
  <c r="X76" i="32"/>
  <c r="AA90" i="35"/>
  <c r="V77" i="35"/>
  <c r="AD87" i="35"/>
  <c r="W75" i="35"/>
  <c r="V76" i="35"/>
  <c r="X78" i="35"/>
  <c r="Z84" i="35"/>
  <c r="AA81" i="35"/>
  <c r="W77" i="34"/>
  <c r="AB87" i="34"/>
  <c r="W76" i="34"/>
  <c r="X75" i="34"/>
  <c r="AD90" i="34"/>
  <c r="Y84" i="34"/>
  <c r="X81" i="34"/>
  <c r="W78" i="34"/>
  <c r="Y78" i="32" l="1"/>
  <c r="Y77" i="32"/>
  <c r="AB84" i="32"/>
  <c r="AB90" i="32"/>
  <c r="AD87" i="32"/>
  <c r="Z75" i="32"/>
  <c r="Y76" i="32"/>
  <c r="Z81" i="32"/>
  <c r="W77" i="35"/>
  <c r="W76" i="35"/>
  <c r="X75" i="35"/>
  <c r="AA84" i="35"/>
  <c r="Y78" i="35"/>
  <c r="AE87" i="35"/>
  <c r="AB81" i="35"/>
  <c r="AB90" i="35"/>
  <c r="AE90" i="34"/>
  <c r="X77" i="34"/>
  <c r="X78" i="34"/>
  <c r="Z84" i="34"/>
  <c r="AC87" i="34"/>
  <c r="Y81" i="34"/>
  <c r="X76" i="34"/>
  <c r="Y75" i="34"/>
  <c r="Z76" i="32" l="1"/>
  <c r="AA75" i="32"/>
  <c r="AE87" i="32"/>
  <c r="Z78" i="32"/>
  <c r="AC90" i="32"/>
  <c r="AA81" i="32"/>
  <c r="Z77" i="32"/>
  <c r="AC84" i="32"/>
  <c r="AC90" i="35"/>
  <c r="AC81" i="35"/>
  <c r="AF87" i="35"/>
  <c r="AB84" i="35"/>
  <c r="X76" i="35"/>
  <c r="Y75" i="35"/>
  <c r="Z78" i="35"/>
  <c r="X77" i="35"/>
  <c r="Z81" i="34"/>
  <c r="AD87" i="34"/>
  <c r="Y78" i="34"/>
  <c r="AF90" i="34"/>
  <c r="Y77" i="34"/>
  <c r="Y76" i="34"/>
  <c r="Z75" i="34"/>
  <c r="AA84" i="34"/>
  <c r="AD84" i="32" l="1"/>
  <c r="AF87" i="32"/>
  <c r="AA77" i="32"/>
  <c r="AB81" i="32"/>
  <c r="AA78" i="32"/>
  <c r="AD90" i="32"/>
  <c r="AA76" i="32"/>
  <c r="AB75" i="32"/>
  <c r="AG87" i="35"/>
  <c r="AD90" i="35"/>
  <c r="AA78" i="35"/>
  <c r="Z75" i="35"/>
  <c r="Y76" i="35"/>
  <c r="Y77" i="35"/>
  <c r="AC84" i="35"/>
  <c r="AD81" i="35"/>
  <c r="AB84" i="34"/>
  <c r="Z76" i="34"/>
  <c r="AA75" i="34"/>
  <c r="AA81" i="34"/>
  <c r="Z77" i="34"/>
  <c r="Z78" i="34"/>
  <c r="AE87" i="34"/>
  <c r="AG90" i="34"/>
  <c r="AE90" i="32" l="1"/>
  <c r="AE84" i="32"/>
  <c r="AC75" i="32"/>
  <c r="AB76" i="32"/>
  <c r="AB78" i="32"/>
  <c r="AB77" i="32"/>
  <c r="AC81" i="32"/>
  <c r="AG87" i="32"/>
  <c r="AA75" i="35"/>
  <c r="Z76" i="35"/>
  <c r="AD84" i="35"/>
  <c r="AE81" i="35"/>
  <c r="Z77" i="35"/>
  <c r="AB78" i="35"/>
  <c r="AE90" i="35"/>
  <c r="AH87" i="35"/>
  <c r="AB81" i="34"/>
  <c r="AC84" i="34"/>
  <c r="AH90" i="34"/>
  <c r="AF87" i="34"/>
  <c r="AA78" i="34"/>
  <c r="AA76" i="34"/>
  <c r="AB75" i="34"/>
  <c r="AA77" i="34"/>
  <c r="AC77" i="32" l="1"/>
  <c r="AH87" i="32"/>
  <c r="AF90" i="32"/>
  <c r="AC78" i="32"/>
  <c r="AD75" i="32"/>
  <c r="AC76" i="32"/>
  <c r="AF84" i="32"/>
  <c r="AD81" i="32"/>
  <c r="AF81" i="35"/>
  <c r="AE84" i="35"/>
  <c r="AA77" i="35"/>
  <c r="AA76" i="35"/>
  <c r="AB75" i="35"/>
  <c r="AF90" i="35"/>
  <c r="AC78" i="35"/>
  <c r="AG87" i="34"/>
  <c r="AC81" i="34"/>
  <c r="AB76" i="34"/>
  <c r="AC75" i="34"/>
  <c r="AB78" i="34"/>
  <c r="AD84" i="34"/>
  <c r="AB77" i="34"/>
  <c r="AD77" i="32" l="1"/>
  <c r="AE81" i="32"/>
  <c r="AD76" i="32"/>
  <c r="AE75" i="32"/>
  <c r="AD78" i="32"/>
  <c r="AG84" i="32"/>
  <c r="AG90" i="32"/>
  <c r="AG90" i="35"/>
  <c r="AB76" i="35"/>
  <c r="AC75" i="35"/>
  <c r="AB77" i="35"/>
  <c r="AD78" i="35"/>
  <c r="AF84" i="35"/>
  <c r="AG81" i="35"/>
  <c r="AD81" i="34"/>
  <c r="AE84" i="34"/>
  <c r="AC76" i="34"/>
  <c r="AD75" i="34"/>
  <c r="AC77" i="34"/>
  <c r="AH87" i="34"/>
  <c r="AC78" i="34"/>
  <c r="AH84" i="32" l="1"/>
  <c r="AE78" i="32"/>
  <c r="AE76" i="32"/>
  <c r="AF75" i="32"/>
  <c r="AF81" i="32"/>
  <c r="AH90" i="32"/>
  <c r="AE77" i="32"/>
  <c r="AH81" i="35"/>
  <c r="AE78" i="35"/>
  <c r="AD75" i="35"/>
  <c r="AC76" i="35"/>
  <c r="AG84" i="35"/>
  <c r="AC77" i="35"/>
  <c r="AH90" i="35"/>
  <c r="AD76" i="34"/>
  <c r="AE75" i="34"/>
  <c r="AD77" i="34"/>
  <c r="AE81" i="34"/>
  <c r="AD78" i="34"/>
  <c r="AF84" i="34"/>
  <c r="AG81" i="32" l="1"/>
  <c r="AF77" i="32"/>
  <c r="AF78" i="32"/>
  <c r="AG75" i="32"/>
  <c r="AF76" i="32"/>
  <c r="AD77" i="35"/>
  <c r="AF78" i="35"/>
  <c r="AH84" i="35"/>
  <c r="AE75" i="35"/>
  <c r="AD76" i="35"/>
  <c r="AE78" i="34"/>
  <c r="AE76" i="34"/>
  <c r="AF75" i="34"/>
  <c r="AF81" i="34"/>
  <c r="AE77" i="34"/>
  <c r="AG84" i="34"/>
  <c r="AG77" i="32" l="1"/>
  <c r="AH75" i="32"/>
  <c r="AG76" i="32"/>
  <c r="AG78" i="32"/>
  <c r="AH81" i="32"/>
  <c r="AE77" i="35"/>
  <c r="AE76" i="35"/>
  <c r="AF75" i="35"/>
  <c r="AG78" i="35"/>
  <c r="AG81" i="34"/>
  <c r="AF76" i="34"/>
  <c r="AG75" i="34"/>
  <c r="AF77" i="34"/>
  <c r="AH84" i="34"/>
  <c r="AF78" i="34"/>
  <c r="AH76" i="32" l="1"/>
  <c r="AH77" i="32"/>
  <c r="AH78" i="32"/>
  <c r="AF76" i="35"/>
  <c r="AG75" i="35"/>
  <c r="AF77" i="35"/>
  <c r="AH78" i="35"/>
  <c r="AG78" i="34"/>
  <c r="AG76" i="34"/>
  <c r="AH75" i="34"/>
  <c r="AH76" i="34" s="1"/>
  <c r="AH81" i="34"/>
  <c r="AG77" i="34"/>
  <c r="AH75" i="35" l="1"/>
  <c r="AG76" i="35"/>
  <c r="AG77" i="35"/>
  <c r="AH77" i="34"/>
  <c r="AH78" i="34"/>
  <c r="AH76" i="35" l="1"/>
  <c r="AH77" i="35"/>
  <c r="E46" i="36" l="1"/>
  <c r="E36" i="36"/>
  <c r="E26" i="36"/>
  <c r="E16" i="36"/>
  <c r="E6" i="36"/>
  <c r="AB90" i="2"/>
  <c r="AB87" i="2"/>
  <c r="AB84" i="2"/>
  <c r="AB81" i="2"/>
  <c r="AB78" i="2"/>
  <c r="AB75" i="2"/>
  <c r="AA72" i="2"/>
  <c r="AA10" i="2"/>
  <c r="AA8" i="2"/>
  <c r="AD8" i="2" l="1"/>
  <c r="AE8" i="2"/>
  <c r="AF8" i="2"/>
  <c r="AG8" i="2"/>
  <c r="AH8" i="2"/>
  <c r="AD10" i="2"/>
  <c r="AE10" i="2"/>
  <c r="AF10" i="2"/>
  <c r="AG10" i="2"/>
  <c r="AH10" i="2"/>
  <c r="AD72" i="2"/>
  <c r="AE72" i="2"/>
  <c r="AF72" i="2"/>
  <c r="AG72" i="2"/>
  <c r="AH72" i="2"/>
  <c r="C25" i="2"/>
  <c r="X146" i="31"/>
  <c r="Y146" i="31"/>
  <c r="Z146" i="31"/>
  <c r="AA146" i="31"/>
  <c r="AB146" i="31"/>
  <c r="X113" i="31"/>
  <c r="Y113" i="31"/>
  <c r="Z113" i="31"/>
  <c r="AA113" i="31"/>
  <c r="AB113" i="31"/>
  <c r="X80" i="31"/>
  <c r="Y80" i="31"/>
  <c r="Z80" i="31"/>
  <c r="AA80" i="31"/>
  <c r="AB80" i="31"/>
  <c r="X14" i="31"/>
  <c r="Y14" i="31"/>
  <c r="Z14" i="31"/>
  <c r="AA14" i="31"/>
  <c r="AB14" i="31"/>
  <c r="AC47" i="31"/>
  <c r="Y47" i="31"/>
  <c r="Z47" i="31"/>
  <c r="X47" i="31"/>
  <c r="AA47" i="31"/>
  <c r="AB47" i="31"/>
  <c r="F6" i="1" l="1"/>
  <c r="G6" i="1"/>
  <c r="H6" i="1"/>
  <c r="I6" i="1"/>
  <c r="E6" i="1"/>
  <c r="AA152" i="31" l="1"/>
  <c r="W152" i="31"/>
  <c r="S152" i="31"/>
  <c r="O152" i="31"/>
  <c r="K152" i="31"/>
  <c r="G152" i="31"/>
  <c r="Y119" i="31"/>
  <c r="U119" i="31"/>
  <c r="Q119" i="31"/>
  <c r="M119" i="31"/>
  <c r="I119" i="31"/>
  <c r="AA86" i="31"/>
  <c r="W86" i="31"/>
  <c r="S86" i="31"/>
  <c r="O86" i="31"/>
  <c r="K86" i="31"/>
  <c r="G86" i="31"/>
  <c r="Y53" i="31"/>
  <c r="U53" i="31"/>
  <c r="Q53" i="31"/>
  <c r="AB152" i="31"/>
  <c r="V152" i="31"/>
  <c r="Q152" i="31"/>
  <c r="L152" i="31"/>
  <c r="F152" i="31"/>
  <c r="AB119" i="31"/>
  <c r="W119" i="31"/>
  <c r="R119" i="31"/>
  <c r="L119" i="31"/>
  <c r="G119" i="31"/>
  <c r="AB86" i="31"/>
  <c r="V86" i="31"/>
  <c r="Q86" i="31"/>
  <c r="L86" i="31"/>
  <c r="F86" i="31"/>
  <c r="AB53" i="31"/>
  <c r="W53" i="31"/>
  <c r="R53" i="31"/>
  <c r="M53" i="31"/>
  <c r="I53" i="31"/>
  <c r="Y152" i="31"/>
  <c r="N152" i="31"/>
  <c r="D152" i="31"/>
  <c r="T119" i="31"/>
  <c r="J119" i="31"/>
  <c r="Y86" i="31"/>
  <c r="N86" i="31"/>
  <c r="D86" i="31"/>
  <c r="Z53" i="31"/>
  <c r="O53" i="31"/>
  <c r="G53" i="31"/>
  <c r="Z152" i="31"/>
  <c r="U152" i="31"/>
  <c r="P152" i="31"/>
  <c r="J152" i="31"/>
  <c r="AA119" i="31"/>
  <c r="V119" i="31"/>
  <c r="P119" i="31"/>
  <c r="K119" i="31"/>
  <c r="F119" i="31"/>
  <c r="Z86" i="31"/>
  <c r="U86" i="31"/>
  <c r="P86" i="31"/>
  <c r="J86" i="31"/>
  <c r="AA53" i="31"/>
  <c r="V53" i="31"/>
  <c r="P53" i="31"/>
  <c r="L53" i="31"/>
  <c r="H53" i="31"/>
  <c r="D53" i="31"/>
  <c r="T152" i="31"/>
  <c r="I152" i="31"/>
  <c r="Z119" i="31"/>
  <c r="O119" i="31"/>
  <c r="D119" i="31"/>
  <c r="T86" i="31"/>
  <c r="I86" i="31"/>
  <c r="T53" i="31"/>
  <c r="K53" i="31"/>
  <c r="X152" i="31"/>
  <c r="H119" i="31"/>
  <c r="M86" i="31"/>
  <c r="S53" i="31"/>
  <c r="S119" i="31"/>
  <c r="J53" i="31"/>
  <c r="N119" i="31"/>
  <c r="R86" i="31"/>
  <c r="F53" i="31"/>
  <c r="R152" i="31"/>
  <c r="X119" i="31"/>
  <c r="H86" i="31"/>
  <c r="N53" i="31"/>
  <c r="M152" i="31"/>
  <c r="X86" i="31"/>
  <c r="H152" i="31"/>
  <c r="X53" i="31"/>
  <c r="H7" i="1"/>
  <c r="AE27" i="34"/>
  <c r="AA27" i="34"/>
  <c r="W27" i="34"/>
  <c r="S27" i="34"/>
  <c r="O27" i="34"/>
  <c r="K27" i="34"/>
  <c r="AF27" i="34"/>
  <c r="X27" i="34"/>
  <c r="P27" i="34"/>
  <c r="AH27" i="34"/>
  <c r="AD27" i="34"/>
  <c r="Z27" i="34"/>
  <c r="V27" i="34"/>
  <c r="R27" i="34"/>
  <c r="N27" i="34"/>
  <c r="J27" i="34"/>
  <c r="AG27" i="34"/>
  <c r="AC27" i="34"/>
  <c r="Y27" i="34"/>
  <c r="U27" i="34"/>
  <c r="Q27" i="34"/>
  <c r="M27" i="34"/>
  <c r="I27" i="34"/>
  <c r="AB27" i="34"/>
  <c r="T27" i="34"/>
  <c r="L27" i="34"/>
  <c r="G7" i="1"/>
  <c r="AE27" i="33" s="1"/>
  <c r="E7" i="1"/>
  <c r="E3" i="2" s="1"/>
  <c r="C27" i="2" s="1"/>
  <c r="C28" i="2" s="1"/>
  <c r="D31" i="2" s="1"/>
  <c r="E3" i="33"/>
  <c r="C27" i="33" s="1"/>
  <c r="C28" i="33" s="1"/>
  <c r="E3" i="34"/>
  <c r="C27" i="34" s="1"/>
  <c r="C28" i="34" s="1"/>
  <c r="E3" i="32"/>
  <c r="C27" i="32" s="1"/>
  <c r="C28" i="32" s="1"/>
  <c r="E3" i="35"/>
  <c r="C27" i="35" s="1"/>
  <c r="C28" i="35" s="1"/>
  <c r="AA27" i="2"/>
  <c r="AF27" i="2"/>
  <c r="AH27" i="2"/>
  <c r="AG27" i="2"/>
  <c r="AD27" i="2"/>
  <c r="AE27" i="2"/>
  <c r="F7" i="1"/>
  <c r="W27" i="32" s="1"/>
  <c r="AG27" i="32"/>
  <c r="I7" i="1"/>
  <c r="AE27" i="35" s="1"/>
  <c r="S27" i="35"/>
  <c r="AB27" i="35"/>
  <c r="AH27" i="35"/>
  <c r="R27" i="35"/>
  <c r="AC27" i="35"/>
  <c r="M27" i="35"/>
  <c r="X19" i="31"/>
  <c r="X20" i="31" s="1"/>
  <c r="AB19" i="31"/>
  <c r="AB20" i="31" s="1"/>
  <c r="Y19" i="31"/>
  <c r="Y20" i="31" s="1"/>
  <c r="Z19" i="31"/>
  <c r="Z20" i="31" s="1"/>
  <c r="AA19" i="31"/>
  <c r="AA20" i="31" s="1"/>
  <c r="Z108" i="31"/>
  <c r="Z109" i="31" s="1"/>
  <c r="AA108" i="31"/>
  <c r="AA109" i="31" s="1"/>
  <c r="Y108" i="31"/>
  <c r="Y109" i="31" s="1"/>
  <c r="X108" i="31"/>
  <c r="X109" i="31" s="1"/>
  <c r="AB108" i="31"/>
  <c r="AB109" i="31" s="1"/>
  <c r="Z9" i="31"/>
  <c r="Z10" i="31" s="1"/>
  <c r="Y9" i="31"/>
  <c r="Y10" i="31" s="1"/>
  <c r="AA9" i="31"/>
  <c r="AA10" i="31" s="1"/>
  <c r="X9" i="31"/>
  <c r="X10" i="31" s="1"/>
  <c r="AB9" i="31"/>
  <c r="AB10" i="31" s="1"/>
  <c r="AA42" i="31"/>
  <c r="AA43" i="31" s="1"/>
  <c r="X141" i="31"/>
  <c r="X142" i="31" s="1"/>
  <c r="AC85" i="31" l="1"/>
  <c r="AC86" i="31" s="1"/>
  <c r="E86" i="31"/>
  <c r="AC118" i="31"/>
  <c r="AC119" i="31" s="1"/>
  <c r="E119" i="31"/>
  <c r="AC151" i="31"/>
  <c r="AC152" i="31" s="1"/>
  <c r="E152" i="31"/>
  <c r="AC52" i="31"/>
  <c r="AC53" i="31" s="1"/>
  <c r="E53" i="31"/>
  <c r="AC16" i="36"/>
  <c r="AC17" i="36" s="1"/>
  <c r="AC18" i="37"/>
  <c r="AD36" i="36"/>
  <c r="AD37" i="36" s="1"/>
  <c r="AD38" i="37"/>
  <c r="AD39" i="37" s="1"/>
  <c r="AB5" i="36"/>
  <c r="AB7" i="37"/>
  <c r="AC35" i="36"/>
  <c r="AC37" i="37"/>
  <c r="AB16" i="36"/>
  <c r="AB18" i="37"/>
  <c r="AB6" i="36"/>
  <c r="AB7" i="36" s="1"/>
  <c r="AB8" i="37"/>
  <c r="AB9" i="37" s="1"/>
  <c r="AC26" i="36"/>
  <c r="AC28" i="37"/>
  <c r="Z26" i="36"/>
  <c r="Z28" i="37"/>
  <c r="Z36" i="36"/>
  <c r="Z38" i="37"/>
  <c r="Z46" i="36"/>
  <c r="Z47" i="36" s="1"/>
  <c r="Z48" i="37"/>
  <c r="Z49" i="37" s="1"/>
  <c r="D32" i="34"/>
  <c r="D31" i="34"/>
  <c r="AA5" i="36"/>
  <c r="AA7" i="37"/>
  <c r="AC6" i="36"/>
  <c r="AC8" i="37"/>
  <c r="AD26" i="36"/>
  <c r="AD28" i="37"/>
  <c r="AD5" i="36"/>
  <c r="AD7" i="37"/>
  <c r="Z5" i="36"/>
  <c r="Z7" i="37"/>
  <c r="AD35" i="36"/>
  <c r="AD37" i="37"/>
  <c r="AB35" i="36"/>
  <c r="AB37" i="37"/>
  <c r="AA16" i="36"/>
  <c r="AA18" i="37"/>
  <c r="AA6" i="36"/>
  <c r="AA7" i="36" s="1"/>
  <c r="AA8" i="37"/>
  <c r="AA9" i="37" s="1"/>
  <c r="AB26" i="36"/>
  <c r="AB28" i="37"/>
  <c r="AB36" i="36"/>
  <c r="AB37" i="36" s="1"/>
  <c r="AB38" i="37"/>
  <c r="AB39" i="37" s="1"/>
  <c r="AC36" i="36"/>
  <c r="AC38" i="37"/>
  <c r="AC46" i="36"/>
  <c r="AC48" i="37"/>
  <c r="D32" i="33"/>
  <c r="D31" i="33"/>
  <c r="AC15" i="36"/>
  <c r="AC17" i="37"/>
  <c r="AA35" i="36"/>
  <c r="AA37" i="37"/>
  <c r="Z6" i="36"/>
  <c r="Z7" i="36" s="1"/>
  <c r="Z8" i="37"/>
  <c r="Z9" i="37" s="1"/>
  <c r="AD46" i="36"/>
  <c r="AD48" i="37"/>
  <c r="D32" i="32"/>
  <c r="D31" i="32"/>
  <c r="Z45" i="36"/>
  <c r="Z47" i="37"/>
  <c r="AC5" i="36"/>
  <c r="AC7" i="37"/>
  <c r="Z35" i="36"/>
  <c r="Z37" i="37"/>
  <c r="AD16" i="36"/>
  <c r="AD18" i="37"/>
  <c r="Z16" i="36"/>
  <c r="Z18" i="37"/>
  <c r="AD6" i="36"/>
  <c r="AD7" i="36" s="1"/>
  <c r="AD8" i="37"/>
  <c r="AD9" i="37" s="1"/>
  <c r="AA26" i="36"/>
  <c r="AA28" i="37"/>
  <c r="AA36" i="36"/>
  <c r="AA37" i="36" s="1"/>
  <c r="AA38" i="37"/>
  <c r="AA39" i="37" s="1"/>
  <c r="AA46" i="36"/>
  <c r="AA48" i="37"/>
  <c r="AB46" i="36"/>
  <c r="AB48" i="37"/>
  <c r="D32" i="35"/>
  <c r="D31" i="35"/>
  <c r="D32" i="2"/>
  <c r="D38" i="2"/>
  <c r="D34" i="2" s="1"/>
  <c r="AA141" i="31"/>
  <c r="AA142" i="31" s="1"/>
  <c r="Q27" i="35"/>
  <c r="AG27" i="35"/>
  <c r="V27" i="35"/>
  <c r="P27" i="35"/>
  <c r="AF27" i="35"/>
  <c r="W27" i="35"/>
  <c r="L27" i="32"/>
  <c r="V27" i="32"/>
  <c r="Y141" i="31"/>
  <c r="Y142" i="31" s="1"/>
  <c r="AB42" i="31"/>
  <c r="AB43" i="31" s="1"/>
  <c r="Z42" i="31"/>
  <c r="Z43" i="31" s="1"/>
  <c r="L27" i="35"/>
  <c r="U27" i="35"/>
  <c r="J27" i="35"/>
  <c r="Z27" i="35"/>
  <c r="T27" i="35"/>
  <c r="K27" i="35"/>
  <c r="AA27" i="35"/>
  <c r="X27" i="32"/>
  <c r="P27" i="32"/>
  <c r="Z141" i="31"/>
  <c r="Z142" i="31" s="1"/>
  <c r="Y42" i="31"/>
  <c r="Y43" i="31" s="1"/>
  <c r="AB141" i="31"/>
  <c r="AB142" i="31" s="1"/>
  <c r="X42" i="31"/>
  <c r="X43" i="31" s="1"/>
  <c r="I27" i="35"/>
  <c r="Y27" i="35"/>
  <c r="N27" i="35"/>
  <c r="AD27" i="35"/>
  <c r="X27" i="35"/>
  <c r="O27" i="35"/>
  <c r="Q27" i="32"/>
  <c r="S27" i="32"/>
  <c r="X75" i="31"/>
  <c r="X76" i="31" s="1"/>
  <c r="J27" i="33"/>
  <c r="AC7" i="36"/>
  <c r="T27" i="32"/>
  <c r="Y27" i="32"/>
  <c r="AD27" i="32"/>
  <c r="AA27" i="32"/>
  <c r="Z27" i="33"/>
  <c r="X27" i="33"/>
  <c r="AB27" i="33"/>
  <c r="I27" i="32"/>
  <c r="N27" i="32"/>
  <c r="K27" i="32"/>
  <c r="U27" i="33"/>
  <c r="S27" i="33"/>
  <c r="D38" i="33"/>
  <c r="D34" i="33" s="1"/>
  <c r="D26" i="33"/>
  <c r="Z75" i="31"/>
  <c r="Z76" i="31" s="1"/>
  <c r="M27" i="32"/>
  <c r="AC27" i="32"/>
  <c r="R27" i="32"/>
  <c r="AH27" i="32"/>
  <c r="O27" i="32"/>
  <c r="AE27" i="32"/>
  <c r="D38" i="35"/>
  <c r="D34" i="35" s="1"/>
  <c r="D26" i="35"/>
  <c r="D26" i="2"/>
  <c r="D25" i="2" s="1"/>
  <c r="AF27" i="33"/>
  <c r="Y27" i="33"/>
  <c r="N27" i="33"/>
  <c r="AD27" i="33"/>
  <c r="I27" i="33"/>
  <c r="W27" i="33"/>
  <c r="AA75" i="31"/>
  <c r="AA76" i="31" s="1"/>
  <c r="Y75" i="31"/>
  <c r="Y76" i="31" s="1"/>
  <c r="Z37" i="36"/>
  <c r="D38" i="32"/>
  <c r="D34" i="32" s="1"/>
  <c r="D26" i="32"/>
  <c r="L27" i="33"/>
  <c r="M27" i="33"/>
  <c r="AC27" i="33"/>
  <c r="R27" i="33"/>
  <c r="AH27" i="33"/>
  <c r="K27" i="33"/>
  <c r="AA27" i="33"/>
  <c r="AB75" i="31"/>
  <c r="AB76" i="31" s="1"/>
  <c r="AC37" i="36"/>
  <c r="AF27" i="32"/>
  <c r="U27" i="32"/>
  <c r="J27" i="32"/>
  <c r="Z27" i="32"/>
  <c r="AB27" i="32"/>
  <c r="D38" i="34"/>
  <c r="D34" i="34" s="1"/>
  <c r="D26" i="34"/>
  <c r="T27" i="33"/>
  <c r="Q27" i="33"/>
  <c r="AG27" i="33"/>
  <c r="V27" i="33"/>
  <c r="P27" i="33"/>
  <c r="O27" i="33"/>
  <c r="AB154" i="31"/>
  <c r="Z153" i="31"/>
  <c r="AA153" i="31"/>
  <c r="AA154" i="31"/>
  <c r="AA21" i="31"/>
  <c r="AA22" i="31"/>
  <c r="AB120" i="31"/>
  <c r="AB121" i="31"/>
  <c r="Z121" i="31"/>
  <c r="Z120" i="31"/>
  <c r="AB55" i="31"/>
  <c r="Z54" i="31"/>
  <c r="Z55" i="31"/>
  <c r="Y21" i="31"/>
  <c r="Y22" i="31"/>
  <c r="X87" i="31"/>
  <c r="X120" i="31"/>
  <c r="X121" i="31"/>
  <c r="X55" i="31"/>
  <c r="X54" i="31"/>
  <c r="AB22" i="31"/>
  <c r="AB21" i="31"/>
  <c r="Z22" i="31"/>
  <c r="Z21" i="31"/>
  <c r="Y121" i="31"/>
  <c r="Y120" i="31"/>
  <c r="X153" i="31"/>
  <c r="X154" i="31"/>
  <c r="AA55" i="31"/>
  <c r="AA54" i="31"/>
  <c r="X22" i="31"/>
  <c r="X21" i="31"/>
  <c r="AA87" i="31"/>
  <c r="AA88" i="31"/>
  <c r="AA120" i="31"/>
  <c r="AA121" i="31"/>
  <c r="C67" i="34" l="1"/>
  <c r="AB45" i="36"/>
  <c r="AB47" i="36" s="1"/>
  <c r="AB47" i="37"/>
  <c r="Z25" i="36"/>
  <c r="Z27" i="36" s="1"/>
  <c r="Z27" i="37"/>
  <c r="AA45" i="36"/>
  <c r="AA47" i="36" s="1"/>
  <c r="AA47" i="37"/>
  <c r="AB49" i="37"/>
  <c r="Z29" i="37"/>
  <c r="Z154" i="31"/>
  <c r="AD25" i="36"/>
  <c r="AD27" i="36" s="1"/>
  <c r="AD27" i="37"/>
  <c r="AD29" i="37" s="1"/>
  <c r="Z15" i="36"/>
  <c r="Z17" i="36" s="1"/>
  <c r="Z17" i="37"/>
  <c r="Z19" i="37" s="1"/>
  <c r="AC45" i="36"/>
  <c r="AC47" i="36" s="1"/>
  <c r="AC47" i="37"/>
  <c r="AC49" i="37" s="1"/>
  <c r="D30" i="32"/>
  <c r="D47" i="32" s="1"/>
  <c r="Y153" i="31"/>
  <c r="AA25" i="36"/>
  <c r="AA27" i="36" s="1"/>
  <c r="AA27" i="37"/>
  <c r="AD45" i="36"/>
  <c r="AD47" i="36" s="1"/>
  <c r="AD47" i="37"/>
  <c r="AB15" i="36"/>
  <c r="AB17" i="36" s="1"/>
  <c r="AB17" i="37"/>
  <c r="AB19" i="37" s="1"/>
  <c r="AA49" i="37"/>
  <c r="AA29" i="37"/>
  <c r="AD49" i="37"/>
  <c r="AC39" i="37"/>
  <c r="AC9" i="37"/>
  <c r="Z39" i="37"/>
  <c r="AC29" i="37"/>
  <c r="AC19" i="37"/>
  <c r="AB25" i="36"/>
  <c r="AB27" i="36" s="1"/>
  <c r="AB27" i="37"/>
  <c r="AB29" i="37" s="1"/>
  <c r="X88" i="31"/>
  <c r="Y154" i="31"/>
  <c r="AB153" i="31"/>
  <c r="AC25" i="36"/>
  <c r="AC27" i="36" s="1"/>
  <c r="AC27" i="37"/>
  <c r="AA15" i="36"/>
  <c r="AA17" i="36" s="1"/>
  <c r="AA17" i="37"/>
  <c r="AA19" i="37" s="1"/>
  <c r="AD15" i="36"/>
  <c r="AD17" i="36" s="1"/>
  <c r="AD17" i="37"/>
  <c r="AD19" i="37" s="1"/>
  <c r="D30" i="35"/>
  <c r="D47" i="35" s="1"/>
  <c r="D30" i="33"/>
  <c r="D47" i="33" s="1"/>
  <c r="D30" i="34"/>
  <c r="D47" i="34" s="1"/>
  <c r="Y87" i="31"/>
  <c r="Y55" i="31"/>
  <c r="Y54" i="31"/>
  <c r="AB54" i="31"/>
  <c r="Z87" i="31"/>
  <c r="AB88" i="31"/>
  <c r="Y88" i="31"/>
  <c r="Z88" i="31"/>
  <c r="AB87" i="31"/>
  <c r="D95" i="33"/>
  <c r="D25" i="33"/>
  <c r="D95" i="32"/>
  <c r="D25" i="32"/>
  <c r="D94" i="33"/>
  <c r="D46" i="33"/>
  <c r="D25" i="34"/>
  <c r="D95" i="34"/>
  <c r="D94" i="32"/>
  <c r="D46" i="32"/>
  <c r="C67" i="32"/>
  <c r="D95" i="35"/>
  <c r="D25" i="35"/>
  <c r="D40" i="34"/>
  <c r="D46" i="34"/>
  <c r="D94" i="34"/>
  <c r="D46" i="35"/>
  <c r="D40" i="35"/>
  <c r="D94" i="35"/>
  <c r="D96" i="35" s="1"/>
  <c r="D98" i="35" s="1"/>
  <c r="D100" i="35" s="1"/>
  <c r="D101" i="35" s="1"/>
  <c r="D102" i="35" s="1"/>
  <c r="C67" i="35"/>
  <c r="D40" i="32" l="1"/>
  <c r="C65" i="35"/>
  <c r="D40" i="33"/>
  <c r="D42" i="33" s="1"/>
  <c r="D96" i="33"/>
  <c r="D98" i="33" s="1"/>
  <c r="D100" i="33" s="1"/>
  <c r="D101" i="33" s="1"/>
  <c r="D102" i="33" s="1"/>
  <c r="D110" i="33" s="1"/>
  <c r="D96" i="32"/>
  <c r="D98" i="32" s="1"/>
  <c r="D100" i="32" s="1"/>
  <c r="D101" i="32" s="1"/>
  <c r="D102" i="32" s="1"/>
  <c r="D110" i="32" s="1"/>
  <c r="D27" i="35"/>
  <c r="D28" i="35" s="1"/>
  <c r="D45" i="35"/>
  <c r="D48" i="35" s="1"/>
  <c r="D24" i="35"/>
  <c r="D27" i="32"/>
  <c r="D28" i="32" s="1"/>
  <c r="D45" i="32"/>
  <c r="D48" i="32" s="1"/>
  <c r="D24" i="32"/>
  <c r="D42" i="32" s="1"/>
  <c r="D96" i="34"/>
  <c r="D98" i="34" s="1"/>
  <c r="D100" i="34" s="1"/>
  <c r="D101" i="34" s="1"/>
  <c r="D102" i="34" s="1"/>
  <c r="D27" i="34"/>
  <c r="D28" i="34" s="1"/>
  <c r="D45" i="34"/>
  <c r="D57" i="34" s="1"/>
  <c r="D24" i="34"/>
  <c r="D42" i="34" s="1"/>
  <c r="D27" i="33"/>
  <c r="D28" i="33" s="1"/>
  <c r="D45" i="33"/>
  <c r="D55" i="33" s="1"/>
  <c r="D24" i="33"/>
  <c r="D110" i="35"/>
  <c r="D108" i="35"/>
  <c r="D112" i="35"/>
  <c r="S141" i="31"/>
  <c r="T141" i="31"/>
  <c r="U141" i="31"/>
  <c r="V141" i="31"/>
  <c r="W141" i="31"/>
  <c r="S108" i="31"/>
  <c r="T108" i="31"/>
  <c r="U108" i="31"/>
  <c r="V108" i="31"/>
  <c r="W108" i="31"/>
  <c r="S75" i="31"/>
  <c r="T75" i="31"/>
  <c r="U75" i="31"/>
  <c r="V75" i="31"/>
  <c r="W75" i="31"/>
  <c r="S42" i="31"/>
  <c r="T42" i="31"/>
  <c r="U42" i="31"/>
  <c r="V42" i="31"/>
  <c r="W42" i="31"/>
  <c r="S9" i="31"/>
  <c r="T9" i="31"/>
  <c r="U9" i="31"/>
  <c r="V9" i="31"/>
  <c r="W9" i="31"/>
  <c r="C30" i="2"/>
  <c r="D112" i="33" l="1"/>
  <c r="D108" i="33"/>
  <c r="D57" i="32"/>
  <c r="E32" i="32"/>
  <c r="E31" i="32"/>
  <c r="E32" i="35"/>
  <c r="E31" i="35"/>
  <c r="E32" i="33"/>
  <c r="E31" i="33"/>
  <c r="E32" i="34"/>
  <c r="E31" i="34"/>
  <c r="D112" i="32"/>
  <c r="D108" i="32"/>
  <c r="D55" i="34"/>
  <c r="D57" i="35"/>
  <c r="D55" i="32"/>
  <c r="D55" i="35"/>
  <c r="E26" i="33"/>
  <c r="E38" i="33"/>
  <c r="E34" i="33" s="1"/>
  <c r="D48" i="34"/>
  <c r="E38" i="34"/>
  <c r="E34" i="34" s="1"/>
  <c r="E26" i="34"/>
  <c r="D72" i="32"/>
  <c r="D43" i="32"/>
  <c r="D53" i="32"/>
  <c r="D72" i="35"/>
  <c r="D53" i="35"/>
  <c r="D43" i="35"/>
  <c r="D48" i="33"/>
  <c r="E38" i="35"/>
  <c r="E34" i="35" s="1"/>
  <c r="E26" i="35"/>
  <c r="D72" i="33"/>
  <c r="D43" i="33"/>
  <c r="D53" i="33"/>
  <c r="D72" i="34"/>
  <c r="D103" i="34" s="1"/>
  <c r="D104" i="34" s="1"/>
  <c r="D53" i="34"/>
  <c r="D43" i="34"/>
  <c r="D112" i="34"/>
  <c r="D110" i="34"/>
  <c r="D108" i="34"/>
  <c r="E26" i="32"/>
  <c r="E38" i="32"/>
  <c r="E34" i="32" s="1"/>
  <c r="D57" i="33"/>
  <c r="D42" i="35"/>
  <c r="V142" i="31"/>
  <c r="V109" i="31"/>
  <c r="T10" i="31"/>
  <c r="U10" i="31"/>
  <c r="V10" i="31"/>
  <c r="V76" i="31"/>
  <c r="S76" i="31"/>
  <c r="W43" i="31"/>
  <c r="S43" i="31"/>
  <c r="T43" i="31"/>
  <c r="U43" i="31"/>
  <c r="V43" i="31"/>
  <c r="U109" i="31"/>
  <c r="W142" i="31"/>
  <c r="S142" i="31"/>
  <c r="T142" i="31"/>
  <c r="W76" i="31"/>
  <c r="T76" i="31"/>
  <c r="T109" i="31"/>
  <c r="U76" i="31"/>
  <c r="W109" i="31"/>
  <c r="S109" i="31"/>
  <c r="W10" i="31"/>
  <c r="S10" i="31"/>
  <c r="U142" i="31"/>
  <c r="C67" i="33" l="1"/>
  <c r="D65" i="34"/>
  <c r="D67" i="34"/>
  <c r="U35" i="36"/>
  <c r="U37" i="37"/>
  <c r="Y45" i="36"/>
  <c r="Y47" i="37"/>
  <c r="W45" i="36"/>
  <c r="W47" i="37"/>
  <c r="Y35" i="36"/>
  <c r="Y37" i="37"/>
  <c r="Y25" i="36"/>
  <c r="Y27" i="37"/>
  <c r="W35" i="36"/>
  <c r="W37" i="37"/>
  <c r="U15" i="36"/>
  <c r="U17" i="37"/>
  <c r="X5" i="36"/>
  <c r="X7" i="37"/>
  <c r="X45" i="36"/>
  <c r="X47" i="37"/>
  <c r="U36" i="36"/>
  <c r="U38" i="37"/>
  <c r="U39" i="37" s="1"/>
  <c r="E30" i="34"/>
  <c r="E47" i="34" s="1"/>
  <c r="E30" i="35"/>
  <c r="E47" i="35" s="1"/>
  <c r="V25" i="36"/>
  <c r="V27" i="37"/>
  <c r="W25" i="36"/>
  <c r="W27" i="37"/>
  <c r="V45" i="36"/>
  <c r="V47" i="37"/>
  <c r="X15" i="36"/>
  <c r="X17" i="37"/>
  <c r="Y15" i="36"/>
  <c r="Y17" i="37"/>
  <c r="W5" i="36"/>
  <c r="W7" i="37"/>
  <c r="V36" i="36"/>
  <c r="V38" i="37"/>
  <c r="V39" i="37" s="1"/>
  <c r="Y36" i="36"/>
  <c r="Y38" i="37"/>
  <c r="Y39" i="37" s="1"/>
  <c r="X25" i="36"/>
  <c r="X27" i="37"/>
  <c r="U5" i="36"/>
  <c r="U7" i="37"/>
  <c r="Y5" i="36"/>
  <c r="Y7" i="37"/>
  <c r="V35" i="36"/>
  <c r="V37" i="37"/>
  <c r="U45" i="36"/>
  <c r="U47" i="37"/>
  <c r="W15" i="36"/>
  <c r="W17" i="37"/>
  <c r="U25" i="36"/>
  <c r="U27" i="37"/>
  <c r="V5" i="36"/>
  <c r="V7" i="37"/>
  <c r="W36" i="36"/>
  <c r="W38" i="37"/>
  <c r="W39" i="37" s="1"/>
  <c r="E30" i="33"/>
  <c r="E47" i="33" s="1"/>
  <c r="E30" i="32"/>
  <c r="E47" i="32" s="1"/>
  <c r="V15" i="36"/>
  <c r="V17" i="37"/>
  <c r="X35" i="36"/>
  <c r="X37" i="37"/>
  <c r="X36" i="36"/>
  <c r="X38" i="37"/>
  <c r="X39" i="37" s="1"/>
  <c r="D65" i="32"/>
  <c r="D65" i="35"/>
  <c r="E95" i="35"/>
  <c r="E25" i="35"/>
  <c r="E25" i="34"/>
  <c r="E95" i="34"/>
  <c r="E40" i="33"/>
  <c r="E94" i="33"/>
  <c r="E46" i="33"/>
  <c r="Y37" i="36"/>
  <c r="E94" i="32"/>
  <c r="E46" i="32"/>
  <c r="E40" i="32"/>
  <c r="D67" i="32"/>
  <c r="F80" i="34"/>
  <c r="G79" i="34"/>
  <c r="H80" i="34" s="1"/>
  <c r="E80" i="34"/>
  <c r="E71" i="34" s="1"/>
  <c r="E97" i="34" s="1"/>
  <c r="G80" i="34"/>
  <c r="E40" i="35"/>
  <c r="E94" i="35"/>
  <c r="E46" i="35"/>
  <c r="D67" i="35"/>
  <c r="E94" i="34"/>
  <c r="E40" i="34"/>
  <c r="E46" i="34"/>
  <c r="E95" i="33"/>
  <c r="E25" i="33"/>
  <c r="E80" i="33"/>
  <c r="E71" i="33" s="1"/>
  <c r="E97" i="33" s="1"/>
  <c r="G79" i="33"/>
  <c r="G70" i="33" s="1"/>
  <c r="G80" i="33"/>
  <c r="F80" i="33"/>
  <c r="H80" i="33"/>
  <c r="D103" i="33"/>
  <c r="D104" i="33" s="1"/>
  <c r="E25" i="32"/>
  <c r="E95" i="32"/>
  <c r="G79" i="32"/>
  <c r="G70" i="32" s="1"/>
  <c r="F80" i="32"/>
  <c r="E80" i="32"/>
  <c r="E71" i="32" s="1"/>
  <c r="E97" i="32" s="1"/>
  <c r="G80" i="32"/>
  <c r="D103" i="32"/>
  <c r="D104" i="32" s="1"/>
  <c r="F80" i="35"/>
  <c r="E80" i="35"/>
  <c r="E71" i="35" s="1"/>
  <c r="E97" i="35" s="1"/>
  <c r="G79" i="35"/>
  <c r="H80" i="35" s="1"/>
  <c r="G80" i="35"/>
  <c r="D103" i="35"/>
  <c r="D104" i="35" s="1"/>
  <c r="T121" i="31"/>
  <c r="V121" i="31"/>
  <c r="U121" i="31"/>
  <c r="S121" i="31"/>
  <c r="W121" i="31"/>
  <c r="E96" i="35" l="1"/>
  <c r="E98" i="35" s="1"/>
  <c r="E100" i="35" s="1"/>
  <c r="E101" i="35" s="1"/>
  <c r="E102" i="35" s="1"/>
  <c r="H80" i="32"/>
  <c r="H79" i="33"/>
  <c r="I80" i="33" s="1"/>
  <c r="E27" i="33"/>
  <c r="E28" i="33" s="1"/>
  <c r="E45" i="33"/>
  <c r="E57" i="33" s="1"/>
  <c r="E24" i="33"/>
  <c r="E96" i="32"/>
  <c r="E98" i="32" s="1"/>
  <c r="E100" i="32" s="1"/>
  <c r="E101" i="32" s="1"/>
  <c r="E102" i="32" s="1"/>
  <c r="E27" i="34"/>
  <c r="E28" i="34" s="1"/>
  <c r="E24" i="34"/>
  <c r="E45" i="34"/>
  <c r="E48" i="34" s="1"/>
  <c r="E96" i="33"/>
  <c r="E98" i="33" s="1"/>
  <c r="E100" i="33" s="1"/>
  <c r="E101" i="33" s="1"/>
  <c r="E102" i="33" s="1"/>
  <c r="E27" i="35"/>
  <c r="E28" i="35" s="1"/>
  <c r="E45" i="35"/>
  <c r="E57" i="35" s="1"/>
  <c r="E24" i="35"/>
  <c r="H79" i="35"/>
  <c r="G70" i="35"/>
  <c r="H79" i="32"/>
  <c r="E27" i="32"/>
  <c r="E28" i="32" s="1"/>
  <c r="E24" i="32"/>
  <c r="E45" i="32"/>
  <c r="E48" i="32" s="1"/>
  <c r="E96" i="34"/>
  <c r="E98" i="34" s="1"/>
  <c r="E100" i="34" s="1"/>
  <c r="E101" i="34" s="1"/>
  <c r="E102" i="34" s="1"/>
  <c r="H79" i="34"/>
  <c r="G70" i="34"/>
  <c r="U37" i="36"/>
  <c r="W37" i="36"/>
  <c r="X37" i="36"/>
  <c r="V37" i="36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8" i="31"/>
  <c r="F32" i="35" l="1"/>
  <c r="F31" i="35"/>
  <c r="F32" i="34"/>
  <c r="F31" i="34"/>
  <c r="F32" i="33"/>
  <c r="F31" i="33"/>
  <c r="AC9" i="31"/>
  <c r="F32" i="32"/>
  <c r="F31" i="32"/>
  <c r="AC8" i="31"/>
  <c r="C15" i="30"/>
  <c r="E55" i="35"/>
  <c r="E55" i="33"/>
  <c r="I79" i="33"/>
  <c r="J80" i="33" s="1"/>
  <c r="E48" i="33"/>
  <c r="E55" i="34"/>
  <c r="E42" i="33"/>
  <c r="E72" i="33"/>
  <c r="E53" i="33"/>
  <c r="E43" i="33"/>
  <c r="E108" i="35"/>
  <c r="E112" i="35"/>
  <c r="E110" i="35"/>
  <c r="F38" i="32"/>
  <c r="F34" i="32" s="1"/>
  <c r="F26" i="32"/>
  <c r="I80" i="35"/>
  <c r="I79" i="35"/>
  <c r="J80" i="35" s="1"/>
  <c r="E108" i="33"/>
  <c r="E110" i="33"/>
  <c r="E103" i="33"/>
  <c r="E104" i="33" s="1"/>
  <c r="E112" i="33"/>
  <c r="E48" i="35"/>
  <c r="F26" i="34"/>
  <c r="F38" i="34"/>
  <c r="F34" i="34" s="1"/>
  <c r="E57" i="34"/>
  <c r="E57" i="32"/>
  <c r="E108" i="32"/>
  <c r="E110" i="32"/>
  <c r="E112" i="32"/>
  <c r="F38" i="33"/>
  <c r="F34" i="33" s="1"/>
  <c r="F26" i="33"/>
  <c r="E55" i="32"/>
  <c r="I80" i="34"/>
  <c r="E72" i="32"/>
  <c r="E103" i="32" s="1"/>
  <c r="E104" i="32" s="1"/>
  <c r="E43" i="32"/>
  <c r="E53" i="32"/>
  <c r="F38" i="35"/>
  <c r="F34" i="35" s="1"/>
  <c r="F26" i="35"/>
  <c r="E42" i="34"/>
  <c r="E72" i="34"/>
  <c r="E103" i="34" s="1"/>
  <c r="E104" i="34" s="1"/>
  <c r="E43" i="34"/>
  <c r="E53" i="34"/>
  <c r="E42" i="32"/>
  <c r="E112" i="34"/>
  <c r="E110" i="34"/>
  <c r="E108" i="34"/>
  <c r="I79" i="32"/>
  <c r="J80" i="32" s="1"/>
  <c r="E42" i="35"/>
  <c r="E72" i="35"/>
  <c r="E43" i="35"/>
  <c r="E53" i="35"/>
  <c r="I80" i="32"/>
  <c r="J79" i="33"/>
  <c r="K80" i="33" s="1"/>
  <c r="I79" i="34"/>
  <c r="J79" i="34" s="1"/>
  <c r="K79" i="34" s="1"/>
  <c r="D10" i="31"/>
  <c r="R141" i="31"/>
  <c r="Q141" i="31"/>
  <c r="P141" i="31"/>
  <c r="O141" i="31"/>
  <c r="N141" i="31"/>
  <c r="M141" i="31"/>
  <c r="L141" i="31"/>
  <c r="K141" i="31"/>
  <c r="J141" i="31"/>
  <c r="I141" i="31"/>
  <c r="H141" i="31"/>
  <c r="G141" i="31"/>
  <c r="F141" i="31"/>
  <c r="E141" i="31"/>
  <c r="D141" i="31"/>
  <c r="AC141" i="31" s="1"/>
  <c r="C140" i="31"/>
  <c r="R108" i="31"/>
  <c r="Q108" i="31"/>
  <c r="P108" i="31"/>
  <c r="O108" i="31"/>
  <c r="N108" i="31"/>
  <c r="M108" i="31"/>
  <c r="L108" i="31"/>
  <c r="K108" i="31"/>
  <c r="J108" i="31"/>
  <c r="I108" i="31"/>
  <c r="H108" i="31"/>
  <c r="G108" i="31"/>
  <c r="F108" i="31"/>
  <c r="E108" i="31"/>
  <c r="D108" i="31"/>
  <c r="AC108" i="31" s="1"/>
  <c r="C107" i="31"/>
  <c r="R75" i="31"/>
  <c r="Q75" i="31"/>
  <c r="P75" i="31"/>
  <c r="O75" i="31"/>
  <c r="N75" i="31"/>
  <c r="M75" i="31"/>
  <c r="L75" i="31"/>
  <c r="K75" i="31"/>
  <c r="J75" i="31"/>
  <c r="I75" i="31"/>
  <c r="H75" i="31"/>
  <c r="G75" i="31"/>
  <c r="F75" i="31"/>
  <c r="E75" i="31"/>
  <c r="D75" i="31"/>
  <c r="C74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AC42" i="31" s="1"/>
  <c r="C41" i="31"/>
  <c r="C146" i="31"/>
  <c r="C113" i="31"/>
  <c r="C80" i="31"/>
  <c r="C47" i="31"/>
  <c r="E67" i="34" l="1"/>
  <c r="E65" i="34"/>
  <c r="D65" i="33"/>
  <c r="D67" i="33"/>
  <c r="F30" i="32"/>
  <c r="F47" i="32" s="1"/>
  <c r="F30" i="33"/>
  <c r="F47" i="33" s="1"/>
  <c r="F30" i="34"/>
  <c r="F47" i="34" s="1"/>
  <c r="AC41" i="31"/>
  <c r="C16" i="30"/>
  <c r="AC74" i="31"/>
  <c r="C17" i="30"/>
  <c r="AC107" i="31"/>
  <c r="C18" i="30"/>
  <c r="AC140" i="31"/>
  <c r="C19" i="30"/>
  <c r="F5" i="36"/>
  <c r="F7" i="37"/>
  <c r="F30" i="35"/>
  <c r="F47" i="35" s="1"/>
  <c r="J79" i="35"/>
  <c r="K80" i="35" s="1"/>
  <c r="J79" i="32"/>
  <c r="K79" i="32" s="1"/>
  <c r="L79" i="32" s="1"/>
  <c r="F94" i="35"/>
  <c r="F46" i="35"/>
  <c r="E67" i="35"/>
  <c r="F95" i="34"/>
  <c r="F25" i="34"/>
  <c r="K79" i="33"/>
  <c r="F83" i="35"/>
  <c r="F71" i="35" s="1"/>
  <c r="F97" i="35" s="1"/>
  <c r="H83" i="35"/>
  <c r="H82" i="35"/>
  <c r="H70" i="35" s="1"/>
  <c r="G83" i="35"/>
  <c r="L79" i="34"/>
  <c r="F94" i="33"/>
  <c r="F46" i="33"/>
  <c r="F40" i="33"/>
  <c r="F25" i="32"/>
  <c r="F95" i="32"/>
  <c r="E103" i="35"/>
  <c r="E104" i="35" s="1"/>
  <c r="K80" i="32"/>
  <c r="F95" i="33"/>
  <c r="F25" i="33"/>
  <c r="J80" i="34"/>
  <c r="L80" i="34"/>
  <c r="G83" i="34"/>
  <c r="H83" i="34"/>
  <c r="F83" i="34"/>
  <c r="F71" i="34" s="1"/>
  <c r="F97" i="34" s="1"/>
  <c r="H82" i="34"/>
  <c r="H70" i="34" s="1"/>
  <c r="F95" i="35"/>
  <c r="F25" i="35"/>
  <c r="H83" i="32"/>
  <c r="F83" i="32"/>
  <c r="F71" i="32" s="1"/>
  <c r="F97" i="32" s="1"/>
  <c r="H82" i="32"/>
  <c r="G83" i="32"/>
  <c r="K80" i="34"/>
  <c r="F40" i="32"/>
  <c r="F94" i="32"/>
  <c r="F46" i="32"/>
  <c r="E67" i="32"/>
  <c r="F46" i="34"/>
  <c r="F94" i="34"/>
  <c r="F83" i="33"/>
  <c r="F71" i="33" s="1"/>
  <c r="F97" i="33" s="1"/>
  <c r="H83" i="33"/>
  <c r="H82" i="33"/>
  <c r="I83" i="33" s="1"/>
  <c r="G83" i="33"/>
  <c r="AC43" i="31"/>
  <c r="AC75" i="31"/>
  <c r="F38" i="37"/>
  <c r="D113" i="31"/>
  <c r="C43" i="31"/>
  <c r="C76" i="31"/>
  <c r="D80" i="31"/>
  <c r="O142" i="31"/>
  <c r="H142" i="31"/>
  <c r="D146" i="31"/>
  <c r="I109" i="31"/>
  <c r="M109" i="31"/>
  <c r="N109" i="31"/>
  <c r="R109" i="31"/>
  <c r="O109" i="31"/>
  <c r="H109" i="31"/>
  <c r="G76" i="31"/>
  <c r="D47" i="31"/>
  <c r="K43" i="31"/>
  <c r="H43" i="31"/>
  <c r="P43" i="31"/>
  <c r="I43" i="31"/>
  <c r="Q43" i="31"/>
  <c r="J43" i="31"/>
  <c r="R43" i="31"/>
  <c r="G43" i="31"/>
  <c r="O43" i="31"/>
  <c r="L43" i="31"/>
  <c r="E43" i="31"/>
  <c r="M43" i="31"/>
  <c r="F43" i="31"/>
  <c r="N43" i="31"/>
  <c r="M76" i="31"/>
  <c r="N76" i="31"/>
  <c r="E142" i="31"/>
  <c r="M142" i="31"/>
  <c r="R142" i="31"/>
  <c r="C142" i="31"/>
  <c r="D43" i="31"/>
  <c r="H76" i="31"/>
  <c r="D142" i="31"/>
  <c r="L142" i="31"/>
  <c r="P142" i="31"/>
  <c r="I142" i="31"/>
  <c r="Q142" i="31"/>
  <c r="N142" i="31"/>
  <c r="E76" i="31"/>
  <c r="I76" i="31"/>
  <c r="Q76" i="31"/>
  <c r="J76" i="31"/>
  <c r="R76" i="31"/>
  <c r="K76" i="31"/>
  <c r="O76" i="31"/>
  <c r="L76" i="31"/>
  <c r="P76" i="31"/>
  <c r="C109" i="31"/>
  <c r="D109" i="31"/>
  <c r="L109" i="31"/>
  <c r="P109" i="31"/>
  <c r="Q109" i="31"/>
  <c r="J109" i="31"/>
  <c r="K109" i="31"/>
  <c r="J142" i="31"/>
  <c r="K142" i="31"/>
  <c r="F76" i="31"/>
  <c r="D76" i="31"/>
  <c r="F109" i="31"/>
  <c r="G142" i="31"/>
  <c r="F142" i="31"/>
  <c r="E109" i="31"/>
  <c r="G109" i="31"/>
  <c r="E65" i="32" l="1"/>
  <c r="F40" i="34"/>
  <c r="F40" i="35"/>
  <c r="E65" i="35"/>
  <c r="N35" i="36"/>
  <c r="N37" i="37"/>
  <c r="P45" i="36"/>
  <c r="P47" i="37"/>
  <c r="O15" i="36"/>
  <c r="O17" i="37"/>
  <c r="K15" i="36"/>
  <c r="K17" i="37"/>
  <c r="M36" i="36"/>
  <c r="M38" i="37"/>
  <c r="L35" i="36"/>
  <c r="L37" i="37"/>
  <c r="Q25" i="36"/>
  <c r="Q27" i="37"/>
  <c r="S45" i="36"/>
  <c r="S47" i="37"/>
  <c r="O25" i="36"/>
  <c r="O27" i="37"/>
  <c r="G15" i="36"/>
  <c r="G17" i="37"/>
  <c r="R15" i="36"/>
  <c r="R17" i="37"/>
  <c r="P35" i="36"/>
  <c r="P37" i="37"/>
  <c r="J45" i="36"/>
  <c r="J47" i="37"/>
  <c r="L36" i="36"/>
  <c r="L38" i="37"/>
  <c r="L39" i="37" s="1"/>
  <c r="I45" i="36"/>
  <c r="I47" i="37"/>
  <c r="M45" i="36"/>
  <c r="M47" i="37"/>
  <c r="S35" i="36"/>
  <c r="S37" i="37"/>
  <c r="E35" i="36"/>
  <c r="E37" i="37"/>
  <c r="E39" i="37" s="1"/>
  <c r="M25" i="36"/>
  <c r="M27" i="37"/>
  <c r="K25" i="36"/>
  <c r="K27" i="37"/>
  <c r="K45" i="36"/>
  <c r="K47" i="37"/>
  <c r="J25" i="36"/>
  <c r="J27" i="37"/>
  <c r="O45" i="36"/>
  <c r="O47" i="37"/>
  <c r="P15" i="36"/>
  <c r="P17" i="37"/>
  <c r="N15" i="36"/>
  <c r="N17" i="37"/>
  <c r="L15" i="36"/>
  <c r="L17" i="37"/>
  <c r="J15" i="36"/>
  <c r="J17" i="37"/>
  <c r="J35" i="36"/>
  <c r="J37" i="37"/>
  <c r="O35" i="36"/>
  <c r="O37" i="37"/>
  <c r="Q45" i="36"/>
  <c r="Q47" i="37"/>
  <c r="H36" i="36"/>
  <c r="H38" i="37"/>
  <c r="K36" i="36"/>
  <c r="K38" i="37"/>
  <c r="R36" i="36"/>
  <c r="R38" i="37"/>
  <c r="G35" i="36"/>
  <c r="G37" i="37"/>
  <c r="N25" i="36"/>
  <c r="N27" i="37"/>
  <c r="E45" i="36"/>
  <c r="E47" i="37"/>
  <c r="E49" i="37" s="1"/>
  <c r="P25" i="36"/>
  <c r="P27" i="37"/>
  <c r="E25" i="36"/>
  <c r="E27" i="37"/>
  <c r="E29" i="37" s="1"/>
  <c r="S36" i="36"/>
  <c r="S38" i="37"/>
  <c r="S39" i="37" s="1"/>
  <c r="H45" i="36"/>
  <c r="H47" i="37"/>
  <c r="F35" i="36"/>
  <c r="F37" i="37"/>
  <c r="F39" i="37" s="1"/>
  <c r="S25" i="36"/>
  <c r="S27" i="37"/>
  <c r="T45" i="36"/>
  <c r="T47" i="37"/>
  <c r="T15" i="36"/>
  <c r="T17" i="37"/>
  <c r="I35" i="36"/>
  <c r="I37" i="37"/>
  <c r="H35" i="36"/>
  <c r="H37" i="37"/>
  <c r="L45" i="36"/>
  <c r="L47" i="37"/>
  <c r="R35" i="36"/>
  <c r="R37" i="37"/>
  <c r="R25" i="36"/>
  <c r="R27" i="37"/>
  <c r="T25" i="36"/>
  <c r="T27" i="37"/>
  <c r="G25" i="36"/>
  <c r="G27" i="37"/>
  <c r="R45" i="36"/>
  <c r="R47" i="37"/>
  <c r="F15" i="36"/>
  <c r="F17" i="37"/>
  <c r="G45" i="36"/>
  <c r="G47" i="37"/>
  <c r="H15" i="36"/>
  <c r="H17" i="37"/>
  <c r="Q15" i="36"/>
  <c r="Q17" i="37"/>
  <c r="S15" i="36"/>
  <c r="S17" i="37"/>
  <c r="M15" i="36"/>
  <c r="M17" i="37"/>
  <c r="Q35" i="36"/>
  <c r="Q37" i="37"/>
  <c r="K35" i="36"/>
  <c r="K37" i="37"/>
  <c r="T36" i="36"/>
  <c r="T38" i="37"/>
  <c r="J36" i="36"/>
  <c r="J38" i="37"/>
  <c r="J39" i="37" s="1"/>
  <c r="G36" i="36"/>
  <c r="G38" i="37"/>
  <c r="G39" i="37" s="1"/>
  <c r="Q36" i="36"/>
  <c r="Q38" i="37"/>
  <c r="F25" i="36"/>
  <c r="F27" i="37"/>
  <c r="N45" i="36"/>
  <c r="N47" i="37"/>
  <c r="T35" i="36"/>
  <c r="T37" i="37"/>
  <c r="N36" i="36"/>
  <c r="N38" i="37"/>
  <c r="N39" i="37" s="1"/>
  <c r="M35" i="36"/>
  <c r="M37" i="37"/>
  <c r="L25" i="36"/>
  <c r="L27" i="37"/>
  <c r="I15" i="36"/>
  <c r="I17" i="37"/>
  <c r="P36" i="36"/>
  <c r="P38" i="37"/>
  <c r="P39" i="37" s="1"/>
  <c r="H25" i="36"/>
  <c r="H27" i="37"/>
  <c r="F45" i="36"/>
  <c r="F47" i="37"/>
  <c r="I25" i="36"/>
  <c r="I27" i="37"/>
  <c r="E15" i="36"/>
  <c r="E17" i="37"/>
  <c r="E19" i="37" s="1"/>
  <c r="O36" i="36"/>
  <c r="O38" i="37"/>
  <c r="O39" i="37" s="1"/>
  <c r="I36" i="36"/>
  <c r="I38" i="37"/>
  <c r="I39" i="37" s="1"/>
  <c r="K79" i="35"/>
  <c r="L80" i="35" s="1"/>
  <c r="F96" i="34"/>
  <c r="F98" i="34" s="1"/>
  <c r="F100" i="34" s="1"/>
  <c r="F101" i="34" s="1"/>
  <c r="F102" i="34" s="1"/>
  <c r="I82" i="32"/>
  <c r="J82" i="32" s="1"/>
  <c r="I82" i="33"/>
  <c r="J83" i="33" s="1"/>
  <c r="F96" i="32"/>
  <c r="F98" i="32" s="1"/>
  <c r="F100" i="32" s="1"/>
  <c r="F101" i="32" s="1"/>
  <c r="F102" i="32" s="1"/>
  <c r="F108" i="32" s="1"/>
  <c r="I83" i="35"/>
  <c r="L80" i="32"/>
  <c r="I83" i="34"/>
  <c r="I82" i="35"/>
  <c r="J82" i="35" s="1"/>
  <c r="K83" i="35" s="1"/>
  <c r="AA128" i="31"/>
  <c r="X128" i="31"/>
  <c r="AB128" i="31"/>
  <c r="Y128" i="31"/>
  <c r="F36" i="36"/>
  <c r="Z128" i="31"/>
  <c r="H70" i="33"/>
  <c r="H70" i="32"/>
  <c r="I83" i="32"/>
  <c r="L80" i="33"/>
  <c r="L79" i="33"/>
  <c r="M80" i="33" s="1"/>
  <c r="F27" i="35"/>
  <c r="F28" i="35" s="1"/>
  <c r="F24" i="35"/>
  <c r="F45" i="35"/>
  <c r="F55" i="35" s="1"/>
  <c r="I82" i="34"/>
  <c r="M80" i="32"/>
  <c r="F27" i="33"/>
  <c r="F28" i="33" s="1"/>
  <c r="F24" i="33"/>
  <c r="F42" i="33" s="1"/>
  <c r="F45" i="33"/>
  <c r="F57" i="33" s="1"/>
  <c r="F27" i="32"/>
  <c r="F28" i="32" s="1"/>
  <c r="F24" i="32"/>
  <c r="F42" i="32" s="1"/>
  <c r="F45" i="32"/>
  <c r="F57" i="32" s="1"/>
  <c r="F96" i="33"/>
  <c r="F98" i="33" s="1"/>
  <c r="F100" i="33" s="1"/>
  <c r="F101" i="33" s="1"/>
  <c r="F102" i="33" s="1"/>
  <c r="F96" i="35"/>
  <c r="F98" i="35" s="1"/>
  <c r="F100" i="35" s="1"/>
  <c r="F101" i="35" s="1"/>
  <c r="F102" i="35" s="1"/>
  <c r="L79" i="35"/>
  <c r="M79" i="32"/>
  <c r="N80" i="32" s="1"/>
  <c r="M80" i="34"/>
  <c r="M79" i="34"/>
  <c r="M79" i="33"/>
  <c r="F27" i="34"/>
  <c r="F28" i="34" s="1"/>
  <c r="F45" i="34"/>
  <c r="F57" i="34" s="1"/>
  <c r="F24" i="34"/>
  <c r="B124" i="31"/>
  <c r="E47" i="36"/>
  <c r="E37" i="36"/>
  <c r="E17" i="36"/>
  <c r="E27" i="36"/>
  <c r="P128" i="31"/>
  <c r="M128" i="31"/>
  <c r="Q128" i="31"/>
  <c r="U128" i="31"/>
  <c r="J128" i="31"/>
  <c r="N128" i="31"/>
  <c r="V128" i="31"/>
  <c r="K128" i="31"/>
  <c r="R128" i="31"/>
  <c r="O128" i="31"/>
  <c r="S128" i="31"/>
  <c r="W128" i="31"/>
  <c r="L128" i="31"/>
  <c r="T128" i="31"/>
  <c r="I128" i="31"/>
  <c r="AC109" i="31"/>
  <c r="AC142" i="31"/>
  <c r="AC76" i="31"/>
  <c r="F42" i="35" l="1"/>
  <c r="F112" i="34"/>
  <c r="F110" i="34"/>
  <c r="G32" i="34"/>
  <c r="G31" i="34"/>
  <c r="T39" i="37"/>
  <c r="K39" i="37"/>
  <c r="G32" i="33"/>
  <c r="G31" i="33"/>
  <c r="Q39" i="37"/>
  <c r="R39" i="37"/>
  <c r="H39" i="37"/>
  <c r="M39" i="37"/>
  <c r="G32" i="32"/>
  <c r="G31" i="32"/>
  <c r="G32" i="35"/>
  <c r="G31" i="35"/>
  <c r="J83" i="32"/>
  <c r="F108" i="34"/>
  <c r="F48" i="35"/>
  <c r="F57" i="35"/>
  <c r="J82" i="33"/>
  <c r="K82" i="33" s="1"/>
  <c r="K83" i="32"/>
  <c r="K82" i="32"/>
  <c r="F110" i="32"/>
  <c r="F112" i="32"/>
  <c r="F48" i="33"/>
  <c r="F55" i="34"/>
  <c r="J83" i="35"/>
  <c r="K82" i="35"/>
  <c r="F48" i="34"/>
  <c r="G26" i="34"/>
  <c r="G38" i="34"/>
  <c r="G34" i="34" s="1"/>
  <c r="N79" i="32"/>
  <c r="O79" i="32" s="1"/>
  <c r="F48" i="32"/>
  <c r="F108" i="33"/>
  <c r="F110" i="33"/>
  <c r="F112" i="33"/>
  <c r="G26" i="32"/>
  <c r="G38" i="32"/>
  <c r="G34" i="32" s="1"/>
  <c r="F72" i="35"/>
  <c r="F43" i="35"/>
  <c r="F53" i="35"/>
  <c r="L82" i="32"/>
  <c r="M82" i="32" s="1"/>
  <c r="F55" i="33"/>
  <c r="F42" i="34"/>
  <c r="F72" i="34"/>
  <c r="F53" i="34"/>
  <c r="F43" i="34"/>
  <c r="F72" i="33"/>
  <c r="F43" i="33"/>
  <c r="F53" i="33"/>
  <c r="J83" i="34"/>
  <c r="J82" i="34"/>
  <c r="K83" i="34" s="1"/>
  <c r="N79" i="33"/>
  <c r="O80" i="33" s="1"/>
  <c r="F55" i="32"/>
  <c r="F110" i="35"/>
  <c r="F108" i="35"/>
  <c r="F112" i="35"/>
  <c r="F72" i="32"/>
  <c r="F53" i="32"/>
  <c r="F43" i="32"/>
  <c r="G26" i="33"/>
  <c r="G38" i="33"/>
  <c r="G34" i="33" s="1"/>
  <c r="N80" i="33"/>
  <c r="N80" i="34"/>
  <c r="N79" i="34"/>
  <c r="M80" i="35"/>
  <c r="M79" i="35"/>
  <c r="G26" i="35"/>
  <c r="G38" i="35"/>
  <c r="G34" i="35" s="1"/>
  <c r="L83" i="32"/>
  <c r="K83" i="33"/>
  <c r="R37" i="36"/>
  <c r="M37" i="36"/>
  <c r="T37" i="36"/>
  <c r="F37" i="36"/>
  <c r="G37" i="36"/>
  <c r="N37" i="36"/>
  <c r="O37" i="36"/>
  <c r="K37" i="36"/>
  <c r="I37" i="36"/>
  <c r="H37" i="36"/>
  <c r="J37" i="36"/>
  <c r="Q37" i="36"/>
  <c r="P37" i="36"/>
  <c r="L37" i="36"/>
  <c r="S37" i="36"/>
  <c r="C24" i="2"/>
  <c r="E65" i="33" l="1"/>
  <c r="E67" i="33"/>
  <c r="F67" i="34"/>
  <c r="F65" i="34"/>
  <c r="G30" i="32"/>
  <c r="G47" i="32" s="1"/>
  <c r="C41" i="37"/>
  <c r="C61" i="37" s="1"/>
  <c r="C42" i="37"/>
  <c r="B61" i="37" s="1"/>
  <c r="G30" i="34"/>
  <c r="G47" i="34" s="1"/>
  <c r="G30" i="35"/>
  <c r="G47" i="35" s="1"/>
  <c r="G30" i="33"/>
  <c r="G47" i="33" s="1"/>
  <c r="F65" i="32"/>
  <c r="F65" i="35"/>
  <c r="K82" i="34"/>
  <c r="L82" i="34" s="1"/>
  <c r="M83" i="34" s="1"/>
  <c r="L83" i="35"/>
  <c r="L82" i="35"/>
  <c r="M82" i="35" s="1"/>
  <c r="G25" i="35"/>
  <c r="G95" i="35"/>
  <c r="L82" i="33"/>
  <c r="L83" i="33"/>
  <c r="G46" i="32"/>
  <c r="G94" i="32"/>
  <c r="G40" i="32"/>
  <c r="F67" i="32"/>
  <c r="P80" i="32"/>
  <c r="P79" i="32"/>
  <c r="Q79" i="32" s="1"/>
  <c r="R80" i="32" s="1"/>
  <c r="I86" i="34"/>
  <c r="I85" i="34"/>
  <c r="I70" i="34" s="1"/>
  <c r="H86" i="34"/>
  <c r="G86" i="34"/>
  <c r="G71" i="34" s="1"/>
  <c r="G97" i="34" s="1"/>
  <c r="F103" i="34"/>
  <c r="F104" i="34" s="1"/>
  <c r="G86" i="35"/>
  <c r="G71" i="35" s="1"/>
  <c r="G97" i="35" s="1"/>
  <c r="I86" i="35"/>
  <c r="H86" i="35"/>
  <c r="I85" i="35"/>
  <c r="I70" i="35" s="1"/>
  <c r="N79" i="35"/>
  <c r="O80" i="35" s="1"/>
  <c r="N80" i="35"/>
  <c r="O79" i="34"/>
  <c r="F103" i="32"/>
  <c r="F104" i="32" s="1"/>
  <c r="H86" i="32"/>
  <c r="I85" i="32"/>
  <c r="J85" i="32" s="1"/>
  <c r="K86" i="32" s="1"/>
  <c r="G86" i="32"/>
  <c r="G71" i="32" s="1"/>
  <c r="G97" i="32" s="1"/>
  <c r="I86" i="32"/>
  <c r="G94" i="34"/>
  <c r="G46" i="34"/>
  <c r="G95" i="32"/>
  <c r="G25" i="32"/>
  <c r="O80" i="34"/>
  <c r="G94" i="33"/>
  <c r="G46" i="33"/>
  <c r="G40" i="33"/>
  <c r="M83" i="32"/>
  <c r="N82" i="32"/>
  <c r="G40" i="35"/>
  <c r="G94" i="35"/>
  <c r="G96" i="35" s="1"/>
  <c r="G46" i="35"/>
  <c r="F67" i="35"/>
  <c r="O79" i="33"/>
  <c r="G95" i="33"/>
  <c r="G25" i="33"/>
  <c r="F103" i="35"/>
  <c r="F104" i="35" s="1"/>
  <c r="F103" i="33"/>
  <c r="F104" i="33" s="1"/>
  <c r="G86" i="33"/>
  <c r="G71" i="33" s="1"/>
  <c r="G97" i="33" s="1"/>
  <c r="H86" i="33"/>
  <c r="I85" i="33"/>
  <c r="I70" i="33" s="1"/>
  <c r="I86" i="33"/>
  <c r="M83" i="33"/>
  <c r="O83" i="32"/>
  <c r="O80" i="32"/>
  <c r="G95" i="34"/>
  <c r="G25" i="34"/>
  <c r="N83" i="32"/>
  <c r="C40" i="36"/>
  <c r="B59" i="36" s="1"/>
  <c r="C39" i="36"/>
  <c r="C59" i="36" s="1"/>
  <c r="G40" i="34" l="1"/>
  <c r="M82" i="34"/>
  <c r="J85" i="33"/>
  <c r="K85" i="33" s="1"/>
  <c r="L83" i="34"/>
  <c r="G98" i="35"/>
  <c r="G100" i="35" s="1"/>
  <c r="G101" i="35" s="1"/>
  <c r="G102" i="35" s="1"/>
  <c r="G112" i="35" s="1"/>
  <c r="N82" i="35"/>
  <c r="O82" i="35" s="1"/>
  <c r="P83" i="35" s="1"/>
  <c r="J86" i="34"/>
  <c r="O79" i="35"/>
  <c r="P80" i="35" s="1"/>
  <c r="N83" i="35"/>
  <c r="J86" i="33"/>
  <c r="J85" i="35"/>
  <c r="J85" i="34"/>
  <c r="K86" i="34" s="1"/>
  <c r="M83" i="35"/>
  <c r="G96" i="33"/>
  <c r="G98" i="33" s="1"/>
  <c r="G100" i="33" s="1"/>
  <c r="O83" i="35"/>
  <c r="G27" i="34"/>
  <c r="G28" i="34" s="1"/>
  <c r="G24" i="34"/>
  <c r="G42" i="34" s="1"/>
  <c r="G45" i="34"/>
  <c r="G48" i="34" s="1"/>
  <c r="R79" i="32"/>
  <c r="P80" i="33"/>
  <c r="P79" i="33"/>
  <c r="K85" i="35"/>
  <c r="L85" i="35" s="1"/>
  <c r="M82" i="33"/>
  <c r="N83" i="33" s="1"/>
  <c r="G27" i="35"/>
  <c r="G28" i="35" s="1"/>
  <c r="G24" i="35"/>
  <c r="G45" i="35"/>
  <c r="G55" i="35" s="1"/>
  <c r="G96" i="34"/>
  <c r="G98" i="34" s="1"/>
  <c r="G100" i="34" s="1"/>
  <c r="G101" i="34" s="1"/>
  <c r="G102" i="34" s="1"/>
  <c r="Q80" i="32"/>
  <c r="G96" i="32"/>
  <c r="G98" i="32" s="1"/>
  <c r="G100" i="32" s="1"/>
  <c r="G101" i="32" s="1"/>
  <c r="G102" i="32" s="1"/>
  <c r="N82" i="34"/>
  <c r="O82" i="34" s="1"/>
  <c r="P82" i="34" s="1"/>
  <c r="Q82" i="34" s="1"/>
  <c r="G27" i="33"/>
  <c r="G28" i="33" s="1"/>
  <c r="G45" i="33"/>
  <c r="G57" i="33" s="1"/>
  <c r="G24" i="33"/>
  <c r="G42" i="33" s="1"/>
  <c r="G27" i="32"/>
  <c r="G28" i="32" s="1"/>
  <c r="G45" i="32"/>
  <c r="G57" i="32" s="1"/>
  <c r="G24" i="32"/>
  <c r="N83" i="34"/>
  <c r="K85" i="32"/>
  <c r="K86" i="35"/>
  <c r="O82" i="32"/>
  <c r="P83" i="32" s="1"/>
  <c r="J86" i="32"/>
  <c r="I70" i="32"/>
  <c r="P80" i="34"/>
  <c r="P79" i="34"/>
  <c r="J86" i="35"/>
  <c r="H32" i="32" l="1"/>
  <c r="H31" i="32"/>
  <c r="G108" i="35"/>
  <c r="H32" i="34"/>
  <c r="H31" i="34"/>
  <c r="H32" i="35"/>
  <c r="H31" i="35"/>
  <c r="G110" i="35"/>
  <c r="H32" i="33"/>
  <c r="H31" i="33"/>
  <c r="K86" i="33"/>
  <c r="G55" i="34"/>
  <c r="P79" i="35"/>
  <c r="Q80" i="35" s="1"/>
  <c r="P82" i="32"/>
  <c r="Q83" i="32" s="1"/>
  <c r="G57" i="34"/>
  <c r="G48" i="32"/>
  <c r="G55" i="32"/>
  <c r="G57" i="35"/>
  <c r="K85" i="34"/>
  <c r="L85" i="34" s="1"/>
  <c r="M85" i="34" s="1"/>
  <c r="N86" i="34" s="1"/>
  <c r="G48" i="35"/>
  <c r="G48" i="33"/>
  <c r="M85" i="35"/>
  <c r="N86" i="35" s="1"/>
  <c r="M86" i="35"/>
  <c r="R82" i="34"/>
  <c r="S83" i="34" s="1"/>
  <c r="G110" i="32"/>
  <c r="G112" i="32"/>
  <c r="G108" i="32"/>
  <c r="L85" i="32"/>
  <c r="M86" i="32" s="1"/>
  <c r="L86" i="32"/>
  <c r="G42" i="32"/>
  <c r="G72" i="32"/>
  <c r="G53" i="32"/>
  <c r="G43" i="32"/>
  <c r="G108" i="34"/>
  <c r="G112" i="34"/>
  <c r="G110" i="34"/>
  <c r="L86" i="33"/>
  <c r="G55" i="33"/>
  <c r="Q79" i="35"/>
  <c r="Q80" i="34"/>
  <c r="H26" i="33"/>
  <c r="H38" i="33"/>
  <c r="H34" i="33" s="1"/>
  <c r="Q79" i="33"/>
  <c r="Q80" i="33"/>
  <c r="G72" i="34"/>
  <c r="G53" i="34"/>
  <c r="G43" i="34"/>
  <c r="P82" i="35"/>
  <c r="Q82" i="35" s="1"/>
  <c r="R82" i="35" s="1"/>
  <c r="L85" i="33"/>
  <c r="M86" i="33" s="1"/>
  <c r="G72" i="33"/>
  <c r="G53" i="33"/>
  <c r="G43" i="33"/>
  <c r="H26" i="35"/>
  <c r="H38" i="35"/>
  <c r="H34" i="35" s="1"/>
  <c r="Q79" i="34"/>
  <c r="H26" i="32"/>
  <c r="H38" i="32"/>
  <c r="H34" i="32" s="1"/>
  <c r="O83" i="34"/>
  <c r="Q83" i="34"/>
  <c r="R83" i="34"/>
  <c r="P83" i="34"/>
  <c r="G72" i="35"/>
  <c r="G43" i="35"/>
  <c r="G53" i="35"/>
  <c r="N82" i="33"/>
  <c r="L86" i="35"/>
  <c r="N85" i="35"/>
  <c r="O85" i="35" s="1"/>
  <c r="S79" i="32"/>
  <c r="S80" i="32"/>
  <c r="H26" i="34"/>
  <c r="H38" i="34"/>
  <c r="H34" i="34" s="1"/>
  <c r="G101" i="33"/>
  <c r="G102" i="33" s="1"/>
  <c r="G42" i="35"/>
  <c r="H10" i="31"/>
  <c r="M10" i="31"/>
  <c r="P10" i="31"/>
  <c r="G65" i="34" l="1"/>
  <c r="G67" i="34"/>
  <c r="F65" i="33"/>
  <c r="F67" i="33"/>
  <c r="H30" i="34"/>
  <c r="H47" i="34" s="1"/>
  <c r="S82" i="34"/>
  <c r="O5" i="36"/>
  <c r="O7" i="37"/>
  <c r="J5" i="36"/>
  <c r="J7" i="37"/>
  <c r="H30" i="35"/>
  <c r="H47" i="35" s="1"/>
  <c r="R5" i="36"/>
  <c r="R7" i="37"/>
  <c r="H30" i="33"/>
  <c r="H47" i="33" s="1"/>
  <c r="H30" i="32"/>
  <c r="H47" i="32" s="1"/>
  <c r="Q82" i="32"/>
  <c r="L86" i="34"/>
  <c r="M86" i="34"/>
  <c r="T82" i="34"/>
  <c r="U83" i="34" s="1"/>
  <c r="R83" i="35"/>
  <c r="N85" i="34"/>
  <c r="O85" i="34" s="1"/>
  <c r="T83" i="34"/>
  <c r="G103" i="33"/>
  <c r="G104" i="33" s="1"/>
  <c r="G112" i="33"/>
  <c r="G110" i="33"/>
  <c r="G108" i="33"/>
  <c r="P86" i="35"/>
  <c r="P85" i="35"/>
  <c r="H95" i="34"/>
  <c r="H25" i="34"/>
  <c r="H95" i="32"/>
  <c r="H25" i="32"/>
  <c r="R80" i="34"/>
  <c r="R79" i="34"/>
  <c r="O83" i="33"/>
  <c r="J88" i="34"/>
  <c r="J70" i="34" s="1"/>
  <c r="H89" i="34"/>
  <c r="H71" i="34" s="1"/>
  <c r="H97" i="34" s="1"/>
  <c r="I89" i="34"/>
  <c r="J89" i="34"/>
  <c r="H46" i="33"/>
  <c r="H94" i="33"/>
  <c r="H95" i="35"/>
  <c r="H25" i="35"/>
  <c r="H95" i="33"/>
  <c r="H25" i="33"/>
  <c r="R80" i="35"/>
  <c r="R79" i="35"/>
  <c r="M85" i="32"/>
  <c r="I89" i="35"/>
  <c r="H89" i="35"/>
  <c r="H71" i="35" s="1"/>
  <c r="H97" i="35" s="1"/>
  <c r="J89" i="35"/>
  <c r="J88" i="35"/>
  <c r="J70" i="35" s="1"/>
  <c r="G103" i="35"/>
  <c r="G104" i="35" s="1"/>
  <c r="H94" i="35"/>
  <c r="H46" i="35"/>
  <c r="H40" i="35"/>
  <c r="G67" i="35"/>
  <c r="J89" i="33"/>
  <c r="J88" i="33"/>
  <c r="J70" i="33" s="1"/>
  <c r="H89" i="33"/>
  <c r="H71" i="33" s="1"/>
  <c r="H97" i="33" s="1"/>
  <c r="I89" i="33"/>
  <c r="R80" i="33"/>
  <c r="R79" i="33"/>
  <c r="O82" i="33"/>
  <c r="P82" i="33" s="1"/>
  <c r="G103" i="34"/>
  <c r="G104" i="34" s="1"/>
  <c r="J88" i="32"/>
  <c r="J70" i="32" s="1"/>
  <c r="J89" i="32"/>
  <c r="I89" i="32"/>
  <c r="H89" i="32"/>
  <c r="H71" i="32" s="1"/>
  <c r="H97" i="32" s="1"/>
  <c r="K89" i="32"/>
  <c r="S82" i="35"/>
  <c r="T82" i="35" s="1"/>
  <c r="U83" i="35" s="1"/>
  <c r="H46" i="34"/>
  <c r="H40" i="34"/>
  <c r="H94" i="34"/>
  <c r="T80" i="32"/>
  <c r="T79" i="32"/>
  <c r="O86" i="35"/>
  <c r="H94" i="32"/>
  <c r="H46" i="32"/>
  <c r="H40" i="32"/>
  <c r="G67" i="32"/>
  <c r="M85" i="33"/>
  <c r="N86" i="33" s="1"/>
  <c r="S83" i="35"/>
  <c r="Q83" i="35"/>
  <c r="G103" i="32"/>
  <c r="G104" i="32" s="1"/>
  <c r="Q10" i="31"/>
  <c r="I10" i="31"/>
  <c r="L10" i="31"/>
  <c r="K10" i="31"/>
  <c r="E10" i="31"/>
  <c r="O10" i="31"/>
  <c r="G10" i="31"/>
  <c r="R10" i="31"/>
  <c r="N10" i="31"/>
  <c r="J10" i="31"/>
  <c r="F10" i="31"/>
  <c r="C153" i="31"/>
  <c r="C96" i="31"/>
  <c r="C55" i="31"/>
  <c r="H121" i="31"/>
  <c r="O121" i="31"/>
  <c r="C54" i="31"/>
  <c r="C63" i="31"/>
  <c r="C121" i="31"/>
  <c r="C62" i="31"/>
  <c r="C128" i="31"/>
  <c r="C129" i="31"/>
  <c r="G65" i="32" l="1"/>
  <c r="G65" i="35"/>
  <c r="H40" i="33"/>
  <c r="G5" i="36"/>
  <c r="G7" i="37"/>
  <c r="S5" i="36"/>
  <c r="S7" i="37"/>
  <c r="T5" i="36"/>
  <c r="T7" i="37"/>
  <c r="H5" i="36"/>
  <c r="H7" i="37"/>
  <c r="I5" i="36"/>
  <c r="I7" i="37"/>
  <c r="N5" i="36"/>
  <c r="N7" i="37"/>
  <c r="P5" i="36"/>
  <c r="P7" i="37"/>
  <c r="M5" i="36"/>
  <c r="M7" i="37"/>
  <c r="L5" i="36"/>
  <c r="L7" i="37"/>
  <c r="Q5" i="36"/>
  <c r="Q7" i="37"/>
  <c r="K5" i="36"/>
  <c r="K7" i="37"/>
  <c r="R82" i="32"/>
  <c r="R83" i="32"/>
  <c r="K89" i="35"/>
  <c r="H96" i="35"/>
  <c r="H98" i="35" s="1"/>
  <c r="H100" i="35" s="1"/>
  <c r="H101" i="35" s="1"/>
  <c r="H102" i="35" s="1"/>
  <c r="K88" i="34"/>
  <c r="L88" i="34" s="1"/>
  <c r="M89" i="34" s="1"/>
  <c r="O86" i="34"/>
  <c r="K89" i="33"/>
  <c r="H96" i="32"/>
  <c r="H98" i="32" s="1"/>
  <c r="H100" i="32" s="1"/>
  <c r="H101" i="32" s="1"/>
  <c r="H102" i="32" s="1"/>
  <c r="K88" i="33"/>
  <c r="P85" i="34"/>
  <c r="Q86" i="34" s="1"/>
  <c r="P86" i="34"/>
  <c r="U82" i="34"/>
  <c r="Q82" i="33"/>
  <c r="Q85" i="35"/>
  <c r="R85" i="35" s="1"/>
  <c r="U82" i="35"/>
  <c r="H96" i="34"/>
  <c r="H98" i="34" s="1"/>
  <c r="H100" i="34" s="1"/>
  <c r="H101" i="34" s="1"/>
  <c r="H102" i="34" s="1"/>
  <c r="K88" i="32"/>
  <c r="L89" i="32" s="1"/>
  <c r="N86" i="32"/>
  <c r="N85" i="32"/>
  <c r="O85" i="32" s="1"/>
  <c r="T83" i="35"/>
  <c r="Q83" i="33"/>
  <c r="H27" i="32"/>
  <c r="H28" i="32" s="1"/>
  <c r="H24" i="32"/>
  <c r="H42" i="32" s="1"/>
  <c r="H45" i="32"/>
  <c r="H55" i="32" s="1"/>
  <c r="L89" i="33"/>
  <c r="K88" i="35"/>
  <c r="S80" i="35"/>
  <c r="S79" i="35"/>
  <c r="H27" i="35"/>
  <c r="H28" i="35" s="1"/>
  <c r="H45" i="35"/>
  <c r="H57" i="35" s="1"/>
  <c r="H24" i="35"/>
  <c r="H42" i="35" s="1"/>
  <c r="H96" i="33"/>
  <c r="H98" i="33" s="1"/>
  <c r="H100" i="33" s="1"/>
  <c r="H101" i="33" s="1"/>
  <c r="H102" i="33" s="1"/>
  <c r="L89" i="34"/>
  <c r="S80" i="34"/>
  <c r="S79" i="34"/>
  <c r="S80" i="33"/>
  <c r="S79" i="33"/>
  <c r="H27" i="33"/>
  <c r="H28" i="33" s="1"/>
  <c r="H24" i="33"/>
  <c r="H45" i="33"/>
  <c r="H57" i="33" s="1"/>
  <c r="N85" i="33"/>
  <c r="U80" i="32"/>
  <c r="U79" i="32"/>
  <c r="P83" i="33"/>
  <c r="K89" i="34"/>
  <c r="H27" i="34"/>
  <c r="H28" i="34" s="1"/>
  <c r="H45" i="34"/>
  <c r="H55" i="34" s="1"/>
  <c r="H24" i="34"/>
  <c r="Q86" i="35"/>
  <c r="F121" i="31"/>
  <c r="K121" i="31"/>
  <c r="P121" i="31"/>
  <c r="R121" i="31"/>
  <c r="L121" i="31"/>
  <c r="G121" i="31"/>
  <c r="D120" i="31"/>
  <c r="C120" i="31"/>
  <c r="C162" i="31"/>
  <c r="N121" i="31"/>
  <c r="J121" i="31"/>
  <c r="E128" i="31"/>
  <c r="D128" i="31"/>
  <c r="D129" i="31"/>
  <c r="D121" i="31"/>
  <c r="C154" i="31"/>
  <c r="C161" i="31"/>
  <c r="C88" i="31"/>
  <c r="F128" i="31"/>
  <c r="M121" i="31"/>
  <c r="Q121" i="31"/>
  <c r="H128" i="31"/>
  <c r="C87" i="31"/>
  <c r="E121" i="31"/>
  <c r="C95" i="31"/>
  <c r="I121" i="31"/>
  <c r="G128" i="31"/>
  <c r="H42" i="33" l="1"/>
  <c r="I32" i="34"/>
  <c r="I31" i="34"/>
  <c r="I32" i="33"/>
  <c r="I31" i="33"/>
  <c r="I32" i="32"/>
  <c r="I31" i="32"/>
  <c r="I32" i="35"/>
  <c r="I31" i="35"/>
  <c r="S82" i="32"/>
  <c r="S83" i="32"/>
  <c r="M88" i="34"/>
  <c r="N88" i="34" s="1"/>
  <c r="O89" i="34" s="1"/>
  <c r="H48" i="33"/>
  <c r="H55" i="33"/>
  <c r="Q85" i="34"/>
  <c r="R85" i="34" s="1"/>
  <c r="R86" i="35"/>
  <c r="H48" i="35"/>
  <c r="L88" i="33"/>
  <c r="M89" i="33" s="1"/>
  <c r="O85" i="33"/>
  <c r="P85" i="33" s="1"/>
  <c r="Q85" i="33" s="1"/>
  <c r="H48" i="32"/>
  <c r="H57" i="32"/>
  <c r="V82" i="34"/>
  <c r="H55" i="35"/>
  <c r="V83" i="34"/>
  <c r="C61" i="33"/>
  <c r="I38" i="34"/>
  <c r="I26" i="34"/>
  <c r="I28" i="34"/>
  <c r="C61" i="35"/>
  <c r="H57" i="34"/>
  <c r="O86" i="33"/>
  <c r="H72" i="35"/>
  <c r="H53" i="35"/>
  <c r="H43" i="35"/>
  <c r="T80" i="35"/>
  <c r="T79" i="35"/>
  <c r="P85" i="32"/>
  <c r="H108" i="35"/>
  <c r="H112" i="35"/>
  <c r="H103" i="35"/>
  <c r="H104" i="35" s="1"/>
  <c r="H110" i="35"/>
  <c r="H110" i="34"/>
  <c r="H108" i="34"/>
  <c r="H112" i="34"/>
  <c r="S86" i="35"/>
  <c r="N89" i="34"/>
  <c r="H48" i="34"/>
  <c r="C61" i="32"/>
  <c r="T80" i="33"/>
  <c r="T79" i="33"/>
  <c r="S85" i="35"/>
  <c r="H72" i="32"/>
  <c r="H103" i="32" s="1"/>
  <c r="H104" i="32" s="1"/>
  <c r="H43" i="32"/>
  <c r="H53" i="32"/>
  <c r="O86" i="32"/>
  <c r="H42" i="34"/>
  <c r="H72" i="34"/>
  <c r="H43" i="34"/>
  <c r="H53" i="34"/>
  <c r="V80" i="32"/>
  <c r="V79" i="32"/>
  <c r="H72" i="33"/>
  <c r="H103" i="33" s="1"/>
  <c r="H104" i="33" s="1"/>
  <c r="H53" i="33"/>
  <c r="H43" i="33"/>
  <c r="T80" i="34"/>
  <c r="T79" i="34"/>
  <c r="I28" i="35"/>
  <c r="I26" i="35"/>
  <c r="I38" i="35"/>
  <c r="I26" i="32"/>
  <c r="I38" i="32"/>
  <c r="I28" i="32"/>
  <c r="H112" i="32"/>
  <c r="H108" i="32"/>
  <c r="H110" i="32"/>
  <c r="I38" i="33"/>
  <c r="I34" i="33" s="1"/>
  <c r="I26" i="33"/>
  <c r="I28" i="33"/>
  <c r="H112" i="33"/>
  <c r="H110" i="33"/>
  <c r="H108" i="33"/>
  <c r="L88" i="35"/>
  <c r="M89" i="35" s="1"/>
  <c r="L89" i="35"/>
  <c r="P86" i="32"/>
  <c r="Q86" i="32"/>
  <c r="L88" i="32"/>
  <c r="M88" i="32" s="1"/>
  <c r="V83" i="35"/>
  <c r="V82" i="35"/>
  <c r="R83" i="33"/>
  <c r="R82" i="33"/>
  <c r="B126" i="31"/>
  <c r="B122" i="31"/>
  <c r="AC121" i="31"/>
  <c r="G65" i="33" l="1"/>
  <c r="G67" i="33"/>
  <c r="I30" i="35"/>
  <c r="I47" i="35" s="1"/>
  <c r="I30" i="33"/>
  <c r="I47" i="33" s="1"/>
  <c r="I30" i="32"/>
  <c r="I47" i="32" s="1"/>
  <c r="I30" i="34"/>
  <c r="I47" i="34" s="1"/>
  <c r="I34" i="32"/>
  <c r="I40" i="32" s="1"/>
  <c r="I34" i="35"/>
  <c r="H67" i="35" s="1"/>
  <c r="I34" i="34"/>
  <c r="Q86" i="33"/>
  <c r="J32" i="32"/>
  <c r="J31" i="32"/>
  <c r="J32" i="35"/>
  <c r="J31" i="35"/>
  <c r="J32" i="34"/>
  <c r="J31" i="34"/>
  <c r="J32" i="33"/>
  <c r="J31" i="33"/>
  <c r="T82" i="32"/>
  <c r="U82" i="32" s="1"/>
  <c r="V82" i="32" s="1"/>
  <c r="W82" i="32" s="1"/>
  <c r="T83" i="32"/>
  <c r="O88" i="34"/>
  <c r="P89" i="34" s="1"/>
  <c r="R86" i="34"/>
  <c r="M88" i="33"/>
  <c r="W83" i="34"/>
  <c r="W82" i="34"/>
  <c r="N89" i="32"/>
  <c r="P88" i="34"/>
  <c r="P86" i="33"/>
  <c r="J38" i="33"/>
  <c r="J34" i="33" s="1"/>
  <c r="J28" i="33"/>
  <c r="J26" i="33"/>
  <c r="I94" i="32"/>
  <c r="H67" i="32"/>
  <c r="W80" i="32"/>
  <c r="W79" i="32"/>
  <c r="C63" i="34"/>
  <c r="C63" i="32"/>
  <c r="J92" i="35"/>
  <c r="J71" i="35" s="1"/>
  <c r="J97" i="35" s="1"/>
  <c r="I92" i="35"/>
  <c r="I71" i="35" s="1"/>
  <c r="I97" i="35" s="1"/>
  <c r="K92" i="35"/>
  <c r="K71" i="35" s="1"/>
  <c r="K97" i="35" s="1"/>
  <c r="K91" i="35"/>
  <c r="K70" i="35" s="1"/>
  <c r="C106" i="35"/>
  <c r="R85" i="33"/>
  <c r="S85" i="33" s="1"/>
  <c r="T85" i="33" s="1"/>
  <c r="W83" i="35"/>
  <c r="W82" i="35"/>
  <c r="I95" i="33"/>
  <c r="I45" i="33"/>
  <c r="I24" i="33"/>
  <c r="I43" i="33" s="1"/>
  <c r="I45" i="32"/>
  <c r="I24" i="32"/>
  <c r="I53" i="32" s="1"/>
  <c r="I95" i="32"/>
  <c r="I95" i="35"/>
  <c r="I45" i="35"/>
  <c r="I24" i="35"/>
  <c r="U80" i="34"/>
  <c r="U79" i="34"/>
  <c r="K92" i="33"/>
  <c r="K71" i="33" s="1"/>
  <c r="K97" i="33" s="1"/>
  <c r="J92" i="33"/>
  <c r="J71" i="33" s="1"/>
  <c r="J97" i="33" s="1"/>
  <c r="I92" i="33"/>
  <c r="I71" i="33" s="1"/>
  <c r="I97" i="33" s="1"/>
  <c r="K91" i="33"/>
  <c r="K70" i="33" s="1"/>
  <c r="C106" i="33"/>
  <c r="I92" i="34"/>
  <c r="I71" i="34" s="1"/>
  <c r="I97" i="34" s="1"/>
  <c r="K91" i="34"/>
  <c r="K70" i="34" s="1"/>
  <c r="J92" i="34"/>
  <c r="J71" i="34" s="1"/>
  <c r="J97" i="34" s="1"/>
  <c r="K92" i="34"/>
  <c r="K71" i="34" s="1"/>
  <c r="K97" i="34" s="1"/>
  <c r="C106" i="34"/>
  <c r="I92" i="32"/>
  <c r="I71" i="32" s="1"/>
  <c r="I97" i="32" s="1"/>
  <c r="K91" i="32"/>
  <c r="K70" i="32" s="1"/>
  <c r="K92" i="32"/>
  <c r="K71" i="32" s="1"/>
  <c r="K97" i="32" s="1"/>
  <c r="J92" i="32"/>
  <c r="J71" i="32" s="1"/>
  <c r="J97" i="32" s="1"/>
  <c r="C106" i="32"/>
  <c r="T86" i="35"/>
  <c r="T85" i="35"/>
  <c r="S85" i="34"/>
  <c r="I46" i="33"/>
  <c r="I40" i="33"/>
  <c r="I94" i="33"/>
  <c r="J38" i="35"/>
  <c r="J34" i="35" s="1"/>
  <c r="J26" i="35"/>
  <c r="J28" i="35"/>
  <c r="C61" i="34"/>
  <c r="U80" i="33"/>
  <c r="U79" i="33"/>
  <c r="H103" i="34"/>
  <c r="H104" i="34" s="1"/>
  <c r="Q85" i="32"/>
  <c r="C63" i="35"/>
  <c r="J38" i="34"/>
  <c r="J34" i="34" s="1"/>
  <c r="J28" i="34"/>
  <c r="J26" i="34"/>
  <c r="S83" i="33"/>
  <c r="S82" i="33"/>
  <c r="M89" i="32"/>
  <c r="N88" i="32"/>
  <c r="M88" i="35"/>
  <c r="J38" i="32"/>
  <c r="J34" i="32" s="1"/>
  <c r="J28" i="32"/>
  <c r="J26" i="32"/>
  <c r="C63" i="33"/>
  <c r="S86" i="34"/>
  <c r="U80" i="35"/>
  <c r="U79" i="35"/>
  <c r="R86" i="33"/>
  <c r="I95" i="34"/>
  <c r="I45" i="34"/>
  <c r="I24" i="34"/>
  <c r="I53" i="34" s="1"/>
  <c r="B18" i="30"/>
  <c r="B17" i="30"/>
  <c r="I46" i="32" l="1"/>
  <c r="I40" i="35"/>
  <c r="I65" i="34"/>
  <c r="N6" i="30" s="1"/>
  <c r="I67" i="34"/>
  <c r="H67" i="33"/>
  <c r="H65" i="33"/>
  <c r="N5" i="30" s="1"/>
  <c r="H65" i="34"/>
  <c r="H67" i="34"/>
  <c r="I94" i="34"/>
  <c r="I40" i="34"/>
  <c r="I46" i="34"/>
  <c r="I48" i="34" s="1"/>
  <c r="J30" i="33"/>
  <c r="J47" i="33" s="1"/>
  <c r="J30" i="35"/>
  <c r="J47" i="35" s="1"/>
  <c r="H65" i="32"/>
  <c r="I46" i="35"/>
  <c r="I57" i="35" s="1"/>
  <c r="H65" i="35"/>
  <c r="I43" i="35"/>
  <c r="I94" i="35"/>
  <c r="I96" i="35" s="1"/>
  <c r="I98" i="35" s="1"/>
  <c r="I100" i="35" s="1"/>
  <c r="K32" i="32"/>
  <c r="K31" i="32"/>
  <c r="K32" i="34"/>
  <c r="K31" i="34"/>
  <c r="K32" i="35"/>
  <c r="K31" i="35"/>
  <c r="K32" i="33"/>
  <c r="K31" i="33"/>
  <c r="J30" i="34"/>
  <c r="J47" i="34" s="1"/>
  <c r="J30" i="32"/>
  <c r="J47" i="32" s="1"/>
  <c r="I96" i="33"/>
  <c r="I98" i="33" s="1"/>
  <c r="I100" i="33" s="1"/>
  <c r="I101" i="33" s="1"/>
  <c r="I102" i="33" s="1"/>
  <c r="I110" i="33" s="1"/>
  <c r="W83" i="32"/>
  <c r="V83" i="32"/>
  <c r="X82" i="32"/>
  <c r="Y82" i="32" s="1"/>
  <c r="X83" i="32"/>
  <c r="U83" i="32"/>
  <c r="L92" i="34"/>
  <c r="L71" i="34" s="1"/>
  <c r="L97" i="34" s="1"/>
  <c r="I42" i="33"/>
  <c r="L91" i="32"/>
  <c r="L70" i="32" s="1"/>
  <c r="L91" i="33"/>
  <c r="L70" i="33" s="1"/>
  <c r="N88" i="33"/>
  <c r="I53" i="33"/>
  <c r="L92" i="33"/>
  <c r="L71" i="33" s="1"/>
  <c r="L97" i="33" s="1"/>
  <c r="L92" i="35"/>
  <c r="L71" i="35" s="1"/>
  <c r="L97" i="35" s="1"/>
  <c r="N89" i="33"/>
  <c r="X82" i="34"/>
  <c r="Y83" i="34" s="1"/>
  <c r="Q88" i="34"/>
  <c r="R88" i="34" s="1"/>
  <c r="X83" i="34"/>
  <c r="Q89" i="34"/>
  <c r="Y82" i="34"/>
  <c r="M92" i="32"/>
  <c r="M71" i="32" s="1"/>
  <c r="M97" i="32" s="1"/>
  <c r="L91" i="34"/>
  <c r="M91" i="34" s="1"/>
  <c r="V80" i="34"/>
  <c r="V79" i="34"/>
  <c r="I96" i="34"/>
  <c r="I98" i="34" s="1"/>
  <c r="I100" i="34" s="1"/>
  <c r="I101" i="34" s="1"/>
  <c r="I102" i="34" s="1"/>
  <c r="T86" i="33"/>
  <c r="L91" i="35"/>
  <c r="X80" i="32"/>
  <c r="X79" i="32"/>
  <c r="I55" i="32"/>
  <c r="I57" i="32"/>
  <c r="I48" i="32"/>
  <c r="K38" i="33"/>
  <c r="K34" i="33" s="1"/>
  <c r="K28" i="33"/>
  <c r="K26" i="33"/>
  <c r="T83" i="33"/>
  <c r="T82" i="33"/>
  <c r="J24" i="34"/>
  <c r="J43" i="34" s="1"/>
  <c r="J95" i="34"/>
  <c r="J45" i="34"/>
  <c r="J45" i="35"/>
  <c r="J24" i="35"/>
  <c r="J43" i="35" s="1"/>
  <c r="J95" i="35"/>
  <c r="I57" i="33"/>
  <c r="I48" i="33"/>
  <c r="I55" i="33"/>
  <c r="U85" i="35"/>
  <c r="U86" i="35"/>
  <c r="I42" i="34"/>
  <c r="I53" i="35"/>
  <c r="I42" i="32"/>
  <c r="J94" i="33"/>
  <c r="J46" i="33"/>
  <c r="R86" i="32"/>
  <c r="R85" i="32"/>
  <c r="K38" i="32"/>
  <c r="K34" i="32" s="1"/>
  <c r="J65" i="32" s="1"/>
  <c r="K26" i="32"/>
  <c r="K28" i="32"/>
  <c r="U85" i="33"/>
  <c r="U86" i="33"/>
  <c r="J46" i="32"/>
  <c r="J94" i="32"/>
  <c r="I67" i="32"/>
  <c r="K28" i="34"/>
  <c r="K38" i="34"/>
  <c r="K34" i="34" s="1"/>
  <c r="J67" i="34" s="1"/>
  <c r="K26" i="34"/>
  <c r="N89" i="35"/>
  <c r="J94" i="35"/>
  <c r="J46" i="35"/>
  <c r="J40" i="35"/>
  <c r="I67" i="35"/>
  <c r="L92" i="32"/>
  <c r="L71" i="32" s="1"/>
  <c r="L97" i="32" s="1"/>
  <c r="M92" i="33"/>
  <c r="M71" i="33" s="1"/>
  <c r="M97" i="33" s="1"/>
  <c r="I42" i="35"/>
  <c r="I96" i="32"/>
  <c r="I98" i="32" s="1"/>
  <c r="I100" i="32" s="1"/>
  <c r="I101" i="32" s="1"/>
  <c r="I102" i="32" s="1"/>
  <c r="J95" i="32"/>
  <c r="J45" i="32"/>
  <c r="J24" i="32"/>
  <c r="J43" i="32" s="1"/>
  <c r="V80" i="33"/>
  <c r="V79" i="33"/>
  <c r="K28" i="35"/>
  <c r="K26" i="35"/>
  <c r="K38" i="35"/>
  <c r="K34" i="35" s="1"/>
  <c r="V80" i="35"/>
  <c r="V79" i="35"/>
  <c r="N88" i="35"/>
  <c r="O89" i="35" s="1"/>
  <c r="O89" i="32"/>
  <c r="O88" i="32"/>
  <c r="P88" i="32" s="1"/>
  <c r="J94" i="34"/>
  <c r="J96" i="34" s="1"/>
  <c r="J98" i="34" s="1"/>
  <c r="J100" i="34" s="1"/>
  <c r="J101" i="34" s="1"/>
  <c r="J102" i="34" s="1"/>
  <c r="J46" i="34"/>
  <c r="T85" i="34"/>
  <c r="T86" i="34"/>
  <c r="X83" i="35"/>
  <c r="X82" i="35"/>
  <c r="I43" i="34"/>
  <c r="S86" i="33"/>
  <c r="I43" i="32"/>
  <c r="J95" i="33"/>
  <c r="J45" i="33"/>
  <c r="J24" i="33"/>
  <c r="J43" i="33" s="1"/>
  <c r="B19" i="30"/>
  <c r="B16" i="30"/>
  <c r="I67" i="33" l="1"/>
  <c r="I65" i="33"/>
  <c r="I55" i="34"/>
  <c r="I57" i="34"/>
  <c r="I65" i="35"/>
  <c r="N7" i="30" s="1"/>
  <c r="I55" i="35"/>
  <c r="I65" i="32"/>
  <c r="I48" i="35"/>
  <c r="J40" i="32"/>
  <c r="J42" i="32" s="1"/>
  <c r="J40" i="33"/>
  <c r="J42" i="33" s="1"/>
  <c r="J40" i="34"/>
  <c r="J42" i="34" s="1"/>
  <c r="I103" i="33"/>
  <c r="I104" i="33" s="1"/>
  <c r="Z82" i="32"/>
  <c r="AA83" i="32" s="1"/>
  <c r="K30" i="34"/>
  <c r="K47" i="34" s="1"/>
  <c r="L32" i="35"/>
  <c r="L31" i="35"/>
  <c r="L32" i="33"/>
  <c r="L31" i="33"/>
  <c r="J53" i="35"/>
  <c r="L32" i="32"/>
  <c r="L31" i="32"/>
  <c r="K30" i="35"/>
  <c r="K47" i="35" s="1"/>
  <c r="L32" i="34"/>
  <c r="L31" i="34"/>
  <c r="K30" i="33"/>
  <c r="K47" i="33" s="1"/>
  <c r="K30" i="32"/>
  <c r="K47" i="32" s="1"/>
  <c r="I112" i="33"/>
  <c r="I108" i="33"/>
  <c r="Y83" i="32"/>
  <c r="Z83" i="32"/>
  <c r="M91" i="32"/>
  <c r="N91" i="32" s="1"/>
  <c r="N70" i="32" s="1"/>
  <c r="J96" i="35"/>
  <c r="J98" i="35" s="1"/>
  <c r="J100" i="35" s="1"/>
  <c r="J101" i="35" s="1"/>
  <c r="J102" i="35" s="1"/>
  <c r="J108" i="35" s="1"/>
  <c r="J42" i="35"/>
  <c r="M91" i="33"/>
  <c r="N92" i="33" s="1"/>
  <c r="N71" i="33" s="1"/>
  <c r="N97" i="33" s="1"/>
  <c r="P89" i="32"/>
  <c r="O88" i="33"/>
  <c r="O89" i="33"/>
  <c r="Z83" i="34"/>
  <c r="J53" i="33"/>
  <c r="Z82" i="34"/>
  <c r="AA82" i="34" s="1"/>
  <c r="J96" i="32"/>
  <c r="J98" i="32" s="1"/>
  <c r="J100" i="32" s="1"/>
  <c r="J101" i="32" s="1"/>
  <c r="J102" i="32" s="1"/>
  <c r="J112" i="32" s="1"/>
  <c r="S89" i="34"/>
  <c r="S88" i="34"/>
  <c r="R89" i="34"/>
  <c r="L26" i="35"/>
  <c r="L38" i="35"/>
  <c r="L34" i="35" s="1"/>
  <c r="L28" i="35"/>
  <c r="L28" i="33"/>
  <c r="L26" i="33"/>
  <c r="L38" i="33"/>
  <c r="L34" i="33" s="1"/>
  <c r="J67" i="33" s="1"/>
  <c r="W80" i="33"/>
  <c r="W79" i="33"/>
  <c r="L26" i="34"/>
  <c r="L28" i="34"/>
  <c r="L38" i="34"/>
  <c r="L34" i="34" s="1"/>
  <c r="K67" i="34" s="1"/>
  <c r="K46" i="32"/>
  <c r="K94" i="32"/>
  <c r="J67" i="32"/>
  <c r="S85" i="32"/>
  <c r="V86" i="35"/>
  <c r="V85" i="35"/>
  <c r="K94" i="33"/>
  <c r="K46" i="33"/>
  <c r="I110" i="34"/>
  <c r="I103" i="34"/>
  <c r="I104" i="34" s="1"/>
  <c r="I112" i="34"/>
  <c r="I108" i="34"/>
  <c r="L70" i="34"/>
  <c r="M92" i="34"/>
  <c r="M71" i="34" s="1"/>
  <c r="M97" i="34" s="1"/>
  <c r="J48" i="35"/>
  <c r="J55" i="35"/>
  <c r="J57" i="35"/>
  <c r="M91" i="35"/>
  <c r="M70" i="35" s="1"/>
  <c r="M92" i="35"/>
  <c r="M71" i="35" s="1"/>
  <c r="M97" i="35" s="1"/>
  <c r="L70" i="35"/>
  <c r="U85" i="34"/>
  <c r="U86" i="34"/>
  <c r="J57" i="34"/>
  <c r="J55" i="34"/>
  <c r="J48" i="34"/>
  <c r="Q89" i="32"/>
  <c r="J103" i="34"/>
  <c r="J104" i="34" s="1"/>
  <c r="J112" i="34"/>
  <c r="J110" i="34"/>
  <c r="J108" i="34"/>
  <c r="Q88" i="32"/>
  <c r="R89" i="32" s="1"/>
  <c r="O88" i="35"/>
  <c r="K94" i="35"/>
  <c r="K46" i="35"/>
  <c r="J67" i="35"/>
  <c r="J57" i="32"/>
  <c r="J55" i="32"/>
  <c r="J48" i="32"/>
  <c r="V85" i="33"/>
  <c r="V86" i="33"/>
  <c r="S86" i="32"/>
  <c r="J57" i="33"/>
  <c r="J48" i="33"/>
  <c r="J55" i="33"/>
  <c r="U83" i="33"/>
  <c r="U82" i="33"/>
  <c r="R88" i="32"/>
  <c r="S89" i="32" s="1"/>
  <c r="I101" i="35"/>
  <c r="I102" i="35" s="1"/>
  <c r="N92" i="34"/>
  <c r="N71" i="34" s="1"/>
  <c r="N97" i="34" s="1"/>
  <c r="K94" i="34"/>
  <c r="K46" i="34"/>
  <c r="K95" i="32"/>
  <c r="K45" i="32"/>
  <c r="K24" i="32"/>
  <c r="Y82" i="35"/>
  <c r="Y83" i="35"/>
  <c r="J53" i="34"/>
  <c r="W80" i="35"/>
  <c r="W79" i="35"/>
  <c r="K24" i="35"/>
  <c r="K95" i="35"/>
  <c r="K45" i="35"/>
  <c r="I103" i="32"/>
  <c r="I104" i="32" s="1"/>
  <c r="I108" i="32"/>
  <c r="I112" i="32"/>
  <c r="I110" i="32"/>
  <c r="N91" i="34"/>
  <c r="O92" i="34" s="1"/>
  <c r="O71" i="34" s="1"/>
  <c r="O97" i="34" s="1"/>
  <c r="M70" i="34"/>
  <c r="O92" i="32"/>
  <c r="O71" i="32" s="1"/>
  <c r="O97" i="32" s="1"/>
  <c r="K24" i="34"/>
  <c r="K95" i="34"/>
  <c r="K45" i="34"/>
  <c r="J53" i="32"/>
  <c r="L38" i="32"/>
  <c r="L34" i="32" s="1"/>
  <c r="K65" i="32" s="1"/>
  <c r="N4" i="30" s="1"/>
  <c r="L28" i="32"/>
  <c r="L26" i="32"/>
  <c r="J96" i="33"/>
  <c r="J98" i="33" s="1"/>
  <c r="J100" i="33" s="1"/>
  <c r="J101" i="33" s="1"/>
  <c r="J102" i="33" s="1"/>
  <c r="K45" i="33"/>
  <c r="K95" i="33"/>
  <c r="K24" i="33"/>
  <c r="K43" i="33" s="1"/>
  <c r="Y80" i="32"/>
  <c r="Y79" i="32"/>
  <c r="W80" i="34"/>
  <c r="W79" i="34"/>
  <c r="C16" i="2"/>
  <c r="C15" i="2"/>
  <c r="C95" i="2"/>
  <c r="C70" i="2"/>
  <c r="AC8" i="2"/>
  <c r="AC10" i="2"/>
  <c r="C72" i="2"/>
  <c r="C53" i="2"/>
  <c r="K53" i="32" l="1"/>
  <c r="L30" i="34"/>
  <c r="L47" i="34" s="1"/>
  <c r="K40" i="34"/>
  <c r="K42" i="34" s="1"/>
  <c r="K40" i="35"/>
  <c r="K42" i="35" s="1"/>
  <c r="L30" i="33"/>
  <c r="L47" i="33" s="1"/>
  <c r="K40" i="32"/>
  <c r="K42" i="32" s="1"/>
  <c r="K53" i="35"/>
  <c r="K53" i="34"/>
  <c r="K40" i="33"/>
  <c r="K42" i="33" s="1"/>
  <c r="L30" i="35"/>
  <c r="L47" i="35" s="1"/>
  <c r="AA82" i="32"/>
  <c r="J103" i="35"/>
  <c r="J104" i="35" s="1"/>
  <c r="J110" i="35"/>
  <c r="J112" i="35"/>
  <c r="M32" i="34"/>
  <c r="M31" i="34"/>
  <c r="M32" i="32"/>
  <c r="M31" i="32"/>
  <c r="N92" i="32"/>
  <c r="N71" i="32" s="1"/>
  <c r="N97" i="32" s="1"/>
  <c r="M70" i="32"/>
  <c r="M32" i="33"/>
  <c r="M31" i="33"/>
  <c r="O91" i="32"/>
  <c r="O70" i="32" s="1"/>
  <c r="M32" i="35"/>
  <c r="M31" i="35"/>
  <c r="L30" i="32"/>
  <c r="L47" i="32" s="1"/>
  <c r="J108" i="32"/>
  <c r="J110" i="32"/>
  <c r="J103" i="32"/>
  <c r="J104" i="32" s="1"/>
  <c r="P92" i="32"/>
  <c r="P71" i="32" s="1"/>
  <c r="P97" i="32" s="1"/>
  <c r="N91" i="35"/>
  <c r="N70" i="35" s="1"/>
  <c r="P88" i="33"/>
  <c r="Q88" i="33" s="1"/>
  <c r="R88" i="33" s="1"/>
  <c r="P89" i="33"/>
  <c r="N91" i="33"/>
  <c r="M70" i="33"/>
  <c r="N92" i="35"/>
  <c r="N71" i="35" s="1"/>
  <c r="N97" i="35" s="1"/>
  <c r="K43" i="34"/>
  <c r="T89" i="34"/>
  <c r="T88" i="34"/>
  <c r="AB82" i="34"/>
  <c r="AC83" i="34" s="1"/>
  <c r="AB83" i="34"/>
  <c r="AA83" i="34"/>
  <c r="X80" i="34"/>
  <c r="X79" i="34"/>
  <c r="L40" i="32"/>
  <c r="L94" i="32"/>
  <c r="L46" i="32"/>
  <c r="K67" i="32"/>
  <c r="Z80" i="32"/>
  <c r="Z79" i="32"/>
  <c r="K48" i="34"/>
  <c r="K55" i="34"/>
  <c r="K57" i="34"/>
  <c r="V83" i="33"/>
  <c r="V82" i="33"/>
  <c r="W86" i="33"/>
  <c r="W85" i="33"/>
  <c r="K43" i="35"/>
  <c r="V86" i="34"/>
  <c r="V85" i="34"/>
  <c r="K55" i="33"/>
  <c r="K48" i="33"/>
  <c r="K57" i="33"/>
  <c r="K53" i="33"/>
  <c r="K57" i="32"/>
  <c r="K55" i="32"/>
  <c r="K48" i="32"/>
  <c r="M38" i="34"/>
  <c r="M34" i="34" s="1"/>
  <c r="L67" i="34" s="1"/>
  <c r="M26" i="34"/>
  <c r="M28" i="34"/>
  <c r="L45" i="35"/>
  <c r="L95" i="35"/>
  <c r="L24" i="35"/>
  <c r="L53" i="35" s="1"/>
  <c r="I103" i="35"/>
  <c r="I104" i="35" s="1"/>
  <c r="I112" i="35"/>
  <c r="I110" i="35"/>
  <c r="I108" i="35"/>
  <c r="P89" i="35"/>
  <c r="P88" i="35"/>
  <c r="Q88" i="35" s="1"/>
  <c r="K96" i="33"/>
  <c r="K98" i="33" s="1"/>
  <c r="K100" i="33" s="1"/>
  <c r="K101" i="33" s="1"/>
  <c r="K102" i="33" s="1"/>
  <c r="W86" i="35"/>
  <c r="W85" i="35"/>
  <c r="K96" i="32"/>
  <c r="K98" i="32" s="1"/>
  <c r="K100" i="32" s="1"/>
  <c r="K101" i="32" s="1"/>
  <c r="K102" i="32" s="1"/>
  <c r="L95" i="34"/>
  <c r="L45" i="34"/>
  <c r="L24" i="34"/>
  <c r="L94" i="33"/>
  <c r="L46" i="33"/>
  <c r="L45" i="32"/>
  <c r="L24" i="32"/>
  <c r="L43" i="32" s="1"/>
  <c r="L95" i="32"/>
  <c r="M38" i="32"/>
  <c r="M34" i="32" s="1"/>
  <c r="L65" i="32" s="1"/>
  <c r="M28" i="32"/>
  <c r="M26" i="32"/>
  <c r="X80" i="35"/>
  <c r="X79" i="35"/>
  <c r="Z82" i="35"/>
  <c r="Z83" i="35"/>
  <c r="K96" i="34"/>
  <c r="K98" i="34" s="1"/>
  <c r="K100" i="34" s="1"/>
  <c r="K101" i="34" s="1"/>
  <c r="K102" i="34" s="1"/>
  <c r="K55" i="35"/>
  <c r="K48" i="35"/>
  <c r="K57" i="35"/>
  <c r="S88" i="32"/>
  <c r="P91" i="32"/>
  <c r="Q92" i="32" s="1"/>
  <c r="Q71" i="32" s="1"/>
  <c r="Q97" i="32" s="1"/>
  <c r="T86" i="32"/>
  <c r="T85" i="32"/>
  <c r="X80" i="33"/>
  <c r="X79" i="33"/>
  <c r="L45" i="33"/>
  <c r="L24" i="33"/>
  <c r="L43" i="33" s="1"/>
  <c r="L95" i="33"/>
  <c r="M28" i="35"/>
  <c r="M38" i="35"/>
  <c r="M34" i="35" s="1"/>
  <c r="M26" i="35"/>
  <c r="J110" i="33"/>
  <c r="J108" i="33"/>
  <c r="J103" i="33"/>
  <c r="J104" i="33" s="1"/>
  <c r="J112" i="33"/>
  <c r="N70" i="34"/>
  <c r="O91" i="34"/>
  <c r="P92" i="34" s="1"/>
  <c r="P71" i="34" s="1"/>
  <c r="P97" i="34" s="1"/>
  <c r="K96" i="35"/>
  <c r="K98" i="35" s="1"/>
  <c r="K100" i="35" s="1"/>
  <c r="K101" i="35" s="1"/>
  <c r="K102" i="35" s="1"/>
  <c r="K43" i="32"/>
  <c r="L46" i="34"/>
  <c r="L40" i="34"/>
  <c r="L42" i="34" s="1"/>
  <c r="L94" i="34"/>
  <c r="L43" i="34"/>
  <c r="M38" i="33"/>
  <c r="M34" i="33" s="1"/>
  <c r="K67" i="33" s="1"/>
  <c r="M26" i="33"/>
  <c r="M28" i="33"/>
  <c r="L40" i="35"/>
  <c r="L94" i="35"/>
  <c r="L46" i="35"/>
  <c r="L43" i="35"/>
  <c r="K67" i="35"/>
  <c r="D18" i="30"/>
  <c r="C43" i="2"/>
  <c r="C94" i="2"/>
  <c r="C40" i="2"/>
  <c r="C42" i="2" s="1"/>
  <c r="C71" i="2"/>
  <c r="L53" i="34" l="1"/>
  <c r="L40" i="33"/>
  <c r="M30" i="33"/>
  <c r="M47" i="33" s="1"/>
  <c r="M30" i="32"/>
  <c r="M47" i="32" s="1"/>
  <c r="AB82" i="32"/>
  <c r="AB83" i="32"/>
  <c r="N32" i="34"/>
  <c r="N31" i="34"/>
  <c r="M30" i="35"/>
  <c r="M47" i="35" s="1"/>
  <c r="N32" i="35"/>
  <c r="N31" i="35"/>
  <c r="N32" i="33"/>
  <c r="N31" i="33"/>
  <c r="N32" i="32"/>
  <c r="N31" i="32"/>
  <c r="M30" i="34"/>
  <c r="M47" i="34" s="1"/>
  <c r="Q89" i="33"/>
  <c r="O92" i="35"/>
  <c r="O71" i="35" s="1"/>
  <c r="O97" i="35" s="1"/>
  <c r="L96" i="35"/>
  <c r="L98" i="35" s="1"/>
  <c r="L100" i="35" s="1"/>
  <c r="L101" i="35" s="1"/>
  <c r="L102" i="35" s="1"/>
  <c r="L110" i="35" s="1"/>
  <c r="O91" i="35"/>
  <c r="P91" i="35" s="1"/>
  <c r="R89" i="33"/>
  <c r="S88" i="33"/>
  <c r="L96" i="34"/>
  <c r="L98" i="34" s="1"/>
  <c r="L100" i="34" s="1"/>
  <c r="L101" i="34" s="1"/>
  <c r="L102" i="34" s="1"/>
  <c r="L103" i="34" s="1"/>
  <c r="L104" i="34" s="1"/>
  <c r="N70" i="33"/>
  <c r="O92" i="33"/>
  <c r="O71" i="33" s="1"/>
  <c r="O97" i="33" s="1"/>
  <c r="O91" i="33"/>
  <c r="L42" i="35"/>
  <c r="S89" i="33"/>
  <c r="L53" i="33"/>
  <c r="U88" i="34"/>
  <c r="V89" i="34" s="1"/>
  <c r="U89" i="34"/>
  <c r="AC82" i="34"/>
  <c r="R88" i="35"/>
  <c r="S89" i="35" s="1"/>
  <c r="R89" i="35"/>
  <c r="U85" i="32"/>
  <c r="U86" i="32"/>
  <c r="N38" i="33"/>
  <c r="N34" i="33" s="1"/>
  <c r="L67" i="33" s="1"/>
  <c r="N28" i="33"/>
  <c r="N26" i="33"/>
  <c r="M95" i="35"/>
  <c r="M45" i="35"/>
  <c r="M24" i="35"/>
  <c r="Q91" i="32"/>
  <c r="R91" i="32" s="1"/>
  <c r="R70" i="32" s="1"/>
  <c r="P70" i="32"/>
  <c r="T88" i="32"/>
  <c r="T89" i="32"/>
  <c r="K103" i="34"/>
  <c r="K104" i="34" s="1"/>
  <c r="K112" i="34"/>
  <c r="K110" i="34"/>
  <c r="K108" i="34"/>
  <c r="Y80" i="35"/>
  <c r="Y79" i="35"/>
  <c r="N38" i="32"/>
  <c r="N34" i="32" s="1"/>
  <c r="N28" i="32"/>
  <c r="N26" i="32"/>
  <c r="L42" i="33"/>
  <c r="K110" i="33"/>
  <c r="K108" i="33"/>
  <c r="K103" i="33"/>
  <c r="K104" i="33" s="1"/>
  <c r="K112" i="33"/>
  <c r="Q89" i="35"/>
  <c r="O70" i="35"/>
  <c r="Q91" i="35"/>
  <c r="W83" i="33"/>
  <c r="W82" i="33"/>
  <c r="L96" i="32"/>
  <c r="L98" i="32" s="1"/>
  <c r="L100" i="32" s="1"/>
  <c r="L101" i="32" s="1"/>
  <c r="L102" i="32" s="1"/>
  <c r="L55" i="35"/>
  <c r="L48" i="35"/>
  <c r="L57" i="35"/>
  <c r="M46" i="35"/>
  <c r="M94" i="35"/>
  <c r="M96" i="35" s="1"/>
  <c r="M98" i="35" s="1"/>
  <c r="M100" i="35" s="1"/>
  <c r="M101" i="35" s="1"/>
  <c r="M102" i="35" s="1"/>
  <c r="L67" i="35"/>
  <c r="N38" i="34"/>
  <c r="N34" i="34" s="1"/>
  <c r="M67" i="34" s="1"/>
  <c r="N26" i="34"/>
  <c r="N28" i="34"/>
  <c r="W85" i="34"/>
  <c r="W86" i="34"/>
  <c r="X86" i="33"/>
  <c r="X85" i="33"/>
  <c r="AA80" i="32"/>
  <c r="AA79" i="32"/>
  <c r="L42" i="32"/>
  <c r="M95" i="33"/>
  <c r="M45" i="33"/>
  <c r="M24" i="33"/>
  <c r="L48" i="34"/>
  <c r="L55" i="34"/>
  <c r="L57" i="34"/>
  <c r="P91" i="34"/>
  <c r="Q91" i="34" s="1"/>
  <c r="Q70" i="34" s="1"/>
  <c r="M46" i="32"/>
  <c r="M94" i="32"/>
  <c r="M40" i="32"/>
  <c r="L67" i="32"/>
  <c r="L48" i="33"/>
  <c r="L57" i="33"/>
  <c r="L55" i="33"/>
  <c r="M94" i="33"/>
  <c r="M46" i="33"/>
  <c r="M40" i="33"/>
  <c r="N26" i="35"/>
  <c r="N38" i="35"/>
  <c r="N34" i="35" s="1"/>
  <c r="N28" i="35"/>
  <c r="Y80" i="33"/>
  <c r="Y79" i="33"/>
  <c r="AA83" i="35"/>
  <c r="AA82" i="35"/>
  <c r="Q92" i="35"/>
  <c r="L96" i="33"/>
  <c r="L98" i="33" s="1"/>
  <c r="L100" i="33" s="1"/>
  <c r="L101" i="33" s="1"/>
  <c r="L102" i="33" s="1"/>
  <c r="X85" i="35"/>
  <c r="X86" i="35"/>
  <c r="P92" i="35"/>
  <c r="P71" i="35" s="1"/>
  <c r="P97" i="35" s="1"/>
  <c r="P70" i="35"/>
  <c r="S88" i="35"/>
  <c r="M95" i="34"/>
  <c r="M45" i="34"/>
  <c r="M24" i="34"/>
  <c r="M43" i="34" s="1"/>
  <c r="L53" i="32"/>
  <c r="Y80" i="34"/>
  <c r="Y79" i="34"/>
  <c r="K110" i="35"/>
  <c r="K108" i="35"/>
  <c r="K103" i="35"/>
  <c r="K104" i="35" s="1"/>
  <c r="K112" i="35"/>
  <c r="O70" i="34"/>
  <c r="M45" i="32"/>
  <c r="M24" i="32"/>
  <c r="M95" i="32"/>
  <c r="K103" i="32"/>
  <c r="K104" i="32" s="1"/>
  <c r="K110" i="32"/>
  <c r="K112" i="32"/>
  <c r="K108" i="32"/>
  <c r="M46" i="34"/>
  <c r="M94" i="34"/>
  <c r="L55" i="32"/>
  <c r="L57" i="32"/>
  <c r="L48" i="32"/>
  <c r="L18" i="30"/>
  <c r="H18" i="30"/>
  <c r="C20" i="31"/>
  <c r="C14" i="31"/>
  <c r="L110" i="34" l="1"/>
  <c r="L108" i="34"/>
  <c r="M40" i="34"/>
  <c r="M42" i="34" s="1"/>
  <c r="M53" i="32"/>
  <c r="L112" i="34"/>
  <c r="L112" i="35"/>
  <c r="M53" i="33"/>
  <c r="N30" i="32"/>
  <c r="N47" i="32" s="1"/>
  <c r="N30" i="35"/>
  <c r="N47" i="35" s="1"/>
  <c r="M53" i="35"/>
  <c r="M40" i="35"/>
  <c r="M42" i="35" s="1"/>
  <c r="AC82" i="32"/>
  <c r="AC83" i="32"/>
  <c r="L103" i="35"/>
  <c r="L104" i="35" s="1"/>
  <c r="L108" i="35"/>
  <c r="O32" i="35"/>
  <c r="O31" i="35"/>
  <c r="O32" i="34"/>
  <c r="O31" i="34"/>
  <c r="O32" i="32"/>
  <c r="O31" i="32"/>
  <c r="O32" i="33"/>
  <c r="O31" i="33"/>
  <c r="N30" i="33"/>
  <c r="N47" i="33" s="1"/>
  <c r="N30" i="34"/>
  <c r="N47" i="34" s="1"/>
  <c r="M96" i="33"/>
  <c r="M98" i="33" s="1"/>
  <c r="M100" i="33" s="1"/>
  <c r="M101" i="33" s="1"/>
  <c r="M102" i="33" s="1"/>
  <c r="M108" i="33" s="1"/>
  <c r="T88" i="33"/>
  <c r="U89" i="33" s="1"/>
  <c r="M53" i="34"/>
  <c r="Q71" i="35"/>
  <c r="Q97" i="35" s="1"/>
  <c r="M43" i="35"/>
  <c r="O70" i="33"/>
  <c r="P91" i="33"/>
  <c r="P92" i="33"/>
  <c r="P71" i="33" s="1"/>
  <c r="P97" i="33" s="1"/>
  <c r="T89" i="33"/>
  <c r="M42" i="33"/>
  <c r="M43" i="33"/>
  <c r="AD83" i="34"/>
  <c r="AD82" i="34"/>
  <c r="V88" i="34"/>
  <c r="W89" i="34" s="1"/>
  <c r="M57" i="34"/>
  <c r="M48" i="34"/>
  <c r="M55" i="34"/>
  <c r="M48" i="33"/>
  <c r="M55" i="33"/>
  <c r="M57" i="33"/>
  <c r="R92" i="35"/>
  <c r="R71" i="35" s="1"/>
  <c r="R97" i="35" s="1"/>
  <c r="M96" i="32"/>
  <c r="M98" i="32" s="1"/>
  <c r="M100" i="32" s="1"/>
  <c r="M101" i="32" s="1"/>
  <c r="M102" i="32" s="1"/>
  <c r="Q92" i="34"/>
  <c r="Q71" i="34" s="1"/>
  <c r="Q97" i="34" s="1"/>
  <c r="P70" i="34"/>
  <c r="AB80" i="32"/>
  <c r="AB79" i="32"/>
  <c r="Y86" i="33"/>
  <c r="Y85" i="33"/>
  <c r="X86" i="34"/>
  <c r="X85" i="34"/>
  <c r="O26" i="34"/>
  <c r="O38" i="34"/>
  <c r="O34" i="34" s="1"/>
  <c r="N67" i="34" s="1"/>
  <c r="O28" i="34"/>
  <c r="M112" i="35"/>
  <c r="M110" i="35"/>
  <c r="M108" i="35"/>
  <c r="M103" i="35"/>
  <c r="M104" i="35" s="1"/>
  <c r="O26" i="32"/>
  <c r="O38" i="32"/>
  <c r="O34" i="32" s="1"/>
  <c r="N67" i="32" s="1"/>
  <c r="O28" i="32"/>
  <c r="U88" i="32"/>
  <c r="O38" i="33"/>
  <c r="O34" i="33" s="1"/>
  <c r="M67" i="33" s="1"/>
  <c r="O26" i="33"/>
  <c r="O28" i="33"/>
  <c r="R91" i="34"/>
  <c r="Q70" i="35"/>
  <c r="T89" i="35"/>
  <c r="O28" i="35"/>
  <c r="O26" i="35"/>
  <c r="O38" i="35"/>
  <c r="O34" i="35" s="1"/>
  <c r="M57" i="32"/>
  <c r="M48" i="32"/>
  <c r="M55" i="32"/>
  <c r="N95" i="34"/>
  <c r="N24" i="34"/>
  <c r="N43" i="34" s="1"/>
  <c r="N45" i="34"/>
  <c r="R91" i="35"/>
  <c r="R70" i="35" s="1"/>
  <c r="N94" i="32"/>
  <c r="N46" i="32"/>
  <c r="N40" i="32"/>
  <c r="M67" i="32"/>
  <c r="N94" i="33"/>
  <c r="N46" i="33"/>
  <c r="N40" i="33"/>
  <c r="M96" i="34"/>
  <c r="M98" i="34" s="1"/>
  <c r="M100" i="34" s="1"/>
  <c r="M101" i="34" s="1"/>
  <c r="M102" i="34" s="1"/>
  <c r="Z80" i="34"/>
  <c r="Z79" i="34"/>
  <c r="L108" i="33"/>
  <c r="L103" i="33"/>
  <c r="L104" i="33" s="1"/>
  <c r="L112" i="33"/>
  <c r="L110" i="33"/>
  <c r="AB83" i="35"/>
  <c r="AB82" i="35"/>
  <c r="Z80" i="33"/>
  <c r="Z79" i="33"/>
  <c r="N46" i="35"/>
  <c r="N94" i="35"/>
  <c r="M67" i="35"/>
  <c r="M43" i="32"/>
  <c r="N46" i="34"/>
  <c r="N40" i="34"/>
  <c r="N94" i="34"/>
  <c r="M57" i="35"/>
  <c r="M48" i="35"/>
  <c r="M55" i="35"/>
  <c r="L110" i="32"/>
  <c r="L103" i="32"/>
  <c r="L104" i="32" s="1"/>
  <c r="L108" i="32"/>
  <c r="L112" i="32"/>
  <c r="T88" i="35"/>
  <c r="Z80" i="35"/>
  <c r="Z79" i="35"/>
  <c r="U89" i="32"/>
  <c r="S92" i="32"/>
  <c r="S71" i="32" s="1"/>
  <c r="S97" i="32" s="1"/>
  <c r="Q70" i="32"/>
  <c r="R92" i="32"/>
  <c r="R71" i="32" s="1"/>
  <c r="R97" i="32" s="1"/>
  <c r="S91" i="32"/>
  <c r="S70" i="32" s="1"/>
  <c r="V86" i="32"/>
  <c r="V85" i="32"/>
  <c r="R92" i="34"/>
  <c r="R71" i="34" s="1"/>
  <c r="R97" i="34" s="1"/>
  <c r="Y85" i="35"/>
  <c r="Y86" i="35"/>
  <c r="N95" i="35"/>
  <c r="N45" i="35"/>
  <c r="N24" i="35"/>
  <c r="N43" i="35" s="1"/>
  <c r="M42" i="32"/>
  <c r="X83" i="33"/>
  <c r="X82" i="33"/>
  <c r="N95" i="32"/>
  <c r="N24" i="32"/>
  <c r="N43" i="32" s="1"/>
  <c r="N45" i="32"/>
  <c r="N95" i="33"/>
  <c r="N24" i="33"/>
  <c r="N45" i="33"/>
  <c r="F18" i="30"/>
  <c r="J18" i="30"/>
  <c r="C10" i="31"/>
  <c r="D14" i="31"/>
  <c r="N40" i="35" l="1"/>
  <c r="N53" i="33"/>
  <c r="N53" i="34"/>
  <c r="O30" i="33"/>
  <c r="O47" i="33" s="1"/>
  <c r="O30" i="34"/>
  <c r="O47" i="34" s="1"/>
  <c r="M110" i="33"/>
  <c r="AD82" i="32"/>
  <c r="AD83" i="32"/>
  <c r="AE83" i="32"/>
  <c r="M103" i="33"/>
  <c r="M104" i="33" s="1"/>
  <c r="M112" i="33"/>
  <c r="P32" i="34"/>
  <c r="P31" i="34"/>
  <c r="E5" i="36"/>
  <c r="E7" i="37"/>
  <c r="E9" i="37" s="1"/>
  <c r="P32" i="35"/>
  <c r="P31" i="35"/>
  <c r="P32" i="33"/>
  <c r="P31" i="33"/>
  <c r="P32" i="32"/>
  <c r="P31" i="32"/>
  <c r="O30" i="32"/>
  <c r="O47" i="32" s="1"/>
  <c r="O30" i="35"/>
  <c r="O47" i="35" s="1"/>
  <c r="U88" i="33"/>
  <c r="V89" i="33" s="1"/>
  <c r="N96" i="34"/>
  <c r="N98" i="34" s="1"/>
  <c r="N100" i="34" s="1"/>
  <c r="N101" i="34" s="1"/>
  <c r="N102" i="34" s="1"/>
  <c r="N103" i="34" s="1"/>
  <c r="N104" i="34" s="1"/>
  <c r="T91" i="32"/>
  <c r="T70" i="32" s="1"/>
  <c r="P70" i="33"/>
  <c r="Q91" i="33"/>
  <c r="R92" i="33" s="1"/>
  <c r="R71" i="33" s="1"/>
  <c r="R97" i="33" s="1"/>
  <c r="Q92" i="33"/>
  <c r="Q71" i="33" s="1"/>
  <c r="Q97" i="33" s="1"/>
  <c r="N53" i="32"/>
  <c r="N42" i="34"/>
  <c r="T92" i="32"/>
  <c r="T71" i="32" s="1"/>
  <c r="T97" i="32" s="1"/>
  <c r="W88" i="34"/>
  <c r="X88" i="34" s="1"/>
  <c r="AE83" i="34"/>
  <c r="AE82" i="34"/>
  <c r="U91" i="32"/>
  <c r="V92" i="32" s="1"/>
  <c r="Y83" i="33"/>
  <c r="Y82" i="33"/>
  <c r="N57" i="34"/>
  <c r="N55" i="34"/>
  <c r="N48" i="34"/>
  <c r="N42" i="35"/>
  <c r="AA80" i="34"/>
  <c r="AA79" i="34"/>
  <c r="N96" i="33"/>
  <c r="N98" i="33" s="1"/>
  <c r="N100" i="33" s="1"/>
  <c r="N101" i="33" s="1"/>
  <c r="N102" i="33" s="1"/>
  <c r="N96" i="32"/>
  <c r="N98" i="32" s="1"/>
  <c r="N100" i="32" s="1"/>
  <c r="N101" i="32" s="1"/>
  <c r="N102" i="32" s="1"/>
  <c r="O40" i="35"/>
  <c r="O94" i="35"/>
  <c r="O46" i="35"/>
  <c r="N67" i="35"/>
  <c r="R70" i="34"/>
  <c r="S91" i="34"/>
  <c r="T92" i="34" s="1"/>
  <c r="T71" i="34" s="1"/>
  <c r="T97" i="34" s="1"/>
  <c r="S92" i="34"/>
  <c r="S71" i="34" s="1"/>
  <c r="S97" i="34" s="1"/>
  <c r="O46" i="33"/>
  <c r="O94" i="33"/>
  <c r="O45" i="32"/>
  <c r="O24" i="32"/>
  <c r="O53" i="32" s="1"/>
  <c r="O95" i="32"/>
  <c r="Z85" i="35"/>
  <c r="Z86" i="35"/>
  <c r="N57" i="35"/>
  <c r="N48" i="35"/>
  <c r="N55" i="35"/>
  <c r="N42" i="33"/>
  <c r="S91" i="35"/>
  <c r="S70" i="35" s="1"/>
  <c r="S92" i="35"/>
  <c r="S71" i="35" s="1"/>
  <c r="S97" i="35" s="1"/>
  <c r="O24" i="35"/>
  <c r="O43" i="35" s="1"/>
  <c r="O95" i="35"/>
  <c r="O45" i="35"/>
  <c r="V89" i="32"/>
  <c r="V88" i="32"/>
  <c r="P26" i="34"/>
  <c r="P38" i="34"/>
  <c r="P34" i="34" s="1"/>
  <c r="O67" i="34" s="1"/>
  <c r="P28" i="34"/>
  <c r="Y86" i="34"/>
  <c r="Y85" i="34"/>
  <c r="AC80" i="32"/>
  <c r="AC79" i="32"/>
  <c r="W85" i="32"/>
  <c r="W86" i="32"/>
  <c r="AA80" i="35"/>
  <c r="AA79" i="35"/>
  <c r="U89" i="35"/>
  <c r="U88" i="35"/>
  <c r="N53" i="35"/>
  <c r="AA80" i="33"/>
  <c r="AA79" i="33"/>
  <c r="AC83" i="35"/>
  <c r="AC82" i="35"/>
  <c r="M112" i="34"/>
  <c r="M110" i="34"/>
  <c r="M108" i="34"/>
  <c r="M103" i="34"/>
  <c r="M104" i="34" s="1"/>
  <c r="N48" i="33"/>
  <c r="N57" i="33"/>
  <c r="N55" i="33"/>
  <c r="N42" i="32"/>
  <c r="P28" i="35"/>
  <c r="P26" i="35"/>
  <c r="P38" i="35"/>
  <c r="P34" i="35" s="1"/>
  <c r="O67" i="35" s="1"/>
  <c r="P26" i="33"/>
  <c r="P28" i="33"/>
  <c r="P38" i="33"/>
  <c r="P34" i="33" s="1"/>
  <c r="N67" i="33" s="1"/>
  <c r="P26" i="32"/>
  <c r="P38" i="32"/>
  <c r="P34" i="32" s="1"/>
  <c r="O67" i="32" s="1"/>
  <c r="P28" i="32"/>
  <c r="O40" i="34"/>
  <c r="O94" i="34"/>
  <c r="O46" i="34"/>
  <c r="M108" i="32"/>
  <c r="M112" i="32"/>
  <c r="M103" i="32"/>
  <c r="M104" i="32" s="1"/>
  <c r="M110" i="32"/>
  <c r="N96" i="35"/>
  <c r="N98" i="35" s="1"/>
  <c r="N100" i="35" s="1"/>
  <c r="N101" i="35" s="1"/>
  <c r="N102" i="35" s="1"/>
  <c r="N43" i="33"/>
  <c r="U92" i="32"/>
  <c r="U71" i="32" s="1"/>
  <c r="U97" i="32" s="1"/>
  <c r="N48" i="32"/>
  <c r="N57" i="32"/>
  <c r="N55" i="32"/>
  <c r="O45" i="33"/>
  <c r="O24" i="33"/>
  <c r="O43" i="33" s="1"/>
  <c r="O95" i="33"/>
  <c r="O40" i="32"/>
  <c r="O42" i="32" s="1"/>
  <c r="O94" i="32"/>
  <c r="O46" i="32"/>
  <c r="O45" i="34"/>
  <c r="O95" i="34"/>
  <c r="O24" i="34"/>
  <c r="O53" i="34" s="1"/>
  <c r="Z86" i="33"/>
  <c r="Z85" i="33"/>
  <c r="E7" i="36"/>
  <c r="C22" i="31"/>
  <c r="AC10" i="31"/>
  <c r="C30" i="31"/>
  <c r="C29" i="31"/>
  <c r="C21" i="31"/>
  <c r="O40" i="33" l="1"/>
  <c r="P30" i="32"/>
  <c r="P47" i="32" s="1"/>
  <c r="P30" i="35"/>
  <c r="P47" i="35" s="1"/>
  <c r="P30" i="34"/>
  <c r="P47" i="34" s="1"/>
  <c r="N110" i="34"/>
  <c r="N108" i="34"/>
  <c r="V88" i="33"/>
  <c r="W89" i="33" s="1"/>
  <c r="AE82" i="32"/>
  <c r="N112" i="34"/>
  <c r="Q32" i="32"/>
  <c r="Q31" i="32"/>
  <c r="Q32" i="33"/>
  <c r="Q31" i="33"/>
  <c r="Q32" i="35"/>
  <c r="Q31" i="35"/>
  <c r="Q32" i="34"/>
  <c r="Q31" i="34"/>
  <c r="P30" i="33"/>
  <c r="P47" i="33" s="1"/>
  <c r="W88" i="33"/>
  <c r="X89" i="33" s="1"/>
  <c r="O43" i="32"/>
  <c r="T91" i="35"/>
  <c r="U91" i="35" s="1"/>
  <c r="V92" i="35" s="1"/>
  <c r="O96" i="32"/>
  <c r="O98" i="32" s="1"/>
  <c r="O100" i="32" s="1"/>
  <c r="O101" i="32" s="1"/>
  <c r="O102" i="32" s="1"/>
  <c r="O103" i="32" s="1"/>
  <c r="O104" i="32" s="1"/>
  <c r="Q70" i="33"/>
  <c r="R91" i="33"/>
  <c r="S92" i="33" s="1"/>
  <c r="S71" i="33" s="1"/>
  <c r="S97" i="33" s="1"/>
  <c r="O96" i="34"/>
  <c r="O98" i="34" s="1"/>
  <c r="O100" i="34" s="1"/>
  <c r="O101" i="34" s="1"/>
  <c r="O102" i="34" s="1"/>
  <c r="O108" i="34" s="1"/>
  <c r="X88" i="33"/>
  <c r="V71" i="32"/>
  <c r="V97" i="32" s="1"/>
  <c r="X89" i="34"/>
  <c r="Y88" i="34"/>
  <c r="Z89" i="34" s="1"/>
  <c r="AF83" i="34"/>
  <c r="AF82" i="34"/>
  <c r="Y89" i="34"/>
  <c r="P46" i="33"/>
  <c r="P40" i="33"/>
  <c r="P94" i="33"/>
  <c r="P95" i="35"/>
  <c r="P45" i="35"/>
  <c r="P24" i="35"/>
  <c r="AD80" i="32"/>
  <c r="AD79" i="32"/>
  <c r="P24" i="34"/>
  <c r="P43" i="34" s="1"/>
  <c r="P95" i="34"/>
  <c r="P45" i="34"/>
  <c r="O42" i="34"/>
  <c r="P46" i="32"/>
  <c r="P40" i="32"/>
  <c r="P94" i="32"/>
  <c r="Q26" i="33"/>
  <c r="Q38" i="33"/>
  <c r="Q34" i="33" s="1"/>
  <c r="O67" i="33" s="1"/>
  <c r="O5" i="30" s="1"/>
  <c r="Q28" i="33"/>
  <c r="Q38" i="35"/>
  <c r="Q34" i="35" s="1"/>
  <c r="P67" i="35" s="1"/>
  <c r="O7" i="30" s="1"/>
  <c r="Q26" i="35"/>
  <c r="Q28" i="35"/>
  <c r="AD83" i="35"/>
  <c r="AD82" i="35"/>
  <c r="T70" i="35"/>
  <c r="W88" i="32"/>
  <c r="W89" i="32"/>
  <c r="U92" i="35"/>
  <c r="U71" i="35" s="1"/>
  <c r="U97" i="35" s="1"/>
  <c r="O96" i="33"/>
  <c r="O98" i="33" s="1"/>
  <c r="O100" i="33" s="1"/>
  <c r="O101" i="33" s="1"/>
  <c r="O102" i="33" s="1"/>
  <c r="O96" i="35"/>
  <c r="O98" i="35" s="1"/>
  <c r="O100" i="35" s="1"/>
  <c r="O101" i="35" s="1"/>
  <c r="O102" i="35" s="1"/>
  <c r="N103" i="33"/>
  <c r="N104" i="33" s="1"/>
  <c r="N112" i="33"/>
  <c r="N108" i="33"/>
  <c r="N110" i="33"/>
  <c r="O43" i="34"/>
  <c r="P45" i="33"/>
  <c r="P24" i="33"/>
  <c r="P43" i="33" s="1"/>
  <c r="P95" i="33"/>
  <c r="AB80" i="35"/>
  <c r="AB79" i="35"/>
  <c r="X85" i="32"/>
  <c r="X86" i="32"/>
  <c r="Q28" i="34"/>
  <c r="Q26" i="34"/>
  <c r="Q38" i="34"/>
  <c r="Q34" i="34" s="1"/>
  <c r="P67" i="34" s="1"/>
  <c r="O6" i="30" s="1"/>
  <c r="AA85" i="35"/>
  <c r="AA86" i="35"/>
  <c r="O42" i="33"/>
  <c r="O42" i="35"/>
  <c r="O57" i="32"/>
  <c r="O55" i="32"/>
  <c r="O48" i="32"/>
  <c r="P24" i="32"/>
  <c r="P53" i="32" s="1"/>
  <c r="P95" i="32"/>
  <c r="P45" i="32"/>
  <c r="AA86" i="33"/>
  <c r="AA85" i="33"/>
  <c r="N112" i="35"/>
  <c r="N110" i="35"/>
  <c r="N108" i="35"/>
  <c r="N103" i="35"/>
  <c r="N104" i="35" s="1"/>
  <c r="O57" i="34"/>
  <c r="O55" i="34"/>
  <c r="O48" i="34"/>
  <c r="P43" i="35"/>
  <c r="P94" i="35"/>
  <c r="P46" i="35"/>
  <c r="AB80" i="33"/>
  <c r="AB79" i="33"/>
  <c r="U70" i="35"/>
  <c r="V89" i="35"/>
  <c r="V71" i="35" s="1"/>
  <c r="V97" i="35" s="1"/>
  <c r="V88" i="35"/>
  <c r="P94" i="34"/>
  <c r="P46" i="34"/>
  <c r="T92" i="35"/>
  <c r="T71" i="35" s="1"/>
  <c r="T97" i="35" s="1"/>
  <c r="O48" i="33"/>
  <c r="O55" i="33"/>
  <c r="O57" i="33"/>
  <c r="S70" i="34"/>
  <c r="T91" i="34"/>
  <c r="O53" i="35"/>
  <c r="Z83" i="33"/>
  <c r="Z82" i="33"/>
  <c r="O112" i="32"/>
  <c r="O108" i="32"/>
  <c r="Q26" i="32"/>
  <c r="Q38" i="32"/>
  <c r="Q34" i="32" s="1"/>
  <c r="P67" i="32" s="1"/>
  <c r="Q28" i="32"/>
  <c r="Z85" i="34"/>
  <c r="Z86" i="34"/>
  <c r="O53" i="33"/>
  <c r="O57" i="35"/>
  <c r="O48" i="35"/>
  <c r="O55" i="35"/>
  <c r="N110" i="32"/>
  <c r="N112" i="32"/>
  <c r="N108" i="32"/>
  <c r="N103" i="32"/>
  <c r="N104" i="32" s="1"/>
  <c r="AB80" i="34"/>
  <c r="AB79" i="34"/>
  <c r="U70" i="32"/>
  <c r="V91" i="32"/>
  <c r="B15" i="30"/>
  <c r="AB10" i="2"/>
  <c r="AB8" i="2"/>
  <c r="O110" i="32" l="1"/>
  <c r="P40" i="34"/>
  <c r="P42" i="34" s="1"/>
  <c r="P40" i="35"/>
  <c r="P53" i="35"/>
  <c r="Q30" i="34"/>
  <c r="Q47" i="34" s="1"/>
  <c r="Q30" i="33"/>
  <c r="Q47" i="33" s="1"/>
  <c r="AF82" i="32"/>
  <c r="AF83" i="32"/>
  <c r="R32" i="32"/>
  <c r="R31" i="32"/>
  <c r="R32" i="34"/>
  <c r="R31" i="34"/>
  <c r="R32" i="33"/>
  <c r="R31" i="33"/>
  <c r="R32" i="35"/>
  <c r="R31" i="35"/>
  <c r="Q30" i="35"/>
  <c r="Q47" i="35" s="1"/>
  <c r="Q30" i="32"/>
  <c r="Q47" i="32" s="1"/>
  <c r="Y88" i="33"/>
  <c r="Z89" i="33" s="1"/>
  <c r="O110" i="34"/>
  <c r="C111" i="34" s="1"/>
  <c r="Q6" i="30" s="1"/>
  <c r="P96" i="35"/>
  <c r="P98" i="35" s="1"/>
  <c r="P100" i="35" s="1"/>
  <c r="P101" i="35" s="1"/>
  <c r="P102" i="35" s="1"/>
  <c r="P110" i="35" s="1"/>
  <c r="O112" i="34"/>
  <c r="C113" i="34" s="1"/>
  <c r="R6" i="30" s="1"/>
  <c r="O103" i="34"/>
  <c r="O104" i="34" s="1"/>
  <c r="P42" i="35"/>
  <c r="Z88" i="33"/>
  <c r="AA88" i="33" s="1"/>
  <c r="AB89" i="33" s="1"/>
  <c r="V91" i="35"/>
  <c r="P96" i="34"/>
  <c r="P98" i="34" s="1"/>
  <c r="P100" i="34" s="1"/>
  <c r="P101" i="34" s="1"/>
  <c r="P102" i="34" s="1"/>
  <c r="P103" i="34" s="1"/>
  <c r="P104" i="34" s="1"/>
  <c r="S91" i="33"/>
  <c r="T91" i="33" s="1"/>
  <c r="T70" i="33" s="1"/>
  <c r="R70" i="33"/>
  <c r="P53" i="34"/>
  <c r="Y89" i="33"/>
  <c r="P96" i="32"/>
  <c r="P98" i="32" s="1"/>
  <c r="P100" i="32" s="1"/>
  <c r="P101" i="32" s="1"/>
  <c r="P102" i="32" s="1"/>
  <c r="P110" i="32" s="1"/>
  <c r="AG82" i="34"/>
  <c r="AG83" i="34"/>
  <c r="Z88" i="34"/>
  <c r="R38" i="32"/>
  <c r="R34" i="32" s="1"/>
  <c r="Q67" i="32" s="1"/>
  <c r="R26" i="32"/>
  <c r="B4" i="30" s="1"/>
  <c r="R28" i="32"/>
  <c r="C109" i="32"/>
  <c r="AB85" i="35"/>
  <c r="AB86" i="35"/>
  <c r="R38" i="34"/>
  <c r="R34" i="34" s="1"/>
  <c r="R26" i="34"/>
  <c r="R28" i="34"/>
  <c r="W91" i="32"/>
  <c r="W92" i="32"/>
  <c r="V70" i="32"/>
  <c r="Q40" i="32"/>
  <c r="Q94" i="32"/>
  <c r="Q46" i="32"/>
  <c r="C113" i="32"/>
  <c r="AA83" i="33"/>
  <c r="AA82" i="33"/>
  <c r="U91" i="34"/>
  <c r="T70" i="34"/>
  <c r="U92" i="34"/>
  <c r="U71" i="34" s="1"/>
  <c r="U97" i="34" s="1"/>
  <c r="P55" i="35"/>
  <c r="P57" i="35"/>
  <c r="P48" i="35"/>
  <c r="AB86" i="33"/>
  <c r="AB85" i="33"/>
  <c r="O108" i="35"/>
  <c r="C109" i="35" s="1"/>
  <c r="O103" i="35"/>
  <c r="O104" i="35" s="1"/>
  <c r="O112" i="35"/>
  <c r="C113" i="35" s="1"/>
  <c r="O110" i="35"/>
  <c r="C111" i="35" s="1"/>
  <c r="W71" i="32"/>
  <c r="W97" i="32" s="1"/>
  <c r="AE83" i="35"/>
  <c r="AE82" i="35"/>
  <c r="Q46" i="35"/>
  <c r="Q94" i="35"/>
  <c r="P43" i="32"/>
  <c r="P96" i="33"/>
  <c r="P98" i="33" s="1"/>
  <c r="P100" i="33" s="1"/>
  <c r="P101" i="33" s="1"/>
  <c r="P102" i="33" s="1"/>
  <c r="AC80" i="33"/>
  <c r="AC79" i="33"/>
  <c r="Q46" i="34"/>
  <c r="Q40" i="34"/>
  <c r="Q94" i="34"/>
  <c r="D6" i="30" s="1"/>
  <c r="O110" i="33"/>
  <c r="C111" i="33" s="1"/>
  <c r="O103" i="33"/>
  <c r="O104" i="33" s="1"/>
  <c r="O108" i="33"/>
  <c r="C109" i="33" s="1"/>
  <c r="O112" i="33"/>
  <c r="C113" i="33" s="1"/>
  <c r="X89" i="32"/>
  <c r="X88" i="32"/>
  <c r="R38" i="33"/>
  <c r="R34" i="33" s="1"/>
  <c r="P67" i="33" s="1"/>
  <c r="R28" i="33"/>
  <c r="R26" i="33"/>
  <c r="AE80" i="32"/>
  <c r="AE79" i="32"/>
  <c r="P42" i="33"/>
  <c r="Q24" i="32"/>
  <c r="Q43" i="32" s="1"/>
  <c r="Q95" i="32"/>
  <c r="Q45" i="32"/>
  <c r="C109" i="34"/>
  <c r="P6" i="30"/>
  <c r="P55" i="34"/>
  <c r="P57" i="34"/>
  <c r="P48" i="34"/>
  <c r="AA85" i="34"/>
  <c r="AA86" i="34"/>
  <c r="C111" i="32"/>
  <c r="V70" i="35"/>
  <c r="W89" i="35"/>
  <c r="W88" i="35"/>
  <c r="Q95" i="34"/>
  <c r="Q45" i="34"/>
  <c r="Q24" i="34"/>
  <c r="Q43" i="34" s="1"/>
  <c r="Y85" i="32"/>
  <c r="Y86" i="32"/>
  <c r="R26" i="35"/>
  <c r="R28" i="35"/>
  <c r="R38" i="35"/>
  <c r="R34" i="35" s="1"/>
  <c r="Q94" i="33"/>
  <c r="Q40" i="33"/>
  <c r="Q46" i="33"/>
  <c r="P42" i="32"/>
  <c r="P48" i="33"/>
  <c r="P57" i="33"/>
  <c r="P55" i="33"/>
  <c r="AC80" i="34"/>
  <c r="AC79" i="34"/>
  <c r="AC80" i="35"/>
  <c r="AC79" i="35"/>
  <c r="Q95" i="35"/>
  <c r="Q45" i="35"/>
  <c r="Q24" i="35"/>
  <c r="Q95" i="33"/>
  <c r="Q45" i="33"/>
  <c r="Q24" i="33"/>
  <c r="Q53" i="33" s="1"/>
  <c r="P55" i="32"/>
  <c r="P57" i="32"/>
  <c r="P48" i="32"/>
  <c r="P53" i="33"/>
  <c r="B5" i="30"/>
  <c r="E10" i="2"/>
  <c r="C10" i="2"/>
  <c r="C47" i="2" s="1"/>
  <c r="D10" i="2"/>
  <c r="D8" i="2"/>
  <c r="P108" i="34" l="1"/>
  <c r="P112" i="32"/>
  <c r="P108" i="35"/>
  <c r="Q53" i="35"/>
  <c r="P112" i="35"/>
  <c r="Q40" i="35"/>
  <c r="Q42" i="35" s="1"/>
  <c r="P103" i="35"/>
  <c r="P104" i="35" s="1"/>
  <c r="AA89" i="33"/>
  <c r="AG82" i="32"/>
  <c r="AG83" i="32"/>
  <c r="S32" i="33"/>
  <c r="S31" i="33"/>
  <c r="S32" i="32"/>
  <c r="S31" i="32"/>
  <c r="R30" i="35"/>
  <c r="R47" i="35" s="1"/>
  <c r="R30" i="34"/>
  <c r="R47" i="34" s="1"/>
  <c r="S32" i="35"/>
  <c r="S31" i="35"/>
  <c r="S32" i="34"/>
  <c r="S31" i="34"/>
  <c r="R30" i="33"/>
  <c r="R47" i="33" s="1"/>
  <c r="R30" i="32"/>
  <c r="R47" i="32" s="1"/>
  <c r="P112" i="34"/>
  <c r="P110" i="34"/>
  <c r="P108" i="32"/>
  <c r="W92" i="35"/>
  <c r="W71" i="35" s="1"/>
  <c r="W97" i="35" s="1"/>
  <c r="W91" i="35"/>
  <c r="P103" i="32"/>
  <c r="P104" i="32" s="1"/>
  <c r="U92" i="33"/>
  <c r="U71" i="33" s="1"/>
  <c r="U97" i="33" s="1"/>
  <c r="T92" i="33"/>
  <c r="T71" i="33" s="1"/>
  <c r="T97" i="33" s="1"/>
  <c r="U91" i="33"/>
  <c r="S70" i="33"/>
  <c r="AB88" i="33"/>
  <c r="Q42" i="34"/>
  <c r="AH83" i="34"/>
  <c r="AH82" i="34"/>
  <c r="Q53" i="34"/>
  <c r="Q43" i="35"/>
  <c r="AA88" i="34"/>
  <c r="AB89" i="34" s="1"/>
  <c r="AA89" i="34"/>
  <c r="R46" i="35"/>
  <c r="R40" i="35"/>
  <c r="R94" i="35"/>
  <c r="S26" i="33"/>
  <c r="S38" i="33"/>
  <c r="S34" i="33" s="1"/>
  <c r="S28" i="33"/>
  <c r="AF83" i="35"/>
  <c r="AF82" i="35"/>
  <c r="AD80" i="34"/>
  <c r="AD79" i="34"/>
  <c r="Q55" i="33"/>
  <c r="Q57" i="33"/>
  <c r="Q48" i="33"/>
  <c r="S38" i="35"/>
  <c r="S34" i="35" s="1"/>
  <c r="S28" i="35"/>
  <c r="S26" i="35"/>
  <c r="R46" i="33"/>
  <c r="R94" i="33"/>
  <c r="Q57" i="34"/>
  <c r="Q48" i="34"/>
  <c r="Q55" i="34"/>
  <c r="Q96" i="35"/>
  <c r="Q98" i="35" s="1"/>
  <c r="Q100" i="35" s="1"/>
  <c r="AB83" i="33"/>
  <c r="AB82" i="33"/>
  <c r="Q96" i="32"/>
  <c r="Q98" i="32" s="1"/>
  <c r="Q100" i="32" s="1"/>
  <c r="Q101" i="32" s="1"/>
  <c r="Q102" i="32" s="1"/>
  <c r="R46" i="34"/>
  <c r="R94" i="34"/>
  <c r="S26" i="32"/>
  <c r="S28" i="32"/>
  <c r="S38" i="32"/>
  <c r="S34" i="32" s="1"/>
  <c r="R67" i="32" s="1"/>
  <c r="AD80" i="35"/>
  <c r="AD79" i="35"/>
  <c r="Q42" i="33"/>
  <c r="P108" i="33"/>
  <c r="P103" i="33"/>
  <c r="P104" i="33" s="1"/>
  <c r="P112" i="33"/>
  <c r="P110" i="33"/>
  <c r="Q53" i="32"/>
  <c r="X91" i="32"/>
  <c r="X92" i="32"/>
  <c r="X71" i="32" s="1"/>
  <c r="X97" i="32" s="1"/>
  <c r="R95" i="32"/>
  <c r="R45" i="32"/>
  <c r="R24" i="32"/>
  <c r="R43" i="32" s="1"/>
  <c r="R24" i="35"/>
  <c r="R43" i="35" s="1"/>
  <c r="R95" i="35"/>
  <c r="R45" i="35"/>
  <c r="B7" i="30"/>
  <c r="X88" i="35"/>
  <c r="X89" i="35"/>
  <c r="Y88" i="32"/>
  <c r="Y89" i="32"/>
  <c r="AD80" i="33"/>
  <c r="AD79" i="33"/>
  <c r="Q96" i="33"/>
  <c r="Q98" i="33" s="1"/>
  <c r="Q100" i="33" s="1"/>
  <c r="Q101" i="33" s="1"/>
  <c r="Q102" i="33" s="1"/>
  <c r="AB85" i="34"/>
  <c r="AB86" i="34"/>
  <c r="R45" i="33"/>
  <c r="R95" i="33"/>
  <c r="R24" i="33"/>
  <c r="R53" i="33" s="1"/>
  <c r="Q96" i="34"/>
  <c r="Q98" i="34" s="1"/>
  <c r="Q100" i="34" s="1"/>
  <c r="Q101" i="34" s="1"/>
  <c r="Q102" i="34" s="1"/>
  <c r="Q57" i="35"/>
  <c r="Q48" i="35"/>
  <c r="Q55" i="35"/>
  <c r="V91" i="34"/>
  <c r="U70" i="34"/>
  <c r="V92" i="34"/>
  <c r="V71" i="34" s="1"/>
  <c r="V97" i="34" s="1"/>
  <c r="Q42" i="32"/>
  <c r="S38" i="34"/>
  <c r="S34" i="34" s="1"/>
  <c r="S28" i="34"/>
  <c r="S26" i="34"/>
  <c r="AC86" i="35"/>
  <c r="AC85" i="35"/>
  <c r="R46" i="32"/>
  <c r="R94" i="32"/>
  <c r="Q43" i="33"/>
  <c r="Z86" i="32"/>
  <c r="Z85" i="32"/>
  <c r="AF80" i="32"/>
  <c r="AF79" i="32"/>
  <c r="AC85" i="33"/>
  <c r="AC86" i="33"/>
  <c r="Q55" i="32"/>
  <c r="Q57" i="32"/>
  <c r="Q48" i="32"/>
  <c r="R24" i="34"/>
  <c r="R43" i="34" s="1"/>
  <c r="R45" i="34"/>
  <c r="R95" i="34"/>
  <c r="B6" i="30"/>
  <c r="W70" i="32"/>
  <c r="I91" i="2"/>
  <c r="H88" i="2"/>
  <c r="G85" i="2"/>
  <c r="F82" i="2"/>
  <c r="D76" i="2"/>
  <c r="E79" i="2"/>
  <c r="J90" i="2"/>
  <c r="J91" i="2" s="1"/>
  <c r="I87" i="2"/>
  <c r="J87" i="2" s="1"/>
  <c r="H84" i="2"/>
  <c r="H85" i="2" s="1"/>
  <c r="G81" i="2"/>
  <c r="H81" i="2" s="1"/>
  <c r="A79" i="2"/>
  <c r="A82" i="2" s="1"/>
  <c r="A85" i="2" s="1"/>
  <c r="A88" i="2" s="1"/>
  <c r="A91" i="2" s="1"/>
  <c r="F78" i="2"/>
  <c r="F79" i="2" s="1"/>
  <c r="E75" i="2"/>
  <c r="F75" i="2" s="1"/>
  <c r="C97" i="2"/>
  <c r="R40" i="34" l="1"/>
  <c r="R40" i="32"/>
  <c r="R40" i="33"/>
  <c r="R42" i="33" s="1"/>
  <c r="AH83" i="32"/>
  <c r="AH82" i="32"/>
  <c r="S30" i="35"/>
  <c r="S47" i="35" s="1"/>
  <c r="S30" i="32"/>
  <c r="S47" i="32" s="1"/>
  <c r="T32" i="32"/>
  <c r="T31" i="32"/>
  <c r="T32" i="35"/>
  <c r="T31" i="35"/>
  <c r="T32" i="34"/>
  <c r="T31" i="34"/>
  <c r="T32" i="33"/>
  <c r="T31" i="33"/>
  <c r="S30" i="34"/>
  <c r="S47" i="34" s="1"/>
  <c r="S30" i="33"/>
  <c r="S47" i="33" s="1"/>
  <c r="R53" i="32"/>
  <c r="X92" i="35"/>
  <c r="X71" i="35" s="1"/>
  <c r="X97" i="35" s="1"/>
  <c r="X91" i="35"/>
  <c r="Y91" i="35" s="1"/>
  <c r="W70" i="35"/>
  <c r="R42" i="32"/>
  <c r="Y92" i="35"/>
  <c r="V91" i="33"/>
  <c r="U70" i="33"/>
  <c r="AB88" i="34"/>
  <c r="AC89" i="34" s="1"/>
  <c r="V92" i="33"/>
  <c r="V71" i="33" s="1"/>
  <c r="V97" i="33" s="1"/>
  <c r="AC88" i="33"/>
  <c r="AC89" i="33"/>
  <c r="R53" i="34"/>
  <c r="AC88" i="34"/>
  <c r="S94" i="34"/>
  <c r="S46" i="34"/>
  <c r="V70" i="34"/>
  <c r="W92" i="34"/>
  <c r="W71" i="34" s="1"/>
  <c r="W97" i="34" s="1"/>
  <c r="W91" i="34"/>
  <c r="Q112" i="33"/>
  <c r="Q110" i="33"/>
  <c r="Q103" i="33"/>
  <c r="Q104" i="33" s="1"/>
  <c r="Q108" i="33"/>
  <c r="Q101" i="35"/>
  <c r="Q102" i="35" s="1"/>
  <c r="R57" i="33"/>
  <c r="R48" i="33"/>
  <c r="R55" i="33"/>
  <c r="T38" i="35"/>
  <c r="T34" i="35" s="1"/>
  <c r="T28" i="35"/>
  <c r="T26" i="35"/>
  <c r="AG80" i="32"/>
  <c r="AG79" i="32"/>
  <c r="AA85" i="32"/>
  <c r="AA86" i="32"/>
  <c r="R96" i="32"/>
  <c r="R98" i="32" s="1"/>
  <c r="R100" i="32" s="1"/>
  <c r="R101" i="32" s="1"/>
  <c r="R102" i="32" s="1"/>
  <c r="AE80" i="33"/>
  <c r="AE79" i="33"/>
  <c r="Z88" i="32"/>
  <c r="Z89" i="32"/>
  <c r="Y89" i="35"/>
  <c r="Y71" i="35" s="1"/>
  <c r="Y97" i="35" s="1"/>
  <c r="Y88" i="35"/>
  <c r="S94" i="32"/>
  <c r="S46" i="32"/>
  <c r="R96" i="34"/>
  <c r="R98" i="34" s="1"/>
  <c r="R100" i="34" s="1"/>
  <c r="R96" i="33"/>
  <c r="R98" i="33" s="1"/>
  <c r="R100" i="33" s="1"/>
  <c r="R43" i="33"/>
  <c r="S94" i="35"/>
  <c r="S46" i="35"/>
  <c r="S40" i="35"/>
  <c r="AE80" i="34"/>
  <c r="AE79" i="34"/>
  <c r="S94" i="33"/>
  <c r="S46" i="33"/>
  <c r="R53" i="35"/>
  <c r="S45" i="34"/>
  <c r="S24" i="34"/>
  <c r="S95" i="34"/>
  <c r="T26" i="32"/>
  <c r="T28" i="32"/>
  <c r="T38" i="32"/>
  <c r="T34" i="32" s="1"/>
  <c r="S67" i="32" s="1"/>
  <c r="S24" i="33"/>
  <c r="S95" i="33"/>
  <c r="S45" i="33"/>
  <c r="R96" i="35"/>
  <c r="R98" i="35" s="1"/>
  <c r="R100" i="35" s="1"/>
  <c r="R101" i="35" s="1"/>
  <c r="R102" i="35" s="1"/>
  <c r="Y91" i="32"/>
  <c r="Y92" i="32"/>
  <c r="X70" i="32"/>
  <c r="AE80" i="35"/>
  <c r="AE79" i="35"/>
  <c r="R57" i="34"/>
  <c r="R55" i="34"/>
  <c r="R48" i="34"/>
  <c r="AC83" i="33"/>
  <c r="AC82" i="33"/>
  <c r="R48" i="32"/>
  <c r="R55" i="32"/>
  <c r="R57" i="32"/>
  <c r="T26" i="34"/>
  <c r="T28" i="34"/>
  <c r="T38" i="34"/>
  <c r="T34" i="34" s="1"/>
  <c r="AC86" i="34"/>
  <c r="AC85" i="34"/>
  <c r="Z92" i="35"/>
  <c r="Z91" i="35"/>
  <c r="S45" i="32"/>
  <c r="S24" i="32"/>
  <c r="S43" i="32" s="1"/>
  <c r="S95" i="32"/>
  <c r="R42" i="34"/>
  <c r="S95" i="35"/>
  <c r="S45" i="35"/>
  <c r="S24" i="35"/>
  <c r="S53" i="35" s="1"/>
  <c r="R42" i="35"/>
  <c r="AD85" i="33"/>
  <c r="AD86" i="33"/>
  <c r="AD85" i="35"/>
  <c r="AD86" i="35"/>
  <c r="Q108" i="34"/>
  <c r="Q103" i="34"/>
  <c r="Q104" i="34" s="1"/>
  <c r="Q112" i="34"/>
  <c r="Q110" i="34"/>
  <c r="Y71" i="32"/>
  <c r="Y97" i="32" s="1"/>
  <c r="Q112" i="32"/>
  <c r="Q110" i="32"/>
  <c r="Q108" i="32"/>
  <c r="Q103" i="32"/>
  <c r="Q104" i="32" s="1"/>
  <c r="AG83" i="35"/>
  <c r="AG82" i="35"/>
  <c r="T26" i="33"/>
  <c r="T38" i="33"/>
  <c r="T34" i="33" s="1"/>
  <c r="T28" i="33"/>
  <c r="R57" i="35"/>
  <c r="R48" i="35"/>
  <c r="R55" i="35"/>
  <c r="G78" i="2"/>
  <c r="H78" i="2" s="1"/>
  <c r="E76" i="2"/>
  <c r="E70" i="2" s="1"/>
  <c r="G82" i="2"/>
  <c r="I84" i="2"/>
  <c r="J84" i="2" s="1"/>
  <c r="I88" i="2"/>
  <c r="D70" i="2"/>
  <c r="G75" i="2"/>
  <c r="I81" i="2"/>
  <c r="K90" i="2"/>
  <c r="K87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S53" i="34" l="1"/>
  <c r="S40" i="32"/>
  <c r="S53" i="33"/>
  <c r="T30" i="34"/>
  <c r="T47" i="34" s="1"/>
  <c r="S40" i="33"/>
  <c r="S40" i="34"/>
  <c r="S42" i="34" s="1"/>
  <c r="U32" i="33"/>
  <c r="U31" i="33"/>
  <c r="U32" i="34"/>
  <c r="U31" i="34"/>
  <c r="T30" i="32"/>
  <c r="T47" i="32" s="1"/>
  <c r="U32" i="32"/>
  <c r="U31" i="32"/>
  <c r="U32" i="35"/>
  <c r="U31" i="35"/>
  <c r="T30" i="33"/>
  <c r="T47" i="33" s="1"/>
  <c r="T30" i="35"/>
  <c r="T47" i="35" s="1"/>
  <c r="X70" i="35"/>
  <c r="AD88" i="33"/>
  <c r="AD89" i="33"/>
  <c r="W91" i="33"/>
  <c r="V70" i="33"/>
  <c r="W92" i="33"/>
  <c r="W71" i="33" s="1"/>
  <c r="W97" i="33" s="1"/>
  <c r="AD88" i="34"/>
  <c r="AD89" i="34"/>
  <c r="Q108" i="35"/>
  <c r="Q103" i="35"/>
  <c r="Q104" i="35" s="1"/>
  <c r="Q112" i="35"/>
  <c r="Q110" i="35"/>
  <c r="AE86" i="33"/>
  <c r="AE85" i="33"/>
  <c r="U28" i="34"/>
  <c r="U38" i="34"/>
  <c r="U34" i="34" s="1"/>
  <c r="U26" i="34"/>
  <c r="Z91" i="32"/>
  <c r="Z92" i="32"/>
  <c r="Y70" i="32"/>
  <c r="T46" i="32"/>
  <c r="T40" i="32"/>
  <c r="T94" i="32"/>
  <c r="S42" i="33"/>
  <c r="AF80" i="34"/>
  <c r="AF79" i="34"/>
  <c r="S42" i="35"/>
  <c r="R101" i="33"/>
  <c r="R102" i="33" s="1"/>
  <c r="S48" i="32"/>
  <c r="S55" i="32"/>
  <c r="S57" i="32"/>
  <c r="X91" i="34"/>
  <c r="W70" i="34"/>
  <c r="X92" i="34"/>
  <c r="X71" i="34" s="1"/>
  <c r="X97" i="34" s="1"/>
  <c r="S43" i="34"/>
  <c r="AH83" i="35"/>
  <c r="AH82" i="35"/>
  <c r="T46" i="33"/>
  <c r="T40" i="33"/>
  <c r="T94" i="33"/>
  <c r="T45" i="33"/>
  <c r="T24" i="33"/>
  <c r="T95" i="33"/>
  <c r="AD86" i="34"/>
  <c r="AD85" i="34"/>
  <c r="T95" i="34"/>
  <c r="T45" i="34"/>
  <c r="T24" i="34"/>
  <c r="U38" i="32"/>
  <c r="U34" i="32" s="1"/>
  <c r="T67" i="32" s="1"/>
  <c r="U28" i="32"/>
  <c r="U26" i="32"/>
  <c r="S43" i="33"/>
  <c r="S48" i="35"/>
  <c r="S57" i="35"/>
  <c r="S55" i="35"/>
  <c r="R101" i="34"/>
  <c r="R102" i="34" s="1"/>
  <c r="S96" i="32"/>
  <c r="S98" i="32" s="1"/>
  <c r="S100" i="32" s="1"/>
  <c r="S101" i="32" s="1"/>
  <c r="S102" i="32" s="1"/>
  <c r="Z71" i="32"/>
  <c r="Z97" i="32" s="1"/>
  <c r="AB86" i="32"/>
  <c r="AB85" i="32"/>
  <c r="T24" i="35"/>
  <c r="T43" i="35" s="1"/>
  <c r="T95" i="35"/>
  <c r="T45" i="35"/>
  <c r="S55" i="34"/>
  <c r="S57" i="34"/>
  <c r="S48" i="34"/>
  <c r="AE86" i="35"/>
  <c r="AE85" i="35"/>
  <c r="AA91" i="35"/>
  <c r="AA92" i="35"/>
  <c r="AD83" i="33"/>
  <c r="AD82" i="33"/>
  <c r="T24" i="32"/>
  <c r="T43" i="32" s="1"/>
  <c r="T95" i="32"/>
  <c r="T45" i="32"/>
  <c r="S96" i="35"/>
  <c r="S98" i="35" s="1"/>
  <c r="S100" i="35" s="1"/>
  <c r="S101" i="35" s="1"/>
  <c r="S102" i="35" s="1"/>
  <c r="S53" i="32"/>
  <c r="AA88" i="32"/>
  <c r="AA89" i="32"/>
  <c r="R108" i="32"/>
  <c r="R103" i="32"/>
  <c r="R104" i="32" s="1"/>
  <c r="R112" i="32"/>
  <c r="R110" i="32"/>
  <c r="AH80" i="32"/>
  <c r="AH79" i="32"/>
  <c r="U38" i="35"/>
  <c r="U34" i="35" s="1"/>
  <c r="U26" i="35"/>
  <c r="U28" i="35"/>
  <c r="S96" i="34"/>
  <c r="S98" i="34" s="1"/>
  <c r="S100" i="34" s="1"/>
  <c r="S101" i="34" s="1"/>
  <c r="S102" i="34" s="1"/>
  <c r="U38" i="33"/>
  <c r="U34" i="33" s="1"/>
  <c r="U28" i="33"/>
  <c r="U26" i="33"/>
  <c r="T94" i="34"/>
  <c r="T96" i="34" s="1"/>
  <c r="T98" i="34" s="1"/>
  <c r="T100" i="34" s="1"/>
  <c r="T101" i="34" s="1"/>
  <c r="T102" i="34" s="1"/>
  <c r="T46" i="34"/>
  <c r="T43" i="34"/>
  <c r="AF80" i="35"/>
  <c r="AF79" i="35"/>
  <c r="R112" i="35"/>
  <c r="R110" i="35"/>
  <c r="R108" i="35"/>
  <c r="R103" i="35"/>
  <c r="R104" i="35" s="1"/>
  <c r="S57" i="33"/>
  <c r="S48" i="33"/>
  <c r="S55" i="33"/>
  <c r="S96" i="33"/>
  <c r="S98" i="33" s="1"/>
  <c r="S100" i="33" s="1"/>
  <c r="S101" i="33" s="1"/>
  <c r="S102" i="33" s="1"/>
  <c r="S43" i="35"/>
  <c r="S42" i="32"/>
  <c r="Z88" i="35"/>
  <c r="Z89" i="35"/>
  <c r="Z71" i="35" s="1"/>
  <c r="Z97" i="35" s="1"/>
  <c r="Y70" i="35"/>
  <c r="AF80" i="33"/>
  <c r="AF79" i="33"/>
  <c r="Z70" i="32"/>
  <c r="T40" i="35"/>
  <c r="T94" i="35"/>
  <c r="T96" i="35" s="1"/>
  <c r="T98" i="35" s="1"/>
  <c r="T100" i="35" s="1"/>
  <c r="T101" i="35" s="1"/>
  <c r="T102" i="35" s="1"/>
  <c r="T46" i="35"/>
  <c r="I78" i="2"/>
  <c r="L87" i="2"/>
  <c r="J81" i="2"/>
  <c r="L90" i="2"/>
  <c r="H75" i="2"/>
  <c r="K84" i="2"/>
  <c r="C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T53" i="34" l="1"/>
  <c r="T53" i="33"/>
  <c r="T40" i="34"/>
  <c r="T42" i="34" s="1"/>
  <c r="U30" i="35"/>
  <c r="U47" i="35" s="1"/>
  <c r="U30" i="34"/>
  <c r="U47" i="34" s="1"/>
  <c r="V32" i="35"/>
  <c r="V31" i="35"/>
  <c r="V32" i="33"/>
  <c r="V31" i="33"/>
  <c r="V32" i="34"/>
  <c r="V31" i="34"/>
  <c r="U30" i="32"/>
  <c r="U47" i="32" s="1"/>
  <c r="V32" i="32"/>
  <c r="V31" i="32"/>
  <c r="U30" i="33"/>
  <c r="U47" i="33" s="1"/>
  <c r="T53" i="35"/>
  <c r="W70" i="33"/>
  <c r="X91" i="33"/>
  <c r="X92" i="33"/>
  <c r="X71" i="33" s="1"/>
  <c r="X97" i="33" s="1"/>
  <c r="T42" i="35"/>
  <c r="AE89" i="33"/>
  <c r="AE88" i="33"/>
  <c r="AE88" i="34"/>
  <c r="AE89" i="34"/>
  <c r="R112" i="33"/>
  <c r="R110" i="33"/>
  <c r="R108" i="33"/>
  <c r="R103" i="33"/>
  <c r="R104" i="33" s="1"/>
  <c r="T112" i="35"/>
  <c r="T110" i="35"/>
  <c r="T108" i="35"/>
  <c r="T103" i="35"/>
  <c r="T104" i="35" s="1"/>
  <c r="AA88" i="35"/>
  <c r="AA89" i="35"/>
  <c r="Z70" i="35"/>
  <c r="T48" i="34"/>
  <c r="T55" i="34"/>
  <c r="T57" i="34"/>
  <c r="U94" i="33"/>
  <c r="U46" i="33"/>
  <c r="U94" i="35"/>
  <c r="U46" i="35"/>
  <c r="AE83" i="33"/>
  <c r="AE82" i="33"/>
  <c r="AB92" i="35"/>
  <c r="AB91" i="35"/>
  <c r="U45" i="32"/>
  <c r="U95" i="32"/>
  <c r="U24" i="32"/>
  <c r="T42" i="33"/>
  <c r="T53" i="32"/>
  <c r="AA91" i="32"/>
  <c r="AA70" i="32" s="1"/>
  <c r="AA92" i="32"/>
  <c r="AA71" i="32" s="1"/>
  <c r="AA97" i="32" s="1"/>
  <c r="S112" i="34"/>
  <c r="S110" i="34"/>
  <c r="S108" i="34"/>
  <c r="S103" i="34"/>
  <c r="S104" i="34" s="1"/>
  <c r="AB88" i="32"/>
  <c r="AB89" i="32"/>
  <c r="AF85" i="35"/>
  <c r="AF86" i="35"/>
  <c r="S103" i="32"/>
  <c r="S104" i="32" s="1"/>
  <c r="S112" i="32"/>
  <c r="S110" i="32"/>
  <c r="S108" i="32"/>
  <c r="V38" i="32"/>
  <c r="V34" i="32" s="1"/>
  <c r="U67" i="32" s="1"/>
  <c r="V26" i="32"/>
  <c r="V28" i="32"/>
  <c r="T48" i="33"/>
  <c r="T55" i="33"/>
  <c r="T57" i="33"/>
  <c r="T48" i="32"/>
  <c r="T55" i="32"/>
  <c r="T57" i="32"/>
  <c r="U95" i="34"/>
  <c r="U45" i="34"/>
  <c r="U24" i="34"/>
  <c r="U53" i="34" s="1"/>
  <c r="AF86" i="33"/>
  <c r="AF85" i="33"/>
  <c r="T110" i="34"/>
  <c r="T108" i="34"/>
  <c r="T103" i="34"/>
  <c r="T104" i="34" s="1"/>
  <c r="T112" i="34"/>
  <c r="U95" i="33"/>
  <c r="U45" i="33"/>
  <c r="U24" i="33"/>
  <c r="U43" i="33" s="1"/>
  <c r="V38" i="35"/>
  <c r="V34" i="35" s="1"/>
  <c r="V26" i="35"/>
  <c r="V28" i="35"/>
  <c r="AC85" i="32"/>
  <c r="AC86" i="32"/>
  <c r="R112" i="34"/>
  <c r="R110" i="34"/>
  <c r="R108" i="34"/>
  <c r="R103" i="34"/>
  <c r="R104" i="34" s="1"/>
  <c r="U94" i="32"/>
  <c r="U46" i="32"/>
  <c r="T43" i="33"/>
  <c r="AG80" i="34"/>
  <c r="AG79" i="34"/>
  <c r="T96" i="32"/>
  <c r="T98" i="32" s="1"/>
  <c r="T100" i="32" s="1"/>
  <c r="T101" i="32" s="1"/>
  <c r="T102" i="32" s="1"/>
  <c r="U94" i="34"/>
  <c r="U46" i="34"/>
  <c r="U40" i="34"/>
  <c r="T57" i="35"/>
  <c r="T55" i="35"/>
  <c r="T48" i="35"/>
  <c r="AG80" i="33"/>
  <c r="AG79" i="33"/>
  <c r="S110" i="33"/>
  <c r="S108" i="33"/>
  <c r="S103" i="33"/>
  <c r="S104" i="33" s="1"/>
  <c r="S112" i="33"/>
  <c r="AG80" i="35"/>
  <c r="AG79" i="35"/>
  <c r="V38" i="33"/>
  <c r="V34" i="33" s="1"/>
  <c r="V28" i="33"/>
  <c r="V26" i="33"/>
  <c r="U24" i="35"/>
  <c r="U43" i="35" s="1"/>
  <c r="U95" i="35"/>
  <c r="U45" i="35"/>
  <c r="S112" i="35"/>
  <c r="S110" i="35"/>
  <c r="S108" i="35"/>
  <c r="S103" i="35"/>
  <c r="S104" i="35" s="1"/>
  <c r="AA71" i="35"/>
  <c r="AA97" i="35" s="1"/>
  <c r="AE86" i="34"/>
  <c r="AE85" i="34"/>
  <c r="T96" i="33"/>
  <c r="T98" i="33" s="1"/>
  <c r="T100" i="33" s="1"/>
  <c r="Y92" i="34"/>
  <c r="Y71" i="34" s="1"/>
  <c r="Y97" i="34" s="1"/>
  <c r="X70" i="34"/>
  <c r="Y91" i="34"/>
  <c r="T42" i="32"/>
  <c r="V38" i="34"/>
  <c r="V34" i="34" s="1"/>
  <c r="V26" i="34"/>
  <c r="V28" i="34"/>
  <c r="C45" i="2"/>
  <c r="C46" i="2"/>
  <c r="L84" i="2"/>
  <c r="K81" i="2"/>
  <c r="I75" i="2"/>
  <c r="M87" i="2"/>
  <c r="J78" i="2"/>
  <c r="M90" i="2"/>
  <c r="U40" i="35" l="1"/>
  <c r="U42" i="35" s="1"/>
  <c r="U40" i="33"/>
  <c r="V30" i="33"/>
  <c r="V47" i="33" s="1"/>
  <c r="V30" i="34"/>
  <c r="V47" i="34" s="1"/>
  <c r="V30" i="35"/>
  <c r="V47" i="35" s="1"/>
  <c r="W32" i="35"/>
  <c r="W31" i="35"/>
  <c r="U53" i="32"/>
  <c r="W32" i="33"/>
  <c r="W31" i="33"/>
  <c r="U40" i="32"/>
  <c r="U42" i="32" s="1"/>
  <c r="W32" i="32"/>
  <c r="W31" i="32"/>
  <c r="W32" i="34"/>
  <c r="W31" i="34"/>
  <c r="V30" i="32"/>
  <c r="V47" i="32" s="1"/>
  <c r="U96" i="34"/>
  <c r="U98" i="34" s="1"/>
  <c r="U100" i="34" s="1"/>
  <c r="U101" i="34" s="1"/>
  <c r="U102" i="34" s="1"/>
  <c r="U103" i="34" s="1"/>
  <c r="U104" i="34" s="1"/>
  <c r="U43" i="32"/>
  <c r="U42" i="34"/>
  <c r="AF88" i="33"/>
  <c r="AF89" i="33"/>
  <c r="Y92" i="33"/>
  <c r="Y71" i="33" s="1"/>
  <c r="Y97" i="33" s="1"/>
  <c r="X70" i="33"/>
  <c r="Y91" i="33"/>
  <c r="U96" i="32"/>
  <c r="U98" i="32" s="1"/>
  <c r="U100" i="32" s="1"/>
  <c r="U101" i="32" s="1"/>
  <c r="U102" i="32" s="1"/>
  <c r="U110" i="32" s="1"/>
  <c r="AF88" i="34"/>
  <c r="AF89" i="34"/>
  <c r="Z92" i="34"/>
  <c r="Z71" i="34" s="1"/>
  <c r="Z97" i="34" s="1"/>
  <c r="Z91" i="34"/>
  <c r="Y70" i="34"/>
  <c r="W26" i="33"/>
  <c r="W38" i="33"/>
  <c r="W34" i="33" s="1"/>
  <c r="W28" i="33"/>
  <c r="AD86" i="32"/>
  <c r="AD85" i="32"/>
  <c r="V24" i="34"/>
  <c r="V43" i="34" s="1"/>
  <c r="V95" i="34"/>
  <c r="V45" i="34"/>
  <c r="AF86" i="34"/>
  <c r="AF85" i="34"/>
  <c r="V46" i="33"/>
  <c r="V94" i="33"/>
  <c r="V40" i="33"/>
  <c r="AH80" i="33"/>
  <c r="AH79" i="33"/>
  <c r="U55" i="34"/>
  <c r="U57" i="34"/>
  <c r="U48" i="34"/>
  <c r="W26" i="35"/>
  <c r="W38" i="35"/>
  <c r="W34" i="35" s="1"/>
  <c r="W28" i="35"/>
  <c r="AC89" i="32"/>
  <c r="AC88" i="32"/>
  <c r="AF83" i="33"/>
  <c r="AF82" i="33"/>
  <c r="U53" i="33"/>
  <c r="V94" i="34"/>
  <c r="V96" i="34" s="1"/>
  <c r="V98" i="34" s="1"/>
  <c r="V100" i="34" s="1"/>
  <c r="V101" i="34" s="1"/>
  <c r="V102" i="34" s="1"/>
  <c r="V46" i="34"/>
  <c r="AH80" i="35"/>
  <c r="AH79" i="35"/>
  <c r="V24" i="35"/>
  <c r="V43" i="35" s="1"/>
  <c r="V95" i="35"/>
  <c r="V45" i="35"/>
  <c r="W38" i="32"/>
  <c r="W34" i="32" s="1"/>
  <c r="V67" i="32" s="1"/>
  <c r="W26" i="32"/>
  <c r="W28" i="32"/>
  <c r="AC91" i="35"/>
  <c r="AC92" i="35"/>
  <c r="U55" i="35"/>
  <c r="U57" i="35"/>
  <c r="U48" i="35"/>
  <c r="U42" i="33"/>
  <c r="AG86" i="33"/>
  <c r="AG85" i="33"/>
  <c r="T101" i="33"/>
  <c r="T102" i="33" s="1"/>
  <c r="V45" i="33"/>
  <c r="V24" i="33"/>
  <c r="V95" i="33"/>
  <c r="U43" i="34"/>
  <c r="T110" i="32"/>
  <c r="T108" i="32"/>
  <c r="T103" i="32"/>
  <c r="T104" i="32" s="1"/>
  <c r="T112" i="32"/>
  <c r="U55" i="32"/>
  <c r="U57" i="32"/>
  <c r="U48" i="32"/>
  <c r="V94" i="35"/>
  <c r="V96" i="35" s="1"/>
  <c r="V98" i="35" s="1"/>
  <c r="V100" i="35" s="1"/>
  <c r="V46" i="35"/>
  <c r="V95" i="32"/>
  <c r="V24" i="32"/>
  <c r="V43" i="32" s="1"/>
  <c r="V45" i="32"/>
  <c r="AG85" i="35"/>
  <c r="AG86" i="35"/>
  <c r="AB91" i="32"/>
  <c r="AB92" i="32"/>
  <c r="AB71" i="32" s="1"/>
  <c r="AB97" i="32" s="1"/>
  <c r="U96" i="35"/>
  <c r="U98" i="35" s="1"/>
  <c r="U100" i="35" s="1"/>
  <c r="U101" i="35" s="1"/>
  <c r="U102" i="35" s="1"/>
  <c r="U96" i="33"/>
  <c r="U98" i="33" s="1"/>
  <c r="U100" i="33" s="1"/>
  <c r="U101" i="33" s="1"/>
  <c r="U102" i="33" s="1"/>
  <c r="W38" i="34"/>
  <c r="W34" i="34" s="1"/>
  <c r="W28" i="34"/>
  <c r="W26" i="34"/>
  <c r="AH80" i="34"/>
  <c r="AH79" i="34"/>
  <c r="V94" i="32"/>
  <c r="V96" i="32" s="1"/>
  <c r="V98" i="32" s="1"/>
  <c r="V100" i="32" s="1"/>
  <c r="V101" i="32" s="1"/>
  <c r="V102" i="32" s="1"/>
  <c r="V46" i="32"/>
  <c r="U53" i="35"/>
  <c r="U55" i="33"/>
  <c r="U48" i="33"/>
  <c r="U57" i="33"/>
  <c r="AB89" i="35"/>
  <c r="AB71" i="35" s="1"/>
  <c r="AB97" i="35" s="1"/>
  <c r="AB88" i="35"/>
  <c r="AA70" i="35"/>
  <c r="E14" i="31"/>
  <c r="F14" i="31"/>
  <c r="C57" i="2"/>
  <c r="C55" i="2"/>
  <c r="C48" i="2"/>
  <c r="J75" i="2"/>
  <c r="N90" i="2"/>
  <c r="L81" i="2"/>
  <c r="M84" i="2"/>
  <c r="K78" i="2"/>
  <c r="N87" i="2"/>
  <c r="V40" i="32" l="1"/>
  <c r="V53" i="33"/>
  <c r="V53" i="32"/>
  <c r="W30" i="33"/>
  <c r="W47" i="33" s="1"/>
  <c r="V40" i="35"/>
  <c r="V42" i="35" s="1"/>
  <c r="V40" i="34"/>
  <c r="V42" i="34" s="1"/>
  <c r="W30" i="32"/>
  <c r="W47" i="32" s="1"/>
  <c r="U110" i="34"/>
  <c r="U112" i="34"/>
  <c r="U108" i="34"/>
  <c r="X32" i="32"/>
  <c r="X31" i="32"/>
  <c r="X32" i="35"/>
  <c r="X31" i="35"/>
  <c r="X32" i="34"/>
  <c r="X31" i="34"/>
  <c r="X32" i="33"/>
  <c r="X31" i="33"/>
  <c r="W30" i="34"/>
  <c r="W47" i="34" s="1"/>
  <c r="W30" i="35"/>
  <c r="W47" i="35" s="1"/>
  <c r="U112" i="32"/>
  <c r="V53" i="34"/>
  <c r="U103" i="32"/>
  <c r="U104" i="32" s="1"/>
  <c r="V53" i="35"/>
  <c r="U108" i="32"/>
  <c r="Z91" i="33"/>
  <c r="Z92" i="33"/>
  <c r="Z71" i="33" s="1"/>
  <c r="Z97" i="33" s="1"/>
  <c r="Y70" i="33"/>
  <c r="AG89" i="33"/>
  <c r="AG88" i="33"/>
  <c r="V42" i="32"/>
  <c r="AG88" i="34"/>
  <c r="AG89" i="34"/>
  <c r="V110" i="32"/>
  <c r="V108" i="32"/>
  <c r="V103" i="32"/>
  <c r="V104" i="32" s="1"/>
  <c r="V112" i="32"/>
  <c r="U112" i="33"/>
  <c r="U110" i="33"/>
  <c r="U108" i="33"/>
  <c r="U103" i="33"/>
  <c r="U104" i="33" s="1"/>
  <c r="AC92" i="32"/>
  <c r="AC71" i="32" s="1"/>
  <c r="AC97" i="32" s="1"/>
  <c r="AC91" i="32"/>
  <c r="AC70" i="32" s="1"/>
  <c r="AB70" i="32"/>
  <c r="V57" i="35"/>
  <c r="V48" i="35"/>
  <c r="V55" i="35"/>
  <c r="W45" i="32"/>
  <c r="W24" i="32"/>
  <c r="W95" i="32"/>
  <c r="AD88" i="32"/>
  <c r="AD89" i="32"/>
  <c r="V43" i="33"/>
  <c r="V57" i="33"/>
  <c r="V55" i="33"/>
  <c r="V48" i="33"/>
  <c r="AE85" i="32"/>
  <c r="AE86" i="32"/>
  <c r="W95" i="33"/>
  <c r="W24" i="33"/>
  <c r="W43" i="33" s="1"/>
  <c r="W45" i="33"/>
  <c r="W46" i="34"/>
  <c r="W40" i="34"/>
  <c r="W94" i="34"/>
  <c r="U108" i="35"/>
  <c r="U103" i="35"/>
  <c r="U104" i="35" s="1"/>
  <c r="U112" i="35"/>
  <c r="U110" i="35"/>
  <c r="V101" i="35"/>
  <c r="V102" i="35" s="1"/>
  <c r="T108" i="33"/>
  <c r="T103" i="33"/>
  <c r="T104" i="33" s="1"/>
  <c r="T112" i="33"/>
  <c r="T110" i="33"/>
  <c r="W40" i="32"/>
  <c r="W94" i="32"/>
  <c r="W96" i="32" s="1"/>
  <c r="W98" i="32" s="1"/>
  <c r="W100" i="32" s="1"/>
  <c r="W101" i="32" s="1"/>
  <c r="W102" i="32" s="1"/>
  <c r="W46" i="32"/>
  <c r="W43" i="32"/>
  <c r="V48" i="34"/>
  <c r="V57" i="34"/>
  <c r="V55" i="34"/>
  <c r="X26" i="35"/>
  <c r="X28" i="35"/>
  <c r="X38" i="35"/>
  <c r="X34" i="35" s="1"/>
  <c r="V42" i="33"/>
  <c r="W95" i="34"/>
  <c r="W24" i="34"/>
  <c r="W43" i="34" s="1"/>
  <c r="W45" i="34"/>
  <c r="AC88" i="35"/>
  <c r="AC89" i="35"/>
  <c r="AC71" i="35" s="1"/>
  <c r="AC97" i="35" s="1"/>
  <c r="AB70" i="35"/>
  <c r="X26" i="34"/>
  <c r="X38" i="34"/>
  <c r="X34" i="34" s="1"/>
  <c r="X28" i="34"/>
  <c r="AH85" i="35"/>
  <c r="AH86" i="35"/>
  <c r="AD92" i="35"/>
  <c r="AD91" i="35"/>
  <c r="V108" i="34"/>
  <c r="V103" i="34"/>
  <c r="V104" i="34" s="1"/>
  <c r="V112" i="34"/>
  <c r="V110" i="34"/>
  <c r="AG83" i="33"/>
  <c r="AG82" i="33"/>
  <c r="W94" i="35"/>
  <c r="W46" i="35"/>
  <c r="C54" i="35"/>
  <c r="V96" i="33"/>
  <c r="V98" i="33" s="1"/>
  <c r="V100" i="33" s="1"/>
  <c r="V101" i="33" s="1"/>
  <c r="V102" i="33" s="1"/>
  <c r="AG86" i="34"/>
  <c r="AG85" i="34"/>
  <c r="X26" i="33"/>
  <c r="X38" i="33"/>
  <c r="X34" i="33" s="1"/>
  <c r="X28" i="33"/>
  <c r="AA92" i="34"/>
  <c r="AA71" i="34" s="1"/>
  <c r="AA97" i="34" s="1"/>
  <c r="AA91" i="34"/>
  <c r="Z70" i="34"/>
  <c r="V57" i="32"/>
  <c r="V55" i="32"/>
  <c r="V48" i="32"/>
  <c r="AH86" i="33"/>
  <c r="AH85" i="33"/>
  <c r="X38" i="32"/>
  <c r="X34" i="32" s="1"/>
  <c r="W67" i="32" s="1"/>
  <c r="X28" i="32"/>
  <c r="X26" i="32"/>
  <c r="W95" i="35"/>
  <c r="W45" i="35"/>
  <c r="W24" i="35"/>
  <c r="W53" i="35" s="1"/>
  <c r="W46" i="33"/>
  <c r="W94" i="33"/>
  <c r="C54" i="33"/>
  <c r="H14" i="31"/>
  <c r="F80" i="31"/>
  <c r="E80" i="31"/>
  <c r="E47" i="31"/>
  <c r="E113" i="31"/>
  <c r="G14" i="31"/>
  <c r="E146" i="31"/>
  <c r="F47" i="31"/>
  <c r="F113" i="31"/>
  <c r="F120" i="31" s="1"/>
  <c r="F146" i="31"/>
  <c r="O87" i="2"/>
  <c r="O90" i="2"/>
  <c r="L78" i="2"/>
  <c r="K75" i="2"/>
  <c r="N84" i="2"/>
  <c r="M81" i="2"/>
  <c r="W53" i="32" l="1"/>
  <c r="W40" i="33"/>
  <c r="W42" i="33" s="1"/>
  <c r="W40" i="35"/>
  <c r="X30" i="34"/>
  <c r="X47" i="34" s="1"/>
  <c r="X30" i="32"/>
  <c r="X47" i="32" s="1"/>
  <c r="X30" i="33"/>
  <c r="X47" i="33" s="1"/>
  <c r="X30" i="35"/>
  <c r="X47" i="35" s="1"/>
  <c r="Y32" i="32"/>
  <c r="Y31" i="32"/>
  <c r="Y32" i="35"/>
  <c r="Y31" i="35"/>
  <c r="Y32" i="33"/>
  <c r="Y31" i="33"/>
  <c r="Y32" i="34"/>
  <c r="Y31" i="34"/>
  <c r="W96" i="33"/>
  <c r="W98" i="33" s="1"/>
  <c r="W100" i="33" s="1"/>
  <c r="W101" i="33" s="1"/>
  <c r="W102" i="33" s="1"/>
  <c r="W110" i="33" s="1"/>
  <c r="W53" i="33"/>
  <c r="C54" i="32"/>
  <c r="AH88" i="33"/>
  <c r="AH89" i="33"/>
  <c r="AA92" i="33"/>
  <c r="AA71" i="33" s="1"/>
  <c r="AA97" i="33" s="1"/>
  <c r="AA91" i="33"/>
  <c r="Z70" i="33"/>
  <c r="W42" i="32"/>
  <c r="AH88" i="34"/>
  <c r="AH89" i="34"/>
  <c r="V103" i="35"/>
  <c r="V104" i="35" s="1"/>
  <c r="V112" i="35"/>
  <c r="V110" i="35"/>
  <c r="V108" i="35"/>
  <c r="W96" i="35"/>
  <c r="W98" i="35" s="1"/>
  <c r="W100" i="35" s="1"/>
  <c r="W101" i="35" s="1"/>
  <c r="W102" i="35" s="1"/>
  <c r="X45" i="34"/>
  <c r="X24" i="34"/>
  <c r="X43" i="34" s="1"/>
  <c r="X95" i="34"/>
  <c r="C54" i="34"/>
  <c r="W57" i="34"/>
  <c r="W48" i="34"/>
  <c r="W55" i="34"/>
  <c r="X40" i="32"/>
  <c r="X94" i="32"/>
  <c r="X46" i="32"/>
  <c r="W57" i="33"/>
  <c r="W48" i="33"/>
  <c r="W55" i="33"/>
  <c r="Y26" i="33"/>
  <c r="Y38" i="33"/>
  <c r="Y34" i="33" s="1"/>
  <c r="Y28" i="33"/>
  <c r="AH86" i="34"/>
  <c r="AH85" i="34"/>
  <c r="W43" i="35"/>
  <c r="W42" i="35"/>
  <c r="X94" i="35"/>
  <c r="X46" i="35"/>
  <c r="W53" i="34"/>
  <c r="X45" i="32"/>
  <c r="X24" i="32"/>
  <c r="X43" i="32" s="1"/>
  <c r="X95" i="32"/>
  <c r="X46" i="33"/>
  <c r="X40" i="33"/>
  <c r="X94" i="33"/>
  <c r="W57" i="35"/>
  <c r="W48" i="35"/>
  <c r="W55" i="35"/>
  <c r="AE92" i="35"/>
  <c r="AE91" i="35"/>
  <c r="Y38" i="34"/>
  <c r="Y34" i="34" s="1"/>
  <c r="Y26" i="34"/>
  <c r="Y28" i="34"/>
  <c r="Y26" i="35"/>
  <c r="Y28" i="35"/>
  <c r="Y38" i="35"/>
  <c r="Y34" i="35" s="1"/>
  <c r="W55" i="32"/>
  <c r="W48" i="32"/>
  <c r="W57" i="32"/>
  <c r="W96" i="34"/>
  <c r="W98" i="34" s="1"/>
  <c r="W100" i="34" s="1"/>
  <c r="AE89" i="32"/>
  <c r="AE88" i="32"/>
  <c r="AD92" i="32"/>
  <c r="AD71" i="32" s="1"/>
  <c r="AD97" i="32" s="1"/>
  <c r="AD91" i="32"/>
  <c r="Y38" i="32"/>
  <c r="Y34" i="32" s="1"/>
  <c r="X67" i="32" s="1"/>
  <c r="Y26" i="32"/>
  <c r="Y28" i="32"/>
  <c r="AB92" i="34"/>
  <c r="AB71" i="34" s="1"/>
  <c r="AB97" i="34" s="1"/>
  <c r="AB91" i="34"/>
  <c r="AA70" i="34"/>
  <c r="X95" i="33"/>
  <c r="X24" i="33"/>
  <c r="X53" i="33" s="1"/>
  <c r="X45" i="33"/>
  <c r="V103" i="33"/>
  <c r="V104" i="33" s="1"/>
  <c r="V108" i="33"/>
  <c r="V112" i="33"/>
  <c r="V110" i="33"/>
  <c r="AH83" i="33"/>
  <c r="AH82" i="33"/>
  <c r="X94" i="34"/>
  <c r="X46" i="34"/>
  <c r="AD89" i="35"/>
  <c r="AD71" i="35" s="1"/>
  <c r="AD97" i="35" s="1"/>
  <c r="AD88" i="35"/>
  <c r="AC70" i="35"/>
  <c r="X45" i="35"/>
  <c r="X24" i="35"/>
  <c r="X43" i="35" s="1"/>
  <c r="X95" i="35"/>
  <c r="W103" i="32"/>
  <c r="W104" i="32" s="1"/>
  <c r="W110" i="32"/>
  <c r="W112" i="32"/>
  <c r="W108" i="32"/>
  <c r="W42" i="34"/>
  <c r="AF85" i="32"/>
  <c r="AF86" i="32"/>
  <c r="H47" i="31"/>
  <c r="H80" i="31"/>
  <c r="H146" i="31"/>
  <c r="E120" i="31"/>
  <c r="E129" i="31"/>
  <c r="F129" i="31"/>
  <c r="G113" i="31"/>
  <c r="G120" i="31" s="1"/>
  <c r="G47" i="31"/>
  <c r="H113" i="31"/>
  <c r="H120" i="31" s="1"/>
  <c r="M78" i="2"/>
  <c r="O84" i="2"/>
  <c r="P90" i="2"/>
  <c r="N81" i="2"/>
  <c r="L75" i="2"/>
  <c r="P87" i="2"/>
  <c r="Y30" i="33" l="1"/>
  <c r="Y47" i="33" s="1"/>
  <c r="X53" i="34"/>
  <c r="X40" i="35"/>
  <c r="X42" i="35" s="1"/>
  <c r="X40" i="34"/>
  <c r="W112" i="33"/>
  <c r="W103" i="33"/>
  <c r="W104" i="33" s="1"/>
  <c r="W108" i="33"/>
  <c r="Z32" i="34"/>
  <c r="Z31" i="34"/>
  <c r="Y30" i="32"/>
  <c r="Y47" i="32" s="1"/>
  <c r="Z32" i="32"/>
  <c r="Z31" i="32"/>
  <c r="Z32" i="35"/>
  <c r="Z31" i="35"/>
  <c r="Z32" i="33"/>
  <c r="Z31" i="33"/>
  <c r="Y30" i="34"/>
  <c r="Y47" i="34" s="1"/>
  <c r="Y30" i="35"/>
  <c r="Y47" i="35" s="1"/>
  <c r="X96" i="34"/>
  <c r="X98" i="34" s="1"/>
  <c r="X100" i="34" s="1"/>
  <c r="X101" i="34" s="1"/>
  <c r="X102" i="34" s="1"/>
  <c r="X112" i="34" s="1"/>
  <c r="X42" i="34"/>
  <c r="AB91" i="33"/>
  <c r="AB92" i="33"/>
  <c r="AB71" i="33" s="1"/>
  <c r="AB97" i="33" s="1"/>
  <c r="AA70" i="33"/>
  <c r="Z26" i="32"/>
  <c r="Z38" i="32"/>
  <c r="Z34" i="32" s="1"/>
  <c r="Y67" i="32" s="1"/>
  <c r="Z28" i="32"/>
  <c r="Z26" i="35"/>
  <c r="Z28" i="35"/>
  <c r="Z38" i="35"/>
  <c r="Z34" i="35" s="1"/>
  <c r="Y94" i="34"/>
  <c r="Y46" i="34"/>
  <c r="X96" i="33"/>
  <c r="X98" i="33" s="1"/>
  <c r="X100" i="33" s="1"/>
  <c r="X101" i="33" s="1"/>
  <c r="X102" i="33" s="1"/>
  <c r="X53" i="32"/>
  <c r="AG86" i="32"/>
  <c r="AG85" i="32"/>
  <c r="Y24" i="32"/>
  <c r="Y43" i="32" s="1"/>
  <c r="Y95" i="32"/>
  <c r="Y45" i="32"/>
  <c r="AF89" i="32"/>
  <c r="AF88" i="32"/>
  <c r="Y95" i="35"/>
  <c r="Y45" i="35"/>
  <c r="Y24" i="35"/>
  <c r="AF91" i="35"/>
  <c r="AF92" i="35"/>
  <c r="X42" i="33"/>
  <c r="X53" i="35"/>
  <c r="Z38" i="33"/>
  <c r="Z34" i="33" s="1"/>
  <c r="Z26" i="33"/>
  <c r="Z28" i="33"/>
  <c r="X96" i="32"/>
  <c r="X98" i="32" s="1"/>
  <c r="X100" i="32" s="1"/>
  <c r="X101" i="32" s="1"/>
  <c r="X102" i="32" s="1"/>
  <c r="Z38" i="34"/>
  <c r="Z34" i="34" s="1"/>
  <c r="Z26" i="34"/>
  <c r="Z28" i="34"/>
  <c r="X42" i="32"/>
  <c r="W110" i="35"/>
  <c r="W108" i="35"/>
  <c r="W103" i="35"/>
  <c r="W104" i="35" s="1"/>
  <c r="W112" i="35"/>
  <c r="AC92" i="34"/>
  <c r="AC71" i="34" s="1"/>
  <c r="AC97" i="34" s="1"/>
  <c r="AC91" i="34"/>
  <c r="AB70" i="34"/>
  <c r="Y46" i="32"/>
  <c r="Y40" i="32"/>
  <c r="Y94" i="32"/>
  <c r="X57" i="33"/>
  <c r="X55" i="33"/>
  <c r="X48" i="33"/>
  <c r="X57" i="35"/>
  <c r="X48" i="35"/>
  <c r="X55" i="35"/>
  <c r="Y46" i="33"/>
  <c r="Y40" i="33"/>
  <c r="Y94" i="33"/>
  <c r="AE88" i="35"/>
  <c r="AE89" i="35"/>
  <c r="AE71" i="35" s="1"/>
  <c r="AE97" i="35" s="1"/>
  <c r="AD70" i="35"/>
  <c r="X55" i="34"/>
  <c r="X48" i="34"/>
  <c r="X57" i="34"/>
  <c r="AE91" i="32"/>
  <c r="AE92" i="32"/>
  <c r="AE71" i="32" s="1"/>
  <c r="AE97" i="32" s="1"/>
  <c r="W101" i="34"/>
  <c r="W102" i="34" s="1"/>
  <c r="Y94" i="35"/>
  <c r="Y46" i="35"/>
  <c r="Y40" i="35"/>
  <c r="Y43" i="35"/>
  <c r="Y95" i="34"/>
  <c r="Y45" i="34"/>
  <c r="Y24" i="34"/>
  <c r="Y43" i="34" s="1"/>
  <c r="X43" i="33"/>
  <c r="X96" i="35"/>
  <c r="X98" i="35" s="1"/>
  <c r="X100" i="35" s="1"/>
  <c r="X101" i="35" s="1"/>
  <c r="X102" i="35" s="1"/>
  <c r="Y24" i="33"/>
  <c r="Y43" i="33" s="1"/>
  <c r="Y95" i="33"/>
  <c r="Y45" i="33"/>
  <c r="X48" i="32"/>
  <c r="X55" i="32"/>
  <c r="X57" i="32"/>
  <c r="AD70" i="32"/>
  <c r="I146" i="31"/>
  <c r="I80" i="31"/>
  <c r="G80" i="31"/>
  <c r="I14" i="31"/>
  <c r="I113" i="31"/>
  <c r="G129" i="31"/>
  <c r="J14" i="31"/>
  <c r="H129" i="31"/>
  <c r="G146" i="31"/>
  <c r="Q90" i="2"/>
  <c r="Q87" i="2"/>
  <c r="P84" i="2"/>
  <c r="M75" i="2"/>
  <c r="N78" i="2"/>
  <c r="O81" i="2"/>
  <c r="Z30" i="35" l="1"/>
  <c r="Z47" i="35" s="1"/>
  <c r="Y53" i="35"/>
  <c r="Z30" i="33"/>
  <c r="Z47" i="33" s="1"/>
  <c r="Z30" i="32"/>
  <c r="Z47" i="32" s="1"/>
  <c r="X108" i="34"/>
  <c r="AA32" i="34"/>
  <c r="AA31" i="34"/>
  <c r="X110" i="34"/>
  <c r="Y40" i="34"/>
  <c r="Y42" i="34" s="1"/>
  <c r="AA32" i="32"/>
  <c r="AA31" i="32"/>
  <c r="AA32" i="33"/>
  <c r="AA31" i="33"/>
  <c r="X103" i="34"/>
  <c r="X104" i="34" s="1"/>
  <c r="AA32" i="35"/>
  <c r="AA31" i="35"/>
  <c r="Z30" i="34"/>
  <c r="Z47" i="34" s="1"/>
  <c r="Y42" i="35"/>
  <c r="I120" i="31"/>
  <c r="Y53" i="33"/>
  <c r="Y96" i="35"/>
  <c r="Y98" i="35" s="1"/>
  <c r="Y100" i="35" s="1"/>
  <c r="Y101" i="35" s="1"/>
  <c r="Y102" i="35" s="1"/>
  <c r="Y112" i="35" s="1"/>
  <c r="Y96" i="34"/>
  <c r="Y98" i="34" s="1"/>
  <c r="Y100" i="34" s="1"/>
  <c r="Y101" i="34" s="1"/>
  <c r="Y102" i="34" s="1"/>
  <c r="Y108" i="34" s="1"/>
  <c r="Y96" i="32"/>
  <c r="Y98" i="32" s="1"/>
  <c r="Y100" i="32" s="1"/>
  <c r="Y101" i="32" s="1"/>
  <c r="Y102" i="32" s="1"/>
  <c r="Y108" i="32" s="1"/>
  <c r="AC92" i="33"/>
  <c r="AC71" i="33" s="1"/>
  <c r="AC97" i="33" s="1"/>
  <c r="AB70" i="33"/>
  <c r="AC91" i="33"/>
  <c r="Y42" i="32"/>
  <c r="Y53" i="34"/>
  <c r="Y42" i="33"/>
  <c r="W103" i="34"/>
  <c r="W104" i="34" s="1"/>
  <c r="W112" i="34"/>
  <c r="W110" i="34"/>
  <c r="W108" i="34"/>
  <c r="Y55" i="35"/>
  <c r="Y48" i="35"/>
  <c r="Y57" i="35"/>
  <c r="Z95" i="34"/>
  <c r="Z45" i="34"/>
  <c r="Z24" i="34"/>
  <c r="Z43" i="34" s="1"/>
  <c r="X108" i="35"/>
  <c r="X103" i="35"/>
  <c r="X104" i="35" s="1"/>
  <c r="X112" i="35"/>
  <c r="X110" i="35"/>
  <c r="AF92" i="32"/>
  <c r="AF71" i="32" s="1"/>
  <c r="AF97" i="32" s="1"/>
  <c r="AF91" i="32"/>
  <c r="AF70" i="32" s="1"/>
  <c r="AE70" i="32"/>
  <c r="Y96" i="33"/>
  <c r="Y98" i="33" s="1"/>
  <c r="Y100" i="33" s="1"/>
  <c r="Y101" i="33" s="1"/>
  <c r="Y102" i="33" s="1"/>
  <c r="Y53" i="32"/>
  <c r="AD91" i="34"/>
  <c r="AD92" i="34"/>
  <c r="AD71" i="34" s="1"/>
  <c r="AD97" i="34" s="1"/>
  <c r="AC70" i="34"/>
  <c r="Z94" i="34"/>
  <c r="Z46" i="34"/>
  <c r="Z95" i="33"/>
  <c r="Z24" i="33"/>
  <c r="Z53" i="33" s="1"/>
  <c r="Z45" i="33"/>
  <c r="X108" i="33"/>
  <c r="X103" i="33"/>
  <c r="X104" i="33" s="1"/>
  <c r="X112" i="33"/>
  <c r="X110" i="33"/>
  <c r="AA38" i="32"/>
  <c r="AA34" i="32" s="1"/>
  <c r="Z67" i="32" s="1"/>
  <c r="AA28" i="32"/>
  <c r="AA26" i="32"/>
  <c r="AG92" i="35"/>
  <c r="AG91" i="35"/>
  <c r="Z40" i="35"/>
  <c r="Z94" i="35"/>
  <c r="Z46" i="35"/>
  <c r="Z94" i="32"/>
  <c r="Z46" i="32"/>
  <c r="Z46" i="33"/>
  <c r="Z94" i="33"/>
  <c r="Z96" i="33" s="1"/>
  <c r="Z98" i="33" s="1"/>
  <c r="Z100" i="33" s="1"/>
  <c r="Z101" i="33" s="1"/>
  <c r="Z102" i="33" s="1"/>
  <c r="AG89" i="32"/>
  <c r="AG88" i="32"/>
  <c r="AF89" i="35"/>
  <c r="AF71" i="35" s="1"/>
  <c r="AF97" i="35" s="1"/>
  <c r="AF88" i="35"/>
  <c r="AE70" i="35"/>
  <c r="Y55" i="33"/>
  <c r="Y48" i="33"/>
  <c r="Y57" i="33"/>
  <c r="Y55" i="32"/>
  <c r="Y48" i="32"/>
  <c r="Y57" i="32"/>
  <c r="AA38" i="34"/>
  <c r="AA34" i="34" s="1"/>
  <c r="AA26" i="34"/>
  <c r="AA28" i="34"/>
  <c r="X112" i="32"/>
  <c r="X108" i="32"/>
  <c r="X110" i="32"/>
  <c r="X103" i="32"/>
  <c r="X104" i="32" s="1"/>
  <c r="Y48" i="34"/>
  <c r="Y55" i="34"/>
  <c r="Y57" i="34"/>
  <c r="AA38" i="35"/>
  <c r="AA34" i="35" s="1"/>
  <c r="AA28" i="35"/>
  <c r="AA26" i="35"/>
  <c r="Z95" i="32"/>
  <c r="Z45" i="32"/>
  <c r="Z24" i="32"/>
  <c r="Z43" i="32" s="1"/>
  <c r="AA26" i="33"/>
  <c r="AA38" i="33"/>
  <c r="AA34" i="33" s="1"/>
  <c r="AA28" i="33"/>
  <c r="AH86" i="32"/>
  <c r="AH85" i="32"/>
  <c r="Y103" i="34"/>
  <c r="Y104" i="34" s="1"/>
  <c r="Z45" i="35"/>
  <c r="Z24" i="35"/>
  <c r="Z43" i="35" s="1"/>
  <c r="Z95" i="35"/>
  <c r="K14" i="31"/>
  <c r="I129" i="31"/>
  <c r="J47" i="31"/>
  <c r="J113" i="31"/>
  <c r="J129" i="31" s="1"/>
  <c r="J146" i="31"/>
  <c r="I47" i="31"/>
  <c r="O78" i="2"/>
  <c r="R87" i="2"/>
  <c r="R90" i="2"/>
  <c r="Q84" i="2"/>
  <c r="N75" i="2"/>
  <c r="P81" i="2"/>
  <c r="Y110" i="34" l="1"/>
  <c r="Z40" i="32"/>
  <c r="AA30" i="32"/>
  <c r="AA47" i="32" s="1"/>
  <c r="Z40" i="33"/>
  <c r="AA30" i="33"/>
  <c r="AA47" i="33" s="1"/>
  <c r="Z40" i="34"/>
  <c r="Z42" i="34" s="1"/>
  <c r="AB32" i="35"/>
  <c r="AB31" i="35"/>
  <c r="AB32" i="32"/>
  <c r="AB31" i="32"/>
  <c r="AB32" i="33"/>
  <c r="AB31" i="33"/>
  <c r="AA30" i="35"/>
  <c r="AA47" i="35" s="1"/>
  <c r="AB32" i="34"/>
  <c r="AB31" i="34"/>
  <c r="AA30" i="34"/>
  <c r="AA47" i="34" s="1"/>
  <c r="Y110" i="32"/>
  <c r="Y103" i="32"/>
  <c r="Y104" i="32" s="1"/>
  <c r="Y103" i="35"/>
  <c r="Y104" i="35" s="1"/>
  <c r="Y112" i="34"/>
  <c r="Y108" i="35"/>
  <c r="Y110" i="35"/>
  <c r="Y112" i="32"/>
  <c r="Z42" i="33"/>
  <c r="Z43" i="33"/>
  <c r="AC70" i="33"/>
  <c r="AD92" i="33"/>
  <c r="AD71" i="33" s="1"/>
  <c r="AD97" i="33" s="1"/>
  <c r="AD91" i="33"/>
  <c r="Z53" i="32"/>
  <c r="Z53" i="35"/>
  <c r="Z96" i="34"/>
  <c r="Z98" i="34" s="1"/>
  <c r="Z100" i="34" s="1"/>
  <c r="Z101" i="34" s="1"/>
  <c r="Z102" i="34" s="1"/>
  <c r="Z103" i="34" s="1"/>
  <c r="Z104" i="34" s="1"/>
  <c r="AA40" i="35"/>
  <c r="AA94" i="35"/>
  <c r="AA46" i="35"/>
  <c r="AA94" i="34"/>
  <c r="AA46" i="34"/>
  <c r="AG88" i="35"/>
  <c r="AG89" i="35"/>
  <c r="AG71" i="35" s="1"/>
  <c r="AG97" i="35" s="1"/>
  <c r="AF70" i="35"/>
  <c r="AH92" i="35"/>
  <c r="AH91" i="35"/>
  <c r="AA40" i="32"/>
  <c r="AA94" i="32"/>
  <c r="AA46" i="32"/>
  <c r="Z57" i="34"/>
  <c r="Z55" i="34"/>
  <c r="Z48" i="34"/>
  <c r="AE91" i="34"/>
  <c r="AE92" i="34"/>
  <c r="AE71" i="34" s="1"/>
  <c r="AE97" i="34" s="1"/>
  <c r="AD70" i="34"/>
  <c r="AA94" i="33"/>
  <c r="AA46" i="33"/>
  <c r="Z108" i="33"/>
  <c r="Z103" i="33"/>
  <c r="Z104" i="33" s="1"/>
  <c r="Z112" i="33"/>
  <c r="Z110" i="33"/>
  <c r="Z42" i="32"/>
  <c r="Z48" i="35"/>
  <c r="Z55" i="35"/>
  <c r="Z57" i="35"/>
  <c r="Z53" i="34"/>
  <c r="AA95" i="35"/>
  <c r="AA45" i="35"/>
  <c r="AA24" i="35"/>
  <c r="AH89" i="32"/>
  <c r="AH88" i="32"/>
  <c r="Z96" i="35"/>
  <c r="Z98" i="35" s="1"/>
  <c r="Z100" i="35" s="1"/>
  <c r="Z101" i="35" s="1"/>
  <c r="Z102" i="35" s="1"/>
  <c r="Y112" i="33"/>
  <c r="Y103" i="33"/>
  <c r="Y104" i="33" s="1"/>
  <c r="Y110" i="33"/>
  <c r="Y108" i="33"/>
  <c r="AB26" i="33"/>
  <c r="AB38" i="33"/>
  <c r="AB34" i="33" s="1"/>
  <c r="AB28" i="33"/>
  <c r="AA24" i="33"/>
  <c r="AA43" i="33" s="1"/>
  <c r="AA45" i="33"/>
  <c r="AA95" i="33"/>
  <c r="AB28" i="34"/>
  <c r="AB26" i="34"/>
  <c r="AB38" i="34"/>
  <c r="AB34" i="34" s="1"/>
  <c r="Z55" i="32"/>
  <c r="Z48" i="32"/>
  <c r="Z57" i="32"/>
  <c r="AA95" i="32"/>
  <c r="AA45" i="32"/>
  <c r="AA24" i="32"/>
  <c r="AA43" i="32" s="1"/>
  <c r="AB38" i="35"/>
  <c r="AB34" i="35" s="1"/>
  <c r="AB28" i="35"/>
  <c r="AB26" i="35"/>
  <c r="AA45" i="34"/>
  <c r="AA24" i="34"/>
  <c r="AA43" i="34" s="1"/>
  <c r="AA95" i="34"/>
  <c r="Z57" i="33"/>
  <c r="Z48" i="33"/>
  <c r="Z55" i="33"/>
  <c r="Z96" i="32"/>
  <c r="Z98" i="32" s="1"/>
  <c r="Z100" i="32" s="1"/>
  <c r="Z101" i="32" s="1"/>
  <c r="Z102" i="32" s="1"/>
  <c r="Z42" i="35"/>
  <c r="AB38" i="32"/>
  <c r="AB34" i="32" s="1"/>
  <c r="AA67" i="32" s="1"/>
  <c r="AB26" i="32"/>
  <c r="AB28" i="32"/>
  <c r="AG92" i="32"/>
  <c r="AG71" i="32" s="1"/>
  <c r="AG97" i="32" s="1"/>
  <c r="AG91" i="32"/>
  <c r="J80" i="31"/>
  <c r="K47" i="31"/>
  <c r="K146" i="31"/>
  <c r="J120" i="31"/>
  <c r="K80" i="31"/>
  <c r="S90" i="2"/>
  <c r="O75" i="2"/>
  <c r="S87" i="2"/>
  <c r="R84" i="2"/>
  <c r="P78" i="2"/>
  <c r="Q81" i="2"/>
  <c r="Z108" i="34" l="1"/>
  <c r="Z112" i="34"/>
  <c r="AA40" i="33"/>
  <c r="AA42" i="33" s="1"/>
  <c r="AA53" i="35"/>
  <c r="AB30" i="34"/>
  <c r="AB47" i="34" s="1"/>
  <c r="AB30" i="33"/>
  <c r="AB47" i="33" s="1"/>
  <c r="AB30" i="35"/>
  <c r="AB47" i="35" s="1"/>
  <c r="AA40" i="34"/>
  <c r="AA42" i="34" s="1"/>
  <c r="Z110" i="34"/>
  <c r="AC32" i="34"/>
  <c r="AC31" i="34"/>
  <c r="AC32" i="33"/>
  <c r="AC30" i="33" s="1"/>
  <c r="AC47" i="33" s="1"/>
  <c r="AC31" i="33"/>
  <c r="AB30" i="32"/>
  <c r="AB47" i="32" s="1"/>
  <c r="AC32" i="32"/>
  <c r="AC31" i="32"/>
  <c r="AC32" i="35"/>
  <c r="AC30" i="35" s="1"/>
  <c r="AC47" i="35" s="1"/>
  <c r="AC31" i="35"/>
  <c r="AD70" i="33"/>
  <c r="AE92" i="33"/>
  <c r="AE71" i="33" s="1"/>
  <c r="AE97" i="33" s="1"/>
  <c r="AE91" i="33"/>
  <c r="AC26" i="32"/>
  <c r="AC28" i="32"/>
  <c r="AC38" i="32"/>
  <c r="AC34" i="32" s="1"/>
  <c r="AB67" i="32" s="1"/>
  <c r="AB94" i="33"/>
  <c r="AB40" i="33"/>
  <c r="AB46" i="33"/>
  <c r="AA96" i="33"/>
  <c r="AA98" i="33" s="1"/>
  <c r="AA100" i="33" s="1"/>
  <c r="AA101" i="33" s="1"/>
  <c r="AA102" i="33" s="1"/>
  <c r="AF91" i="34"/>
  <c r="AF92" i="34"/>
  <c r="AF71" i="34" s="1"/>
  <c r="AF97" i="34" s="1"/>
  <c r="AE70" i="34"/>
  <c r="AA53" i="32"/>
  <c r="AH89" i="35"/>
  <c r="AH71" i="35" s="1"/>
  <c r="AH97" i="35" s="1"/>
  <c r="AH88" i="35"/>
  <c r="AH70" i="35" s="1"/>
  <c r="AG70" i="35"/>
  <c r="AA53" i="34"/>
  <c r="AA96" i="35"/>
  <c r="AA98" i="35" s="1"/>
  <c r="AA100" i="35" s="1"/>
  <c r="AA101" i="35" s="1"/>
  <c r="AA102" i="35" s="1"/>
  <c r="Z103" i="32"/>
  <c r="Z104" i="32" s="1"/>
  <c r="Z110" i="32"/>
  <c r="Z108" i="32"/>
  <c r="Z112" i="32"/>
  <c r="AB24" i="35"/>
  <c r="AB43" i="35" s="1"/>
  <c r="AB95" i="35"/>
  <c r="AB45" i="35"/>
  <c r="AB45" i="32"/>
  <c r="AB24" i="32"/>
  <c r="AB53" i="32" s="1"/>
  <c r="AB95" i="32"/>
  <c r="AC26" i="35"/>
  <c r="AC28" i="35"/>
  <c r="AC38" i="35"/>
  <c r="AC34" i="35" s="1"/>
  <c r="AB94" i="34"/>
  <c r="AB46" i="34"/>
  <c r="AB40" i="34"/>
  <c r="AB95" i="33"/>
  <c r="AB45" i="33"/>
  <c r="AB24" i="33"/>
  <c r="AA57" i="32"/>
  <c r="AA48" i="32"/>
  <c r="AA55" i="32"/>
  <c r="AA43" i="35"/>
  <c r="AA42" i="35"/>
  <c r="AB94" i="32"/>
  <c r="AB96" i="32" s="1"/>
  <c r="AB98" i="32" s="1"/>
  <c r="AB100" i="32" s="1"/>
  <c r="AB101" i="32" s="1"/>
  <c r="AB102" i="32" s="1"/>
  <c r="AB46" i="32"/>
  <c r="AB46" i="35"/>
  <c r="AB40" i="35"/>
  <c r="AB94" i="35"/>
  <c r="AB96" i="35" s="1"/>
  <c r="AB98" i="35" s="1"/>
  <c r="AB100" i="35" s="1"/>
  <c r="AB101" i="35" s="1"/>
  <c r="AB102" i="35" s="1"/>
  <c r="AB95" i="34"/>
  <c r="AB45" i="34"/>
  <c r="AB24" i="34"/>
  <c r="AB53" i="34" s="1"/>
  <c r="Z110" i="35"/>
  <c r="Z103" i="35"/>
  <c r="Z104" i="35" s="1"/>
  <c r="Z112" i="35"/>
  <c r="Z108" i="35"/>
  <c r="AA53" i="33"/>
  <c r="AA96" i="32"/>
  <c r="AA98" i="32" s="1"/>
  <c r="AA100" i="32" s="1"/>
  <c r="AA101" i="32" s="1"/>
  <c r="AA102" i="32" s="1"/>
  <c r="AA48" i="34"/>
  <c r="AA57" i="34"/>
  <c r="AA55" i="34"/>
  <c r="AA55" i="35"/>
  <c r="AA57" i="35"/>
  <c r="AA48" i="35"/>
  <c r="AH92" i="32"/>
  <c r="AH71" i="32" s="1"/>
  <c r="AH97" i="32" s="1"/>
  <c r="AH91" i="32"/>
  <c r="AH70" i="32" s="1"/>
  <c r="AC38" i="34"/>
  <c r="AC34" i="34" s="1"/>
  <c r="AC28" i="34"/>
  <c r="AC26" i="34"/>
  <c r="AC38" i="33"/>
  <c r="AC34" i="33" s="1"/>
  <c r="AC26" i="33"/>
  <c r="AC28" i="33"/>
  <c r="AA55" i="33"/>
  <c r="AA57" i="33"/>
  <c r="AA48" i="33"/>
  <c r="AA42" i="32"/>
  <c r="AA96" i="34"/>
  <c r="AA98" i="34" s="1"/>
  <c r="AA100" i="34" s="1"/>
  <c r="AA101" i="34" s="1"/>
  <c r="AA102" i="34" s="1"/>
  <c r="AG70" i="32"/>
  <c r="L14" i="31"/>
  <c r="L80" i="31"/>
  <c r="L113" i="31"/>
  <c r="L120" i="31" s="1"/>
  <c r="M14" i="31"/>
  <c r="K113" i="31"/>
  <c r="L146" i="31"/>
  <c r="R81" i="2"/>
  <c r="T87" i="2"/>
  <c r="Q78" i="2"/>
  <c r="S84" i="2"/>
  <c r="P75" i="2"/>
  <c r="T90" i="2"/>
  <c r="AB40" i="32" l="1"/>
  <c r="AB53" i="33"/>
  <c r="AD32" i="35"/>
  <c r="AD31" i="35"/>
  <c r="AD32" i="34"/>
  <c r="AD30" i="34" s="1"/>
  <c r="AD47" i="34" s="1"/>
  <c r="AD31" i="34"/>
  <c r="AD32" i="33"/>
  <c r="AD31" i="33"/>
  <c r="AD32" i="32"/>
  <c r="AD30" i="32" s="1"/>
  <c r="AD47" i="32" s="1"/>
  <c r="AD31" i="32"/>
  <c r="AC30" i="32"/>
  <c r="AC47" i="32" s="1"/>
  <c r="AC30" i="34"/>
  <c r="AC47" i="34" s="1"/>
  <c r="AB42" i="35"/>
  <c r="AB53" i="35"/>
  <c r="AB42" i="34"/>
  <c r="AE70" i="33"/>
  <c r="AF92" i="33"/>
  <c r="AF71" i="33" s="1"/>
  <c r="AF97" i="33" s="1"/>
  <c r="AF91" i="33"/>
  <c r="AB42" i="32"/>
  <c r="AB43" i="32"/>
  <c r="AB96" i="34"/>
  <c r="AB98" i="34" s="1"/>
  <c r="AB100" i="34" s="1"/>
  <c r="AB101" i="34" s="1"/>
  <c r="AB102" i="34" s="1"/>
  <c r="AB110" i="34" s="1"/>
  <c r="AD38" i="33"/>
  <c r="AD34" i="33" s="1"/>
  <c r="AD26" i="33"/>
  <c r="AD28" i="33"/>
  <c r="AD38" i="34"/>
  <c r="AD34" i="34" s="1"/>
  <c r="AD26" i="34"/>
  <c r="AD28" i="34"/>
  <c r="AA110" i="33"/>
  <c r="AA108" i="33"/>
  <c r="AA103" i="33"/>
  <c r="AA104" i="33" s="1"/>
  <c r="AA112" i="33"/>
  <c r="AB42" i="33"/>
  <c r="AC95" i="32"/>
  <c r="AC45" i="32"/>
  <c r="AC24" i="32"/>
  <c r="AC43" i="32" s="1"/>
  <c r="AC95" i="33"/>
  <c r="AC24" i="33"/>
  <c r="AC53" i="33" s="1"/>
  <c r="AC45" i="33"/>
  <c r="AC94" i="34"/>
  <c r="AC40" i="34"/>
  <c r="AC46" i="34"/>
  <c r="AA103" i="32"/>
  <c r="AA104" i="32" s="1"/>
  <c r="AA110" i="32"/>
  <c r="AA112" i="32"/>
  <c r="AA108" i="32"/>
  <c r="AB55" i="35"/>
  <c r="AB48" i="35"/>
  <c r="AB57" i="35"/>
  <c r="AB43" i="34"/>
  <c r="AC94" i="35"/>
  <c r="AC46" i="35"/>
  <c r="AC40" i="35"/>
  <c r="AB96" i="33"/>
  <c r="AB98" i="33" s="1"/>
  <c r="AB100" i="33" s="1"/>
  <c r="AB101" i="33" s="1"/>
  <c r="AB102" i="33" s="1"/>
  <c r="AA103" i="34"/>
  <c r="AA104" i="34" s="1"/>
  <c r="AA112" i="34"/>
  <c r="AA110" i="34"/>
  <c r="AA108" i="34"/>
  <c r="AC40" i="33"/>
  <c r="AC94" i="33"/>
  <c r="AC46" i="33"/>
  <c r="AC43" i="33"/>
  <c r="AB103" i="35"/>
  <c r="AB104" i="35" s="1"/>
  <c r="AB108" i="35"/>
  <c r="AB112" i="35"/>
  <c r="AB110" i="35"/>
  <c r="AD26" i="35"/>
  <c r="AD28" i="35"/>
  <c r="AD38" i="35"/>
  <c r="AD34" i="35" s="1"/>
  <c r="AA110" i="35"/>
  <c r="AA108" i="35"/>
  <c r="AA103" i="35"/>
  <c r="AA104" i="35" s="1"/>
  <c r="AA112" i="35"/>
  <c r="AB43" i="33"/>
  <c r="AC40" i="32"/>
  <c r="AC53" i="32"/>
  <c r="AC46" i="32"/>
  <c r="AC94" i="32"/>
  <c r="AC96" i="32" s="1"/>
  <c r="AC98" i="32" s="1"/>
  <c r="AC100" i="32" s="1"/>
  <c r="AC101" i="32" s="1"/>
  <c r="AC102" i="32" s="1"/>
  <c r="AC45" i="34"/>
  <c r="AC24" i="34"/>
  <c r="AC43" i="34" s="1"/>
  <c r="AC95" i="34"/>
  <c r="AB48" i="32"/>
  <c r="AB55" i="32"/>
  <c r="AB57" i="32"/>
  <c r="AB57" i="34"/>
  <c r="AB55" i="34"/>
  <c r="AB48" i="34"/>
  <c r="AC24" i="35"/>
  <c r="AC43" i="35" s="1"/>
  <c r="AC95" i="35"/>
  <c r="AC45" i="35"/>
  <c r="AG91" i="34"/>
  <c r="AG92" i="34"/>
  <c r="AG71" i="34" s="1"/>
  <c r="AG97" i="34" s="1"/>
  <c r="AF70" i="34"/>
  <c r="AB57" i="33"/>
  <c r="AB55" i="33"/>
  <c r="AB48" i="33"/>
  <c r="AD26" i="32"/>
  <c r="AD28" i="32"/>
  <c r="AD38" i="32"/>
  <c r="AD34" i="32" s="1"/>
  <c r="AC67" i="32" s="1"/>
  <c r="AB110" i="32"/>
  <c r="AB112" i="32"/>
  <c r="AB103" i="32"/>
  <c r="AB104" i="32" s="1"/>
  <c r="AB108" i="32"/>
  <c r="M146" i="31"/>
  <c r="K120" i="31"/>
  <c r="K129" i="31"/>
  <c r="M18" i="30" s="1"/>
  <c r="L129" i="31"/>
  <c r="M47" i="31"/>
  <c r="L47" i="31"/>
  <c r="N14" i="31"/>
  <c r="M113" i="31"/>
  <c r="M120" i="31" s="1"/>
  <c r="U90" i="2"/>
  <c r="R78" i="2"/>
  <c r="Q75" i="2"/>
  <c r="U87" i="2"/>
  <c r="T84" i="2"/>
  <c r="S81" i="2"/>
  <c r="AE32" i="32" l="1"/>
  <c r="AE31" i="32"/>
  <c r="AE32" i="33"/>
  <c r="AE31" i="33"/>
  <c r="G6" i="30"/>
  <c r="AE32" i="35"/>
  <c r="AE31" i="35"/>
  <c r="AE32" i="34"/>
  <c r="AE30" i="34" s="1"/>
  <c r="AE47" i="34" s="1"/>
  <c r="AE31" i="34"/>
  <c r="AD30" i="33"/>
  <c r="AD47" i="33" s="1"/>
  <c r="AD30" i="35"/>
  <c r="AD47" i="35" s="1"/>
  <c r="AB108" i="34"/>
  <c r="AB103" i="34"/>
  <c r="AB104" i="34" s="1"/>
  <c r="AB112" i="34"/>
  <c r="AF70" i="33"/>
  <c r="AG92" i="33"/>
  <c r="AG71" i="33" s="1"/>
  <c r="AG97" i="33" s="1"/>
  <c r="AG91" i="33"/>
  <c r="AC96" i="33"/>
  <c r="AC98" i="33" s="1"/>
  <c r="AC100" i="33" s="1"/>
  <c r="AC101" i="33" s="1"/>
  <c r="AC102" i="33" s="1"/>
  <c r="AC103" i="33" s="1"/>
  <c r="AC104" i="33" s="1"/>
  <c r="AC96" i="34"/>
  <c r="AC98" i="34" s="1"/>
  <c r="AC100" i="34" s="1"/>
  <c r="AC101" i="34" s="1"/>
  <c r="AC102" i="34" s="1"/>
  <c r="AC112" i="34" s="1"/>
  <c r="AC96" i="35"/>
  <c r="AC98" i="35" s="1"/>
  <c r="AC100" i="35" s="1"/>
  <c r="AC101" i="35" s="1"/>
  <c r="AC102" i="35" s="1"/>
  <c r="AC110" i="35" s="1"/>
  <c r="AE26" i="32"/>
  <c r="AE38" i="32"/>
  <c r="AE34" i="32" s="1"/>
  <c r="AD67" i="32" s="1"/>
  <c r="AE28" i="32"/>
  <c r="AC108" i="32"/>
  <c r="AC110" i="32"/>
  <c r="AC112" i="32"/>
  <c r="AC103" i="32"/>
  <c r="AC104" i="32" s="1"/>
  <c r="AD24" i="32"/>
  <c r="AD53" i="32" s="1"/>
  <c r="AD95" i="32"/>
  <c r="AD45" i="32"/>
  <c r="AC55" i="32"/>
  <c r="AC48" i="32"/>
  <c r="AC57" i="32"/>
  <c r="AD40" i="35"/>
  <c r="AD94" i="35"/>
  <c r="AD46" i="35"/>
  <c r="AC48" i="33"/>
  <c r="AC57" i="33"/>
  <c r="AC55" i="33"/>
  <c r="AC53" i="35"/>
  <c r="AC48" i="34"/>
  <c r="AC55" i="34"/>
  <c r="AC57" i="34"/>
  <c r="AD94" i="34"/>
  <c r="AD46" i="34"/>
  <c r="AD40" i="34"/>
  <c r="AC110" i="33"/>
  <c r="AC42" i="34"/>
  <c r="AE38" i="33"/>
  <c r="AE34" i="33" s="1"/>
  <c r="AE26" i="33"/>
  <c r="AE28" i="33"/>
  <c r="AE26" i="35"/>
  <c r="AE38" i="35"/>
  <c r="AE34" i="35" s="1"/>
  <c r="AE28" i="35"/>
  <c r="AC42" i="35"/>
  <c r="AD40" i="32"/>
  <c r="AD94" i="32"/>
  <c r="AD46" i="32"/>
  <c r="AH92" i="34"/>
  <c r="AH71" i="34" s="1"/>
  <c r="AH97" i="34" s="1"/>
  <c r="AH91" i="34"/>
  <c r="AH70" i="34" s="1"/>
  <c r="AG70" i="34"/>
  <c r="AC42" i="32"/>
  <c r="AD24" i="35"/>
  <c r="AD43" i="35" s="1"/>
  <c r="AD95" i="35"/>
  <c r="AD45" i="35"/>
  <c r="AC42" i="33"/>
  <c r="AC57" i="35"/>
  <c r="AC55" i="35"/>
  <c r="AC48" i="35"/>
  <c r="AC53" i="34"/>
  <c r="AE26" i="34"/>
  <c r="AE38" i="34"/>
  <c r="AE34" i="34" s="1"/>
  <c r="AE28" i="34"/>
  <c r="AD45" i="33"/>
  <c r="AD24" i="33"/>
  <c r="AD43" i="33" s="1"/>
  <c r="AD95" i="33"/>
  <c r="AB108" i="33"/>
  <c r="AB103" i="33"/>
  <c r="AB104" i="33" s="1"/>
  <c r="AB112" i="33"/>
  <c r="AB110" i="33"/>
  <c r="AD95" i="34"/>
  <c r="AD24" i="34"/>
  <c r="AD43" i="34" s="1"/>
  <c r="AD45" i="34"/>
  <c r="AD46" i="33"/>
  <c r="AD40" i="33"/>
  <c r="AD94" i="33"/>
  <c r="M129" i="31"/>
  <c r="N80" i="31"/>
  <c r="N113" i="31"/>
  <c r="N129" i="31" s="1"/>
  <c r="M80" i="31"/>
  <c r="O14" i="31"/>
  <c r="N47" i="31"/>
  <c r="N146" i="31"/>
  <c r="T81" i="2"/>
  <c r="R75" i="2"/>
  <c r="U84" i="2"/>
  <c r="S78" i="2"/>
  <c r="V90" i="2"/>
  <c r="V87" i="2"/>
  <c r="AC112" i="35" l="1"/>
  <c r="AF32" i="35"/>
  <c r="AF31" i="35"/>
  <c r="AF32" i="32"/>
  <c r="AF31" i="32"/>
  <c r="AE30" i="33"/>
  <c r="AE47" i="33" s="1"/>
  <c r="AF32" i="34"/>
  <c r="AF31" i="34"/>
  <c r="AE30" i="35"/>
  <c r="AE47" i="35" s="1"/>
  <c r="AF32" i="33"/>
  <c r="AF31" i="33"/>
  <c r="AE30" i="32"/>
  <c r="AE47" i="32" s="1"/>
  <c r="AC110" i="34"/>
  <c r="AC103" i="34"/>
  <c r="AC104" i="34" s="1"/>
  <c r="AD96" i="34"/>
  <c r="AD98" i="34" s="1"/>
  <c r="AD100" i="34" s="1"/>
  <c r="AD101" i="34" s="1"/>
  <c r="AD102" i="34" s="1"/>
  <c r="AD108" i="34" s="1"/>
  <c r="AC108" i="34"/>
  <c r="AD42" i="32"/>
  <c r="AC112" i="33"/>
  <c r="AC103" i="35"/>
  <c r="AC104" i="35" s="1"/>
  <c r="AG70" i="33"/>
  <c r="AH91" i="33"/>
  <c r="AH70" i="33" s="1"/>
  <c r="AD43" i="32"/>
  <c r="AC108" i="33"/>
  <c r="AH92" i="33"/>
  <c r="AH71" i="33" s="1"/>
  <c r="AH97" i="33" s="1"/>
  <c r="AD53" i="33"/>
  <c r="AD42" i="33"/>
  <c r="AD53" i="35"/>
  <c r="AC108" i="35"/>
  <c r="AD57" i="33"/>
  <c r="AD55" i="33"/>
  <c r="AD48" i="33"/>
  <c r="AF28" i="34"/>
  <c r="AF38" i="34"/>
  <c r="AF34" i="34" s="1"/>
  <c r="AF26" i="34"/>
  <c r="AD55" i="32"/>
  <c r="AD48" i="32"/>
  <c r="AD57" i="32"/>
  <c r="AF26" i="33"/>
  <c r="AF38" i="33"/>
  <c r="AF34" i="33" s="1"/>
  <c r="AF28" i="33"/>
  <c r="AD53" i="34"/>
  <c r="AD96" i="35"/>
  <c r="AD98" i="35" s="1"/>
  <c r="AD100" i="35" s="1"/>
  <c r="AD101" i="35" s="1"/>
  <c r="AD102" i="35" s="1"/>
  <c r="AF26" i="35"/>
  <c r="AF28" i="35"/>
  <c r="AF38" i="35"/>
  <c r="AF34" i="35" s="1"/>
  <c r="AF26" i="32"/>
  <c r="AF38" i="32"/>
  <c r="AF34" i="32" s="1"/>
  <c r="AE67" i="32" s="1"/>
  <c r="AF28" i="32"/>
  <c r="AE40" i="34"/>
  <c r="AE46" i="34"/>
  <c r="AE94" i="34"/>
  <c r="AE24" i="33"/>
  <c r="AE43" i="33" s="1"/>
  <c r="AE95" i="33"/>
  <c r="AE45" i="33"/>
  <c r="AD42" i="34"/>
  <c r="AD96" i="33"/>
  <c r="AD98" i="33" s="1"/>
  <c r="AD100" i="33" s="1"/>
  <c r="AD101" i="33" s="1"/>
  <c r="AD102" i="33" s="1"/>
  <c r="AE95" i="34"/>
  <c r="AE24" i="34"/>
  <c r="AE53" i="34" s="1"/>
  <c r="AE45" i="34"/>
  <c r="AD96" i="32"/>
  <c r="AD98" i="32" s="1"/>
  <c r="AD100" i="32" s="1"/>
  <c r="AD101" i="32" s="1"/>
  <c r="AD102" i="32" s="1"/>
  <c r="AE46" i="35"/>
  <c r="AE94" i="35"/>
  <c r="AE94" i="33"/>
  <c r="AE46" i="33"/>
  <c r="AE40" i="33"/>
  <c r="AD48" i="34"/>
  <c r="AD57" i="34"/>
  <c r="AD55" i="34"/>
  <c r="AD42" i="35"/>
  <c r="AE94" i="32"/>
  <c r="AE46" i="32"/>
  <c r="AE40" i="32"/>
  <c r="AE24" i="35"/>
  <c r="AE43" i="35" s="1"/>
  <c r="AE45" i="35"/>
  <c r="AE95" i="35"/>
  <c r="AD110" i="34"/>
  <c r="AD112" i="34"/>
  <c r="AD48" i="35"/>
  <c r="AD57" i="35"/>
  <c r="AD55" i="35"/>
  <c r="AE45" i="32"/>
  <c r="AE95" i="32"/>
  <c r="AE24" i="32"/>
  <c r="O113" i="31"/>
  <c r="O80" i="31"/>
  <c r="O47" i="31"/>
  <c r="N120" i="31"/>
  <c r="O146" i="31"/>
  <c r="P14" i="31"/>
  <c r="W87" i="2"/>
  <c r="V84" i="2"/>
  <c r="U81" i="2"/>
  <c r="S75" i="2"/>
  <c r="T78" i="2"/>
  <c r="W90" i="2"/>
  <c r="AD103" i="34" l="1"/>
  <c r="AD104" i="34" s="1"/>
  <c r="AG32" i="32"/>
  <c r="AG30" i="32" s="1"/>
  <c r="AG47" i="32" s="1"/>
  <c r="AG31" i="32"/>
  <c r="AF30" i="32"/>
  <c r="AF47" i="32" s="1"/>
  <c r="AG32" i="35"/>
  <c r="AG30" i="35" s="1"/>
  <c r="AG47" i="35" s="1"/>
  <c r="AG31" i="35"/>
  <c r="AF30" i="34"/>
  <c r="AF47" i="34" s="1"/>
  <c r="AG32" i="33"/>
  <c r="AG31" i="33"/>
  <c r="AG32" i="34"/>
  <c r="AG30" i="34" s="1"/>
  <c r="AG47" i="34" s="1"/>
  <c r="AG31" i="34"/>
  <c r="AE53" i="32"/>
  <c r="AE40" i="35"/>
  <c r="AF30" i="33"/>
  <c r="AF47" i="33" s="1"/>
  <c r="AF30" i="35"/>
  <c r="AF47" i="35" s="1"/>
  <c r="AE96" i="33"/>
  <c r="AE98" i="33" s="1"/>
  <c r="AE100" i="33" s="1"/>
  <c r="AE101" i="33" s="1"/>
  <c r="AE102" i="33" s="1"/>
  <c r="AE112" i="33" s="1"/>
  <c r="AE53" i="33"/>
  <c r="AE43" i="32"/>
  <c r="AE96" i="34"/>
  <c r="AE98" i="34" s="1"/>
  <c r="AE100" i="34" s="1"/>
  <c r="AE101" i="34" s="1"/>
  <c r="AE102" i="34" s="1"/>
  <c r="AE108" i="34" s="1"/>
  <c r="AE53" i="35"/>
  <c r="AE42" i="35"/>
  <c r="AD108" i="32"/>
  <c r="AD112" i="32"/>
  <c r="AD103" i="32"/>
  <c r="AD104" i="32" s="1"/>
  <c r="AD110" i="32"/>
  <c r="AD110" i="33"/>
  <c r="AD103" i="33"/>
  <c r="AD104" i="33" s="1"/>
  <c r="AD108" i="33"/>
  <c r="AD112" i="33"/>
  <c r="AE42" i="34"/>
  <c r="AF94" i="34"/>
  <c r="AF40" i="34"/>
  <c r="AF46" i="34"/>
  <c r="AE42" i="32"/>
  <c r="AE42" i="33"/>
  <c r="AE96" i="35"/>
  <c r="AE98" i="35" s="1"/>
  <c r="AE100" i="35" s="1"/>
  <c r="AE101" i="35" s="1"/>
  <c r="AE102" i="35" s="1"/>
  <c r="AE43" i="34"/>
  <c r="AG38" i="32"/>
  <c r="AG34" i="32" s="1"/>
  <c r="AF67" i="32" s="1"/>
  <c r="AG28" i="32"/>
  <c r="AG26" i="32"/>
  <c r="AG26" i="35"/>
  <c r="AG28" i="35"/>
  <c r="AG38" i="35"/>
  <c r="AG34" i="35" s="1"/>
  <c r="AG26" i="33"/>
  <c r="AG38" i="33"/>
  <c r="AG34" i="33" s="1"/>
  <c r="AG28" i="33"/>
  <c r="AG28" i="34"/>
  <c r="AG26" i="34"/>
  <c r="AG38" i="34"/>
  <c r="AG34" i="34" s="1"/>
  <c r="AF94" i="32"/>
  <c r="AF40" i="32"/>
  <c r="AF46" i="32"/>
  <c r="AF94" i="33"/>
  <c r="AF40" i="33"/>
  <c r="AF46" i="33"/>
  <c r="AE57" i="32"/>
  <c r="AE48" i="32"/>
  <c r="AE55" i="32"/>
  <c r="AE48" i="33"/>
  <c r="AE57" i="33"/>
  <c r="AE55" i="33"/>
  <c r="AF24" i="35"/>
  <c r="AF43" i="35" s="1"/>
  <c r="AF95" i="35"/>
  <c r="AF45" i="35"/>
  <c r="AE96" i="32"/>
  <c r="AE98" i="32" s="1"/>
  <c r="AE100" i="32" s="1"/>
  <c r="AE101" i="32" s="1"/>
  <c r="AE102" i="32" s="1"/>
  <c r="AE57" i="35"/>
  <c r="AE55" i="35"/>
  <c r="AE48" i="35"/>
  <c r="AE55" i="34"/>
  <c r="AE57" i="34"/>
  <c r="AE48" i="34"/>
  <c r="AF45" i="32"/>
  <c r="AF24" i="32"/>
  <c r="AF43" i="32" s="1"/>
  <c r="AF95" i="32"/>
  <c r="AD103" i="35"/>
  <c r="AD104" i="35" s="1"/>
  <c r="AD112" i="35"/>
  <c r="AD110" i="35"/>
  <c r="AD108" i="35"/>
  <c r="AF45" i="33"/>
  <c r="AF24" i="33"/>
  <c r="AF53" i="33" s="1"/>
  <c r="AF95" i="33"/>
  <c r="AF24" i="34"/>
  <c r="AF43" i="34" s="1"/>
  <c r="AF95" i="34"/>
  <c r="AF45" i="34"/>
  <c r="AF40" i="35"/>
  <c r="AF42" i="35" s="1"/>
  <c r="AF94" i="35"/>
  <c r="AF46" i="35"/>
  <c r="AF53" i="35"/>
  <c r="Q14" i="31"/>
  <c r="P47" i="31"/>
  <c r="P80" i="31"/>
  <c r="P146" i="31"/>
  <c r="P113" i="31"/>
  <c r="O120" i="31"/>
  <c r="O129" i="31"/>
  <c r="T75" i="2"/>
  <c r="X90" i="2"/>
  <c r="V81" i="2"/>
  <c r="X87" i="2"/>
  <c r="W84" i="2"/>
  <c r="U78" i="2"/>
  <c r="AE103" i="33" l="1"/>
  <c r="AE104" i="33" s="1"/>
  <c r="AE108" i="33"/>
  <c r="AE110" i="33"/>
  <c r="AG30" i="33"/>
  <c r="AG47" i="33" s="1"/>
  <c r="AH32" i="34"/>
  <c r="AH31" i="34"/>
  <c r="AH32" i="32"/>
  <c r="AH30" i="32" s="1"/>
  <c r="AH47" i="32" s="1"/>
  <c r="AH31" i="32"/>
  <c r="AH32" i="33"/>
  <c r="AH31" i="33"/>
  <c r="AH32" i="35"/>
  <c r="AH30" i="35" s="1"/>
  <c r="AH47" i="35" s="1"/>
  <c r="AH31" i="35"/>
  <c r="AE110" i="34"/>
  <c r="AF96" i="35"/>
  <c r="AF98" i="35" s="1"/>
  <c r="AF100" i="35" s="1"/>
  <c r="AF101" i="35" s="1"/>
  <c r="AF102" i="35" s="1"/>
  <c r="AF108" i="35" s="1"/>
  <c r="AE112" i="34"/>
  <c r="AE103" i="34"/>
  <c r="AE104" i="34" s="1"/>
  <c r="AE108" i="32"/>
  <c r="AE110" i="32"/>
  <c r="AE103" i="32"/>
  <c r="AE104" i="32" s="1"/>
  <c r="AE112" i="32"/>
  <c r="AF42" i="33"/>
  <c r="AF42" i="32"/>
  <c r="AG24" i="34"/>
  <c r="AG43" i="34" s="1"/>
  <c r="AG95" i="34"/>
  <c r="AG45" i="34"/>
  <c r="AG24" i="33"/>
  <c r="AG43" i="33" s="1"/>
  <c r="AG95" i="33"/>
  <c r="AG45" i="33"/>
  <c r="AG45" i="32"/>
  <c r="AG95" i="32"/>
  <c r="AG24" i="32"/>
  <c r="AG43" i="32" s="1"/>
  <c r="AE110" i="35"/>
  <c r="AE108" i="35"/>
  <c r="AE103" i="35"/>
  <c r="AE104" i="35" s="1"/>
  <c r="AE112" i="35"/>
  <c r="AF42" i="34"/>
  <c r="AF96" i="33"/>
  <c r="AF98" i="33" s="1"/>
  <c r="AF100" i="33" s="1"/>
  <c r="AF101" i="33" s="1"/>
  <c r="AF102" i="33" s="1"/>
  <c r="AF53" i="32"/>
  <c r="AH28" i="34"/>
  <c r="AH38" i="34"/>
  <c r="AH34" i="34" s="1"/>
  <c r="AH26" i="34"/>
  <c r="AG40" i="35"/>
  <c r="AG94" i="35"/>
  <c r="AG46" i="35"/>
  <c r="AH26" i="32"/>
  <c r="AH28" i="32"/>
  <c r="AH38" i="32"/>
  <c r="AH34" i="32" s="1"/>
  <c r="AF96" i="34"/>
  <c r="AF98" i="34" s="1"/>
  <c r="AF100" i="34" s="1"/>
  <c r="AF101" i="34" s="1"/>
  <c r="AF102" i="34" s="1"/>
  <c r="AF55" i="35"/>
  <c r="AF48" i="35"/>
  <c r="AF57" i="35"/>
  <c r="AF43" i="33"/>
  <c r="AF96" i="32"/>
  <c r="AF98" i="32" s="1"/>
  <c r="AF100" i="32" s="1"/>
  <c r="AF101" i="32" s="1"/>
  <c r="AF102" i="32" s="1"/>
  <c r="AH38" i="33"/>
  <c r="AH34" i="33" s="1"/>
  <c r="AH26" i="33"/>
  <c r="AH28" i="33"/>
  <c r="AH38" i="35"/>
  <c r="AH34" i="35" s="1"/>
  <c r="AH28" i="35"/>
  <c r="AH26" i="35"/>
  <c r="AG46" i="32"/>
  <c r="AG40" i="32"/>
  <c r="AG94" i="32"/>
  <c r="AG96" i="32" s="1"/>
  <c r="AG98" i="32" s="1"/>
  <c r="AG100" i="32" s="1"/>
  <c r="AG101" i="32" s="1"/>
  <c r="AG102" i="32" s="1"/>
  <c r="AF53" i="34"/>
  <c r="AF112" i="35"/>
  <c r="AF110" i="35"/>
  <c r="AF55" i="33"/>
  <c r="AF48" i="33"/>
  <c r="AF57" i="33"/>
  <c r="AF48" i="32"/>
  <c r="AF55" i="32"/>
  <c r="AF57" i="32"/>
  <c r="AG46" i="34"/>
  <c r="AG40" i="34"/>
  <c r="AG42" i="34" s="1"/>
  <c r="AG94" i="34"/>
  <c r="AG40" i="33"/>
  <c r="AG94" i="33"/>
  <c r="AG46" i="33"/>
  <c r="AG95" i="35"/>
  <c r="AG45" i="35"/>
  <c r="AG24" i="35"/>
  <c r="AG43" i="35" s="1"/>
  <c r="AF57" i="34"/>
  <c r="AF48" i="34"/>
  <c r="AF55" i="34"/>
  <c r="Q47" i="31"/>
  <c r="P120" i="31"/>
  <c r="P129" i="31"/>
  <c r="Q113" i="31"/>
  <c r="R14" i="31"/>
  <c r="Q80" i="31"/>
  <c r="Q146" i="31"/>
  <c r="U75" i="2"/>
  <c r="Y87" i="2"/>
  <c r="W81" i="2"/>
  <c r="Y90" i="2"/>
  <c r="V78" i="2"/>
  <c r="X84" i="2"/>
  <c r="AG67" i="32" l="1"/>
  <c r="AH67" i="32"/>
  <c r="AG42" i="33"/>
  <c r="AF103" i="35"/>
  <c r="AF104" i="35" s="1"/>
  <c r="AH30" i="33"/>
  <c r="AH47" i="33" s="1"/>
  <c r="AH30" i="34"/>
  <c r="AH47" i="34" s="1"/>
  <c r="AG96" i="33"/>
  <c r="AG98" i="33" s="1"/>
  <c r="AG100" i="33" s="1"/>
  <c r="AG101" i="33" s="1"/>
  <c r="AG102" i="33" s="1"/>
  <c r="AG110" i="33" s="1"/>
  <c r="AG53" i="33"/>
  <c r="AG53" i="35"/>
  <c r="AG53" i="34"/>
  <c r="AG96" i="34"/>
  <c r="AG98" i="34" s="1"/>
  <c r="AG100" i="34" s="1"/>
  <c r="AG101" i="34" s="1"/>
  <c r="AG102" i="34" s="1"/>
  <c r="AG110" i="34" s="1"/>
  <c r="AG103" i="33"/>
  <c r="AG104" i="33" s="1"/>
  <c r="AG57" i="32"/>
  <c r="AG55" i="32"/>
  <c r="AG48" i="32"/>
  <c r="AF110" i="34"/>
  <c r="AF112" i="34"/>
  <c r="AF108" i="34"/>
  <c r="AF103" i="34"/>
  <c r="AF104" i="34" s="1"/>
  <c r="AG55" i="35"/>
  <c r="AG48" i="35"/>
  <c r="AG57" i="35"/>
  <c r="AH95" i="34"/>
  <c r="AH45" i="34"/>
  <c r="AH24" i="34"/>
  <c r="AG48" i="34"/>
  <c r="AG55" i="34"/>
  <c r="AG57" i="34"/>
  <c r="AG53" i="32"/>
  <c r="AH24" i="35"/>
  <c r="AH53" i="35" s="1"/>
  <c r="AH95" i="35"/>
  <c r="AH45" i="35"/>
  <c r="AH45" i="33"/>
  <c r="AH24" i="33"/>
  <c r="AH53" i="33" s="1"/>
  <c r="AH95" i="33"/>
  <c r="AH40" i="32"/>
  <c r="AH94" i="32"/>
  <c r="AH46" i="32"/>
  <c r="AG96" i="35"/>
  <c r="AG98" i="35" s="1"/>
  <c r="AG100" i="35" s="1"/>
  <c r="AG101" i="35" s="1"/>
  <c r="AG102" i="35" s="1"/>
  <c r="AH94" i="34"/>
  <c r="AH46" i="34"/>
  <c r="AG103" i="32"/>
  <c r="AG104" i="32" s="1"/>
  <c r="AG112" i="32"/>
  <c r="AG110" i="32"/>
  <c r="AG108" i="32"/>
  <c r="AH40" i="33"/>
  <c r="AH42" i="33" s="1"/>
  <c r="AH94" i="33"/>
  <c r="AH46" i="33"/>
  <c r="AH43" i="33"/>
  <c r="AG57" i="33"/>
  <c r="AG55" i="33"/>
  <c r="AG48" i="33"/>
  <c r="AG42" i="32"/>
  <c r="AH43" i="35"/>
  <c r="AH94" i="35"/>
  <c r="AH40" i="35"/>
  <c r="AH42" i="35" s="1"/>
  <c r="AH46" i="35"/>
  <c r="AF103" i="32"/>
  <c r="AF104" i="32" s="1"/>
  <c r="AF108" i="32"/>
  <c r="AF112" i="32"/>
  <c r="AF110" i="32"/>
  <c r="AH24" i="32"/>
  <c r="AH53" i="32" s="1"/>
  <c r="AH95" i="32"/>
  <c r="AH45" i="32"/>
  <c r="AG42" i="35"/>
  <c r="AF103" i="33"/>
  <c r="AF104" i="33" s="1"/>
  <c r="AF112" i="33"/>
  <c r="AF110" i="33"/>
  <c r="AF108" i="33"/>
  <c r="S14" i="31"/>
  <c r="R146" i="31"/>
  <c r="R113" i="31"/>
  <c r="R47" i="31"/>
  <c r="R80" i="31"/>
  <c r="Q120" i="31"/>
  <c r="Q129" i="31"/>
  <c r="Y84" i="2"/>
  <c r="X81" i="2"/>
  <c r="W78" i="2"/>
  <c r="Z87" i="2"/>
  <c r="Z90" i="2"/>
  <c r="V75" i="2"/>
  <c r="AG112" i="33" l="1"/>
  <c r="AG108" i="33"/>
  <c r="AH96" i="35"/>
  <c r="AH98" i="35" s="1"/>
  <c r="AH100" i="35" s="1"/>
  <c r="AH101" i="35" s="1"/>
  <c r="AH102" i="35" s="1"/>
  <c r="AH53" i="34"/>
  <c r="AH40" i="34"/>
  <c r="AG112" i="34"/>
  <c r="AH96" i="34"/>
  <c r="AH98" i="34" s="1"/>
  <c r="AH100" i="34" s="1"/>
  <c r="AH101" i="34" s="1"/>
  <c r="AH102" i="34" s="1"/>
  <c r="AH110" i="34" s="1"/>
  <c r="AG103" i="34"/>
  <c r="AG104" i="34" s="1"/>
  <c r="AH42" i="34"/>
  <c r="C60" i="34" s="1"/>
  <c r="AG108" i="34"/>
  <c r="AH43" i="34"/>
  <c r="C51" i="34" s="1"/>
  <c r="I6" i="30" s="1"/>
  <c r="AH96" i="33"/>
  <c r="AH98" i="33" s="1"/>
  <c r="AH100" i="33" s="1"/>
  <c r="AH101" i="33" s="1"/>
  <c r="AH102" i="33" s="1"/>
  <c r="AH55" i="32"/>
  <c r="AH48" i="32"/>
  <c r="AH57" i="32"/>
  <c r="C58" i="32"/>
  <c r="C56" i="32"/>
  <c r="AH43" i="32"/>
  <c r="AH57" i="35"/>
  <c r="AH48" i="35"/>
  <c r="AH55" i="35"/>
  <c r="C56" i="35"/>
  <c r="C58" i="35"/>
  <c r="C62" i="35"/>
  <c r="C51" i="35"/>
  <c r="C50" i="33"/>
  <c r="C60" i="33"/>
  <c r="AH108" i="34"/>
  <c r="C60" i="35"/>
  <c r="C50" i="35"/>
  <c r="C62" i="33"/>
  <c r="C51" i="33"/>
  <c r="AH57" i="34"/>
  <c r="AH48" i="34"/>
  <c r="AH55" i="34"/>
  <c r="C58" i="34"/>
  <c r="M6" i="30" s="1"/>
  <c r="C56" i="34"/>
  <c r="AH96" i="32"/>
  <c r="AH98" i="32" s="1"/>
  <c r="AH100" i="32" s="1"/>
  <c r="AH101" i="32" s="1"/>
  <c r="AH102" i="32" s="1"/>
  <c r="AH103" i="35"/>
  <c r="AH104" i="35" s="1"/>
  <c r="AH112" i="35"/>
  <c r="AH108" i="35"/>
  <c r="AH110" i="35"/>
  <c r="AH57" i="33"/>
  <c r="AH55" i="33"/>
  <c r="AH48" i="33"/>
  <c r="C58" i="33"/>
  <c r="C56" i="33"/>
  <c r="C62" i="34"/>
  <c r="K6" i="30" s="1"/>
  <c r="AG108" i="35"/>
  <c r="AG103" i="35"/>
  <c r="AG104" i="35" s="1"/>
  <c r="AG112" i="35"/>
  <c r="AG110" i="35"/>
  <c r="AH42" i="32"/>
  <c r="S80" i="31"/>
  <c r="T14" i="31"/>
  <c r="S47" i="31"/>
  <c r="S113" i="31"/>
  <c r="R120" i="31"/>
  <c r="R129" i="31"/>
  <c r="S146" i="31"/>
  <c r="E7" i="30"/>
  <c r="E5" i="30"/>
  <c r="E4" i="30"/>
  <c r="AA90" i="2"/>
  <c r="AA87" i="2"/>
  <c r="W75" i="2"/>
  <c r="Y81" i="2"/>
  <c r="Z84" i="2"/>
  <c r="X78" i="2"/>
  <c r="C50" i="34" l="1"/>
  <c r="AH112" i="34"/>
  <c r="AH103" i="34"/>
  <c r="AH104" i="34" s="1"/>
  <c r="AH112" i="33"/>
  <c r="AH110" i="33"/>
  <c r="AH108" i="33"/>
  <c r="AH103" i="33"/>
  <c r="AH104" i="33" s="1"/>
  <c r="AH112" i="32"/>
  <c r="AH110" i="32"/>
  <c r="AH108" i="32"/>
  <c r="AH103" i="32"/>
  <c r="AH104" i="32" s="1"/>
  <c r="C51" i="32"/>
  <c r="C62" i="32"/>
  <c r="C60" i="32"/>
  <c r="C50" i="32"/>
  <c r="T113" i="31"/>
  <c r="S120" i="31"/>
  <c r="S129" i="31"/>
  <c r="U14" i="31"/>
  <c r="T47" i="31"/>
  <c r="T80" i="31"/>
  <c r="T146" i="31"/>
  <c r="E6" i="30"/>
  <c r="Y78" i="2"/>
  <c r="AA84" i="2"/>
  <c r="X75" i="2"/>
  <c r="Z81" i="2"/>
  <c r="U47" i="31" l="1"/>
  <c r="U80" i="31"/>
  <c r="U113" i="31"/>
  <c r="U146" i="31"/>
  <c r="V14" i="31"/>
  <c r="T120" i="31"/>
  <c r="T129" i="31"/>
  <c r="AA81" i="2"/>
  <c r="Z78" i="2"/>
  <c r="Y75" i="2"/>
  <c r="V47" i="31" l="1"/>
  <c r="V113" i="31"/>
  <c r="V80" i="31"/>
  <c r="V146" i="31"/>
  <c r="U120" i="31"/>
  <c r="U129" i="31"/>
  <c r="Z75" i="2"/>
  <c r="AA78" i="2"/>
  <c r="V120" i="31" l="1"/>
  <c r="V129" i="31"/>
  <c r="W14" i="31"/>
  <c r="AC14" i="31"/>
  <c r="E15" i="30" s="1"/>
  <c r="AA75" i="2"/>
  <c r="W146" i="31" l="1"/>
  <c r="AC146" i="31"/>
  <c r="E19" i="30" s="1"/>
  <c r="W113" i="31"/>
  <c r="AC113" i="31"/>
  <c r="W47" i="31"/>
  <c r="E16" i="30"/>
  <c r="W80" i="31"/>
  <c r="AC80" i="31"/>
  <c r="E17" i="30" s="1"/>
  <c r="Z129" i="31" l="1"/>
  <c r="Y129" i="31"/>
  <c r="AB129" i="31"/>
  <c r="AA129" i="31"/>
  <c r="X129" i="31"/>
  <c r="B125" i="31"/>
  <c r="I18" i="30" s="1"/>
  <c r="AC120" i="31"/>
  <c r="E18" i="30"/>
  <c r="W120" i="31"/>
  <c r="W129" i="31"/>
  <c r="F77" i="2"/>
  <c r="E77" i="2"/>
  <c r="D77" i="2"/>
  <c r="D71" i="2" s="1"/>
  <c r="D97" i="2" s="1"/>
  <c r="F76" i="2"/>
  <c r="B127" i="31" l="1"/>
  <c r="G18" i="30" s="1"/>
  <c r="B123" i="31"/>
  <c r="K18" i="30" s="1"/>
  <c r="J6" i="30"/>
  <c r="F6" i="30"/>
  <c r="H6" i="30"/>
  <c r="L6" i="30"/>
  <c r="G76" i="2"/>
  <c r="G77" i="2"/>
  <c r="H76" i="2" l="1"/>
  <c r="H77" i="2"/>
  <c r="I76" i="2" l="1"/>
  <c r="I77" i="2"/>
  <c r="J77" i="2" l="1"/>
  <c r="J76" i="2"/>
  <c r="K76" i="2" l="1"/>
  <c r="L77" i="2" s="1"/>
  <c r="K77" i="2"/>
  <c r="D24" i="2" l="1"/>
  <c r="D27" i="2"/>
  <c r="D95" i="2"/>
  <c r="L76" i="2"/>
  <c r="D30" i="2" l="1"/>
  <c r="M77" i="2"/>
  <c r="M76" i="2"/>
  <c r="N77" i="2" l="1"/>
  <c r="N76" i="2"/>
  <c r="O76" i="2" s="1"/>
  <c r="D47" i="2"/>
  <c r="D45" i="2"/>
  <c r="C96" i="2"/>
  <c r="C98" i="2" s="1"/>
  <c r="C100" i="2" s="1"/>
  <c r="C101" i="2" s="1"/>
  <c r="C102" i="2" s="1"/>
  <c r="C112" i="2" l="1"/>
  <c r="C110" i="2"/>
  <c r="C108" i="2"/>
  <c r="C103" i="2"/>
  <c r="C104" i="2" s="1"/>
  <c r="D72" i="2"/>
  <c r="O77" i="2"/>
  <c r="P77" i="2"/>
  <c r="P76" i="2"/>
  <c r="Q76" i="2" s="1"/>
  <c r="Q77" i="2" l="1"/>
  <c r="R76" i="2"/>
  <c r="R77" i="2"/>
  <c r="S77" i="2" l="1"/>
  <c r="S76" i="2"/>
  <c r="T77" i="2" l="1"/>
  <c r="T76" i="2"/>
  <c r="U76" i="2" l="1"/>
  <c r="U77" i="2"/>
  <c r="V77" i="2" l="1"/>
  <c r="V76" i="2"/>
  <c r="W76" i="2" l="1"/>
  <c r="W77" i="2"/>
  <c r="X76" i="2" l="1"/>
  <c r="X77" i="2"/>
  <c r="Y76" i="2" l="1"/>
  <c r="Y77" i="2"/>
  <c r="Z76" i="2" l="1"/>
  <c r="AA76" i="2" s="1"/>
  <c r="Z77" i="2"/>
  <c r="AB77" i="2" l="1"/>
  <c r="AB76" i="2"/>
  <c r="AA77" i="2"/>
  <c r="F70" i="2" l="1"/>
  <c r="D28" i="2"/>
  <c r="E31" i="2" s="1"/>
  <c r="E26" i="2" l="1"/>
  <c r="E32" i="2"/>
  <c r="E38" i="2"/>
  <c r="E34" i="2" s="1"/>
  <c r="E25" i="2"/>
  <c r="F80" i="2"/>
  <c r="G79" i="2"/>
  <c r="G80" i="2"/>
  <c r="E80" i="2"/>
  <c r="E71" i="2" s="1"/>
  <c r="E97" i="2" s="1"/>
  <c r="E24" i="2" l="1"/>
  <c r="E27" i="2"/>
  <c r="E28" i="2" s="1"/>
  <c r="F31" i="2" s="1"/>
  <c r="E30" i="2"/>
  <c r="E95" i="2"/>
  <c r="G70" i="2"/>
  <c r="H80" i="2"/>
  <c r="H79" i="2"/>
  <c r="I80" i="2" s="1"/>
  <c r="F26" i="2" l="1"/>
  <c r="F25" i="2" s="1"/>
  <c r="F32" i="2"/>
  <c r="F38" i="2"/>
  <c r="F34" i="2" s="1"/>
  <c r="E72" i="2"/>
  <c r="E45" i="2"/>
  <c r="E47" i="2"/>
  <c r="I79" i="2"/>
  <c r="F27" i="2" l="1"/>
  <c r="F28" i="2" s="1"/>
  <c r="G31" i="2" s="1"/>
  <c r="F24" i="2"/>
  <c r="J80" i="2"/>
  <c r="F83" i="2"/>
  <c r="F71" i="2" s="1"/>
  <c r="F97" i="2" s="1"/>
  <c r="H83" i="2"/>
  <c r="H82" i="2"/>
  <c r="G83" i="2"/>
  <c r="J79" i="2"/>
  <c r="K80" i="2" s="1"/>
  <c r="G26" i="2" l="1"/>
  <c r="G25" i="2" s="1"/>
  <c r="G32" i="2"/>
  <c r="G38" i="2"/>
  <c r="G34" i="2" s="1"/>
  <c r="F95" i="2"/>
  <c r="F30" i="2"/>
  <c r="H70" i="2"/>
  <c r="K79" i="2"/>
  <c r="L80" i="2" s="1"/>
  <c r="F45" i="2"/>
  <c r="F72" i="2"/>
  <c r="I83" i="2"/>
  <c r="I82" i="2"/>
  <c r="J82" i="2" s="1"/>
  <c r="G24" i="2" l="1"/>
  <c r="G27" i="2"/>
  <c r="G28" i="2" s="1"/>
  <c r="H31" i="2" s="1"/>
  <c r="F47" i="2"/>
  <c r="L79" i="2"/>
  <c r="M79" i="2" s="1"/>
  <c r="J83" i="2"/>
  <c r="K82" i="2"/>
  <c r="L82" i="2" s="1"/>
  <c r="M82" i="2" s="1"/>
  <c r="K83" i="2"/>
  <c r="H26" i="2" l="1"/>
  <c r="H32" i="2"/>
  <c r="H38" i="2"/>
  <c r="H34" i="2" s="1"/>
  <c r="H25" i="2"/>
  <c r="M80" i="2"/>
  <c r="M83" i="2"/>
  <c r="L83" i="2"/>
  <c r="N83" i="2"/>
  <c r="N79" i="2"/>
  <c r="N80" i="2"/>
  <c r="N82" i="2"/>
  <c r="H24" i="2" l="1"/>
  <c r="H27" i="2"/>
  <c r="H28" i="2" s="1"/>
  <c r="I31" i="2" s="1"/>
  <c r="O79" i="2"/>
  <c r="O80" i="2"/>
  <c r="O83" i="2"/>
  <c r="O82" i="2"/>
  <c r="I26" i="2" l="1"/>
  <c r="I24" i="2" s="1"/>
  <c r="I32" i="2"/>
  <c r="I38" i="2"/>
  <c r="I34" i="2" s="1"/>
  <c r="P82" i="2"/>
  <c r="Q83" i="2" s="1"/>
  <c r="P83" i="2"/>
  <c r="P80" i="2"/>
  <c r="P79" i="2"/>
  <c r="I27" i="2" l="1"/>
  <c r="I28" i="2" s="1"/>
  <c r="J31" i="2" s="1"/>
  <c r="Q82" i="2"/>
  <c r="R82" i="2" s="1"/>
  <c r="S82" i="2" s="1"/>
  <c r="Q80" i="2"/>
  <c r="Q79" i="2"/>
  <c r="J26" i="2" l="1"/>
  <c r="J24" i="2" s="1"/>
  <c r="J32" i="2"/>
  <c r="J38" i="2"/>
  <c r="J34" i="2" s="1"/>
  <c r="S83" i="2"/>
  <c r="R83" i="2"/>
  <c r="T82" i="2"/>
  <c r="T83" i="2"/>
  <c r="R80" i="2"/>
  <c r="R79" i="2"/>
  <c r="J27" i="2" l="1"/>
  <c r="J28" i="2" s="1"/>
  <c r="K31" i="2" s="1"/>
  <c r="J72" i="2"/>
  <c r="U83" i="2"/>
  <c r="U82" i="2"/>
  <c r="S79" i="2"/>
  <c r="S80" i="2"/>
  <c r="K26" i="2" l="1"/>
  <c r="K24" i="2" s="1"/>
  <c r="K32" i="2"/>
  <c r="K38" i="2"/>
  <c r="K34" i="2" s="1"/>
  <c r="J65" i="2" s="1"/>
  <c r="N3" i="30" s="1"/>
  <c r="T80" i="2"/>
  <c r="T79" i="2"/>
  <c r="V83" i="2"/>
  <c r="V82" i="2"/>
  <c r="K27" i="2" l="1"/>
  <c r="K28" i="2" s="1"/>
  <c r="L31" i="2" s="1"/>
  <c r="K72" i="2"/>
  <c r="W83" i="2"/>
  <c r="W82" i="2"/>
  <c r="U80" i="2"/>
  <c r="U79" i="2"/>
  <c r="L26" i="2" l="1"/>
  <c r="L24" i="2" s="1"/>
  <c r="L32" i="2"/>
  <c r="L38" i="2"/>
  <c r="L34" i="2" s="1"/>
  <c r="X82" i="2"/>
  <c r="X83" i="2"/>
  <c r="V80" i="2"/>
  <c r="V79" i="2"/>
  <c r="L27" i="2" l="1"/>
  <c r="L28" i="2" s="1"/>
  <c r="M31" i="2" s="1"/>
  <c r="L72" i="2"/>
  <c r="W79" i="2"/>
  <c r="W80" i="2"/>
  <c r="Y83" i="2"/>
  <c r="Y82" i="2"/>
  <c r="M26" i="2" l="1"/>
  <c r="M24" i="2" s="1"/>
  <c r="M32" i="2"/>
  <c r="M38" i="2"/>
  <c r="M34" i="2" s="1"/>
  <c r="X80" i="2"/>
  <c r="X79" i="2"/>
  <c r="Z83" i="2"/>
  <c r="Z82" i="2"/>
  <c r="AA82" i="2" s="1"/>
  <c r="AB83" i="2" l="1"/>
  <c r="AB82" i="2"/>
  <c r="M27" i="2"/>
  <c r="M28" i="2" s="1"/>
  <c r="N31" i="2" s="1"/>
  <c r="M72" i="2"/>
  <c r="AA83" i="2"/>
  <c r="Y79" i="2"/>
  <c r="Y80" i="2"/>
  <c r="N26" i="2" l="1"/>
  <c r="N24" i="2" s="1"/>
  <c r="N32" i="2"/>
  <c r="N38" i="2"/>
  <c r="N34" i="2" s="1"/>
  <c r="Z80" i="2"/>
  <c r="Z79" i="2"/>
  <c r="AA79" i="2" s="1"/>
  <c r="AB80" i="2" l="1"/>
  <c r="AB79" i="2"/>
  <c r="N27" i="2"/>
  <c r="N28" i="2" s="1"/>
  <c r="O31" i="2" s="1"/>
  <c r="N72" i="2"/>
  <c r="AA80" i="2"/>
  <c r="O26" i="2" l="1"/>
  <c r="O24" i="2" s="1"/>
  <c r="O32" i="2"/>
  <c r="O38" i="2"/>
  <c r="O34" i="2" s="1"/>
  <c r="O27" i="2" l="1"/>
  <c r="O28" i="2" s="1"/>
  <c r="P31" i="2" s="1"/>
  <c r="O72" i="2"/>
  <c r="G95" i="2"/>
  <c r="H86" i="2"/>
  <c r="G86" i="2"/>
  <c r="G71" i="2" s="1"/>
  <c r="G97" i="2" s="1"/>
  <c r="I85" i="2"/>
  <c r="I86" i="2"/>
  <c r="P26" i="2" l="1"/>
  <c r="P24" i="2" s="1"/>
  <c r="P32" i="2"/>
  <c r="P38" i="2"/>
  <c r="P34" i="2" s="1"/>
  <c r="O67" i="2" s="1"/>
  <c r="G30" i="2"/>
  <c r="J86" i="2"/>
  <c r="I70" i="2"/>
  <c r="J85" i="2"/>
  <c r="K85" i="2" s="1"/>
  <c r="P27" i="2" l="1"/>
  <c r="P28" i="2" s="1"/>
  <c r="Q31" i="2" s="1"/>
  <c r="P72" i="2"/>
  <c r="G72" i="2"/>
  <c r="G45" i="2"/>
  <c r="G47" i="2"/>
  <c r="L85" i="2"/>
  <c r="M86" i="2" s="1"/>
  <c r="L86" i="2"/>
  <c r="K86" i="2"/>
  <c r="Q26" i="2" l="1"/>
  <c r="Q24" i="2" s="1"/>
  <c r="Q32" i="2"/>
  <c r="J88" i="2"/>
  <c r="K89" i="2" s="1"/>
  <c r="Q38" i="2"/>
  <c r="Q34" i="2" s="1"/>
  <c r="P67" i="2" s="1"/>
  <c r="I89" i="2"/>
  <c r="H89" i="2"/>
  <c r="H71" i="2" s="1"/>
  <c r="H97" i="2" s="1"/>
  <c r="J89" i="2"/>
  <c r="H95" i="2"/>
  <c r="M85" i="2"/>
  <c r="K88" i="2" l="1"/>
  <c r="L88" i="2" s="1"/>
  <c r="J70" i="2"/>
  <c r="N85" i="2"/>
  <c r="O86" i="2" s="1"/>
  <c r="Q27" i="2"/>
  <c r="Q28" i="2" s="1"/>
  <c r="R31" i="2" s="1"/>
  <c r="Q72" i="2"/>
  <c r="H30" i="2"/>
  <c r="M89" i="2"/>
  <c r="L89" i="2"/>
  <c r="N86" i="2"/>
  <c r="O85" i="2" l="1"/>
  <c r="M88" i="2"/>
  <c r="N88" i="2" s="1"/>
  <c r="O88" i="2" s="1"/>
  <c r="R26" i="2"/>
  <c r="R32" i="2"/>
  <c r="R38" i="2"/>
  <c r="R34" i="2" s="1"/>
  <c r="Q67" i="2" s="1"/>
  <c r="H47" i="2"/>
  <c r="P86" i="2"/>
  <c r="P85" i="2"/>
  <c r="R24" i="2" l="1"/>
  <c r="B3" i="30"/>
  <c r="O89" i="2"/>
  <c r="N89" i="2"/>
  <c r="R27" i="2"/>
  <c r="R28" i="2" s="1"/>
  <c r="S31" i="2" s="1"/>
  <c r="R72" i="2"/>
  <c r="Q85" i="2"/>
  <c r="R86" i="2" s="1"/>
  <c r="P89" i="2"/>
  <c r="P88" i="2"/>
  <c r="Q86" i="2"/>
  <c r="S26" i="2" l="1"/>
  <c r="S24" i="2" s="1"/>
  <c r="S32" i="2"/>
  <c r="S38" i="2"/>
  <c r="S34" i="2" s="1"/>
  <c r="R67" i="2" s="1"/>
  <c r="O3" i="30" s="1"/>
  <c r="R85" i="2"/>
  <c r="S85" i="2" s="1"/>
  <c r="Q89" i="2"/>
  <c r="Q88" i="2"/>
  <c r="R88" i="2" s="1"/>
  <c r="S27" i="2" l="1"/>
  <c r="S28" i="2" s="1"/>
  <c r="T31" i="2" s="1"/>
  <c r="S72" i="2"/>
  <c r="S86" i="2"/>
  <c r="T85" i="2"/>
  <c r="U85" i="2" s="1"/>
  <c r="T86" i="2"/>
  <c r="R89" i="2"/>
  <c r="S88" i="2"/>
  <c r="S89" i="2"/>
  <c r="T26" i="2" l="1"/>
  <c r="T24" i="2" s="1"/>
  <c r="T32" i="2"/>
  <c r="T38" i="2"/>
  <c r="T34" i="2" s="1"/>
  <c r="S67" i="2" s="1"/>
  <c r="U86" i="2"/>
  <c r="V85" i="2"/>
  <c r="V86" i="2"/>
  <c r="T89" i="2"/>
  <c r="T88" i="2"/>
  <c r="T27" i="2" l="1"/>
  <c r="T28" i="2" s="1"/>
  <c r="U31" i="2" s="1"/>
  <c r="T72" i="2"/>
  <c r="U88" i="2"/>
  <c r="U89" i="2"/>
  <c r="W85" i="2"/>
  <c r="W86" i="2"/>
  <c r="U26" i="2" l="1"/>
  <c r="U24" i="2" s="1"/>
  <c r="U32" i="2"/>
  <c r="U38" i="2"/>
  <c r="U34" i="2" s="1"/>
  <c r="T67" i="2" s="1"/>
  <c r="V89" i="2"/>
  <c r="V88" i="2"/>
  <c r="X86" i="2"/>
  <c r="X85" i="2"/>
  <c r="U27" i="2" l="1"/>
  <c r="U28" i="2" s="1"/>
  <c r="V31" i="2" s="1"/>
  <c r="U72" i="2"/>
  <c r="Y85" i="2"/>
  <c r="Y86" i="2"/>
  <c r="W89" i="2"/>
  <c r="W88" i="2"/>
  <c r="V26" i="2" l="1"/>
  <c r="V24" i="2" s="1"/>
  <c r="V32" i="2"/>
  <c r="V38" i="2"/>
  <c r="V34" i="2" s="1"/>
  <c r="U67" i="2" s="1"/>
  <c r="Z86" i="2"/>
  <c r="Z85" i="2"/>
  <c r="AA85" i="2" s="1"/>
  <c r="X89" i="2"/>
  <c r="X88" i="2"/>
  <c r="AB86" i="2" l="1"/>
  <c r="AB85" i="2"/>
  <c r="V27" i="2"/>
  <c r="V28" i="2" s="1"/>
  <c r="W31" i="2" s="1"/>
  <c r="V72" i="2"/>
  <c r="Y89" i="2"/>
  <c r="Y88" i="2"/>
  <c r="AA86" i="2"/>
  <c r="W26" i="2" l="1"/>
  <c r="W24" i="2" s="1"/>
  <c r="W32" i="2"/>
  <c r="W38" i="2"/>
  <c r="W34" i="2" s="1"/>
  <c r="V67" i="2" s="1"/>
  <c r="Z88" i="2"/>
  <c r="AA88" i="2" s="1"/>
  <c r="Z89" i="2"/>
  <c r="AB89" i="2" l="1"/>
  <c r="AB88" i="2"/>
  <c r="W27" i="2"/>
  <c r="W28" i="2" s="1"/>
  <c r="X31" i="2" s="1"/>
  <c r="W72" i="2"/>
  <c r="AA89" i="2"/>
  <c r="X26" i="2" l="1"/>
  <c r="X24" i="2" s="1"/>
  <c r="X32" i="2"/>
  <c r="X38" i="2"/>
  <c r="X34" i="2" s="1"/>
  <c r="W67" i="2" s="1"/>
  <c r="X27" i="2" l="1"/>
  <c r="X28" i="2" s="1"/>
  <c r="Y31" i="2" s="1"/>
  <c r="X72" i="2"/>
  <c r="H45" i="2"/>
  <c r="H72" i="2"/>
  <c r="Y26" i="2" l="1"/>
  <c r="Y24" i="2" s="1"/>
  <c r="Y32" i="2"/>
  <c r="Y38" i="2"/>
  <c r="Y34" i="2" s="1"/>
  <c r="X67" i="2" s="1"/>
  <c r="I95" i="2"/>
  <c r="K91" i="2"/>
  <c r="I92" i="2"/>
  <c r="I71" i="2" s="1"/>
  <c r="I97" i="2" s="1"/>
  <c r="K92" i="2"/>
  <c r="K71" i="2" s="1"/>
  <c r="K97" i="2" s="1"/>
  <c r="J92" i="2"/>
  <c r="J71" i="2" s="1"/>
  <c r="J97" i="2" s="1"/>
  <c r="Y27" i="2" l="1"/>
  <c r="Y28" i="2" s="1"/>
  <c r="Z31" i="2" s="1"/>
  <c r="Y72" i="2"/>
  <c r="I30" i="2"/>
  <c r="I45" i="2"/>
  <c r="K70" i="2"/>
  <c r="L92" i="2"/>
  <c r="L71" i="2" s="1"/>
  <c r="L97" i="2" s="1"/>
  <c r="I72" i="2"/>
  <c r="L91" i="2"/>
  <c r="Z26" i="2" l="1"/>
  <c r="Z24" i="2" s="1"/>
  <c r="Z32" i="2"/>
  <c r="Z38" i="2"/>
  <c r="Z34" i="2" s="1"/>
  <c r="Y67" i="2" s="1"/>
  <c r="J95" i="2"/>
  <c r="I47" i="2"/>
  <c r="L70" i="2"/>
  <c r="M92" i="2"/>
  <c r="M71" i="2" s="1"/>
  <c r="M97" i="2" s="1"/>
  <c r="M91" i="2"/>
  <c r="Z27" i="2" l="1"/>
  <c r="Z28" i="2" s="1"/>
  <c r="Z72" i="2"/>
  <c r="J30" i="2"/>
  <c r="K95" i="2"/>
  <c r="J45" i="2"/>
  <c r="M70" i="2"/>
  <c r="N91" i="2"/>
  <c r="N92" i="2"/>
  <c r="N71" i="2" s="1"/>
  <c r="N97" i="2" s="1"/>
  <c r="AA32" i="2" l="1"/>
  <c r="AA31" i="2"/>
  <c r="AA26" i="2"/>
  <c r="AA28" i="2"/>
  <c r="AA38" i="2"/>
  <c r="AA34" i="2" s="1"/>
  <c r="Z67" i="2" s="1"/>
  <c r="K30" i="2"/>
  <c r="L45" i="2"/>
  <c r="K45" i="2"/>
  <c r="J47" i="2"/>
  <c r="N70" i="2"/>
  <c r="O92" i="2"/>
  <c r="O71" i="2" s="1"/>
  <c r="O97" i="2" s="1"/>
  <c r="O91" i="2"/>
  <c r="P91" i="2" s="1"/>
  <c r="P70" i="2" s="1"/>
  <c r="AB32" i="2" l="1"/>
  <c r="AB31" i="2"/>
  <c r="AA30" i="2"/>
  <c r="AA47" i="2" s="1"/>
  <c r="AA94" i="2"/>
  <c r="AA46" i="2"/>
  <c r="AB38" i="2"/>
  <c r="AB34" i="2" s="1"/>
  <c r="AA67" i="2" s="1"/>
  <c r="AB26" i="2"/>
  <c r="AB24" i="2" s="1"/>
  <c r="AA95" i="2"/>
  <c r="AA24" i="2"/>
  <c r="AA43" i="2" s="1"/>
  <c r="AA45" i="2"/>
  <c r="AA57" i="2" s="1"/>
  <c r="L30" i="2"/>
  <c r="L95" i="2"/>
  <c r="M95" i="2"/>
  <c r="Q91" i="2"/>
  <c r="Q70" i="2" s="1"/>
  <c r="P92" i="2"/>
  <c r="P71" i="2" s="1"/>
  <c r="P97" i="2" s="1"/>
  <c r="K47" i="2"/>
  <c r="O70" i="2"/>
  <c r="Q92" i="2"/>
  <c r="Q71" i="2" s="1"/>
  <c r="Q97" i="2" s="1"/>
  <c r="AA40" i="2" l="1"/>
  <c r="AA53" i="2"/>
  <c r="AA55" i="2"/>
  <c r="AA48" i="2"/>
  <c r="AA42" i="2"/>
  <c r="AA96" i="2"/>
  <c r="M30" i="2"/>
  <c r="M47" i="2" s="1"/>
  <c r="N95" i="2"/>
  <c r="M45" i="2"/>
  <c r="L47" i="2"/>
  <c r="R91" i="2"/>
  <c r="R70" i="2" s="1"/>
  <c r="R92" i="2"/>
  <c r="R71" i="2" s="1"/>
  <c r="R97" i="2" s="1"/>
  <c r="AB72" i="2" l="1"/>
  <c r="C106" i="2" s="1"/>
  <c r="AB27" i="2"/>
  <c r="AB28" i="2" s="1"/>
  <c r="N30" i="2"/>
  <c r="O95" i="2"/>
  <c r="N45" i="2"/>
  <c r="S92" i="2"/>
  <c r="S71" i="2" s="1"/>
  <c r="S97" i="2" s="1"/>
  <c r="S91" i="2"/>
  <c r="S70" i="2" s="1"/>
  <c r="AC32" i="2" l="1"/>
  <c r="AC31" i="2"/>
  <c r="O30" i="2"/>
  <c r="O45" i="2"/>
  <c r="P95" i="2"/>
  <c r="T91" i="2"/>
  <c r="U92" i="2" s="1"/>
  <c r="U71" i="2" s="1"/>
  <c r="U97" i="2" s="1"/>
  <c r="T92" i="2"/>
  <c r="T71" i="2" s="1"/>
  <c r="T97" i="2" s="1"/>
  <c r="N47" i="2"/>
  <c r="AC27" i="2" l="1"/>
  <c r="AC72" i="2"/>
  <c r="U91" i="2"/>
  <c r="V92" i="2" s="1"/>
  <c r="V71" i="2" s="1"/>
  <c r="V97" i="2" s="1"/>
  <c r="P30" i="2"/>
  <c r="T70" i="2"/>
  <c r="Q95" i="2"/>
  <c r="P45" i="2"/>
  <c r="O47" i="2"/>
  <c r="U70" i="2" l="1"/>
  <c r="V91" i="2"/>
  <c r="W92" i="2" s="1"/>
  <c r="W71" i="2" s="1"/>
  <c r="W97" i="2" s="1"/>
  <c r="Q30" i="2"/>
  <c r="R95" i="2"/>
  <c r="Q45" i="2"/>
  <c r="P47" i="2"/>
  <c r="V70" i="2" l="1"/>
  <c r="W91" i="2"/>
  <c r="X92" i="2" s="1"/>
  <c r="X71" i="2" s="1"/>
  <c r="X97" i="2" s="1"/>
  <c r="R30" i="2"/>
  <c r="E3" i="30" s="1"/>
  <c r="S95" i="2"/>
  <c r="R45" i="2"/>
  <c r="Q47" i="2"/>
  <c r="W70" i="2" l="1"/>
  <c r="X91" i="2"/>
  <c r="Y91" i="2" s="1"/>
  <c r="S30" i="2"/>
  <c r="T95" i="2"/>
  <c r="S45" i="2"/>
  <c r="R47" i="2"/>
  <c r="Y92" i="2" l="1"/>
  <c r="Y71" i="2" s="1"/>
  <c r="Y97" i="2" s="1"/>
  <c r="X70" i="2"/>
  <c r="T30" i="2"/>
  <c r="T47" i="2" s="1"/>
  <c r="U95" i="2"/>
  <c r="T45" i="2"/>
  <c r="S47" i="2"/>
  <c r="Y70" i="2"/>
  <c r="Z91" i="2"/>
  <c r="AA91" i="2" s="1"/>
  <c r="Z92" i="2"/>
  <c r="Z71" i="2" s="1"/>
  <c r="Z97" i="2" s="1"/>
  <c r="AB92" i="2" l="1"/>
  <c r="AA70" i="2"/>
  <c r="AB91" i="2"/>
  <c r="U30" i="2"/>
  <c r="U45" i="2"/>
  <c r="V95" i="2"/>
  <c r="Z70" i="2"/>
  <c r="AA92" i="2"/>
  <c r="AA71" i="2" s="1"/>
  <c r="AA97" i="2" s="1"/>
  <c r="AA98" i="2" s="1"/>
  <c r="AA100" i="2" s="1"/>
  <c r="AA101" i="2" s="1"/>
  <c r="AA102" i="2" s="1"/>
  <c r="AA112" i="2" l="1"/>
  <c r="AA103" i="2"/>
  <c r="AA104" i="2" s="1"/>
  <c r="AA110" i="2"/>
  <c r="AA108" i="2"/>
  <c r="V30" i="2"/>
  <c r="V45" i="2"/>
  <c r="U47" i="2"/>
  <c r="W45" i="2" l="1"/>
  <c r="V47" i="2"/>
  <c r="W95" i="2"/>
  <c r="W30" i="2"/>
  <c r="X95" i="2"/>
  <c r="X30" i="2" l="1"/>
  <c r="Y45" i="2"/>
  <c r="X45" i="2"/>
  <c r="W47" i="2"/>
  <c r="Y30" i="2" l="1"/>
  <c r="Z45" i="2"/>
  <c r="Y95" i="2"/>
  <c r="X47" i="2"/>
  <c r="Z95" i="2" l="1"/>
  <c r="Z30" i="2"/>
  <c r="Y47" i="2"/>
  <c r="Z47" i="2" l="1"/>
  <c r="AB30" i="2" l="1"/>
  <c r="AC30" i="2" l="1"/>
  <c r="AB47" i="2"/>
  <c r="AC47" i="2" l="1"/>
  <c r="F19" i="31" l="1"/>
  <c r="F20" i="31" s="1"/>
  <c r="S19" i="31"/>
  <c r="S20" i="31" s="1"/>
  <c r="G19" i="31"/>
  <c r="G20" i="31" s="1"/>
  <c r="Q19" i="31"/>
  <c r="Q20" i="31" s="1"/>
  <c r="K19" i="31"/>
  <c r="K20" i="31" s="1"/>
  <c r="J19" i="31"/>
  <c r="J20" i="31" s="1"/>
  <c r="I19" i="31"/>
  <c r="I20" i="31" s="1"/>
  <c r="O19" i="31"/>
  <c r="O20" i="31" s="1"/>
  <c r="N19" i="31"/>
  <c r="N20" i="31" s="1"/>
  <c r="W19" i="31"/>
  <c r="W20" i="31" s="1"/>
  <c r="E19" i="31"/>
  <c r="E20" i="31" s="1"/>
  <c r="U19" i="31"/>
  <c r="U20" i="31" s="1"/>
  <c r="M19" i="31"/>
  <c r="M20" i="31" s="1"/>
  <c r="R19" i="31"/>
  <c r="R20" i="31" s="1"/>
  <c r="V19" i="31"/>
  <c r="V20" i="31" s="1"/>
  <c r="T19" i="31"/>
  <c r="T20" i="31" s="1"/>
  <c r="P19" i="31"/>
  <c r="P20" i="31" s="1"/>
  <c r="D19" i="31"/>
  <c r="D20" i="31" s="1"/>
  <c r="H19" i="31"/>
  <c r="H20" i="31" s="1"/>
  <c r="L19" i="31"/>
  <c r="L20" i="31" s="1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N6" i="36" l="1"/>
  <c r="N7" i="36" s="1"/>
  <c r="N8" i="37"/>
  <c r="N9" i="37" s="1"/>
  <c r="V6" i="36"/>
  <c r="V7" i="36" s="1"/>
  <c r="V8" i="37"/>
  <c r="V9" i="37" s="1"/>
  <c r="W6" i="36"/>
  <c r="W8" i="37"/>
  <c r="W9" i="37" s="1"/>
  <c r="Q6" i="36"/>
  <c r="Q7" i="36" s="1"/>
  <c r="Q8" i="37"/>
  <c r="Q9" i="37" s="1"/>
  <c r="S6" i="36"/>
  <c r="S7" i="36" s="1"/>
  <c r="S8" i="37"/>
  <c r="S9" i="37" s="1"/>
  <c r="J6" i="36"/>
  <c r="J7" i="36" s="1"/>
  <c r="J8" i="37"/>
  <c r="J9" i="37" s="1"/>
  <c r="X6" i="36"/>
  <c r="X8" i="37"/>
  <c r="X9" i="37" s="1"/>
  <c r="G6" i="36"/>
  <c r="G7" i="36" s="1"/>
  <c r="G8" i="37"/>
  <c r="G9" i="37" s="1"/>
  <c r="K6" i="36"/>
  <c r="K7" i="36" s="1"/>
  <c r="K8" i="37"/>
  <c r="K9" i="37" s="1"/>
  <c r="I6" i="36"/>
  <c r="I7" i="36" s="1"/>
  <c r="I8" i="37"/>
  <c r="I9" i="37" s="1"/>
  <c r="T6" i="36"/>
  <c r="T8" i="37"/>
  <c r="T9" i="37" s="1"/>
  <c r="Y6" i="36"/>
  <c r="Y7" i="36" s="1"/>
  <c r="Y8" i="37"/>
  <c r="Y9" i="37" s="1"/>
  <c r="L6" i="36"/>
  <c r="L7" i="36" s="1"/>
  <c r="L8" i="37"/>
  <c r="L9" i="37" s="1"/>
  <c r="U6" i="36"/>
  <c r="U7" i="36" s="1"/>
  <c r="U8" i="37"/>
  <c r="U9" i="37" s="1"/>
  <c r="R6" i="36"/>
  <c r="R7" i="36" s="1"/>
  <c r="R8" i="37"/>
  <c r="R9" i="37" s="1"/>
  <c r="O6" i="36"/>
  <c r="O7" i="36" s="1"/>
  <c r="O8" i="37"/>
  <c r="O9" i="37" s="1"/>
  <c r="P6" i="36"/>
  <c r="P7" i="36" s="1"/>
  <c r="P8" i="37"/>
  <c r="P9" i="37" s="1"/>
  <c r="M6" i="36"/>
  <c r="M7" i="36" s="1"/>
  <c r="M8" i="37"/>
  <c r="M9" i="37" s="1"/>
  <c r="H6" i="36"/>
  <c r="H8" i="37"/>
  <c r="H9" i="37" s="1"/>
  <c r="E65" i="2"/>
  <c r="I65" i="2"/>
  <c r="D67" i="2"/>
  <c r="F65" i="2"/>
  <c r="D65" i="2"/>
  <c r="G65" i="2"/>
  <c r="H65" i="2"/>
  <c r="N67" i="2"/>
  <c r="H67" i="2"/>
  <c r="L67" i="2"/>
  <c r="E67" i="2"/>
  <c r="I67" i="2"/>
  <c r="F67" i="2"/>
  <c r="J67" i="2"/>
  <c r="M67" i="2"/>
  <c r="G67" i="2"/>
  <c r="K67" i="2"/>
  <c r="AC19" i="31"/>
  <c r="AC20" i="31" s="1"/>
  <c r="H7" i="36"/>
  <c r="W7" i="36"/>
  <c r="X7" i="36"/>
  <c r="T7" i="36"/>
  <c r="D53" i="2"/>
  <c r="C54" i="2"/>
  <c r="O94" i="2"/>
  <c r="O96" i="2" s="1"/>
  <c r="O98" i="2" s="1"/>
  <c r="O100" i="2" s="1"/>
  <c r="O101" i="2" s="1"/>
  <c r="O102" i="2" s="1"/>
  <c r="O46" i="2"/>
  <c r="O57" i="2" s="1"/>
  <c r="O43" i="2"/>
  <c r="O40" i="2"/>
  <c r="O42" i="2" s="1"/>
  <c r="K94" i="2"/>
  <c r="K96" i="2" s="1"/>
  <c r="K98" i="2" s="1"/>
  <c r="K100" i="2" s="1"/>
  <c r="K101" i="2" s="1"/>
  <c r="K102" i="2" s="1"/>
  <c r="K40" i="2"/>
  <c r="K42" i="2" s="1"/>
  <c r="K43" i="2"/>
  <c r="K46" i="2"/>
  <c r="K57" i="2" s="1"/>
  <c r="G94" i="2"/>
  <c r="G96" i="2" s="1"/>
  <c r="G98" i="2" s="1"/>
  <c r="G100" i="2" s="1"/>
  <c r="G101" i="2" s="1"/>
  <c r="G102" i="2" s="1"/>
  <c r="G46" i="2"/>
  <c r="G57" i="2" s="1"/>
  <c r="G40" i="2"/>
  <c r="G42" i="2" s="1"/>
  <c r="G43" i="2"/>
  <c r="L22" i="31"/>
  <c r="L21" i="31"/>
  <c r="T21" i="31"/>
  <c r="T22" i="31"/>
  <c r="U21" i="31"/>
  <c r="U22" i="31"/>
  <c r="O22" i="31"/>
  <c r="O21" i="31"/>
  <c r="Q22" i="31"/>
  <c r="Q21" i="31"/>
  <c r="R94" i="2"/>
  <c r="R96" i="2" s="1"/>
  <c r="R98" i="2" s="1"/>
  <c r="R100" i="2" s="1"/>
  <c r="R101" i="2" s="1"/>
  <c r="R102" i="2" s="1"/>
  <c r="R46" i="2"/>
  <c r="R57" i="2" s="1"/>
  <c r="R40" i="2"/>
  <c r="R42" i="2" s="1"/>
  <c r="R43" i="2"/>
  <c r="F94" i="2"/>
  <c r="F96" i="2" s="1"/>
  <c r="F98" i="2" s="1"/>
  <c r="F100" i="2" s="1"/>
  <c r="F101" i="2" s="1"/>
  <c r="F102" i="2" s="1"/>
  <c r="F43" i="2"/>
  <c r="F46" i="2"/>
  <c r="F57" i="2" s="1"/>
  <c r="F40" i="2"/>
  <c r="F42" i="2" s="1"/>
  <c r="H22" i="31"/>
  <c r="H21" i="31"/>
  <c r="V22" i="31"/>
  <c r="V21" i="31"/>
  <c r="E21" i="31"/>
  <c r="E22" i="31"/>
  <c r="I22" i="31"/>
  <c r="I21" i="31"/>
  <c r="G21" i="31"/>
  <c r="G22" i="31"/>
  <c r="W94" i="2"/>
  <c r="W96" i="2" s="1"/>
  <c r="W98" i="2" s="1"/>
  <c r="W100" i="2" s="1"/>
  <c r="W101" i="2" s="1"/>
  <c r="W102" i="2" s="1"/>
  <c r="W46" i="2"/>
  <c r="W57" i="2" s="1"/>
  <c r="W43" i="2"/>
  <c r="W40" i="2"/>
  <c r="W42" i="2" s="1"/>
  <c r="V94" i="2"/>
  <c r="V96" i="2" s="1"/>
  <c r="V98" i="2" s="1"/>
  <c r="V100" i="2" s="1"/>
  <c r="V101" i="2" s="1"/>
  <c r="V102" i="2" s="1"/>
  <c r="V43" i="2"/>
  <c r="V40" i="2"/>
  <c r="V42" i="2" s="1"/>
  <c r="V46" i="2"/>
  <c r="V57" i="2" s="1"/>
  <c r="J94" i="2"/>
  <c r="J96" i="2" s="1"/>
  <c r="J98" i="2" s="1"/>
  <c r="J100" i="2" s="1"/>
  <c r="J101" i="2" s="1"/>
  <c r="J102" i="2" s="1"/>
  <c r="J40" i="2"/>
  <c r="J42" i="2" s="1"/>
  <c r="J46" i="2"/>
  <c r="J57" i="2" s="1"/>
  <c r="J43" i="2"/>
  <c r="Y46" i="2"/>
  <c r="Y57" i="2" s="1"/>
  <c r="Y40" i="2"/>
  <c r="Y42" i="2" s="1"/>
  <c r="Y94" i="2"/>
  <c r="Y96" i="2" s="1"/>
  <c r="Y98" i="2" s="1"/>
  <c r="Y100" i="2" s="1"/>
  <c r="Y101" i="2" s="1"/>
  <c r="Y102" i="2" s="1"/>
  <c r="Y43" i="2"/>
  <c r="U94" i="2"/>
  <c r="U96" i="2" s="1"/>
  <c r="U98" i="2" s="1"/>
  <c r="U100" i="2" s="1"/>
  <c r="U101" i="2" s="1"/>
  <c r="U102" i="2" s="1"/>
  <c r="U40" i="2"/>
  <c r="U42" i="2" s="1"/>
  <c r="U46" i="2"/>
  <c r="U57" i="2" s="1"/>
  <c r="U43" i="2"/>
  <c r="Q94" i="2"/>
  <c r="Q96" i="2" s="1"/>
  <c r="Q98" i="2" s="1"/>
  <c r="Q100" i="2" s="1"/>
  <c r="Q101" i="2" s="1"/>
  <c r="Q102" i="2" s="1"/>
  <c r="Q43" i="2"/>
  <c r="Q46" i="2"/>
  <c r="Q57" i="2" s="1"/>
  <c r="Q40" i="2"/>
  <c r="Q42" i="2" s="1"/>
  <c r="M94" i="2"/>
  <c r="M96" i="2" s="1"/>
  <c r="M98" i="2" s="1"/>
  <c r="M100" i="2" s="1"/>
  <c r="M101" i="2" s="1"/>
  <c r="M102" i="2" s="1"/>
  <c r="M46" i="2"/>
  <c r="M57" i="2" s="1"/>
  <c r="M40" i="2"/>
  <c r="M42" i="2" s="1"/>
  <c r="M43" i="2"/>
  <c r="I94" i="2"/>
  <c r="I96" i="2" s="1"/>
  <c r="I98" i="2" s="1"/>
  <c r="I100" i="2" s="1"/>
  <c r="I101" i="2" s="1"/>
  <c r="I102" i="2" s="1"/>
  <c r="I40" i="2"/>
  <c r="I42" i="2" s="1"/>
  <c r="I43" i="2"/>
  <c r="I46" i="2"/>
  <c r="I57" i="2" s="1"/>
  <c r="E94" i="2"/>
  <c r="E96" i="2" s="1"/>
  <c r="E98" i="2" s="1"/>
  <c r="E100" i="2" s="1"/>
  <c r="E101" i="2" s="1"/>
  <c r="E102" i="2" s="1"/>
  <c r="E46" i="2"/>
  <c r="E57" i="2" s="1"/>
  <c r="E40" i="2"/>
  <c r="E42" i="2" s="1"/>
  <c r="E43" i="2"/>
  <c r="F8" i="37"/>
  <c r="F9" i="37" s="1"/>
  <c r="R22" i="31"/>
  <c r="R21" i="31"/>
  <c r="W22" i="31"/>
  <c r="W21" i="31"/>
  <c r="J22" i="31"/>
  <c r="J21" i="31"/>
  <c r="S22" i="31"/>
  <c r="S21" i="31"/>
  <c r="S94" i="2"/>
  <c r="S96" i="2" s="1"/>
  <c r="S98" i="2" s="1"/>
  <c r="S100" i="2" s="1"/>
  <c r="S101" i="2" s="1"/>
  <c r="S102" i="2" s="1"/>
  <c r="S46" i="2"/>
  <c r="S57" i="2" s="1"/>
  <c r="S40" i="2"/>
  <c r="S42" i="2" s="1"/>
  <c r="S43" i="2"/>
  <c r="Z94" i="2"/>
  <c r="Z96" i="2" s="1"/>
  <c r="Z98" i="2" s="1"/>
  <c r="Z100" i="2" s="1"/>
  <c r="Z101" i="2" s="1"/>
  <c r="Z102" i="2" s="1"/>
  <c r="Z40" i="2"/>
  <c r="Z42" i="2" s="1"/>
  <c r="Z46" i="2"/>
  <c r="Z57" i="2" s="1"/>
  <c r="Z43" i="2"/>
  <c r="N94" i="2"/>
  <c r="N96" i="2" s="1"/>
  <c r="N98" i="2" s="1"/>
  <c r="N100" i="2" s="1"/>
  <c r="N101" i="2" s="1"/>
  <c r="N102" i="2" s="1"/>
  <c r="N46" i="2"/>
  <c r="N57" i="2" s="1"/>
  <c r="N40" i="2"/>
  <c r="N42" i="2" s="1"/>
  <c r="N43" i="2"/>
  <c r="X94" i="2"/>
  <c r="X96" i="2" s="1"/>
  <c r="X98" i="2" s="1"/>
  <c r="X100" i="2" s="1"/>
  <c r="X101" i="2" s="1"/>
  <c r="X102" i="2" s="1"/>
  <c r="X40" i="2"/>
  <c r="X42" i="2" s="1"/>
  <c r="X46" i="2"/>
  <c r="X57" i="2" s="1"/>
  <c r="X43" i="2"/>
  <c r="T94" i="2"/>
  <c r="T96" i="2" s="1"/>
  <c r="T98" i="2" s="1"/>
  <c r="T100" i="2" s="1"/>
  <c r="T101" i="2" s="1"/>
  <c r="T102" i="2" s="1"/>
  <c r="T43" i="2"/>
  <c r="T46" i="2"/>
  <c r="T57" i="2" s="1"/>
  <c r="T40" i="2"/>
  <c r="T42" i="2" s="1"/>
  <c r="P40" i="2"/>
  <c r="P42" i="2" s="1"/>
  <c r="P94" i="2"/>
  <c r="P96" i="2" s="1"/>
  <c r="P98" i="2" s="1"/>
  <c r="P100" i="2" s="1"/>
  <c r="P101" i="2" s="1"/>
  <c r="P102" i="2" s="1"/>
  <c r="P46" i="2"/>
  <c r="P57" i="2" s="1"/>
  <c r="P43" i="2"/>
  <c r="L94" i="2"/>
  <c r="L96" i="2" s="1"/>
  <c r="L98" i="2" s="1"/>
  <c r="L100" i="2" s="1"/>
  <c r="L101" i="2" s="1"/>
  <c r="L102" i="2" s="1"/>
  <c r="L46" i="2"/>
  <c r="L57" i="2" s="1"/>
  <c r="L43" i="2"/>
  <c r="L40" i="2"/>
  <c r="L42" i="2" s="1"/>
  <c r="H94" i="2"/>
  <c r="H96" i="2" s="1"/>
  <c r="H98" i="2" s="1"/>
  <c r="H100" i="2" s="1"/>
  <c r="H101" i="2" s="1"/>
  <c r="H102" i="2" s="1"/>
  <c r="H40" i="2"/>
  <c r="H42" i="2" s="1"/>
  <c r="H46" i="2"/>
  <c r="H57" i="2" s="1"/>
  <c r="H43" i="2"/>
  <c r="D94" i="2"/>
  <c r="D46" i="2"/>
  <c r="C67" i="2"/>
  <c r="D40" i="2"/>
  <c r="D42" i="2" s="1"/>
  <c r="D43" i="2"/>
  <c r="P22" i="31"/>
  <c r="P21" i="31"/>
  <c r="M22" i="31"/>
  <c r="M21" i="31"/>
  <c r="N22" i="31"/>
  <c r="N21" i="31"/>
  <c r="K22" i="31"/>
  <c r="K21" i="31"/>
  <c r="F22" i="31"/>
  <c r="F21" i="31"/>
  <c r="C11" i="37" l="1"/>
  <c r="C58" i="37" s="1"/>
  <c r="C12" i="37"/>
  <c r="B58" i="37" s="1"/>
  <c r="D96" i="2"/>
  <c r="D98" i="2" s="1"/>
  <c r="D100" i="2" s="1"/>
  <c r="D101" i="2" s="1"/>
  <c r="D102" i="2" s="1"/>
  <c r="D108" i="2" s="1"/>
  <c r="D3" i="30"/>
  <c r="F6" i="36"/>
  <c r="F7" i="36" s="1"/>
  <c r="C9" i="36" s="1"/>
  <c r="C56" i="36" s="1"/>
  <c r="K29" i="31"/>
  <c r="O29" i="31"/>
  <c r="S29" i="31"/>
  <c r="W29" i="31"/>
  <c r="AA29" i="31"/>
  <c r="K30" i="31"/>
  <c r="O30" i="31"/>
  <c r="S30" i="31"/>
  <c r="W30" i="31"/>
  <c r="AA30" i="31"/>
  <c r="L29" i="31"/>
  <c r="P29" i="31"/>
  <c r="T29" i="31"/>
  <c r="X29" i="31"/>
  <c r="AB29" i="31"/>
  <c r="L30" i="31"/>
  <c r="P30" i="31"/>
  <c r="T30" i="31"/>
  <c r="X30" i="31"/>
  <c r="AB30" i="31"/>
  <c r="I29" i="31"/>
  <c r="M29" i="31"/>
  <c r="Q29" i="31"/>
  <c r="U29" i="31"/>
  <c r="Y29" i="31"/>
  <c r="I30" i="31"/>
  <c r="M30" i="31"/>
  <c r="Q30" i="31"/>
  <c r="U30" i="31"/>
  <c r="Y30" i="31"/>
  <c r="J29" i="31"/>
  <c r="N29" i="31"/>
  <c r="R29" i="31"/>
  <c r="V29" i="31"/>
  <c r="Z29" i="31"/>
  <c r="J30" i="31"/>
  <c r="N30" i="31"/>
  <c r="R30" i="31"/>
  <c r="V30" i="31"/>
  <c r="Z30" i="31"/>
  <c r="B26" i="31"/>
  <c r="I15" i="30" s="1"/>
  <c r="B25" i="31"/>
  <c r="H15" i="30" s="1"/>
  <c r="C61" i="2"/>
  <c r="C63" i="2"/>
  <c r="D57" i="2"/>
  <c r="T103" i="2"/>
  <c r="T104" i="2" s="1"/>
  <c r="T112" i="2"/>
  <c r="T110" i="2"/>
  <c r="T108" i="2"/>
  <c r="Z112" i="2"/>
  <c r="Z103" i="2"/>
  <c r="Z104" i="2" s="1"/>
  <c r="Z110" i="2"/>
  <c r="Z108" i="2"/>
  <c r="S55" i="2"/>
  <c r="S48" i="2"/>
  <c r="E110" i="2"/>
  <c r="E103" i="2"/>
  <c r="E104" i="2" s="1"/>
  <c r="E112" i="2"/>
  <c r="E108" i="2"/>
  <c r="U110" i="2"/>
  <c r="U103" i="2"/>
  <c r="U104" i="2" s="1"/>
  <c r="U112" i="2"/>
  <c r="U108" i="2"/>
  <c r="J48" i="2"/>
  <c r="J55" i="2"/>
  <c r="V110" i="2"/>
  <c r="V112" i="2"/>
  <c r="V103" i="2"/>
  <c r="V104" i="2" s="1"/>
  <c r="V108" i="2"/>
  <c r="W55" i="2"/>
  <c r="W48" i="2"/>
  <c r="F110" i="2"/>
  <c r="F103" i="2"/>
  <c r="F104" i="2" s="1"/>
  <c r="F112" i="2"/>
  <c r="F108" i="2"/>
  <c r="G55" i="2"/>
  <c r="G48" i="2"/>
  <c r="H110" i="2"/>
  <c r="H112" i="2"/>
  <c r="H103" i="2"/>
  <c r="H104" i="2" s="1"/>
  <c r="H108" i="2"/>
  <c r="L55" i="2"/>
  <c r="L48" i="2"/>
  <c r="P48" i="2"/>
  <c r="P55" i="2"/>
  <c r="T55" i="2"/>
  <c r="T48" i="2"/>
  <c r="X103" i="2"/>
  <c r="X104" i="2" s="1"/>
  <c r="X112" i="2"/>
  <c r="X110" i="2"/>
  <c r="X108" i="2"/>
  <c r="N55" i="2"/>
  <c r="N48" i="2"/>
  <c r="Z48" i="2"/>
  <c r="Z55" i="2"/>
  <c r="S110" i="2"/>
  <c r="S112" i="2"/>
  <c r="S103" i="2"/>
  <c r="S104" i="2" s="1"/>
  <c r="S108" i="2"/>
  <c r="I55" i="2"/>
  <c r="I48" i="2"/>
  <c r="I110" i="2"/>
  <c r="I103" i="2"/>
  <c r="I104" i="2" s="1"/>
  <c r="I112" i="2"/>
  <c r="I108" i="2"/>
  <c r="M48" i="2"/>
  <c r="M55" i="2"/>
  <c r="Q55" i="2"/>
  <c r="Q48" i="2"/>
  <c r="Y48" i="2"/>
  <c r="Y55" i="2"/>
  <c r="V48" i="2"/>
  <c r="V55" i="2"/>
  <c r="W103" i="2"/>
  <c r="W104" i="2" s="1"/>
  <c r="W110" i="2"/>
  <c r="W112" i="2"/>
  <c r="W108" i="2"/>
  <c r="R112" i="2"/>
  <c r="R103" i="2"/>
  <c r="R104" i="2" s="1"/>
  <c r="R110" i="2"/>
  <c r="R108" i="2"/>
  <c r="G112" i="2"/>
  <c r="G110" i="2"/>
  <c r="G103" i="2"/>
  <c r="G104" i="2" s="1"/>
  <c r="G108" i="2"/>
  <c r="L112" i="2"/>
  <c r="L110" i="2"/>
  <c r="L103" i="2"/>
  <c r="L104" i="2" s="1"/>
  <c r="L108" i="2"/>
  <c r="X55" i="2"/>
  <c r="X48" i="2"/>
  <c r="D21" i="31"/>
  <c r="H29" i="31"/>
  <c r="E30" i="31"/>
  <c r="E29" i="31"/>
  <c r="D29" i="31"/>
  <c r="G29" i="31"/>
  <c r="G30" i="31"/>
  <c r="F30" i="31"/>
  <c r="H30" i="31"/>
  <c r="D22" i="31"/>
  <c r="F29" i="31"/>
  <c r="D30" i="31"/>
  <c r="M110" i="2"/>
  <c r="M103" i="2"/>
  <c r="M104" i="2" s="1"/>
  <c r="M112" i="2"/>
  <c r="M108" i="2"/>
  <c r="U55" i="2"/>
  <c r="U48" i="2"/>
  <c r="F48" i="2"/>
  <c r="F55" i="2"/>
  <c r="K48" i="2"/>
  <c r="K55" i="2"/>
  <c r="K112" i="2"/>
  <c r="K103" i="2"/>
  <c r="K104" i="2" s="1"/>
  <c r="K110" i="2"/>
  <c r="K108" i="2"/>
  <c r="O48" i="2"/>
  <c r="O55" i="2"/>
  <c r="P103" i="2"/>
  <c r="P104" i="2" s="1"/>
  <c r="P112" i="2"/>
  <c r="P110" i="2"/>
  <c r="P108" i="2"/>
  <c r="D55" i="2"/>
  <c r="D48" i="2"/>
  <c r="H48" i="2"/>
  <c r="H55" i="2"/>
  <c r="N103" i="2"/>
  <c r="N104" i="2" s="1"/>
  <c r="N110" i="2"/>
  <c r="N112" i="2"/>
  <c r="N108" i="2"/>
  <c r="AC21" i="31"/>
  <c r="AC22" i="31"/>
  <c r="D15" i="30"/>
  <c r="E48" i="2"/>
  <c r="E55" i="2"/>
  <c r="Q103" i="2"/>
  <c r="Q104" i="2" s="1"/>
  <c r="Q112" i="2"/>
  <c r="Q110" i="2"/>
  <c r="Q108" i="2"/>
  <c r="Y103" i="2"/>
  <c r="Y104" i="2" s="1"/>
  <c r="Y112" i="2"/>
  <c r="Y110" i="2"/>
  <c r="Y108" i="2"/>
  <c r="J110" i="2"/>
  <c r="J112" i="2"/>
  <c r="J103" i="2"/>
  <c r="J104" i="2" s="1"/>
  <c r="J108" i="2"/>
  <c r="R48" i="2"/>
  <c r="R55" i="2"/>
  <c r="O110" i="2"/>
  <c r="O112" i="2"/>
  <c r="O103" i="2"/>
  <c r="O104" i="2" s="1"/>
  <c r="O108" i="2"/>
  <c r="M15" i="30" l="1"/>
  <c r="P3" i="30"/>
  <c r="B27" i="31"/>
  <c r="F15" i="30" s="1"/>
  <c r="B23" i="31"/>
  <c r="J15" i="30" s="1"/>
  <c r="B28" i="31"/>
  <c r="G15" i="30" s="1"/>
  <c r="B24" i="31"/>
  <c r="K15" i="30" s="1"/>
  <c r="C109" i="2"/>
  <c r="C10" i="36"/>
  <c r="B56" i="36" s="1"/>
  <c r="L15" i="30"/>
  <c r="D110" i="2"/>
  <c r="C111" i="2" s="1"/>
  <c r="Q3" i="30" s="1"/>
  <c r="D112" i="2"/>
  <c r="C113" i="2" s="1"/>
  <c r="R3" i="30" s="1"/>
  <c r="D103" i="2"/>
  <c r="D104" i="2" s="1"/>
  <c r="T16" i="36" l="1"/>
  <c r="T18" i="37"/>
  <c r="T19" i="37" s="1"/>
  <c r="R16" i="36"/>
  <c r="R17" i="36" s="1"/>
  <c r="R18" i="37"/>
  <c r="R19" i="37" s="1"/>
  <c r="X16" i="36"/>
  <c r="X18" i="37"/>
  <c r="X19" i="37" s="1"/>
  <c r="K26" i="36"/>
  <c r="K27" i="36" s="1"/>
  <c r="K28" i="37"/>
  <c r="K29" i="37" s="1"/>
  <c r="J26" i="36"/>
  <c r="J28" i="37"/>
  <c r="J29" i="37" s="1"/>
  <c r="Q26" i="36"/>
  <c r="Q27" i="36" s="1"/>
  <c r="Q28" i="37"/>
  <c r="Q29" i="37" s="1"/>
  <c r="V26" i="36"/>
  <c r="V28" i="37"/>
  <c r="V29" i="37" s="1"/>
  <c r="T26" i="36"/>
  <c r="T27" i="36" s="1"/>
  <c r="T28" i="37"/>
  <c r="T29" i="37" s="1"/>
  <c r="X46" i="36"/>
  <c r="X48" i="37"/>
  <c r="X49" i="37" s="1"/>
  <c r="T46" i="36"/>
  <c r="T47" i="36" s="1"/>
  <c r="T48" i="37"/>
  <c r="T49" i="37" s="1"/>
  <c r="H46" i="36"/>
  <c r="H48" i="37"/>
  <c r="H49" i="37" s="1"/>
  <c r="Y46" i="36"/>
  <c r="Y47" i="36" s="1"/>
  <c r="Y48" i="37"/>
  <c r="Y49" i="37" s="1"/>
  <c r="V46" i="36"/>
  <c r="V48" i="37"/>
  <c r="V49" i="37" s="1"/>
  <c r="O16" i="36"/>
  <c r="O17" i="36" s="1"/>
  <c r="O18" i="37"/>
  <c r="O19" i="37" s="1"/>
  <c r="Y16" i="36"/>
  <c r="Y17" i="36" s="1"/>
  <c r="Y18" i="37"/>
  <c r="Y19" i="37" s="1"/>
  <c r="I16" i="36"/>
  <c r="I17" i="36" s="1"/>
  <c r="I18" i="37"/>
  <c r="I19" i="37" s="1"/>
  <c r="I26" i="36"/>
  <c r="I28" i="37"/>
  <c r="I29" i="37" s="1"/>
  <c r="M26" i="36"/>
  <c r="M27" i="36" s="1"/>
  <c r="M28" i="37"/>
  <c r="M29" i="37" s="1"/>
  <c r="U26" i="36"/>
  <c r="U28" i="37"/>
  <c r="U29" i="37" s="1"/>
  <c r="O26" i="36"/>
  <c r="O27" i="36" s="1"/>
  <c r="O28" i="37"/>
  <c r="O29" i="37" s="1"/>
  <c r="O46" i="36"/>
  <c r="O48" i="37"/>
  <c r="O49" i="37" s="1"/>
  <c r="L46" i="36"/>
  <c r="L47" i="36" s="1"/>
  <c r="L48" i="37"/>
  <c r="L49" i="37" s="1"/>
  <c r="J46" i="36"/>
  <c r="J48" i="37"/>
  <c r="J49" i="37" s="1"/>
  <c r="I46" i="36"/>
  <c r="I47" i="36" s="1"/>
  <c r="I48" i="37"/>
  <c r="I49" i="37" s="1"/>
  <c r="U46" i="36"/>
  <c r="U48" i="37"/>
  <c r="U49" i="37" s="1"/>
  <c r="H16" i="36"/>
  <c r="H17" i="36" s="1"/>
  <c r="H18" i="37"/>
  <c r="H19" i="37" s="1"/>
  <c r="U16" i="36"/>
  <c r="U18" i="37"/>
  <c r="U19" i="37" s="1"/>
  <c r="Q16" i="36"/>
  <c r="Q17" i="36" s="1"/>
  <c r="Q18" i="37"/>
  <c r="Q19" i="37" s="1"/>
  <c r="V16" i="36"/>
  <c r="V18" i="37"/>
  <c r="V19" i="37" s="1"/>
  <c r="G26" i="36"/>
  <c r="G28" i="37"/>
  <c r="G29" i="37" s="1"/>
  <c r="H26" i="36"/>
  <c r="H28" i="37"/>
  <c r="H29" i="37" s="1"/>
  <c r="X26" i="36"/>
  <c r="X27" i="36" s="1"/>
  <c r="X28" i="37"/>
  <c r="X29" i="37" s="1"/>
  <c r="N26" i="36"/>
  <c r="N27" i="36" s="1"/>
  <c r="N28" i="37"/>
  <c r="N29" i="37" s="1"/>
  <c r="R26" i="36"/>
  <c r="R27" i="36" s="1"/>
  <c r="R28" i="37"/>
  <c r="R29" i="37" s="1"/>
  <c r="P46" i="36"/>
  <c r="P48" i="37"/>
  <c r="P49" i="37" s="1"/>
  <c r="K46" i="36"/>
  <c r="K47" i="36" s="1"/>
  <c r="K48" i="37"/>
  <c r="K49" i="37" s="1"/>
  <c r="S46" i="36"/>
  <c r="S48" i="37"/>
  <c r="S49" i="37" s="1"/>
  <c r="R46" i="36"/>
  <c r="R47" i="36" s="1"/>
  <c r="R48" i="37"/>
  <c r="R49" i="37" s="1"/>
  <c r="N46" i="36"/>
  <c r="N48" i="37"/>
  <c r="N49" i="37" s="1"/>
  <c r="G16" i="36"/>
  <c r="G17" i="36" s="1"/>
  <c r="G18" i="37"/>
  <c r="G19" i="37" s="1"/>
  <c r="S16" i="36"/>
  <c r="S17" i="36" s="1"/>
  <c r="S18" i="37"/>
  <c r="S19" i="37" s="1"/>
  <c r="L16" i="36"/>
  <c r="L17" i="36" s="1"/>
  <c r="L18" i="37"/>
  <c r="L19" i="37" s="1"/>
  <c r="P16" i="36"/>
  <c r="P18" i="37"/>
  <c r="P19" i="37" s="1"/>
  <c r="K16" i="36"/>
  <c r="K18" i="37"/>
  <c r="K19" i="37" s="1"/>
  <c r="M16" i="36"/>
  <c r="M18" i="37"/>
  <c r="M19" i="37" s="1"/>
  <c r="N16" i="36"/>
  <c r="N17" i="36" s="1"/>
  <c r="N18" i="37"/>
  <c r="N19" i="37" s="1"/>
  <c r="W16" i="36"/>
  <c r="W18" i="37"/>
  <c r="W19" i="37" s="1"/>
  <c r="J16" i="36"/>
  <c r="J17" i="36" s="1"/>
  <c r="J18" i="37"/>
  <c r="J19" i="37" s="1"/>
  <c r="W26" i="36"/>
  <c r="W27" i="36" s="1"/>
  <c r="W28" i="37"/>
  <c r="W29" i="37" s="1"/>
  <c r="P26" i="36"/>
  <c r="P27" i="36" s="1"/>
  <c r="P28" i="37"/>
  <c r="P29" i="37" s="1"/>
  <c r="S26" i="36"/>
  <c r="S28" i="37"/>
  <c r="S29" i="37" s="1"/>
  <c r="Y26" i="36"/>
  <c r="Y27" i="36" s="1"/>
  <c r="Y28" i="37"/>
  <c r="Y29" i="37" s="1"/>
  <c r="L26" i="36"/>
  <c r="L27" i="36" s="1"/>
  <c r="L28" i="37"/>
  <c r="L29" i="37" s="1"/>
  <c r="Q46" i="36"/>
  <c r="Q47" i="36" s="1"/>
  <c r="Q48" i="37"/>
  <c r="Q49" i="37" s="1"/>
  <c r="M46" i="36"/>
  <c r="M48" i="37"/>
  <c r="M49" i="37" s="1"/>
  <c r="W46" i="36"/>
  <c r="W47" i="36" s="1"/>
  <c r="W48" i="37"/>
  <c r="W49" i="37" s="1"/>
  <c r="G46" i="36"/>
  <c r="G48" i="37"/>
  <c r="G49" i="37" s="1"/>
  <c r="K17" i="36"/>
  <c r="M17" i="36"/>
  <c r="W17" i="36"/>
  <c r="T17" i="36"/>
  <c r="X17" i="36"/>
  <c r="G27" i="36"/>
  <c r="H27" i="36"/>
  <c r="X47" i="36"/>
  <c r="H47" i="36"/>
  <c r="V47" i="36"/>
  <c r="S27" i="36"/>
  <c r="O47" i="36"/>
  <c r="J47" i="36"/>
  <c r="U47" i="36"/>
  <c r="U17" i="36"/>
  <c r="P17" i="36"/>
  <c r="V17" i="36"/>
  <c r="J27" i="36"/>
  <c r="V27" i="36"/>
  <c r="P47" i="36"/>
  <c r="S47" i="36"/>
  <c r="N47" i="36"/>
  <c r="I27" i="36"/>
  <c r="U27" i="36"/>
  <c r="M47" i="36"/>
  <c r="G47" i="36"/>
  <c r="V153" i="31"/>
  <c r="V154" i="31"/>
  <c r="R153" i="31"/>
  <c r="R154" i="31"/>
  <c r="F154" i="31"/>
  <c r="F153" i="31"/>
  <c r="W153" i="31"/>
  <c r="W154" i="31"/>
  <c r="T153" i="31"/>
  <c r="T154" i="31"/>
  <c r="M153" i="31"/>
  <c r="M154" i="31"/>
  <c r="J154" i="31"/>
  <c r="J153" i="31"/>
  <c r="H154" i="31"/>
  <c r="H153" i="31"/>
  <c r="G153" i="31"/>
  <c r="G154" i="31"/>
  <c r="S154" i="31"/>
  <c r="S153" i="31"/>
  <c r="N154" i="31"/>
  <c r="N153" i="31"/>
  <c r="I154" i="31"/>
  <c r="I153" i="31"/>
  <c r="Q154" i="31"/>
  <c r="Q153" i="31"/>
  <c r="P153" i="31"/>
  <c r="P154" i="31"/>
  <c r="L154" i="31"/>
  <c r="L153" i="31"/>
  <c r="O154" i="31"/>
  <c r="O153" i="31"/>
  <c r="K153" i="31"/>
  <c r="K154" i="31"/>
  <c r="U154" i="31"/>
  <c r="U153" i="31"/>
  <c r="F48" i="37"/>
  <c r="F49" i="37" s="1"/>
  <c r="E154" i="31"/>
  <c r="E153" i="31"/>
  <c r="J54" i="31"/>
  <c r="J55" i="31"/>
  <c r="S54" i="31"/>
  <c r="S55" i="31"/>
  <c r="N55" i="31"/>
  <c r="N54" i="31"/>
  <c r="O55" i="31"/>
  <c r="O54" i="31"/>
  <c r="T55" i="31"/>
  <c r="T54" i="31"/>
  <c r="I88" i="31"/>
  <c r="I87" i="31"/>
  <c r="H88" i="31"/>
  <c r="H87" i="31"/>
  <c r="O87" i="31"/>
  <c r="O88" i="31"/>
  <c r="T88" i="31"/>
  <c r="T87" i="31"/>
  <c r="R88" i="31"/>
  <c r="R87" i="31"/>
  <c r="I54" i="31"/>
  <c r="I55" i="31"/>
  <c r="K54" i="31"/>
  <c r="K55" i="31"/>
  <c r="L54" i="31"/>
  <c r="L55" i="31"/>
  <c r="U55" i="31"/>
  <c r="U54" i="31"/>
  <c r="H54" i="31"/>
  <c r="H55" i="31"/>
  <c r="G88" i="31"/>
  <c r="G87" i="31"/>
  <c r="K88" i="31"/>
  <c r="K87" i="31"/>
  <c r="F28" i="37"/>
  <c r="F29" i="37" s="1"/>
  <c r="S88" i="31"/>
  <c r="S87" i="31"/>
  <c r="M87" i="31"/>
  <c r="M88" i="31"/>
  <c r="R55" i="31"/>
  <c r="R54" i="31"/>
  <c r="E54" i="31"/>
  <c r="E55" i="31"/>
  <c r="P55" i="31"/>
  <c r="P54" i="31"/>
  <c r="V55" i="31"/>
  <c r="V54" i="31"/>
  <c r="F18" i="37"/>
  <c r="F19" i="37" s="1"/>
  <c r="E88" i="31"/>
  <c r="E87" i="31"/>
  <c r="F88" i="31"/>
  <c r="F87" i="31"/>
  <c r="V88" i="31"/>
  <c r="V87" i="31"/>
  <c r="L88" i="31"/>
  <c r="L87" i="31"/>
  <c r="P87" i="31"/>
  <c r="P88" i="31"/>
  <c r="F54" i="31"/>
  <c r="F55" i="31"/>
  <c r="M55" i="31"/>
  <c r="M54" i="31"/>
  <c r="Q54" i="31"/>
  <c r="Q55" i="31"/>
  <c r="W55" i="31"/>
  <c r="W54" i="31"/>
  <c r="G54" i="31"/>
  <c r="G55" i="31"/>
  <c r="U87" i="31"/>
  <c r="U88" i="31"/>
  <c r="N88" i="31"/>
  <c r="N87" i="31"/>
  <c r="Q88" i="31"/>
  <c r="Q87" i="31"/>
  <c r="W87" i="31"/>
  <c r="W88" i="31"/>
  <c r="J88" i="31"/>
  <c r="J87" i="31"/>
  <c r="C21" i="37" l="1"/>
  <c r="C59" i="37" s="1"/>
  <c r="C22" i="37"/>
  <c r="B59" i="37" s="1"/>
  <c r="C32" i="37"/>
  <c r="B60" i="37" s="1"/>
  <c r="C31" i="37"/>
  <c r="C60" i="37" s="1"/>
  <c r="C51" i="37"/>
  <c r="C62" i="37" s="1"/>
  <c r="C52" i="37"/>
  <c r="B62" i="37" s="1"/>
  <c r="F16" i="36"/>
  <c r="F17" i="36" s="1"/>
  <c r="K62" i="31"/>
  <c r="O62" i="31"/>
  <c r="S62" i="31"/>
  <c r="W62" i="31"/>
  <c r="AA62" i="31"/>
  <c r="K63" i="31"/>
  <c r="O63" i="31"/>
  <c r="S63" i="31"/>
  <c r="W63" i="31"/>
  <c r="AA63" i="31"/>
  <c r="L62" i="31"/>
  <c r="P62" i="31"/>
  <c r="T62" i="31"/>
  <c r="X62" i="31"/>
  <c r="AB62" i="31"/>
  <c r="L63" i="31"/>
  <c r="P63" i="31"/>
  <c r="T63" i="31"/>
  <c r="X63" i="31"/>
  <c r="AB63" i="31"/>
  <c r="I62" i="31"/>
  <c r="M62" i="31"/>
  <c r="Q62" i="31"/>
  <c r="U62" i="31"/>
  <c r="Y62" i="31"/>
  <c r="I63" i="31"/>
  <c r="M63" i="31"/>
  <c r="Q63" i="31"/>
  <c r="U63" i="31"/>
  <c r="Y63" i="31"/>
  <c r="J62" i="31"/>
  <c r="N62" i="31"/>
  <c r="R62" i="31"/>
  <c r="V62" i="31"/>
  <c r="Z62" i="31"/>
  <c r="J63" i="31"/>
  <c r="N63" i="31"/>
  <c r="R63" i="31"/>
  <c r="V63" i="31"/>
  <c r="Z63" i="31"/>
  <c r="J95" i="31"/>
  <c r="N95" i="31"/>
  <c r="R95" i="31"/>
  <c r="V95" i="31"/>
  <c r="Z95" i="31"/>
  <c r="K95" i="31"/>
  <c r="O95" i="31"/>
  <c r="S95" i="31"/>
  <c r="L95" i="31"/>
  <c r="P95" i="31"/>
  <c r="T95" i="31"/>
  <c r="X95" i="31"/>
  <c r="F26" i="36"/>
  <c r="F27" i="36" s="1"/>
  <c r="I95" i="31"/>
  <c r="M95" i="31"/>
  <c r="Q95" i="31"/>
  <c r="AA95" i="31"/>
  <c r="K96" i="31"/>
  <c r="O96" i="31"/>
  <c r="S96" i="31"/>
  <c r="W96" i="31"/>
  <c r="AA96" i="31"/>
  <c r="U95" i="31"/>
  <c r="AB95" i="31"/>
  <c r="L96" i="31"/>
  <c r="P96" i="31"/>
  <c r="T96" i="31"/>
  <c r="X96" i="31"/>
  <c r="AB96" i="31"/>
  <c r="W95" i="31"/>
  <c r="I96" i="31"/>
  <c r="M96" i="31"/>
  <c r="Q96" i="31"/>
  <c r="U96" i="31"/>
  <c r="Y96" i="31"/>
  <c r="Y95" i="31"/>
  <c r="J96" i="31"/>
  <c r="N96" i="31"/>
  <c r="R96" i="31"/>
  <c r="V96" i="31"/>
  <c r="Z96" i="31"/>
  <c r="F46" i="36"/>
  <c r="F47" i="36" s="1"/>
  <c r="C50" i="36" s="1"/>
  <c r="B60" i="36" s="1"/>
  <c r="F161" i="31"/>
  <c r="J161" i="31"/>
  <c r="N161" i="31"/>
  <c r="R161" i="31"/>
  <c r="V161" i="31"/>
  <c r="Z161" i="31"/>
  <c r="F162" i="31"/>
  <c r="J162" i="31"/>
  <c r="N162" i="31"/>
  <c r="R162" i="31"/>
  <c r="V162" i="31"/>
  <c r="Z162" i="31"/>
  <c r="D161" i="31"/>
  <c r="G161" i="31"/>
  <c r="K161" i="31"/>
  <c r="O161" i="31"/>
  <c r="S161" i="31"/>
  <c r="W161" i="31"/>
  <c r="AA161" i="31"/>
  <c r="G162" i="31"/>
  <c r="K162" i="31"/>
  <c r="O162" i="31"/>
  <c r="S162" i="31"/>
  <c r="W162" i="31"/>
  <c r="AA162" i="31"/>
  <c r="H161" i="31"/>
  <c r="L161" i="31"/>
  <c r="P161" i="31"/>
  <c r="T161" i="31"/>
  <c r="X161" i="31"/>
  <c r="AB161" i="31"/>
  <c r="H162" i="31"/>
  <c r="L162" i="31"/>
  <c r="P162" i="31"/>
  <c r="T162" i="31"/>
  <c r="X162" i="31"/>
  <c r="AB162" i="31"/>
  <c r="E161" i="31"/>
  <c r="I161" i="31"/>
  <c r="M161" i="31"/>
  <c r="Q161" i="31"/>
  <c r="U161" i="31"/>
  <c r="Y161" i="31"/>
  <c r="E162" i="31"/>
  <c r="I162" i="31"/>
  <c r="M162" i="31"/>
  <c r="Q162" i="31"/>
  <c r="U162" i="31"/>
  <c r="Y162" i="31"/>
  <c r="D162" i="31"/>
  <c r="B58" i="31"/>
  <c r="H16" i="30" s="1"/>
  <c r="B59" i="31"/>
  <c r="I16" i="30" s="1"/>
  <c r="B92" i="31"/>
  <c r="I17" i="30" s="1"/>
  <c r="B91" i="31"/>
  <c r="H17" i="30" s="1"/>
  <c r="B158" i="31"/>
  <c r="I19" i="30" s="1"/>
  <c r="B157" i="31"/>
  <c r="H19" i="30" s="1"/>
  <c r="K5" i="30"/>
  <c r="J5" i="30"/>
  <c r="K7" i="30"/>
  <c r="I7" i="30"/>
  <c r="I4" i="30"/>
  <c r="K4" i="30"/>
  <c r="M4" i="30"/>
  <c r="L4" i="30"/>
  <c r="M5" i="30"/>
  <c r="L5" i="30"/>
  <c r="J4" i="30"/>
  <c r="H4" i="30"/>
  <c r="M7" i="30"/>
  <c r="L7" i="30"/>
  <c r="J7" i="30"/>
  <c r="H7" i="30"/>
  <c r="D153" i="31"/>
  <c r="D154" i="31"/>
  <c r="G7" i="30"/>
  <c r="L19" i="30"/>
  <c r="AC153" i="31"/>
  <c r="AC154" i="31"/>
  <c r="D19" i="30"/>
  <c r="D7" i="30"/>
  <c r="F7" i="30"/>
  <c r="I5" i="30"/>
  <c r="AC54" i="31"/>
  <c r="AC55" i="31"/>
  <c r="D16" i="30"/>
  <c r="D96" i="31"/>
  <c r="M17" i="30" s="1"/>
  <c r="E96" i="31"/>
  <c r="E95" i="31"/>
  <c r="G96" i="31"/>
  <c r="D88" i="31"/>
  <c r="H96" i="31"/>
  <c r="D95" i="31"/>
  <c r="L17" i="30" s="1"/>
  <c r="D87" i="31"/>
  <c r="H95" i="31"/>
  <c r="F96" i="31"/>
  <c r="G95" i="31"/>
  <c r="F95" i="31"/>
  <c r="G4" i="30"/>
  <c r="H5" i="30"/>
  <c r="D5" i="30"/>
  <c r="F5" i="30"/>
  <c r="AC88" i="31"/>
  <c r="AC87" i="31"/>
  <c r="D17" i="30"/>
  <c r="F4" i="30"/>
  <c r="G5" i="30"/>
  <c r="D55" i="31"/>
  <c r="B60" i="31" s="1"/>
  <c r="D63" i="31"/>
  <c r="D62" i="31"/>
  <c r="G63" i="31"/>
  <c r="E63" i="31"/>
  <c r="D54" i="31"/>
  <c r="F63" i="31"/>
  <c r="H62" i="31"/>
  <c r="H63" i="31"/>
  <c r="G62" i="31"/>
  <c r="E62" i="31"/>
  <c r="F62" i="31"/>
  <c r="D4" i="30"/>
  <c r="B61" i="31" l="1"/>
  <c r="G16" i="30" s="1"/>
  <c r="B57" i="31"/>
  <c r="K16" i="30" s="1"/>
  <c r="B160" i="31"/>
  <c r="G19" i="30" s="1"/>
  <c r="B156" i="31"/>
  <c r="K19" i="30" s="1"/>
  <c r="F16" i="30"/>
  <c r="B56" i="31"/>
  <c r="J16" i="30" s="1"/>
  <c r="B89" i="31"/>
  <c r="J17" i="30" s="1"/>
  <c r="B93" i="31"/>
  <c r="F17" i="30" s="1"/>
  <c r="B94" i="31"/>
  <c r="G17" i="30" s="1"/>
  <c r="B90" i="31"/>
  <c r="K17" i="30" s="1"/>
  <c r="B159" i="31"/>
  <c r="F19" i="30" s="1"/>
  <c r="B155" i="31"/>
  <c r="J19" i="30" s="1"/>
  <c r="M16" i="30"/>
  <c r="M19" i="30"/>
  <c r="C49" i="36"/>
  <c r="C60" i="36" s="1"/>
  <c r="C30" i="36"/>
  <c r="B58" i="36" s="1"/>
  <c r="C29" i="36"/>
  <c r="C58" i="36" s="1"/>
  <c r="C20" i="36"/>
  <c r="B57" i="36" s="1"/>
  <c r="C19" i="36"/>
  <c r="C57" i="36" s="1"/>
  <c r="L16" i="30"/>
  <c r="Q7" i="30"/>
  <c r="R7" i="30"/>
  <c r="Q5" i="30"/>
  <c r="R5" i="30"/>
  <c r="R4" i="30"/>
  <c r="Q4" i="30"/>
  <c r="P7" i="30" l="1"/>
  <c r="P5" i="30"/>
  <c r="P4" i="30"/>
  <c r="AB43" i="2"/>
  <c r="AC38" i="2"/>
  <c r="AC34" i="2" s="1"/>
  <c r="AB67" i="2" s="1"/>
  <c r="AC26" i="2"/>
  <c r="AB45" i="2"/>
  <c r="AB95" i="2"/>
  <c r="AB70" i="2"/>
  <c r="AB71" i="2"/>
  <c r="AB97" i="2" s="1"/>
  <c r="AC80" i="2"/>
  <c r="AC83" i="2"/>
  <c r="AC86" i="2"/>
  <c r="AC89" i="2"/>
  <c r="AC77" i="2"/>
  <c r="AC92" i="2"/>
  <c r="AC78" i="2"/>
  <c r="AC79" i="2" s="1"/>
  <c r="AD78" i="2"/>
  <c r="AC75" i="2"/>
  <c r="AC76" i="2" s="1"/>
  <c r="AC81" i="2"/>
  <c r="AC82" i="2" s="1"/>
  <c r="AD83" i="2" s="1"/>
  <c r="AC84" i="2"/>
  <c r="AC87" i="2"/>
  <c r="AD87" i="2" s="1"/>
  <c r="AC90" i="2"/>
  <c r="AC91" i="2" s="1"/>
  <c r="AD90" i="2"/>
  <c r="AE90" i="2" s="1"/>
  <c r="AC28" i="2"/>
  <c r="AD31" i="2" s="1"/>
  <c r="AD26" i="2" l="1"/>
  <c r="AD32" i="2"/>
  <c r="AD30" i="2" s="1"/>
  <c r="AD47" i="2" s="1"/>
  <c r="AB40" i="2"/>
  <c r="AB42" i="2" s="1"/>
  <c r="AD28" i="2"/>
  <c r="AD38" i="2"/>
  <c r="AC53" i="2"/>
  <c r="AC71" i="2"/>
  <c r="AC97" i="2" s="1"/>
  <c r="AC45" i="2"/>
  <c r="AC24" i="2"/>
  <c r="AD45" i="2"/>
  <c r="AD24" i="2"/>
  <c r="AC95" i="2"/>
  <c r="AF90" i="2"/>
  <c r="AE87" i="2"/>
  <c r="AE78" i="2"/>
  <c r="AD79" i="2"/>
  <c r="AE80" i="2" s="1"/>
  <c r="AD92" i="2"/>
  <c r="AD95" i="2"/>
  <c r="AD77" i="2"/>
  <c r="AC88" i="2"/>
  <c r="AD91" i="2"/>
  <c r="AE92" i="2" s="1"/>
  <c r="AC85" i="2"/>
  <c r="AD84" i="2"/>
  <c r="AD80" i="2"/>
  <c r="AC46" i="2"/>
  <c r="AD81" i="2"/>
  <c r="AD75" i="2"/>
  <c r="AC94" i="2"/>
  <c r="AB46" i="2"/>
  <c r="AC43" i="2"/>
  <c r="G3" i="30" s="1"/>
  <c r="AC40" i="2"/>
  <c r="AC42" i="2" s="1"/>
  <c r="AB53" i="2"/>
  <c r="AB94" i="2"/>
  <c r="AB96" i="2" s="1"/>
  <c r="AB98" i="2" s="1"/>
  <c r="AB100" i="2" s="1"/>
  <c r="AD34" i="2" l="1"/>
  <c r="AC67" i="2" s="1"/>
  <c r="F3" i="30"/>
  <c r="AE32" i="2"/>
  <c r="AE31" i="2"/>
  <c r="AE26" i="2"/>
  <c r="AE24" i="2" s="1"/>
  <c r="AE38" i="2"/>
  <c r="AE34" i="2" s="1"/>
  <c r="AD53" i="2"/>
  <c r="AC96" i="2"/>
  <c r="AC98" i="2" s="1"/>
  <c r="AC100" i="2" s="1"/>
  <c r="AC101" i="2" s="1"/>
  <c r="AC102" i="2" s="1"/>
  <c r="AE28" i="2"/>
  <c r="AD43" i="2"/>
  <c r="AD76" i="2"/>
  <c r="AE75" i="2"/>
  <c r="AF26" i="2"/>
  <c r="AF24" i="2" s="1"/>
  <c r="AF87" i="2"/>
  <c r="AD82" i="2"/>
  <c r="AE81" i="2"/>
  <c r="AD89" i="2"/>
  <c r="AE79" i="2"/>
  <c r="AF78" i="2"/>
  <c r="AE95" i="2"/>
  <c r="AE45" i="2"/>
  <c r="AE91" i="2"/>
  <c r="AB101" i="2"/>
  <c r="AB102" i="2" s="1"/>
  <c r="AB55" i="2"/>
  <c r="AB48" i="2"/>
  <c r="AB57" i="2"/>
  <c r="AC57" i="2"/>
  <c r="AC48" i="2"/>
  <c r="AC55" i="2"/>
  <c r="AE84" i="2"/>
  <c r="AD85" i="2"/>
  <c r="AE86" i="2" s="1"/>
  <c r="AE43" i="2"/>
  <c r="AF91" i="2"/>
  <c r="AG90" i="2"/>
  <c r="AD86" i="2"/>
  <c r="AD88" i="2"/>
  <c r="AE89" i="2" s="1"/>
  <c r="AC70" i="2"/>
  <c r="AE94" i="2" l="1"/>
  <c r="AD67" i="2"/>
  <c r="AE46" i="2"/>
  <c r="AE57" i="2" s="1"/>
  <c r="AD40" i="2"/>
  <c r="AD42" i="2" s="1"/>
  <c r="AD46" i="2"/>
  <c r="AD94" i="2"/>
  <c r="AD96" i="2" s="1"/>
  <c r="AF32" i="2"/>
  <c r="AF31" i="2"/>
  <c r="AE30" i="2"/>
  <c r="AF28" i="2"/>
  <c r="AF38" i="2"/>
  <c r="AF34" i="2" s="1"/>
  <c r="AD71" i="2"/>
  <c r="AD97" i="2" s="1"/>
  <c r="AE96" i="2"/>
  <c r="AG92" i="2"/>
  <c r="AC112" i="2"/>
  <c r="AC103" i="2"/>
  <c r="AC104" i="2" s="1"/>
  <c r="AC108" i="2"/>
  <c r="AC110" i="2"/>
  <c r="AB110" i="2"/>
  <c r="AB112" i="2"/>
  <c r="AB103" i="2"/>
  <c r="AB104" i="2" s="1"/>
  <c r="AB108" i="2"/>
  <c r="AF80" i="2"/>
  <c r="AE88" i="2"/>
  <c r="AF88" i="2" s="1"/>
  <c r="AG91" i="2"/>
  <c r="AH92" i="2" s="1"/>
  <c r="AH90" i="2"/>
  <c r="AG87" i="2"/>
  <c r="AF92" i="2"/>
  <c r="AE82" i="2"/>
  <c r="AF83" i="2" s="1"/>
  <c r="AF81" i="2"/>
  <c r="AF45" i="2"/>
  <c r="AF95" i="2"/>
  <c r="AE76" i="2"/>
  <c r="AF75" i="2"/>
  <c r="AE85" i="2"/>
  <c r="AF84" i="2"/>
  <c r="AF79" i="2"/>
  <c r="AG78" i="2"/>
  <c r="AE83" i="2"/>
  <c r="AG26" i="2"/>
  <c r="AG24" i="2" s="1"/>
  <c r="AG38" i="2"/>
  <c r="AG34" i="2" s="1"/>
  <c r="AF67" i="2" s="1"/>
  <c r="AG28" i="2"/>
  <c r="AD70" i="2"/>
  <c r="AE77" i="2"/>
  <c r="AF46" i="2" l="1"/>
  <c r="AE67" i="2"/>
  <c r="AF94" i="2"/>
  <c r="AF96" i="2" s="1"/>
  <c r="AD55" i="2"/>
  <c r="AD57" i="2"/>
  <c r="AD48" i="2"/>
  <c r="AD98" i="2"/>
  <c r="AD100" i="2" s="1"/>
  <c r="AD101" i="2" s="1"/>
  <c r="AD102" i="2" s="1"/>
  <c r="AH32" i="2"/>
  <c r="AH30" i="2" s="1"/>
  <c r="AH47" i="2" s="1"/>
  <c r="AH31" i="2"/>
  <c r="AG32" i="2"/>
  <c r="AG31" i="2"/>
  <c r="AE47" i="2"/>
  <c r="AE53" i="2"/>
  <c r="AE40" i="2"/>
  <c r="AE42" i="2" s="1"/>
  <c r="AF53" i="2"/>
  <c r="AF30" i="2"/>
  <c r="AF43" i="2"/>
  <c r="AF89" i="2"/>
  <c r="AE70" i="2"/>
  <c r="AG89" i="2"/>
  <c r="AE71" i="2"/>
  <c r="AE97" i="2" s="1"/>
  <c r="AE98" i="2" s="1"/>
  <c r="AE100" i="2" s="1"/>
  <c r="AE101" i="2" s="1"/>
  <c r="AE102" i="2" s="1"/>
  <c r="AG79" i="2"/>
  <c r="AH80" i="2" s="1"/>
  <c r="AH78" i="2"/>
  <c r="AF76" i="2"/>
  <c r="AG77" i="2" s="1"/>
  <c r="AG75" i="2"/>
  <c r="AF82" i="2"/>
  <c r="AG81" i="2"/>
  <c r="AH91" i="2"/>
  <c r="AG80" i="2"/>
  <c r="AH26" i="2"/>
  <c r="AH24" i="2" s="1"/>
  <c r="AH28" i="2"/>
  <c r="AH38" i="2"/>
  <c r="AH34" i="2" s="1"/>
  <c r="AG46" i="2"/>
  <c r="AG43" i="2"/>
  <c r="AG94" i="2"/>
  <c r="AF85" i="2"/>
  <c r="AG86" i="2" s="1"/>
  <c r="AG84" i="2"/>
  <c r="AF57" i="2"/>
  <c r="AF77" i="2"/>
  <c r="AG95" i="2"/>
  <c r="AG45" i="2"/>
  <c r="AF86" i="2"/>
  <c r="AG88" i="2"/>
  <c r="AH89" i="2" s="1"/>
  <c r="AH87" i="2"/>
  <c r="AG67" i="2" l="1"/>
  <c r="AH67" i="2"/>
  <c r="AG30" i="2"/>
  <c r="AF47" i="2"/>
  <c r="AF40" i="2"/>
  <c r="AF42" i="2" s="1"/>
  <c r="AE55" i="2"/>
  <c r="AE48" i="2"/>
  <c r="AH88" i="2"/>
  <c r="AD112" i="2"/>
  <c r="AD103" i="2"/>
  <c r="AD104" i="2" s="1"/>
  <c r="AD108" i="2"/>
  <c r="AD110" i="2"/>
  <c r="AE112" i="2"/>
  <c r="AE108" i="2"/>
  <c r="AE103" i="2"/>
  <c r="AE104" i="2" s="1"/>
  <c r="AE110" i="2"/>
  <c r="AG96" i="2"/>
  <c r="AH46" i="2"/>
  <c r="AH53" i="2"/>
  <c r="AH43" i="2"/>
  <c r="AH94" i="2"/>
  <c r="AH40" i="2"/>
  <c r="AH42" i="2" s="1"/>
  <c r="AF70" i="2"/>
  <c r="AF71" i="2"/>
  <c r="AF97" i="2" s="1"/>
  <c r="AF98" i="2" s="1"/>
  <c r="AF100" i="2" s="1"/>
  <c r="AH84" i="2"/>
  <c r="AG85" i="2"/>
  <c r="AH86" i="2" s="1"/>
  <c r="AG82" i="2"/>
  <c r="AH83" i="2" s="1"/>
  <c r="AH81" i="2"/>
  <c r="AH79" i="2"/>
  <c r="AH45" i="2"/>
  <c r="AH95" i="2"/>
  <c r="AG57" i="2"/>
  <c r="AG76" i="2"/>
  <c r="AH75" i="2"/>
  <c r="AH76" i="2" s="1"/>
  <c r="AG83" i="2"/>
  <c r="AG71" i="2" s="1"/>
  <c r="AG97" i="2" s="1"/>
  <c r="AF48" i="2" l="1"/>
  <c r="AF55" i="2"/>
  <c r="AG47" i="2"/>
  <c r="AG40" i="2"/>
  <c r="AG42" i="2" s="1"/>
  <c r="C50" i="2" s="1"/>
  <c r="H3" i="30" s="1"/>
  <c r="AG53" i="2"/>
  <c r="AG70" i="2"/>
  <c r="AH85" i="2"/>
  <c r="C60" i="2"/>
  <c r="J3" i="30" s="1"/>
  <c r="C58" i="2"/>
  <c r="M3" i="30" s="1"/>
  <c r="C56" i="2"/>
  <c r="L3" i="30" s="1"/>
  <c r="AH82" i="2"/>
  <c r="AH70" i="2" s="1"/>
  <c r="C62" i="2"/>
  <c r="K3" i="30" s="1"/>
  <c r="C51" i="2"/>
  <c r="I3" i="30" s="1"/>
  <c r="AF101" i="2"/>
  <c r="AF102" i="2" s="1"/>
  <c r="AH77" i="2"/>
  <c r="AH71" i="2" s="1"/>
  <c r="AH97" i="2" s="1"/>
  <c r="AH48" i="2"/>
  <c r="AH55" i="2"/>
  <c r="AH57" i="2"/>
  <c r="AH96" i="2"/>
  <c r="AG98" i="2"/>
  <c r="AG100" i="2" s="1"/>
  <c r="AG48" i="2" l="1"/>
  <c r="AG55" i="2"/>
  <c r="AF103" i="2"/>
  <c r="AF104" i="2" s="1"/>
  <c r="AF108" i="2"/>
  <c r="AF112" i="2"/>
  <c r="AF110" i="2"/>
  <c r="AG101" i="2"/>
  <c r="AG102" i="2" s="1"/>
  <c r="AH98" i="2"/>
  <c r="AH100" i="2" s="1"/>
  <c r="AG112" i="2" l="1"/>
  <c r="AG110" i="2"/>
  <c r="AG103" i="2"/>
  <c r="AG104" i="2" s="1"/>
  <c r="AG108" i="2"/>
  <c r="AH101" i="2"/>
  <c r="AH102" i="2" s="1"/>
  <c r="AH108" i="2" l="1"/>
  <c r="AH103" i="2"/>
  <c r="AH104" i="2" s="1"/>
  <c r="AH112" i="2"/>
  <c r="AH1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4661680C-E1E4-453E-A5A6-C3054E100806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ED2B201B-7298-4CAA-B606-105AF758A727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3FC143EB-0E57-4A0E-9B13-932A2EB2C97F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M. Bassi</author>
  </authors>
  <commentList>
    <comment ref="C104" authorId="0" shapeId="0" xr:uid="{8C4CC598-5ADE-497B-B3B3-3E024FC03382}">
      <text>
        <r>
          <rPr>
            <b/>
            <sz val="9"/>
            <color indexed="81"/>
            <rFont val="Tahoma"/>
            <family val="2"/>
          </rPr>
          <t>Andrea M. Bassi:</t>
        </r>
        <r>
          <rPr>
            <sz val="9"/>
            <color indexed="81"/>
            <rFont val="Tahoma"/>
            <family val="2"/>
          </rPr>
          <t xml:space="preserve">
Avoided soil loss not considered to avoid double counting with additional productivity and production</t>
        </r>
      </text>
    </comment>
  </commentList>
</comments>
</file>

<file path=xl/sharedStrings.xml><?xml version="1.0" encoding="utf-8"?>
<sst xmlns="http://schemas.openxmlformats.org/spreadsheetml/2006/main" count="1279" uniqueCount="188">
  <si>
    <t>Burkina Faso</t>
  </si>
  <si>
    <t>Annual Budget (USD $)</t>
  </si>
  <si>
    <t>Y1</t>
  </si>
  <si>
    <t>Y2</t>
  </si>
  <si>
    <t>Y3</t>
  </si>
  <si>
    <t>Y4</t>
  </si>
  <si>
    <t>Y5</t>
  </si>
  <si>
    <t>Y6</t>
  </si>
  <si>
    <t>Value</t>
  </si>
  <si>
    <t>Unit</t>
  </si>
  <si>
    <t>Investment</t>
  </si>
  <si>
    <t>Capital cost</t>
  </si>
  <si>
    <t>USD</t>
  </si>
  <si>
    <t>Units</t>
  </si>
  <si>
    <t>Mali</t>
  </si>
  <si>
    <t>Budget for Operations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</si>
  <si>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</si>
  <si>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</si>
  <si>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</si>
  <si>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</si>
  <si>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</si>
  <si>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</si>
  <si>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</si>
  <si>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</si>
  <si>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</si>
  <si>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</si>
  <si>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</si>
  <si>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</si>
  <si>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</si>
  <si>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</si>
  <si>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</si>
  <si>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</si>
  <si>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</si>
  <si>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</si>
  <si>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</si>
  <si>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</si>
  <si>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Revenues</t>
  </si>
  <si>
    <t>USD/Year</t>
  </si>
  <si>
    <t>Distribution of budget across different interventions</t>
  </si>
  <si>
    <t>Discounting time series</t>
  </si>
  <si>
    <t>Year of discounting</t>
  </si>
  <si>
    <t>Year of operations</t>
  </si>
  <si>
    <t>Discounted net benefits</t>
  </si>
  <si>
    <t>Discount rate investments</t>
  </si>
  <si>
    <t>Discount rate externalities</t>
  </si>
  <si>
    <t>Discounting multiplier invesment and O&amp;M</t>
  </si>
  <si>
    <t>Discounting multiplier externalities</t>
  </si>
  <si>
    <t>Discounted investment and cost</t>
  </si>
  <si>
    <t>Financing:</t>
  </si>
  <si>
    <t>CPLTD</t>
  </si>
  <si>
    <t>Interest</t>
  </si>
  <si>
    <t>$</t>
  </si>
  <si>
    <t>Tenor</t>
  </si>
  <si>
    <t>Grace Period</t>
  </si>
  <si>
    <t>Cost of financing</t>
  </si>
  <si>
    <t>Total cost (O&amp;M)</t>
  </si>
  <si>
    <t>Margin / (EBITDA)</t>
  </si>
  <si>
    <t>(-) Interest expenses</t>
  </si>
  <si>
    <t>Operational Result (EBT)</t>
  </si>
  <si>
    <t>Profit before tax</t>
  </si>
  <si>
    <t>Project cashflow / Net revenue</t>
  </si>
  <si>
    <t>(+) Extraord. Income</t>
  </si>
  <si>
    <t>(-) Income tax</t>
  </si>
  <si>
    <t>Net profit</t>
  </si>
  <si>
    <t>Free Cash Flow</t>
  </si>
  <si>
    <t>Free Cash Flow (including externalities)</t>
  </si>
  <si>
    <t>Total Debt</t>
  </si>
  <si>
    <t>Dmnl</t>
  </si>
  <si>
    <t>%</t>
  </si>
  <si>
    <t>Years</t>
  </si>
  <si>
    <t>Discounted revenues</t>
  </si>
  <si>
    <t>Revenues generated</t>
  </si>
  <si>
    <t>Value of externalities</t>
  </si>
  <si>
    <t>Total investment</t>
  </si>
  <si>
    <t>Total items in year 1</t>
  </si>
  <si>
    <t>Budget available per year (for 6 years)</t>
  </si>
  <si>
    <t>Payback period</t>
  </si>
  <si>
    <t>Payback Period (Years)</t>
  </si>
  <si>
    <t>total</t>
  </si>
  <si>
    <t>Discount rate</t>
  </si>
  <si>
    <t>Total</t>
  </si>
  <si>
    <t>Net Benefit (including externalities)</t>
  </si>
  <si>
    <t>Net Benefit (excluding externalities)</t>
  </si>
  <si>
    <t>IRR</t>
  </si>
  <si>
    <t>NPV</t>
  </si>
  <si>
    <t>S-IRR</t>
  </si>
  <si>
    <t>BCR</t>
  </si>
  <si>
    <t>S-BCR</t>
  </si>
  <si>
    <t>S-NPV</t>
  </si>
  <si>
    <t>S-Payback Period</t>
  </si>
  <si>
    <t>S_NPV</t>
  </si>
  <si>
    <t>S-Payback Period (Years)</t>
  </si>
  <si>
    <t>Undiscounted net benefit with externalities</t>
  </si>
  <si>
    <t>Undiscounted net benefit without externalities</t>
  </si>
  <si>
    <t>Program</t>
  </si>
  <si>
    <t>S-IRR (lifetime)</t>
  </si>
  <si>
    <t>IRR (lifetime)</t>
  </si>
  <si>
    <t xml:space="preserve">S-Payback Period (Years) </t>
  </si>
  <si>
    <t>Investment available for the country</t>
  </si>
  <si>
    <t>Benefit to cost ratio (lifetime) / undiscounted</t>
  </si>
  <si>
    <t>Benefit to cost ratio (annual) / discounted</t>
  </si>
  <si>
    <t>Benefit to cost ratio (annual) / undiscounted</t>
  </si>
  <si>
    <t>Benefit to cost ratio (lifetime) / discounted</t>
  </si>
  <si>
    <t>S-IRR (5 years)</t>
  </si>
  <si>
    <t>IRR (5 years)</t>
  </si>
  <si>
    <t>Payback Period</t>
  </si>
  <si>
    <t>Income tax</t>
  </si>
  <si>
    <t>S-Benefit to cost ratio (annual) / discounted</t>
  </si>
  <si>
    <t>S-Benefit to cost ratio (lifetime) / discounted</t>
  </si>
  <si>
    <t>Total outstanding loan</t>
  </si>
  <si>
    <t>Interest rate Smallholders</t>
  </si>
  <si>
    <t>Interest rate SME</t>
  </si>
  <si>
    <t>Interest rate Cooperatives</t>
  </si>
  <si>
    <t>Debt Service Coverage Ratio - Farmers organizations</t>
  </si>
  <si>
    <t>Debt Coverage Ratio (DCR) (annual) - Farmers organizations</t>
  </si>
  <si>
    <t>Debt Coverage Ratio (DCR) (average) - Farmers organizations</t>
  </si>
  <si>
    <t>Debt Coverage Ratio (DCR) (annual) - MSMEs</t>
  </si>
  <si>
    <t>Debt Coverage Ratio (DCR) (average) - MSMEs</t>
  </si>
  <si>
    <t>Debt Coverage Ratio (DCR) (annual) - COOPERATIVES</t>
  </si>
  <si>
    <t>Debt Coverage Ratio (DCR) (average) - COOPERATIVES</t>
  </si>
  <si>
    <t>Debt Service Coverage Ratio - MSMEs</t>
  </si>
  <si>
    <t>Debt Service Coverage Ratio - COOPERATIVES</t>
  </si>
  <si>
    <t>Value chain #</t>
  </si>
  <si>
    <t>Ghana</t>
  </si>
  <si>
    <t>Ivory Coast</t>
  </si>
  <si>
    <t>Senegal</t>
  </si>
  <si>
    <t>Costs</t>
  </si>
  <si>
    <t>N/A</t>
  </si>
  <si>
    <t>Cost of the project</t>
  </si>
  <si>
    <t>Benefits</t>
  </si>
  <si>
    <t>Net annual benefits</t>
  </si>
  <si>
    <t>Minigrids</t>
  </si>
  <si>
    <t>O&amp;M costs</t>
  </si>
  <si>
    <t>Share of O&amp;M costs</t>
  </si>
  <si>
    <t>kWh per year</t>
  </si>
  <si>
    <t>minigrid</t>
  </si>
  <si>
    <t>Budget for new minigrid</t>
  </si>
  <si>
    <t>O&amp;M cost</t>
  </si>
  <si>
    <t>Burkina Faso 25 years</t>
  </si>
  <si>
    <t>Ghana 25 years</t>
  </si>
  <si>
    <t>Ivory Coast 25 years</t>
  </si>
  <si>
    <t>Mali 25 years</t>
  </si>
  <si>
    <t>Senegal 25 years</t>
  </si>
  <si>
    <t>Y27</t>
  </si>
  <si>
    <t>Y28</t>
  </si>
  <si>
    <t>Y29</t>
  </si>
  <si>
    <t>Y30</t>
  </si>
  <si>
    <t>Total minigrids (new investment)</t>
  </si>
  <si>
    <t>Total minigrids</t>
  </si>
  <si>
    <t>Energy price increase</t>
  </si>
  <si>
    <t>Direct benefits</t>
  </si>
  <si>
    <t>Indirect Benefits</t>
  </si>
  <si>
    <t>Indirect benefits</t>
  </si>
  <si>
    <t>Discounted externalities (Indirect benefits and Direct benefits)</t>
  </si>
  <si>
    <t>Total Indirect benefits and Direct benefits</t>
  </si>
  <si>
    <t>Indirect benefitss</t>
  </si>
  <si>
    <t>Average additional monthly income generated (USD)</t>
  </si>
  <si>
    <t>https://www.gogla.org/sites/default/files/resource_docs/powering_opportunity_west_africa_eng_0.pdf</t>
  </si>
  <si>
    <t>Assumed households served by 8 kWh</t>
  </si>
  <si>
    <t>Months in a year</t>
  </si>
  <si>
    <t>Project contribution</t>
  </si>
  <si>
    <t>One minigrid</t>
  </si>
  <si>
    <t>revenues -20%</t>
  </si>
  <si>
    <t>Time (years)</t>
  </si>
  <si>
    <t>Carbon Price</t>
  </si>
  <si>
    <t>Initial value</t>
  </si>
  <si>
    <t xml:space="preserve"> USD/ton</t>
  </si>
  <si>
    <t>Annual rate of change</t>
  </si>
  <si>
    <t>%/year</t>
  </si>
  <si>
    <t>Carbon price</t>
  </si>
  <si>
    <t>Carbon avoided</t>
  </si>
  <si>
    <t>Avoided carbon</t>
  </si>
  <si>
    <t>Avoided carbon emission</t>
  </si>
  <si>
    <t>Electricity cost BAU</t>
  </si>
  <si>
    <t>USD/minigrid</t>
  </si>
  <si>
    <t xml:space="preserve">Average additional income generated </t>
  </si>
  <si>
    <t>Emission savings</t>
  </si>
  <si>
    <t>Ton/minigrid/year</t>
  </si>
  <si>
    <t>USD/minigrid/year</t>
  </si>
  <si>
    <t>USD/yYear</t>
  </si>
  <si>
    <t xml:space="preserve">Total avoided tons of CO2 per kWh </t>
  </si>
  <si>
    <t xml:space="preserve"> (solar) USD/kWh</t>
  </si>
  <si>
    <t>(diesel) USD/kWh</t>
  </si>
  <si>
    <t>BF</t>
  </si>
  <si>
    <t>GH</t>
  </si>
  <si>
    <t>CIV</t>
  </si>
  <si>
    <t>ML</t>
  </si>
  <si>
    <t>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</si>
</sst>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%"/>
    <numFmt numFmtId="166" formatCode="0.000"/>
    <numFmt numFmtId="167" formatCode="0.0"/>
    <numFmt numFmtId="168" formatCode="0\ &quot;years&quot;"/>
    <numFmt numFmtId="169" formatCode="&quot;$&quot;#,##0.00"/>
    <numFmt numFmtId="170" formatCode="&quot;$&quot;#,##0"/>
    <numFmt numFmtId="171" formatCode="#,##0.0"/>
    <numFmt numFmtId="172" formatCode="_([$$-409]* #,##0.00_);_([$$-409]* \(#,##0.00\);_([$$-409]* &quot;-&quot;??_);_(@_)"/>
    <numFmt numFmtId="173" formatCode="_(* #,##0_);_(* \(#,##0\);_(* &quot;-&quot;??_);_(@_)"/>
    <numFmt numFmtId="174" formatCode="_([$$-409]* #,##0_);_([$$-409]* \(#,##0\);_([$$-409]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name val="Arial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2C4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20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8" borderId="16" xfId="0" applyFont="1" applyFill="1" applyBorder="1" applyAlignment="1"/>
    <xf numFmtId="0" fontId="5" fillId="0" borderId="7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7" xfId="0" applyFont="1" applyBorder="1" applyAlignment="1">
      <alignment horizontal="center"/>
    </xf>
    <xf numFmtId="0" fontId="0" fillId="0" borderId="0" xfId="0" applyFont="1"/>
    <xf numFmtId="2" fontId="2" fillId="0" borderId="0" xfId="0" applyNumberFormat="1" applyFont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/>
    </xf>
    <xf numFmtId="169" fontId="0" fillId="0" borderId="0" xfId="0" applyNumberFormat="1" applyFont="1"/>
    <xf numFmtId="169" fontId="0" fillId="0" borderId="0" xfId="0" applyNumberFormat="1" applyFont="1" applyAlignment="1">
      <alignment horizontal="right"/>
    </xf>
    <xf numFmtId="169" fontId="0" fillId="0" borderId="12" xfId="0" applyNumberFormat="1" applyFont="1" applyBorder="1" applyAlignment="1">
      <alignment horizontal="right"/>
    </xf>
    <xf numFmtId="170" fontId="0" fillId="0" borderId="0" xfId="0" applyNumberFormat="1" applyFont="1" applyAlignment="1">
      <alignment horizontal="right"/>
    </xf>
    <xf numFmtId="0" fontId="0" fillId="0" borderId="16" xfId="0" applyFont="1" applyBorder="1"/>
    <xf numFmtId="0" fontId="0" fillId="0" borderId="0" xfId="0" applyFont="1" applyFill="1"/>
    <xf numFmtId="0" fontId="0" fillId="10" borderId="0" xfId="0" applyFont="1" applyFill="1" applyAlignment="1">
      <alignment horizontal="left" indent="1"/>
    </xf>
    <xf numFmtId="0" fontId="0" fillId="10" borderId="14" xfId="0" applyFont="1" applyFill="1" applyBorder="1" applyAlignment="1">
      <alignment horizontal="center" vertical="center"/>
    </xf>
    <xf numFmtId="3" fontId="0" fillId="10" borderId="14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center" vertical="center"/>
    </xf>
    <xf numFmtId="3" fontId="13" fillId="11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3" fontId="13" fillId="0" borderId="5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left" indent="1"/>
    </xf>
    <xf numFmtId="2" fontId="0" fillId="0" borderId="16" xfId="0" applyNumberFormat="1" applyFont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 wrapText="1"/>
    </xf>
    <xf numFmtId="168" fontId="11" fillId="13" borderId="8" xfId="0" applyNumberFormat="1" applyFont="1" applyFill="1" applyBorder="1" applyAlignment="1">
      <alignment horizontal="center"/>
    </xf>
    <xf numFmtId="170" fontId="11" fillId="13" borderId="16" xfId="3" applyNumberFormat="1" applyFont="1" applyFill="1" applyBorder="1" applyAlignment="1">
      <alignment horizontal="right"/>
    </xf>
    <xf numFmtId="170" fontId="11" fillId="13" borderId="5" xfId="3" applyNumberFormat="1" applyFont="1" applyFill="1" applyBorder="1" applyAlignment="1">
      <alignment horizontal="right"/>
    </xf>
    <xf numFmtId="169" fontId="8" fillId="0" borderId="0" xfId="0" applyNumberFormat="1" applyFont="1" applyAlignment="1">
      <alignment horizontal="right"/>
    </xf>
    <xf numFmtId="0" fontId="0" fillId="3" borderId="0" xfId="0" applyFont="1" applyFill="1" applyBorder="1" applyAlignment="1">
      <alignment horizontal="left" indent="1"/>
    </xf>
    <xf numFmtId="0" fontId="0" fillId="3" borderId="5" xfId="0" applyFont="1" applyFill="1" applyBorder="1" applyAlignment="1">
      <alignment horizontal="left" indent="1"/>
    </xf>
    <xf numFmtId="3" fontId="13" fillId="3" borderId="7" xfId="0" applyNumberFormat="1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left" indent="1"/>
    </xf>
    <xf numFmtId="0" fontId="14" fillId="0" borderId="5" xfId="0" applyFont="1" applyBorder="1" applyAlignment="1">
      <alignment horizontal="left" vertical="center"/>
    </xf>
    <xf numFmtId="3" fontId="13" fillId="3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/>
    </xf>
    <xf numFmtId="0" fontId="7" fillId="2" borderId="4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indent="1"/>
    </xf>
    <xf numFmtId="172" fontId="0" fillId="0" borderId="0" xfId="3" applyNumberFormat="1" applyFont="1"/>
    <xf numFmtId="0" fontId="7" fillId="15" borderId="0" xfId="0" applyFont="1" applyFill="1" applyAlignment="1">
      <alignment horizontal="center" vertical="center" wrapText="1"/>
    </xf>
    <xf numFmtId="4" fontId="0" fillId="0" borderId="0" xfId="0" applyNumberFormat="1"/>
    <xf numFmtId="43" fontId="0" fillId="0" borderId="0" xfId="0" applyNumberFormat="1" applyFont="1"/>
    <xf numFmtId="2" fontId="0" fillId="0" borderId="0" xfId="0" applyNumberFormat="1"/>
    <xf numFmtId="43" fontId="0" fillId="0" borderId="0" xfId="0" applyNumberFormat="1"/>
    <xf numFmtId="2" fontId="0" fillId="0" borderId="1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5" borderId="21" xfId="0" applyFont="1" applyFill="1" applyBorder="1" applyAlignment="1">
      <alignment vertical="center"/>
    </xf>
    <xf numFmtId="0" fontId="3" fillId="5" borderId="1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0" fillId="4" borderId="7" xfId="0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43" fontId="0" fillId="0" borderId="7" xfId="0" applyNumberFormat="1" applyBorder="1" applyAlignment="1">
      <alignment vertical="center"/>
    </xf>
    <xf numFmtId="43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vertical="center"/>
    </xf>
    <xf numFmtId="43" fontId="5" fillId="0" borderId="7" xfId="1" quotePrefix="1" applyFont="1" applyBorder="1" applyAlignment="1">
      <alignment horizontal="right" vertical="center"/>
    </xf>
    <xf numFmtId="0" fontId="5" fillId="17" borderId="14" xfId="0" applyFont="1" applyFill="1" applyBorder="1" applyAlignment="1">
      <alignment horizontal="left" vertical="center"/>
    </xf>
    <xf numFmtId="9" fontId="5" fillId="17" borderId="7" xfId="2" applyFont="1" applyFill="1" applyBorder="1" applyAlignment="1">
      <alignment horizontal="right" vertical="center"/>
    </xf>
    <xf numFmtId="173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9" fontId="5" fillId="7" borderId="7" xfId="2" applyFont="1" applyFill="1" applyBorder="1" applyAlignment="1">
      <alignment horizontal="right" vertical="center"/>
    </xf>
    <xf numFmtId="43" fontId="5" fillId="17" borderId="7" xfId="1" applyFont="1" applyFill="1" applyBorder="1" applyAlignment="1"/>
    <xf numFmtId="43" fontId="5" fillId="0" borderId="0" xfId="1" applyFont="1" applyFill="1" applyBorder="1" applyAlignment="1"/>
    <xf numFmtId="43" fontId="5" fillId="7" borderId="7" xfId="1" applyFont="1" applyFill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173" fontId="5" fillId="0" borderId="7" xfId="0" applyNumberFormat="1" applyFont="1" applyBorder="1" applyAlignment="1"/>
    <xf numFmtId="173" fontId="0" fillId="0" borderId="0" xfId="1" applyNumberFormat="1" applyFont="1" applyAlignment="1"/>
    <xf numFmtId="0" fontId="5" fillId="17" borderId="7" xfId="0" applyFont="1" applyFill="1" applyBorder="1" applyAlignment="1"/>
    <xf numFmtId="2" fontId="5" fillId="17" borderId="7" xfId="0" applyNumberFormat="1" applyFont="1" applyFill="1" applyBorder="1" applyAlignment="1"/>
    <xf numFmtId="2" fontId="5" fillId="0" borderId="0" xfId="0" applyNumberFormat="1" applyFont="1" applyAlignment="1"/>
    <xf numFmtId="2" fontId="5" fillId="7" borderId="7" xfId="0" applyNumberFormat="1" applyFont="1" applyFill="1" applyBorder="1" applyAlignment="1"/>
    <xf numFmtId="43" fontId="0" fillId="0" borderId="0" xfId="1" applyFont="1" applyAlignment="1"/>
    <xf numFmtId="4" fontId="0" fillId="0" borderId="7" xfId="0" applyNumberFormat="1" applyBorder="1" applyAlignment="1">
      <alignment horizontal="left" vertical="center"/>
    </xf>
    <xf numFmtId="0" fontId="4" fillId="18" borderId="8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5" fillId="18" borderId="7" xfId="0" applyFont="1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4" fontId="0" fillId="0" borderId="10" xfId="0" applyNumberFormat="1" applyBorder="1" applyAlignment="1">
      <alignment horizontal="left" vertical="center"/>
    </xf>
    <xf numFmtId="4" fontId="9" fillId="0" borderId="5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center"/>
    </xf>
    <xf numFmtId="43" fontId="16" fillId="7" borderId="7" xfId="1" applyFont="1" applyFill="1" applyBorder="1" applyAlignment="1">
      <alignment horizontal="left" indent="1"/>
    </xf>
    <xf numFmtId="43" fontId="17" fillId="17" borderId="7" xfId="1" applyFont="1" applyFill="1" applyBorder="1"/>
    <xf numFmtId="43" fontId="17" fillId="17" borderId="8" xfId="1" applyFont="1" applyFill="1" applyBorder="1"/>
    <xf numFmtId="14" fontId="5" fillId="18" borderId="7" xfId="0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/>
    </xf>
    <xf numFmtId="14" fontId="5" fillId="0" borderId="5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18" fillId="0" borderId="0" xfId="0" applyFont="1" applyAlignment="1">
      <alignment horizontal="center"/>
    </xf>
    <xf numFmtId="171" fontId="13" fillId="0" borderId="7" xfId="0" applyNumberFormat="1" applyFont="1" applyFill="1" applyBorder="1" applyAlignment="1">
      <alignment horizontal="center" vertical="center" wrapText="1"/>
    </xf>
    <xf numFmtId="2" fontId="7" fillId="15" borderId="0" xfId="0" applyNumberFormat="1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16" borderId="5" xfId="0" applyFont="1" applyFill="1" applyBorder="1" applyAlignment="1">
      <alignment horizontal="left" indent="1"/>
    </xf>
    <xf numFmtId="3" fontId="12" fillId="16" borderId="7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2" fillId="16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0" fillId="0" borderId="8" xfId="0" applyFont="1" applyFill="1" applyBorder="1" applyAlignment="1">
      <alignment horizontal="left" indent="1"/>
    </xf>
    <xf numFmtId="4" fontId="13" fillId="0" borderId="14" xfId="0" applyNumberFormat="1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/>
    </xf>
    <xf numFmtId="9" fontId="0" fillId="0" borderId="0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 indent="1"/>
    </xf>
    <xf numFmtId="0" fontId="0" fillId="0" borderId="7" xfId="0" applyFont="1" applyFill="1" applyBorder="1"/>
    <xf numFmtId="167" fontId="0" fillId="0" borderId="7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43" fontId="9" fillId="4" borderId="7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/>
    </xf>
    <xf numFmtId="3" fontId="12" fillId="18" borderId="7" xfId="0" applyNumberFormat="1" applyFont="1" applyFill="1" applyBorder="1" applyAlignment="1">
      <alignment horizontal="center" vertical="center" wrapText="1"/>
    </xf>
    <xf numFmtId="0" fontId="2" fillId="16" borderId="5" xfId="0" applyFont="1" applyFill="1" applyBorder="1"/>
    <xf numFmtId="3" fontId="12" fillId="16" borderId="5" xfId="0" applyNumberFormat="1" applyFont="1" applyFill="1" applyBorder="1" applyAlignment="1">
      <alignment horizontal="center" vertical="center" wrapText="1"/>
    </xf>
    <xf numFmtId="3" fontId="12" fillId="16" borderId="21" xfId="0" applyNumberFormat="1" applyFont="1" applyFill="1" applyBorder="1" applyAlignment="1">
      <alignment horizontal="center" vertical="center" wrapText="1"/>
    </xf>
    <xf numFmtId="0" fontId="0" fillId="18" borderId="7" xfId="0" applyFont="1" applyFill="1" applyBorder="1"/>
    <xf numFmtId="0" fontId="2" fillId="19" borderId="8" xfId="0" applyFont="1" applyFill="1" applyBorder="1" applyAlignment="1">
      <alignment horizontal="left" indent="1"/>
    </xf>
    <xf numFmtId="0" fontId="0" fillId="19" borderId="7" xfId="0" applyFont="1" applyFill="1" applyBorder="1" applyAlignment="1">
      <alignment horizontal="center" vertical="center"/>
    </xf>
    <xf numFmtId="3" fontId="13" fillId="19" borderId="7" xfId="0" applyNumberFormat="1" applyFont="1" applyFill="1" applyBorder="1" applyAlignment="1">
      <alignment horizontal="center" vertical="center" wrapText="1"/>
    </xf>
    <xf numFmtId="167" fontId="0" fillId="19" borderId="7" xfId="0" applyNumberFormat="1" applyFont="1" applyFill="1" applyBorder="1" applyAlignment="1">
      <alignment horizontal="center" vertical="center"/>
    </xf>
    <xf numFmtId="0" fontId="0" fillId="19" borderId="7" xfId="0" applyFont="1" applyFill="1" applyBorder="1" applyAlignment="1">
      <alignment horizontal="center"/>
    </xf>
    <xf numFmtId="9" fontId="13" fillId="19" borderId="7" xfId="2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7" fillId="14" borderId="7" xfId="0" applyFont="1" applyFill="1" applyBorder="1" applyAlignment="1">
      <alignment horizontal="center" vertical="center" wrapText="1"/>
    </xf>
    <xf numFmtId="2" fontId="0" fillId="19" borderId="7" xfId="0" applyNumberFormat="1" applyFont="1" applyFill="1" applyBorder="1" applyAlignment="1">
      <alignment horizontal="center" vertical="center"/>
    </xf>
    <xf numFmtId="4" fontId="0" fillId="19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left"/>
    </xf>
    <xf numFmtId="168" fontId="11" fillId="0" borderId="10" xfId="0" applyNumberFormat="1" applyFont="1" applyFill="1" applyBorder="1" applyAlignment="1">
      <alignment horizontal="center"/>
    </xf>
    <xf numFmtId="170" fontId="8" fillId="0" borderId="18" xfId="1" applyNumberFormat="1" applyFont="1" applyFill="1" applyBorder="1" applyAlignment="1">
      <alignment horizontal="right"/>
    </xf>
    <xf numFmtId="170" fontId="8" fillId="0" borderId="15" xfId="1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left"/>
    </xf>
    <xf numFmtId="168" fontId="11" fillId="0" borderId="14" xfId="0" applyNumberFormat="1" applyFont="1" applyFill="1" applyBorder="1" applyAlignment="1">
      <alignment horizontal="center"/>
    </xf>
    <xf numFmtId="170" fontId="8" fillId="0" borderId="19" xfId="1" applyNumberFormat="1" applyFont="1" applyFill="1" applyBorder="1" applyAlignment="1">
      <alignment horizontal="right"/>
    </xf>
    <xf numFmtId="170" fontId="8" fillId="0" borderId="21" xfId="1" applyNumberFormat="1" applyFont="1" applyFill="1" applyBorder="1" applyAlignment="1">
      <alignment horizontal="right"/>
    </xf>
    <xf numFmtId="0" fontId="0" fillId="12" borderId="0" xfId="0" applyFont="1" applyFill="1" applyBorder="1"/>
    <xf numFmtId="2" fontId="0" fillId="12" borderId="0" xfId="0" applyNumberFormat="1" applyFont="1" applyFill="1" applyBorder="1" applyAlignment="1">
      <alignment horizontal="center" vertical="center"/>
    </xf>
    <xf numFmtId="3" fontId="13" fillId="12" borderId="18" xfId="0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1" fontId="11" fillId="0" borderId="5" xfId="2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indent="4"/>
    </xf>
    <xf numFmtId="10" fontId="11" fillId="0" borderId="10" xfId="0" applyNumberFormat="1" applyFont="1" applyFill="1" applyBorder="1" applyAlignment="1">
      <alignment horizontal="center"/>
    </xf>
    <xf numFmtId="170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center"/>
    </xf>
    <xf numFmtId="3" fontId="8" fillId="0" borderId="18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1" fontId="11" fillId="0" borderId="11" xfId="0" applyNumberFormat="1" applyFont="1" applyFill="1" applyBorder="1" applyAlignment="1">
      <alignment horizontal="right"/>
    </xf>
    <xf numFmtId="169" fontId="11" fillId="0" borderId="12" xfId="0" applyNumberFormat="1" applyFont="1" applyFill="1" applyBorder="1" applyAlignment="1">
      <alignment horizontal="center"/>
    </xf>
    <xf numFmtId="169" fontId="8" fillId="0" borderId="0" xfId="3" applyNumberFormat="1" applyFont="1" applyFill="1" applyBorder="1" applyAlignment="1">
      <alignment horizontal="right"/>
    </xf>
    <xf numFmtId="170" fontId="8" fillId="0" borderId="0" xfId="3" applyNumberFormat="1" applyFont="1" applyFill="1" applyAlignment="1">
      <alignment horizontal="right"/>
    </xf>
    <xf numFmtId="170" fontId="8" fillId="0" borderId="12" xfId="3" applyNumberFormat="1" applyFont="1" applyFill="1" applyBorder="1" applyAlignment="1">
      <alignment horizontal="right"/>
    </xf>
    <xf numFmtId="1" fontId="11" fillId="0" borderId="14" xfId="0" applyNumberFormat="1" applyFont="1" applyFill="1" applyBorder="1" applyAlignment="1">
      <alignment horizontal="right"/>
    </xf>
    <xf numFmtId="169" fontId="11" fillId="0" borderId="21" xfId="0" applyNumberFormat="1" applyFont="1" applyFill="1" applyBorder="1" applyAlignment="1">
      <alignment horizontal="center"/>
    </xf>
    <xf numFmtId="169" fontId="8" fillId="0" borderId="19" xfId="0" applyNumberFormat="1" applyFont="1" applyFill="1" applyBorder="1" applyAlignment="1">
      <alignment horizontal="right"/>
    </xf>
    <xf numFmtId="170" fontId="8" fillId="0" borderId="19" xfId="3" applyNumberFormat="1" applyFont="1" applyFill="1" applyBorder="1" applyAlignment="1">
      <alignment horizontal="right"/>
    </xf>
    <xf numFmtId="170" fontId="8" fillId="0" borderId="21" xfId="3" applyNumberFormat="1" applyFont="1" applyFill="1" applyBorder="1" applyAlignment="1">
      <alignment horizontal="right"/>
    </xf>
    <xf numFmtId="1" fontId="11" fillId="0" borderId="12" xfId="0" applyNumberFormat="1" applyFont="1" applyFill="1" applyBorder="1" applyAlignment="1">
      <alignment horizontal="right"/>
    </xf>
    <xf numFmtId="168" fontId="11" fillId="0" borderId="12" xfId="0" applyNumberFormat="1" applyFont="1" applyFill="1" applyBorder="1" applyAlignment="1">
      <alignment horizontal="center"/>
    </xf>
    <xf numFmtId="170" fontId="8" fillId="0" borderId="20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169" fontId="11" fillId="0" borderId="11" xfId="0" applyNumberFormat="1" applyFont="1" applyFill="1" applyBorder="1" applyAlignment="1">
      <alignment horizontal="center"/>
    </xf>
    <xf numFmtId="169" fontId="8" fillId="0" borderId="20" xfId="0" applyNumberFormat="1" applyFont="1" applyFill="1" applyBorder="1" applyAlignment="1">
      <alignment horizontal="right"/>
    </xf>
    <xf numFmtId="169" fontId="8" fillId="0" borderId="0" xfId="3" applyNumberFormat="1" applyFont="1" applyFill="1" applyAlignment="1">
      <alignment horizontal="right"/>
    </xf>
    <xf numFmtId="1" fontId="11" fillId="0" borderId="21" xfId="0" applyNumberFormat="1" applyFont="1" applyFill="1" applyBorder="1" applyAlignment="1">
      <alignment horizontal="right"/>
    </xf>
    <xf numFmtId="169" fontId="8" fillId="0" borderId="17" xfId="0" applyNumberFormat="1" applyFont="1" applyFill="1" applyBorder="1" applyAlignment="1">
      <alignment horizontal="right"/>
    </xf>
    <xf numFmtId="169" fontId="8" fillId="0" borderId="19" xfId="3" applyNumberFormat="1" applyFont="1" applyFill="1" applyBorder="1" applyAlignment="1">
      <alignment horizontal="right"/>
    </xf>
    <xf numFmtId="3" fontId="8" fillId="0" borderId="18" xfId="0" applyNumberFormat="1" applyFont="1" applyFill="1" applyBorder="1" applyAlignment="1">
      <alignment horizontal="right"/>
    </xf>
    <xf numFmtId="1" fontId="8" fillId="0" borderId="21" xfId="0" applyNumberFormat="1" applyFont="1" applyFill="1" applyBorder="1" applyAlignment="1">
      <alignment horizontal="right"/>
    </xf>
    <xf numFmtId="169" fontId="8" fillId="0" borderId="21" xfId="0" applyNumberFormat="1" applyFont="1" applyFill="1" applyBorder="1" applyAlignment="1">
      <alignment horizontal="right"/>
    </xf>
    <xf numFmtId="0" fontId="11" fillId="13" borderId="7" xfId="0" applyFont="1" applyFill="1" applyBorder="1" applyAlignment="1">
      <alignment horizontal="left" indent="1"/>
    </xf>
    <xf numFmtId="0" fontId="2" fillId="0" borderId="5" xfId="0" applyFont="1" applyFill="1" applyBorder="1"/>
    <xf numFmtId="169" fontId="0" fillId="0" borderId="7" xfId="0" applyNumberFormat="1" applyFont="1" applyFill="1" applyBorder="1" applyAlignment="1">
      <alignment horizontal="center"/>
    </xf>
    <xf numFmtId="0" fontId="0" fillId="0" borderId="12" xfId="0" applyFont="1" applyFill="1" applyBorder="1"/>
    <xf numFmtId="169" fontId="0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5" xfId="0" applyFont="1" applyFill="1" applyBorder="1"/>
    <xf numFmtId="170" fontId="0" fillId="0" borderId="7" xfId="1" applyNumberFormat="1" applyFont="1" applyFill="1" applyBorder="1" applyAlignment="1">
      <alignment horizontal="right" vertical="center"/>
    </xf>
    <xf numFmtId="0" fontId="11" fillId="19" borderId="16" xfId="0" applyFont="1" applyFill="1" applyBorder="1" applyAlignment="1">
      <alignment horizontal="left"/>
    </xf>
    <xf numFmtId="169" fontId="8" fillId="19" borderId="7" xfId="0" applyNumberFormat="1" applyFont="1" applyFill="1" applyBorder="1" applyAlignment="1">
      <alignment horizontal="center"/>
    </xf>
    <xf numFmtId="0" fontId="8" fillId="0" borderId="15" xfId="0" applyFont="1" applyFill="1" applyBorder="1"/>
    <xf numFmtId="10" fontId="8" fillId="0" borderId="13" xfId="2" applyNumberFormat="1" applyFont="1" applyFill="1" applyBorder="1" applyAlignment="1">
      <alignment horizontal="center"/>
    </xf>
    <xf numFmtId="170" fontId="8" fillId="0" borderId="7" xfId="0" applyNumberFormat="1" applyFont="1" applyFill="1" applyBorder="1" applyAlignment="1">
      <alignment horizontal="center"/>
    </xf>
    <xf numFmtId="0" fontId="2" fillId="16" borderId="8" xfId="0" applyFont="1" applyFill="1" applyBorder="1" applyAlignment="1">
      <alignment horizontal="left" vertical="center"/>
    </xf>
    <xf numFmtId="0" fontId="0" fillId="16" borderId="16" xfId="0" applyFont="1" applyFill="1" applyBorder="1"/>
    <xf numFmtId="2" fontId="0" fillId="16" borderId="16" xfId="0" applyNumberFormat="1" applyFont="1" applyFill="1" applyBorder="1" applyAlignment="1">
      <alignment horizontal="center" vertical="center"/>
    </xf>
    <xf numFmtId="3" fontId="13" fillId="16" borderId="16" xfId="0" applyNumberFormat="1" applyFont="1" applyFill="1" applyBorder="1" applyAlignment="1">
      <alignment horizontal="center" vertical="center" wrapText="1"/>
    </xf>
    <xf numFmtId="3" fontId="13" fillId="16" borderId="5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2" fontId="8" fillId="19" borderId="7" xfId="2" applyNumberFormat="1" applyFont="1" applyFill="1" applyBorder="1" applyAlignment="1">
      <alignment horizontal="center"/>
    </xf>
    <xf numFmtId="2" fontId="8" fillId="0" borderId="7" xfId="2" applyNumberFormat="1" applyFont="1" applyFill="1" applyBorder="1" applyAlignment="1">
      <alignment horizontal="center"/>
    </xf>
    <xf numFmtId="10" fontId="19" fillId="9" borderId="0" xfId="0" applyNumberFormat="1" applyFont="1" applyFill="1" applyAlignment="1">
      <alignment horizontal="center"/>
    </xf>
    <xf numFmtId="0" fontId="2" fillId="3" borderId="8" xfId="0" applyFont="1" applyFill="1" applyBorder="1" applyAlignment="1">
      <alignment horizontal="left" indent="1"/>
    </xf>
    <xf numFmtId="0" fontId="0" fillId="3" borderId="7" xfId="0" applyFont="1" applyFill="1" applyBorder="1" applyAlignment="1">
      <alignment horizontal="center"/>
    </xf>
    <xf numFmtId="9" fontId="13" fillId="3" borderId="7" xfId="2" applyFont="1" applyFill="1" applyBorder="1" applyAlignment="1">
      <alignment horizontal="center" vertical="center" wrapText="1"/>
    </xf>
    <xf numFmtId="9" fontId="0" fillId="3" borderId="7" xfId="2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0" borderId="0" xfId="0" applyBorder="1" applyAlignment="1"/>
    <xf numFmtId="4" fontId="0" fillId="11" borderId="0" xfId="0" applyNumberFormat="1" applyFill="1" applyBorder="1" applyAlignment="1">
      <alignment horizontal="center" vertical="center"/>
    </xf>
    <xf numFmtId="0" fontId="2" fillId="0" borderId="0" xfId="0" applyFont="1" applyBorder="1" applyAlignment="1"/>
    <xf numFmtId="2" fontId="0" fillId="0" borderId="0" xfId="0" applyNumberFormat="1" applyFill="1"/>
    <xf numFmtId="0" fontId="5" fillId="4" borderId="5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indent="1"/>
    </xf>
    <xf numFmtId="0" fontId="2" fillId="19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173" fontId="0" fillId="0" borderId="0" xfId="0" applyNumberFormat="1"/>
    <xf numFmtId="0" fontId="24" fillId="21" borderId="0" xfId="6" applyFont="1" applyFill="1"/>
    <xf numFmtId="14" fontId="5" fillId="16" borderId="7" xfId="0" applyNumberFormat="1" applyFont="1" applyFill="1" applyBorder="1" applyAlignment="1">
      <alignment horizontal="center" vertical="center"/>
    </xf>
    <xf numFmtId="0" fontId="7" fillId="5" borderId="0" xfId="0" applyFont="1" applyFill="1"/>
    <xf numFmtId="0" fontId="26" fillId="0" borderId="0" xfId="0" applyFont="1"/>
    <xf numFmtId="9" fontId="2" fillId="0" borderId="0" xfId="2" applyFont="1"/>
    <xf numFmtId="9" fontId="0" fillId="0" borderId="0" xfId="2" applyFont="1"/>
    <xf numFmtId="172" fontId="2" fillId="0" borderId="0" xfId="3" applyNumberFormat="1" applyFont="1"/>
    <xf numFmtId="0" fontId="0" fillId="0" borderId="0" xfId="0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3" applyNumberFormat="1" applyFont="1" applyFill="1" applyAlignment="1">
      <alignment horizontal="center" vertical="center"/>
    </xf>
    <xf numFmtId="165" fontId="0" fillId="9" borderId="0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9" fontId="0" fillId="9" borderId="0" xfId="0" applyNumberFormat="1" applyFill="1"/>
    <xf numFmtId="165" fontId="0" fillId="21" borderId="0" xfId="2" applyNumberFormat="1" applyFont="1" applyFill="1" applyAlignment="1">
      <alignment horizontal="center"/>
    </xf>
    <xf numFmtId="173" fontId="0" fillId="0" borderId="0" xfId="1" applyNumberFormat="1" applyFont="1"/>
    <xf numFmtId="9" fontId="13" fillId="19" borderId="7" xfId="2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8" fontId="8" fillId="9" borderId="0" xfId="0" applyNumberFormat="1" applyFont="1" applyFill="1" applyAlignment="1">
      <alignment horizontal="center"/>
    </xf>
    <xf numFmtId="9" fontId="0" fillId="9" borderId="0" xfId="0" applyNumberFormat="1" applyFill="1" applyAlignment="1">
      <alignment horizontal="center"/>
    </xf>
    <xf numFmtId="165" fontId="19" fillId="9" borderId="0" xfId="0" applyNumberFormat="1" applyFont="1" applyFill="1" applyAlignment="1">
      <alignment horizontal="center"/>
    </xf>
    <xf numFmtId="174" fontId="0" fillId="0" borderId="0" xfId="3" applyNumberFormat="1" applyFont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4" fontId="0" fillId="0" borderId="0" xfId="0" applyNumberForma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/>
    <xf numFmtId="1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7" fillId="22" borderId="0" xfId="0" applyFont="1" applyFill="1" applyBorder="1" applyAlignment="1">
      <alignment horizontal="center" vertical="center"/>
    </xf>
    <xf numFmtId="0" fontId="0" fillId="23" borderId="0" xfId="0" applyFill="1"/>
    <xf numFmtId="0" fontId="2" fillId="0" borderId="0" xfId="0" applyFont="1" applyAlignment="1">
      <alignment horizontal="center"/>
    </xf>
    <xf numFmtId="10" fontId="2" fillId="0" borderId="0" xfId="2" applyNumberFormat="1" applyFont="1"/>
    <xf numFmtId="10" fontId="1" fillId="0" borderId="0" xfId="2" applyNumberFormat="1" applyFont="1"/>
    <xf numFmtId="0" fontId="0" fillId="6" borderId="0" xfId="0" applyFill="1"/>
    <xf numFmtId="0" fontId="0" fillId="6" borderId="0" xfId="0" applyFill="1" applyAlignment="1">
      <alignment horizontal="center"/>
    </xf>
    <xf numFmtId="10" fontId="2" fillId="6" borderId="0" xfId="2" applyNumberFormat="1" applyFont="1" applyFill="1"/>
    <xf numFmtId="0" fontId="2" fillId="6" borderId="0" xfId="0" applyFont="1" applyFill="1"/>
    <xf numFmtId="2" fontId="2" fillId="6" borderId="0" xfId="0" applyNumberFormat="1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2" fontId="0" fillId="14" borderId="0" xfId="0" applyNumberFormat="1" applyFill="1"/>
    <xf numFmtId="0" fontId="19" fillId="0" borderId="0" xfId="0" applyFont="1"/>
    <xf numFmtId="0" fontId="19" fillId="0" borderId="0" xfId="0" applyFont="1" applyAlignment="1">
      <alignment horizontal="center"/>
    </xf>
    <xf numFmtId="2" fontId="0" fillId="11" borderId="0" xfId="0" applyNumberFormat="1" applyFill="1" applyAlignment="1">
      <alignment horizontal="center" vertical="center"/>
    </xf>
    <xf numFmtId="166" fontId="0" fillId="0" borderId="0" xfId="0" applyNumberFormat="1"/>
    <xf numFmtId="0" fontId="2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19" borderId="13" xfId="0" applyFont="1" applyFill="1" applyBorder="1" applyAlignment="1">
      <alignment horizontal="left" vertical="center" indent="1"/>
    </xf>
    <xf numFmtId="0" fontId="2" fillId="19" borderId="11" xfId="0" applyFont="1" applyFill="1" applyBorder="1" applyAlignment="1">
      <alignment horizontal="left" vertical="center" indent="1"/>
    </xf>
    <xf numFmtId="0" fontId="2" fillId="19" borderId="10" xfId="0" applyFont="1" applyFill="1" applyBorder="1" applyAlignment="1">
      <alignment horizontal="left" vertical="center" indent="1"/>
    </xf>
    <xf numFmtId="0" fontId="5" fillId="4" borderId="8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16" xfId="0" applyFont="1" applyFill="1" applyBorder="1" applyAlignment="1">
      <alignment horizontal="center" vertical="center"/>
    </xf>
    <xf numFmtId="0" fontId="15" fillId="16" borderId="5" xfId="0" applyFont="1" applyFill="1" applyBorder="1" applyAlignment="1">
      <alignment horizontal="center" vertical="center"/>
    </xf>
    <xf numFmtId="0" fontId="15" fillId="16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/>
    </xf>
    <xf numFmtId="0" fontId="7" fillId="15" borderId="0" xfId="6" applyFont="1" applyFill="1" applyAlignment="1">
      <alignment horizontal="left"/>
    </xf>
    <xf numFmtId="0" fontId="25" fillId="6" borderId="7" xfId="0" applyFont="1" applyFill="1" applyBorder="1" applyAlignment="1">
      <alignment horizontal="center" vertical="center"/>
    </xf>
  </cellXfs>
  <cellStyles count="9">
    <cellStyle name="Comma" xfId="1" builtinId="3"/>
    <cellStyle name="Comma 5" xfId="8" xr:uid="{00000000-0005-0000-0000-000001000000}"/>
    <cellStyle name="Currency" xfId="3" builtinId="4"/>
    <cellStyle name="Normal" xfId="0" builtinId="0"/>
    <cellStyle name="Normal 2" xfId="6" xr:uid="{00000000-0005-0000-0000-000004000000}"/>
    <cellStyle name="Normal 3" xfId="5" xr:uid="{00000000-0005-0000-0000-000005000000}"/>
    <cellStyle name="Normal 6" xfId="7" xr:uid="{00000000-0005-0000-0000-000006000000}"/>
    <cellStyle name="Normal 9" xfId="4" xr:uid="{00000000-0005-0000-0000-000007000000}"/>
    <cellStyle name="Percent" xfId="2" builtinId="5"/>
  </cellStyles>
  <dxfs count="0"/>
  <tableStyles count="0" defaultTableStyle="TableStyleMedium2" defaultPivotStyle="PivotStyleLight16"/>
  <colors>
    <mruColors>
      <color rgb="FF72C4F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abSelected="1" topLeftCell="D1" zoomScale="64" zoomScaleNormal="64" workbookViewId="0">
      <selection activeCell="J15" sqref="J15:J19"/>
    </sheetView>
  </sheetViews>
  <sheetFormatPr defaultRowHeight="15" x14ac:dyDescent="0.25"/>
  <cols>
    <col min="1" max="1" width="34.5703125" style="114" customWidth="1"/>
    <col min="2" max="6" width="18.7109375" customWidth="1"/>
    <col min="7" max="7" width="25" customWidth="1"/>
    <col min="8" max="9" width="18.7109375" customWidth="1"/>
    <col min="10" max="10" width="18.7109375" style="56" customWidth="1"/>
    <col min="11" max="18" width="18.7109375" customWidth="1"/>
  </cols>
  <sheetData>
    <row r="1" spans="1:18" x14ac:dyDescent="0.25">
      <c r="B1" s="297" t="s">
        <v>94</v>
      </c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</row>
    <row r="2" spans="1:18" s="114" customFormat="1" ht="91.5" customHeight="1" x14ac:dyDescent="0.25">
      <c r="A2" s="53" t="s">
        <v>131</v>
      </c>
      <c r="B2" s="53" t="s">
        <v>73</v>
      </c>
      <c r="C2" s="53" t="s">
        <v>160</v>
      </c>
      <c r="D2" s="53" t="s">
        <v>71</v>
      </c>
      <c r="E2" s="53" t="s">
        <v>72</v>
      </c>
      <c r="F2" s="53" t="s">
        <v>92</v>
      </c>
      <c r="G2" s="53" t="s">
        <v>93</v>
      </c>
      <c r="H2" s="53" t="s">
        <v>88</v>
      </c>
      <c r="I2" s="53" t="s">
        <v>84</v>
      </c>
      <c r="J2" s="53" t="s">
        <v>95</v>
      </c>
      <c r="K2" s="53" t="s">
        <v>96</v>
      </c>
      <c r="L2" s="53" t="s">
        <v>108</v>
      </c>
      <c r="M2" s="53" t="s">
        <v>102</v>
      </c>
      <c r="N2" s="53" t="s">
        <v>97</v>
      </c>
      <c r="O2" s="53" t="s">
        <v>77</v>
      </c>
      <c r="P2" s="109" t="s">
        <v>113</v>
      </c>
      <c r="Q2" s="109" t="s">
        <v>120</v>
      </c>
      <c r="R2" s="109" t="s">
        <v>121</v>
      </c>
    </row>
    <row r="3" spans="1:18" x14ac:dyDescent="0.25">
      <c r="A3" s="114" t="s">
        <v>0</v>
      </c>
      <c r="B3" s="272">
        <f>SUM('Minigrids - BF'!$D$25:$R$26)</f>
        <v>17064688.498093128</v>
      </c>
      <c r="C3" s="272">
        <f>SUM('Minigrids - BF'!$C$23:$H$23)</f>
        <v>10944444.444444444</v>
      </c>
      <c r="D3" s="272">
        <f>SUM('Minigrids - BF'!$C$94:$Q$94)</f>
        <v>15868594.185385857</v>
      </c>
      <c r="E3" s="272">
        <f>SUM('Minigrids - BF'!$D$30:$R$30)</f>
        <v>14632665.364714976</v>
      </c>
      <c r="F3" s="272">
        <f>SUM('Minigrids - BF'!$D$42:$AC$42)</f>
        <v>33927519.919029377</v>
      </c>
      <c r="G3" s="272">
        <f>SUM('Minigrids - BF'!$D$43:$AC$43)</f>
        <v>6234990.1447343752</v>
      </c>
      <c r="H3" s="273">
        <f>'Minigrids - BF'!$C$50</f>
        <v>3680892.9032709571</v>
      </c>
      <c r="I3" s="273">
        <f>'Minigrids - BF'!$C$51</f>
        <v>-3462031.5044583445</v>
      </c>
      <c r="J3" s="255">
        <f>'Minigrids - BF'!$C$60</f>
        <v>0.19126814365386963</v>
      </c>
      <c r="K3" s="255">
        <f>'Minigrids - BF'!$C$62</f>
        <v>4.102584362030029E-2</v>
      </c>
      <c r="L3" s="252">
        <f>'Minigrids - BF'!$C$56</f>
        <v>1.3915544947397847</v>
      </c>
      <c r="M3" s="252">
        <f>'Minigrids - BF'!$C$58</f>
        <v>0.42333867581460605</v>
      </c>
      <c r="N3" s="260">
        <f>'Minigrids - BF'!$C$64</f>
        <v>6</v>
      </c>
      <c r="O3" s="252">
        <f>'Minigrids - BF'!$C$66</f>
        <v>9</v>
      </c>
      <c r="P3" s="261">
        <f>AVERAGE('Minigrids - BF'!$D$108:$O$108)</f>
        <v>0.96400726681638049</v>
      </c>
      <c r="Q3" s="253">
        <f>'Minigrids - BF'!$C$111</f>
        <v>0.96400726681638049</v>
      </c>
      <c r="R3" s="253">
        <f>'Minigrids - BF'!$C$113</f>
        <v>0.96400726681638049</v>
      </c>
    </row>
    <row r="4" spans="1:18" x14ac:dyDescent="0.25">
      <c r="A4" s="114" t="s">
        <v>123</v>
      </c>
      <c r="B4" s="272">
        <f>SUM('Minigrids - GH'!$D$25:$R$26)</f>
        <v>12798516.373569852</v>
      </c>
      <c r="C4" s="272">
        <f>SUM('Minigrids - GH'!$C$23:$H$23)</f>
        <v>8208333.333333334</v>
      </c>
      <c r="D4" s="272">
        <f>SUM('Minigrids - GH'!$C$94:$Q$94)</f>
        <v>9489226.4243999571</v>
      </c>
      <c r="E4" s="272">
        <f>SUM('Minigrids - GH'!$D$30:$R$30)</f>
        <v>10974499.023536235</v>
      </c>
      <c r="F4" s="272">
        <f>SUM('Minigrids - GH'!$D$42:$AC$42)</f>
        <v>20575409.335812639</v>
      </c>
      <c r="G4" s="272">
        <f>SUM('Minigrids - GH'!$D$43:$AC$43)</f>
        <v>-193987.9949086085</v>
      </c>
      <c r="H4" s="273">
        <f>'Minigrids - GH'!$C$50</f>
        <v>-982392.32681377081</v>
      </c>
      <c r="I4" s="273">
        <f>'Minigrids - GH'!$C$51</f>
        <v>-3839448.525118384</v>
      </c>
      <c r="J4" s="255">
        <f>'Minigrids - GH'!$C$60</f>
        <v>0.15890109539031982</v>
      </c>
      <c r="K4" s="255">
        <f>'Minigrids - GH'!$C$62</f>
        <v>-1.3087106738239526E-2</v>
      </c>
      <c r="L4" s="252">
        <f>'Minigrids - GH'!$C$56</f>
        <v>0.94795140809550127</v>
      </c>
      <c r="M4" s="252">
        <f>'Minigrids - GH'!$C$58</f>
        <v>0.20261350764136413</v>
      </c>
      <c r="N4" s="260">
        <f>'Minigrids - GH'!$C$64</f>
        <v>7</v>
      </c>
      <c r="O4" s="252">
        <f>'Minigrids - GH'!$C$66</f>
        <v>11</v>
      </c>
      <c r="P4" s="261">
        <f>AVERAGE('Minigrids - GH'!$D$108:$O$108)</f>
        <v>0.62577514991274841</v>
      </c>
      <c r="Q4" s="253">
        <f>'Minigrids - GH'!$C$111</f>
        <v>0.62577514991274841</v>
      </c>
      <c r="R4" s="253">
        <f>'Minigrids - GH'!$C$113</f>
        <v>0.62577514991274841</v>
      </c>
    </row>
    <row r="5" spans="1:18" x14ac:dyDescent="0.25">
      <c r="A5" s="114" t="s">
        <v>124</v>
      </c>
      <c r="B5" s="272">
        <f>SUM('Minigrids - CIV'!$D$25:$R$26)</f>
        <v>12798516.373569852</v>
      </c>
      <c r="C5" s="272">
        <f>SUM('Minigrids - CIV'!$C$23:$H$23)</f>
        <v>8208333.333333334</v>
      </c>
      <c r="D5" s="272">
        <f>SUM('Minigrids - CIV'!$C$94:$Q$94)</f>
        <v>12400525.476550998</v>
      </c>
      <c r="E5" s="272">
        <f>SUM('Minigrids - CIV'!$D$30:$R$30)</f>
        <v>10974499.023536235</v>
      </c>
      <c r="F5" s="272">
        <f>SUM('Minigrids - CIV'!$D$42:$AC$42)</f>
        <v>26453273.857229151</v>
      </c>
      <c r="G5" s="272">
        <f>SUM('Minigrids - CIV'!$D$43:$AC$43)</f>
        <v>5683876.5265078973</v>
      </c>
      <c r="H5" s="273">
        <f>'Minigrids - CIV'!$C$50</f>
        <v>2719429.0301729585</v>
      </c>
      <c r="I5" s="273">
        <f>'Minigrids - CIV'!$C$51</f>
        <v>-2408981.330937319</v>
      </c>
      <c r="J5" s="255">
        <f>'Minigrids - CIV'!$C$60</f>
        <v>0.19788004398345943</v>
      </c>
      <c r="K5" s="255">
        <f>'Minigrids - CIV'!$C$62</f>
        <v>5.022995471954346E-2</v>
      </c>
      <c r="L5" s="252">
        <f>'Minigrids - CIV'!$C$56</f>
        <v>1.3784710669162159</v>
      </c>
      <c r="M5" s="252">
        <f>'Minigrids - CIV'!$C$58</f>
        <v>0.42601538768296687</v>
      </c>
      <c r="N5" s="260">
        <f>'Minigrids - CIV'!$C$64</f>
        <v>5</v>
      </c>
      <c r="O5" s="252">
        <f>'Minigrids - CIV'!$C$66</f>
        <v>8</v>
      </c>
      <c r="P5" s="261">
        <f>AVERAGE('Minigrids - CIV'!$D$108:$O$108)</f>
        <v>0.90401838449494998</v>
      </c>
      <c r="Q5" s="253">
        <f>'Minigrids - CIV'!$C$111</f>
        <v>0.90401838449494998</v>
      </c>
      <c r="R5" s="253">
        <f>'Minigrids - CIV'!$C$113</f>
        <v>0.90401838449494998</v>
      </c>
    </row>
    <row r="6" spans="1:18" x14ac:dyDescent="0.25">
      <c r="A6" s="114" t="s">
        <v>14</v>
      </c>
      <c r="B6" s="272">
        <f>SUM('Minigrids - ML'!$D$25:$R$26)</f>
        <v>17064688.498093128</v>
      </c>
      <c r="C6" s="272">
        <f>SUM('Minigrids - ML'!$C$23:$H$23)</f>
        <v>10944444.444444444</v>
      </c>
      <c r="D6" s="272">
        <f>SUM('Minigrids - ML'!$C$94:$Q$94)</f>
        <v>16534033.968734661</v>
      </c>
      <c r="E6" s="272">
        <f>SUM('Minigrids - ML'!$D$30:$R$30)</f>
        <v>14632665.364714976</v>
      </c>
      <c r="F6" s="272">
        <f>SUM('Minigrids - ML'!$D$42:$AC$42)</f>
        <v>35271031.809638865</v>
      </c>
      <c r="G6" s="272">
        <f>SUM('Minigrids - ML'!$D$43:$AC$43)</f>
        <v>7578502.0353438631</v>
      </c>
      <c r="H6" s="273">
        <f>'Minigrids - ML'!$C$50</f>
        <v>7756930.1714407029</v>
      </c>
      <c r="I6" s="273">
        <f>'Minigrids - ML'!$C$51</f>
        <v>-2099496.6148471669</v>
      </c>
      <c r="J6" s="255">
        <f>'Minigrids - ML'!$C$60</f>
        <v>0.19788004398345943</v>
      </c>
      <c r="K6" s="255">
        <f>'Minigrids - ML'!$C$62</f>
        <v>5.022995471954346E-2</v>
      </c>
      <c r="L6" s="252">
        <f>'Minigrids - ML'!$C$56</f>
        <v>1.6468094728949554</v>
      </c>
      <c r="M6" s="252">
        <f>'Minigrids - ML'!$C$58</f>
        <v>0.56973497382925897</v>
      </c>
      <c r="N6" s="260">
        <f>'Minigrids - ML'!$C$64</f>
        <v>6</v>
      </c>
      <c r="O6" s="252">
        <f>'Minigrids - ML'!$C$66</f>
        <v>9</v>
      </c>
      <c r="P6" s="261">
        <f>AVERAGE('Minigrids - ML'!$D$108:$O$108)</f>
        <v>1.142380516945501</v>
      </c>
      <c r="Q6" s="253">
        <f>'Minigrids - ML'!$C$111</f>
        <v>1.142380516945501</v>
      </c>
      <c r="R6" s="253">
        <f>'Minigrids - ML'!$C$113</f>
        <v>1.142380516945501</v>
      </c>
    </row>
    <row r="7" spans="1:18" x14ac:dyDescent="0.25">
      <c r="A7" s="114" t="s">
        <v>125</v>
      </c>
      <c r="B7" s="272">
        <f>SUM('Minigrids - SN'!$D$25:$R$26)</f>
        <v>17064688.498093128</v>
      </c>
      <c r="C7" s="272">
        <f>SUM('Minigrids - SN'!$C$23:$H$23)</f>
        <v>10944444.444444444</v>
      </c>
      <c r="D7" s="272">
        <f>SUM('Minigrids - SN'!$C$94:$Q$94)</f>
        <v>16534033.968734661</v>
      </c>
      <c r="E7" s="272">
        <f>SUM('Minigrids - SN'!$D$30:$R$30)</f>
        <v>14632665.364714976</v>
      </c>
      <c r="F7" s="272">
        <f>SUM('Minigrids - SN'!$D$42:$AC$42)</f>
        <v>35271031.809638865</v>
      </c>
      <c r="G7" s="272">
        <f>SUM('Minigrids - SN'!$D$43:$AC$43)</f>
        <v>7578502.0353438631</v>
      </c>
      <c r="H7" s="273">
        <f>'Minigrids - SN'!$C$50</f>
        <v>3625905.3735639476</v>
      </c>
      <c r="I7" s="273">
        <f>'Minigrids - SN'!$C$51</f>
        <v>-3211975.1079164259</v>
      </c>
      <c r="J7" s="255">
        <f>'Minigrids - SN'!$C$60</f>
        <v>0.19788004398345943</v>
      </c>
      <c r="K7" s="255">
        <f>'Minigrids - SN'!$C$62</f>
        <v>5.022995471954346E-2</v>
      </c>
      <c r="L7" s="252">
        <f>'Minigrids - SN'!$C$56</f>
        <v>1.3784710669162163</v>
      </c>
      <c r="M7" s="252">
        <f>'Minigrids - SN'!$C$58</f>
        <v>0.42601538768296682</v>
      </c>
      <c r="N7" s="260">
        <f>'Minigrids - SN'!$C$64</f>
        <v>6</v>
      </c>
      <c r="O7" s="252">
        <f>'Minigrids - SN'!$C$66</f>
        <v>9</v>
      </c>
      <c r="P7" s="261">
        <f>AVERAGE('Minigrids - SN'!$D$108:$O$108)</f>
        <v>0.96951149766270417</v>
      </c>
      <c r="Q7" s="253">
        <f>'Minigrids - SN'!$C$111</f>
        <v>0.96951149766270417</v>
      </c>
      <c r="R7" s="253">
        <f>'Minigrids - SN'!$C$113</f>
        <v>0.96951149766270417</v>
      </c>
    </row>
    <row r="13" spans="1:18" x14ac:dyDescent="0.25">
      <c r="B13" s="296" t="s">
        <v>161</v>
      </c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</row>
    <row r="14" spans="1:18" s="114" customFormat="1" ht="30" x14ac:dyDescent="0.25">
      <c r="A14" s="53" t="s">
        <v>131</v>
      </c>
      <c r="B14" s="53" t="s">
        <v>73</v>
      </c>
      <c r="C14" s="53" t="s">
        <v>160</v>
      </c>
      <c r="D14" s="53" t="s">
        <v>71</v>
      </c>
      <c r="E14" s="53" t="s">
        <v>72</v>
      </c>
      <c r="F14" s="53" t="s">
        <v>84</v>
      </c>
      <c r="G14" s="53" t="s">
        <v>90</v>
      </c>
      <c r="H14" s="53" t="s">
        <v>86</v>
      </c>
      <c r="I14" s="53" t="s">
        <v>87</v>
      </c>
      <c r="J14" s="109" t="s">
        <v>83</v>
      </c>
      <c r="K14" s="109" t="s">
        <v>85</v>
      </c>
      <c r="L14" s="53" t="s">
        <v>77</v>
      </c>
      <c r="M14" s="53" t="s">
        <v>91</v>
      </c>
    </row>
    <row r="15" spans="1:18" x14ac:dyDescent="0.25">
      <c r="A15" s="250" t="s">
        <v>0</v>
      </c>
      <c r="B15" s="272">
        <f>'Minigrids - 1 item'!$AC$10</f>
        <v>95763.499999999985</v>
      </c>
      <c r="C15" s="272">
        <f>'Minigrids - 1 item'!C8</f>
        <v>27361</v>
      </c>
      <c r="D15" s="272">
        <f>'Minigrids - 1 item'!$AC$20</f>
        <v>116021.81999999996</v>
      </c>
      <c r="E15" s="272">
        <f>'Minigrids - 1 item'!$AC$14</f>
        <v>100660.88100523554</v>
      </c>
      <c r="F15" s="273">
        <f>'Minigrids - 1 item'!$B$27</f>
        <v>-12428.84948390406</v>
      </c>
      <c r="G15" s="273">
        <f>'Minigrids - 1 item'!$B$28</f>
        <v>18365.668866535823</v>
      </c>
      <c r="H15" s="252">
        <f>'Minigrids - 1 item'!$B$25</f>
        <v>0.74536369629653232</v>
      </c>
      <c r="I15" s="253">
        <f>'Minigrids - 1 item'!$B$26</f>
        <v>1.3762670101744268</v>
      </c>
      <c r="J15" s="254">
        <f>'Minigrids - 1 item'!$B$23</f>
        <v>4.8083797097206116E-2</v>
      </c>
      <c r="K15" s="255">
        <f>'Minigrids - 1 item'!$B$24</f>
        <v>0.20981727242469791</v>
      </c>
      <c r="L15" s="251">
        <f>'Minigrids - 1 item'!$B$29</f>
        <v>15</v>
      </c>
      <c r="M15" s="251">
        <f>'Minigrids - 1 item'!$B$30</f>
        <v>5</v>
      </c>
    </row>
    <row r="16" spans="1:18" x14ac:dyDescent="0.25">
      <c r="A16" s="250" t="s">
        <v>123</v>
      </c>
      <c r="B16" s="272">
        <f>'Minigrids - 1 item'!$AC$43</f>
        <v>95763.499999999985</v>
      </c>
      <c r="C16" s="272">
        <f>'Minigrids - 1 item'!C41</f>
        <v>27361</v>
      </c>
      <c r="D16" s="272">
        <f>'Minigrids - 1 item'!$AC$53</f>
        <v>92506.18399999995</v>
      </c>
      <c r="E16" s="272">
        <f>'Minigrids - 1 item'!$AC$47</f>
        <v>100660.88100523554</v>
      </c>
      <c r="F16" s="273">
        <f>'Minigrids - 1 item'!$B$60</f>
        <v>-22704.720769115764</v>
      </c>
      <c r="G16" s="273">
        <f>'Minigrids - 1 item'!$B$61</f>
        <v>-3917.5564664054546</v>
      </c>
      <c r="H16" s="252">
        <f>'Minigrids - 1 item'!$B$58</f>
        <v>0.44042303241206848</v>
      </c>
      <c r="I16" s="253">
        <f>'Minigrids - 1 item'!$B$59</f>
        <v>0.90344852111955631</v>
      </c>
      <c r="J16" s="254">
        <f>'Minigrids - 1 item'!$B$56</f>
        <v>-9.5159262418746948E-3</v>
      </c>
      <c r="K16" s="255">
        <f>'Minigrids - 1 item'!$B$57</f>
        <v>0.17454676032066344</v>
      </c>
      <c r="L16" s="251" t="str">
        <f>'Minigrids - 1 item'!$B$62</f>
        <v>N/A</v>
      </c>
      <c r="M16" s="251">
        <f>'Minigrids - 1 item'!$B$63</f>
        <v>6</v>
      </c>
    </row>
    <row r="17" spans="1:16" x14ac:dyDescent="0.25">
      <c r="A17" s="250" t="s">
        <v>124</v>
      </c>
      <c r="B17" s="272">
        <f>'Minigrids - 1 item'!$AC$76</f>
        <v>95763.499999999985</v>
      </c>
      <c r="C17" s="272">
        <f>'Minigrids - 1 item'!C74</f>
        <v>27361</v>
      </c>
      <c r="D17" s="272">
        <f>'Minigrids - 1 item'!$AC$86</f>
        <v>120887.12400000003</v>
      </c>
      <c r="E17" s="272">
        <f>'Minigrids - 1 item'!$AC$80</f>
        <v>100660.88100523554</v>
      </c>
      <c r="F17" s="273">
        <f>'Minigrids - 1 item'!$B$93</f>
        <v>-11457.567353807468</v>
      </c>
      <c r="G17" s="274">
        <f>'Minigrids - 1 item'!$B$94</f>
        <v>18277.742476681495</v>
      </c>
      <c r="H17" s="257">
        <f>'Minigrids - 1 item'!$B$91</f>
        <v>0.76173614946195167</v>
      </c>
      <c r="I17" s="258">
        <f>'Minigrids - 1 item'!$B$92</f>
        <v>1.3800916169338333</v>
      </c>
      <c r="J17" s="254">
        <f>'Minigrids - 1 item'!$B$89</f>
        <v>5.7941874861717216E-2</v>
      </c>
      <c r="K17" s="259">
        <f>'Minigrids - 1 item'!$B$90</f>
        <v>0.21704321503639223</v>
      </c>
      <c r="L17" s="256">
        <f>'Minigrids - 1 item'!$B$95</f>
        <v>13</v>
      </c>
      <c r="M17" s="256">
        <f>'Minigrids - 1 item'!$B$96</f>
        <v>5</v>
      </c>
      <c r="N17" s="106"/>
      <c r="O17" s="106"/>
      <c r="P17" s="106"/>
    </row>
    <row r="18" spans="1:16" x14ac:dyDescent="0.25">
      <c r="A18" s="250" t="s">
        <v>14</v>
      </c>
      <c r="B18" s="272">
        <f>'Minigrids - 1 item'!$AC$109</f>
        <v>95763.499999999985</v>
      </c>
      <c r="C18" s="272">
        <f>'Minigrids - 1 item'!C107</f>
        <v>27361</v>
      </c>
      <c r="D18" s="272">
        <f>'Minigrids - 1 item'!$AC$119</f>
        <v>120887.12400000003</v>
      </c>
      <c r="E18" s="272">
        <f>'Minigrids - 1 item'!$AC$113</f>
        <v>100660.88100523554</v>
      </c>
      <c r="F18" s="273">
        <f>'Minigrids - 1 item'!$B$126</f>
        <v>-6114.8017765762343</v>
      </c>
      <c r="G18" s="274">
        <f>'Minigrids - 1 item'!$B$127</f>
        <v>33862.997047473575</v>
      </c>
      <c r="H18" s="257">
        <f>'Minigrids - 1 item'!$B$124</f>
        <v>0.88892454591296688</v>
      </c>
      <c r="I18" s="258">
        <f>'Minigrids - 1 item'!$B$125</f>
        <v>1.6151217833756222</v>
      </c>
      <c r="J18" s="254">
        <f>'Minigrids - 1 item'!$B$122</f>
        <v>5.7941874861717216E-2</v>
      </c>
      <c r="K18" s="259">
        <f>'Minigrids - 1 item'!$B$123</f>
        <v>0.21704321503639223</v>
      </c>
      <c r="L18" s="256">
        <f>'Minigrids - 1 item'!$B$128</f>
        <v>13</v>
      </c>
      <c r="M18" s="256">
        <f>'Minigrids - 1 item'!$B$129</f>
        <v>5</v>
      </c>
      <c r="N18" s="106"/>
      <c r="O18" s="106"/>
      <c r="P18" s="106"/>
    </row>
    <row r="19" spans="1:16" x14ac:dyDescent="0.25">
      <c r="A19" s="250" t="s">
        <v>125</v>
      </c>
      <c r="B19" s="272">
        <f>'Minigrids - 1 item'!$AC$142</f>
        <v>95763.499999999985</v>
      </c>
      <c r="C19" s="272">
        <f>'Minigrids - 1 item'!C140</f>
        <v>27361</v>
      </c>
      <c r="D19" s="272">
        <f>'Minigrids - 1 item'!$AC$152</f>
        <v>120887.12400000003</v>
      </c>
      <c r="E19" s="272">
        <f>'Minigrids - 1 item'!$AC$146</f>
        <v>100660.88100523554</v>
      </c>
      <c r="F19" s="273">
        <f>'Minigrids - 1 item'!$B$159</f>
        <v>-11457.567353807468</v>
      </c>
      <c r="G19" s="274">
        <f>'Minigrids - 1 item'!$B$160</f>
        <v>18277.742476681495</v>
      </c>
      <c r="H19" s="257">
        <f>'Minigrids - 1 item'!$B$157</f>
        <v>0.76173614946195167</v>
      </c>
      <c r="I19" s="258">
        <f>'Minigrids - 1 item'!$B$158</f>
        <v>1.3800916169338333</v>
      </c>
      <c r="J19" s="254">
        <f>'Minigrids - 1 item'!$B$155</f>
        <v>5.7941874861717216E-2</v>
      </c>
      <c r="K19" s="259">
        <f>'Minigrids - 1 item'!$B$156</f>
        <v>0.21704321503639223</v>
      </c>
      <c r="L19" s="256">
        <f>'Minigrids - 1 item'!$B$161</f>
        <v>13</v>
      </c>
      <c r="M19" s="256">
        <f>'Minigrids - 1 item'!$B$162</f>
        <v>5</v>
      </c>
      <c r="N19" s="106"/>
      <c r="O19" s="106"/>
      <c r="P19" s="106"/>
    </row>
    <row r="20" spans="1:16" x14ac:dyDescent="0.25">
      <c r="G20" s="106"/>
      <c r="H20" s="106"/>
      <c r="I20" s="106"/>
      <c r="J20" s="236"/>
      <c r="K20" s="106"/>
      <c r="L20" s="106"/>
      <c r="M20" s="106"/>
      <c r="N20" s="106"/>
      <c r="O20" s="106"/>
      <c r="P20" s="106"/>
    </row>
    <row r="21" spans="1:16" x14ac:dyDescent="0.25">
      <c r="G21" s="106"/>
      <c r="H21" s="106"/>
      <c r="I21" s="106"/>
      <c r="J21" s="236"/>
      <c r="K21" s="106"/>
      <c r="L21" s="106"/>
      <c r="M21" s="106"/>
      <c r="N21" s="106"/>
      <c r="O21" s="106"/>
      <c r="P21" s="106"/>
    </row>
    <row r="22" spans="1:16" x14ac:dyDescent="0.25">
      <c r="G22" s="106"/>
      <c r="H22" s="106"/>
      <c r="I22" s="106"/>
      <c r="J22" s="236"/>
      <c r="K22" s="106"/>
      <c r="L22" s="106"/>
      <c r="M22" s="106"/>
      <c r="N22" s="106"/>
      <c r="O22" s="106"/>
      <c r="P22" s="106"/>
    </row>
  </sheetData>
  <mergeCells count="2">
    <mergeCell ref="B13:M13"/>
    <mergeCell ref="B1: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89C1-6A42-48D6-AB42-3D5CF6566CB3}">
  <dimension ref="A1:AE63"/>
  <sheetViews>
    <sheetView workbookViewId="0">
      <selection activeCell="E8" sqref="E8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19" t="s">
        <v>131</v>
      </c>
      <c r="B1" s="319"/>
      <c r="C1" s="246"/>
      <c r="E1" s="244">
        <v>44197</v>
      </c>
      <c r="F1" s="244">
        <v>44562</v>
      </c>
      <c r="G1" s="244">
        <v>44927</v>
      </c>
      <c r="H1" s="244">
        <v>45292</v>
      </c>
      <c r="I1" s="244">
        <v>45658</v>
      </c>
      <c r="J1" s="244">
        <v>46023</v>
      </c>
      <c r="K1" s="244">
        <v>46388</v>
      </c>
      <c r="L1" s="244">
        <v>46753</v>
      </c>
      <c r="M1" s="244">
        <v>47119</v>
      </c>
      <c r="N1" s="244">
        <v>47484</v>
      </c>
      <c r="O1" s="244">
        <v>47849</v>
      </c>
      <c r="P1" s="244">
        <v>48214</v>
      </c>
      <c r="Q1" s="244">
        <v>48580</v>
      </c>
      <c r="R1" s="244">
        <v>48945</v>
      </c>
      <c r="S1" s="244">
        <v>49310</v>
      </c>
      <c r="T1" s="244">
        <v>49675</v>
      </c>
      <c r="U1" s="244">
        <v>50041</v>
      </c>
      <c r="V1" s="244">
        <v>50406</v>
      </c>
      <c r="W1" s="244">
        <v>50771</v>
      </c>
      <c r="X1" s="244">
        <v>51136</v>
      </c>
      <c r="Y1" s="244">
        <v>51502</v>
      </c>
      <c r="Z1" s="244">
        <v>51867</v>
      </c>
      <c r="AA1" s="244">
        <v>52232</v>
      </c>
      <c r="AB1" s="244">
        <v>52597</v>
      </c>
      <c r="AC1" s="244">
        <v>52963</v>
      </c>
      <c r="AD1" s="244">
        <v>53328</v>
      </c>
      <c r="AE1" s="241"/>
    </row>
    <row r="2" spans="1:31" s="106" customFormat="1" ht="15.75" customHeight="1" x14ac:dyDescent="0.25">
      <c r="A2" s="275"/>
      <c r="B2" s="275"/>
      <c r="C2" s="276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8"/>
    </row>
    <row r="3" spans="1:31" s="106" customFormat="1" ht="15.75" customHeight="1" x14ac:dyDescent="0.25">
      <c r="A3" s="279" t="s">
        <v>162</v>
      </c>
      <c r="B3" s="275">
        <v>0.8</v>
      </c>
      <c r="C3" s="276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8"/>
    </row>
    <row r="4" spans="1:31" ht="14.25" customHeight="1" x14ac:dyDescent="0.25"/>
    <row r="5" spans="1:31" x14ac:dyDescent="0.25">
      <c r="A5" s="318" t="s">
        <v>149</v>
      </c>
      <c r="B5" s="318"/>
      <c r="C5" s="318"/>
      <c r="D5" s="243">
        <v>1.81</v>
      </c>
    </row>
    <row r="6" spans="1:31" x14ac:dyDescent="0.25">
      <c r="A6" s="245" t="s">
        <v>0</v>
      </c>
    </row>
    <row r="7" spans="1:31" x14ac:dyDescent="0.25">
      <c r="A7" s="4" t="s">
        <v>128</v>
      </c>
      <c r="E7" s="54">
        <f>'Minigrids - 1 item'!C10</f>
        <v>27361</v>
      </c>
      <c r="F7" s="54">
        <f>'Minigrids - 1 item'!D10</f>
        <v>2736.1000000000004</v>
      </c>
      <c r="G7" s="54">
        <f>'Minigrids - 1 item'!E10</f>
        <v>2736.1000000000004</v>
      </c>
      <c r="H7" s="54">
        <f>'Minigrids - 1 item'!F10</f>
        <v>2736.1000000000004</v>
      </c>
      <c r="I7" s="54">
        <f>'Minigrids - 1 item'!G10</f>
        <v>2736.1000000000004</v>
      </c>
      <c r="J7" s="54">
        <f>'Minigrids - 1 item'!H10</f>
        <v>2736.1000000000004</v>
      </c>
      <c r="K7" s="54">
        <f>'Minigrids - 1 item'!I10</f>
        <v>2736.1000000000004</v>
      </c>
      <c r="L7" s="54">
        <f>'Minigrids - 1 item'!J10</f>
        <v>2736.1000000000004</v>
      </c>
      <c r="M7" s="54">
        <f>'Minigrids - 1 item'!K10</f>
        <v>2736.1000000000004</v>
      </c>
      <c r="N7" s="54">
        <f>'Minigrids - 1 item'!L10</f>
        <v>2736.1000000000004</v>
      </c>
      <c r="O7" s="54">
        <f>'Minigrids - 1 item'!M10</f>
        <v>2736.1000000000004</v>
      </c>
      <c r="P7" s="54">
        <f>'Minigrids - 1 item'!N10</f>
        <v>2736.1000000000004</v>
      </c>
      <c r="Q7" s="54">
        <f>'Minigrids - 1 item'!O10</f>
        <v>2736.1000000000004</v>
      </c>
      <c r="R7" s="54">
        <f>'Minigrids - 1 item'!P10</f>
        <v>2736.1000000000004</v>
      </c>
      <c r="S7" s="54">
        <f>'Minigrids - 1 item'!Q10</f>
        <v>2736.1000000000004</v>
      </c>
      <c r="T7" s="54">
        <f>'Minigrids - 1 item'!R10</f>
        <v>2736.1000000000004</v>
      </c>
      <c r="U7" s="54">
        <f>'Minigrids - 1 item'!S10</f>
        <v>2736.1000000000004</v>
      </c>
      <c r="V7" s="54">
        <f>'Minigrids - 1 item'!T10</f>
        <v>2736.1000000000004</v>
      </c>
      <c r="W7" s="54">
        <f>'Minigrids - 1 item'!U10</f>
        <v>2736.1000000000004</v>
      </c>
      <c r="X7" s="54">
        <f>'Minigrids - 1 item'!V10</f>
        <v>2736.1000000000004</v>
      </c>
      <c r="Y7" s="54">
        <f>'Minigrids - 1 item'!W10</f>
        <v>2736.1000000000004</v>
      </c>
      <c r="Z7" s="54">
        <f>'Minigrids - 1 item'!X10</f>
        <v>2736.1000000000004</v>
      </c>
      <c r="AA7" s="54">
        <f>'Minigrids - 1 item'!Y10</f>
        <v>2736.1000000000004</v>
      </c>
      <c r="AB7" s="54">
        <f>'Minigrids - 1 item'!Z10</f>
        <v>2736.1000000000004</v>
      </c>
      <c r="AC7" s="54">
        <f>'Minigrids - 1 item'!AA10</f>
        <v>2736.1000000000004</v>
      </c>
      <c r="AD7" s="54">
        <f>'Minigrids - 1 item'!AB10</f>
        <v>2736.1000000000004</v>
      </c>
      <c r="AE7" s="4" t="s">
        <v>12</v>
      </c>
    </row>
    <row r="8" spans="1:31" x14ac:dyDescent="0.25">
      <c r="A8" s="4" t="s">
        <v>129</v>
      </c>
      <c r="E8" s="242">
        <f>'Minigrids - 1 item'!C20*$D$5*$B$3</f>
        <v>0</v>
      </c>
      <c r="F8" s="242">
        <f>'Minigrids - 1 item'!D20*$D$5*$B$3</f>
        <v>6719.9838144000014</v>
      </c>
      <c r="G8" s="242">
        <f>'Minigrids - 1 item'!E20*$D$5*$B$3</f>
        <v>6719.9838144000014</v>
      </c>
      <c r="H8" s="242">
        <f>'Minigrids - 1 item'!F20*$D$5*$B$3</f>
        <v>6719.9838144000014</v>
      </c>
      <c r="I8" s="242">
        <f>'Minigrids - 1 item'!G20*$D$5*$B$3</f>
        <v>6719.9838144000014</v>
      </c>
      <c r="J8" s="242">
        <f>'Minigrids - 1 item'!H20*$D$5*$B$3</f>
        <v>6719.9838144000014</v>
      </c>
      <c r="K8" s="242">
        <f>'Minigrids - 1 item'!I20*$D$5*$B$3</f>
        <v>6719.9838144000014</v>
      </c>
      <c r="L8" s="242">
        <f>'Minigrids - 1 item'!J20*$D$5*$B$3</f>
        <v>6719.9838144000014</v>
      </c>
      <c r="M8" s="242">
        <f>'Minigrids - 1 item'!K20*$D$5*$B$3</f>
        <v>6719.9838144000014</v>
      </c>
      <c r="N8" s="242">
        <f>'Minigrids - 1 item'!L20*$D$5*$B$3</f>
        <v>6719.9838144000014</v>
      </c>
      <c r="O8" s="242">
        <f>'Minigrids - 1 item'!M20*$D$5*$B$3</f>
        <v>6719.9838144000014</v>
      </c>
      <c r="P8" s="242">
        <f>'Minigrids - 1 item'!N20*$D$5*$B$3</f>
        <v>6719.9838144000014</v>
      </c>
      <c r="Q8" s="242">
        <f>'Minigrids - 1 item'!O20*$D$5*$B$3</f>
        <v>6719.9838144000014</v>
      </c>
      <c r="R8" s="242">
        <f>'Minigrids - 1 item'!P20*$D$5*$B$3</f>
        <v>6719.9838144000014</v>
      </c>
      <c r="S8" s="242">
        <f>'Minigrids - 1 item'!Q20*$D$5*$B$3</f>
        <v>6719.9838144000014</v>
      </c>
      <c r="T8" s="242">
        <f>'Minigrids - 1 item'!R20*$D$5*$B$3</f>
        <v>6719.9838144000014</v>
      </c>
      <c r="U8" s="242">
        <f>'Minigrids - 1 item'!S20*$D$5*$B$3</f>
        <v>6719.9838144000014</v>
      </c>
      <c r="V8" s="242">
        <f>'Minigrids - 1 item'!T20*$D$5*$B$3</f>
        <v>6719.9838144000014</v>
      </c>
      <c r="W8" s="242">
        <f>'Minigrids - 1 item'!U20*$D$5*$B$3</f>
        <v>6719.9838144000014</v>
      </c>
      <c r="X8" s="242">
        <f>'Minigrids - 1 item'!V20*$D$5*$B$3</f>
        <v>6719.9838144000014</v>
      </c>
      <c r="Y8" s="242">
        <f>'Minigrids - 1 item'!W20*$D$5*$B$3</f>
        <v>6719.9838144000014</v>
      </c>
      <c r="Z8" s="242">
        <f>'Minigrids - 1 item'!X20*$D$5*$B$3</f>
        <v>6719.9838144000014</v>
      </c>
      <c r="AA8" s="242">
        <f>'Minigrids - 1 item'!Y20*$D$5*$B$3</f>
        <v>6719.9838144000014</v>
      </c>
      <c r="AB8" s="242">
        <f>'Minigrids - 1 item'!Z20*$D$5*$B$3</f>
        <v>6719.9838144000014</v>
      </c>
      <c r="AC8" s="242">
        <f>'Minigrids - 1 item'!AA20*$D$5*$B$3</f>
        <v>6719.9838144000014</v>
      </c>
      <c r="AD8" s="242">
        <f>'Minigrids - 1 item'!AB20*$D$5*$B$3</f>
        <v>6719.9838144000014</v>
      </c>
      <c r="AE8" s="4" t="s">
        <v>12</v>
      </c>
    </row>
    <row r="9" spans="1:31" x14ac:dyDescent="0.25">
      <c r="A9" s="4" t="s">
        <v>130</v>
      </c>
      <c r="E9" s="242">
        <f>E8-E7</f>
        <v>-27361</v>
      </c>
      <c r="F9" s="242">
        <f>F8-F7</f>
        <v>3983.883814400001</v>
      </c>
      <c r="G9" s="242">
        <f t="shared" ref="G9:AD9" si="0">G8-G7</f>
        <v>3983.883814400001</v>
      </c>
      <c r="H9" s="242">
        <f t="shared" si="0"/>
        <v>3983.883814400001</v>
      </c>
      <c r="I9" s="242">
        <f t="shared" si="0"/>
        <v>3983.883814400001</v>
      </c>
      <c r="J9" s="242">
        <f t="shared" si="0"/>
        <v>3983.883814400001</v>
      </c>
      <c r="K9" s="242">
        <f t="shared" si="0"/>
        <v>3983.883814400001</v>
      </c>
      <c r="L9" s="242">
        <f t="shared" si="0"/>
        <v>3983.883814400001</v>
      </c>
      <c r="M9" s="242">
        <f t="shared" si="0"/>
        <v>3983.883814400001</v>
      </c>
      <c r="N9" s="242">
        <f t="shared" si="0"/>
        <v>3983.883814400001</v>
      </c>
      <c r="O9" s="242">
        <f t="shared" si="0"/>
        <v>3983.883814400001</v>
      </c>
      <c r="P9" s="242">
        <f t="shared" si="0"/>
        <v>3983.883814400001</v>
      </c>
      <c r="Q9" s="242">
        <f t="shared" si="0"/>
        <v>3983.883814400001</v>
      </c>
      <c r="R9" s="242">
        <f t="shared" si="0"/>
        <v>3983.883814400001</v>
      </c>
      <c r="S9" s="242">
        <f t="shared" si="0"/>
        <v>3983.883814400001</v>
      </c>
      <c r="T9" s="242">
        <f t="shared" si="0"/>
        <v>3983.883814400001</v>
      </c>
      <c r="U9" s="242">
        <f t="shared" si="0"/>
        <v>3983.883814400001</v>
      </c>
      <c r="V9" s="242">
        <f t="shared" si="0"/>
        <v>3983.883814400001</v>
      </c>
      <c r="W9" s="242">
        <f t="shared" si="0"/>
        <v>3983.883814400001</v>
      </c>
      <c r="X9" s="242">
        <f t="shared" si="0"/>
        <v>3983.883814400001</v>
      </c>
      <c r="Y9" s="242">
        <f t="shared" si="0"/>
        <v>3983.883814400001</v>
      </c>
      <c r="Z9" s="242">
        <f t="shared" si="0"/>
        <v>3983.883814400001</v>
      </c>
      <c r="AA9" s="242">
        <f t="shared" si="0"/>
        <v>3983.883814400001</v>
      </c>
      <c r="AB9" s="242">
        <f t="shared" si="0"/>
        <v>3983.883814400001</v>
      </c>
      <c r="AC9" s="242">
        <f t="shared" si="0"/>
        <v>3983.883814400001</v>
      </c>
      <c r="AD9" s="242">
        <f t="shared" si="0"/>
        <v>3983.883814400001</v>
      </c>
      <c r="AE9" s="4" t="s">
        <v>12</v>
      </c>
    </row>
    <row r="11" spans="1:31" x14ac:dyDescent="0.25">
      <c r="A11" s="4" t="s">
        <v>84</v>
      </c>
      <c r="C11" s="12">
        <f>XNPV(B$13,E9:AD9,$E$1:$AD$1)</f>
        <v>28770.710385622686</v>
      </c>
    </row>
    <row r="12" spans="1:31" x14ac:dyDescent="0.25">
      <c r="A12" s="4" t="s">
        <v>83</v>
      </c>
      <c r="C12" s="247">
        <f>XIRR(E9:AD9,$E$1:$AD$1,0.1)</f>
        <v>0.14003544449806213</v>
      </c>
    </row>
    <row r="13" spans="1:31" x14ac:dyDescent="0.25">
      <c r="A13" s="4" t="s">
        <v>79</v>
      </c>
      <c r="B13">
        <v>0.05</v>
      </c>
    </row>
    <row r="14" spans="1:31" x14ac:dyDescent="0.25">
      <c r="A14" s="4"/>
    </row>
    <row r="15" spans="1:31" x14ac:dyDescent="0.25">
      <c r="A15" s="318" t="s">
        <v>149</v>
      </c>
      <c r="B15" s="318"/>
      <c r="C15" s="318"/>
      <c r="D15" s="243">
        <v>2.1800000000000002</v>
      </c>
    </row>
    <row r="16" spans="1:31" x14ac:dyDescent="0.25">
      <c r="A16" s="245" t="s">
        <v>123</v>
      </c>
    </row>
    <row r="17" spans="1:31" x14ac:dyDescent="0.25">
      <c r="A17" s="4" t="s">
        <v>128</v>
      </c>
      <c r="E17" s="54">
        <f>'Minigrids - 1 item'!C43</f>
        <v>27361</v>
      </c>
      <c r="F17" s="54">
        <f>'Minigrids - 1 item'!D43</f>
        <v>2736.1000000000004</v>
      </c>
      <c r="G17" s="54">
        <f>'Minigrids - 1 item'!E43</f>
        <v>2736.1000000000004</v>
      </c>
      <c r="H17" s="54">
        <f>'Minigrids - 1 item'!F43</f>
        <v>2736.1000000000004</v>
      </c>
      <c r="I17" s="54">
        <f>'Minigrids - 1 item'!G43</f>
        <v>2736.1000000000004</v>
      </c>
      <c r="J17" s="54">
        <f>'Minigrids - 1 item'!H43</f>
        <v>2736.1000000000004</v>
      </c>
      <c r="K17" s="54">
        <f>'Minigrids - 1 item'!I43</f>
        <v>2736.1000000000004</v>
      </c>
      <c r="L17" s="54">
        <f>'Minigrids - 1 item'!J43</f>
        <v>2736.1000000000004</v>
      </c>
      <c r="M17" s="54">
        <f>'Minigrids - 1 item'!K43</f>
        <v>2736.1000000000004</v>
      </c>
      <c r="N17" s="54">
        <f>'Minigrids - 1 item'!L43</f>
        <v>2736.1000000000004</v>
      </c>
      <c r="O17" s="54">
        <f>'Minigrids - 1 item'!M43</f>
        <v>2736.1000000000004</v>
      </c>
      <c r="P17" s="54">
        <f>'Minigrids - 1 item'!N43</f>
        <v>2736.1000000000004</v>
      </c>
      <c r="Q17" s="54">
        <f>'Minigrids - 1 item'!O43</f>
        <v>2736.1000000000004</v>
      </c>
      <c r="R17" s="54">
        <f>'Minigrids - 1 item'!P43</f>
        <v>2736.1000000000004</v>
      </c>
      <c r="S17" s="54">
        <f>'Minigrids - 1 item'!Q43</f>
        <v>2736.1000000000004</v>
      </c>
      <c r="T17" s="54">
        <f>'Minigrids - 1 item'!R43</f>
        <v>2736.1000000000004</v>
      </c>
      <c r="U17" s="54">
        <f>'Minigrids - 1 item'!S43</f>
        <v>2736.1000000000004</v>
      </c>
      <c r="V17" s="54">
        <f>'Minigrids - 1 item'!T43</f>
        <v>2736.1000000000004</v>
      </c>
      <c r="W17" s="54">
        <f>'Minigrids - 1 item'!U43</f>
        <v>2736.1000000000004</v>
      </c>
      <c r="X17" s="54">
        <f>'Minigrids - 1 item'!V43</f>
        <v>2736.1000000000004</v>
      </c>
      <c r="Y17" s="54">
        <f>'Minigrids - 1 item'!W43</f>
        <v>2736.1000000000004</v>
      </c>
      <c r="Z17" s="54">
        <f>'Minigrids - 1 item'!X43</f>
        <v>2736.1000000000004</v>
      </c>
      <c r="AA17" s="54">
        <f>'Minigrids - 1 item'!Y43</f>
        <v>2736.1000000000004</v>
      </c>
      <c r="AB17" s="54">
        <f>'Minigrids - 1 item'!Z43</f>
        <v>2736.1000000000004</v>
      </c>
      <c r="AC17" s="54">
        <f>'Minigrids - 1 item'!AA43</f>
        <v>2736.1000000000004</v>
      </c>
      <c r="AD17" s="54">
        <f>'Minigrids - 1 item'!AB43</f>
        <v>2736.1000000000004</v>
      </c>
      <c r="AE17" s="4" t="s">
        <v>12</v>
      </c>
    </row>
    <row r="18" spans="1:31" x14ac:dyDescent="0.25">
      <c r="A18" s="4" t="s">
        <v>129</v>
      </c>
      <c r="E18" s="57">
        <f>'Minigrids - 1 item'!C53*$D$15*$B$3</f>
        <v>0</v>
      </c>
      <c r="F18" s="57">
        <f>'Minigrids - 1 item'!D53*$D$15*$B$3</f>
        <v>6453.23139584</v>
      </c>
      <c r="G18" s="57">
        <f>'Minigrids - 1 item'!E53*$D$15*$B$3</f>
        <v>6453.23139584</v>
      </c>
      <c r="H18" s="57">
        <f>'Minigrids - 1 item'!F53*$D$15*$B$3</f>
        <v>6453.23139584</v>
      </c>
      <c r="I18" s="57">
        <f>'Minigrids - 1 item'!G53*$D$15*$B$3</f>
        <v>6453.23139584</v>
      </c>
      <c r="J18" s="57">
        <f>'Minigrids - 1 item'!H53*$D$15*$B$3</f>
        <v>6453.23139584</v>
      </c>
      <c r="K18" s="57">
        <f>'Minigrids - 1 item'!I53*$D$15*$B$3</f>
        <v>6453.23139584</v>
      </c>
      <c r="L18" s="57">
        <f>'Minigrids - 1 item'!J53*$D$15*$B$3</f>
        <v>6453.23139584</v>
      </c>
      <c r="M18" s="57">
        <f>'Minigrids - 1 item'!K53*$D$15*$B$3</f>
        <v>6453.23139584</v>
      </c>
      <c r="N18" s="57">
        <f>'Minigrids - 1 item'!L53*$D$15*$B$3</f>
        <v>6453.23139584</v>
      </c>
      <c r="O18" s="57">
        <f>'Minigrids - 1 item'!M53*$D$15*$B$3</f>
        <v>6453.23139584</v>
      </c>
      <c r="P18" s="57">
        <f>'Minigrids - 1 item'!N53*$D$15*$B$3</f>
        <v>6453.23139584</v>
      </c>
      <c r="Q18" s="57">
        <f>'Minigrids - 1 item'!O53*$D$15*$B$3</f>
        <v>6453.23139584</v>
      </c>
      <c r="R18" s="57">
        <f>'Minigrids - 1 item'!P53*$D$15*$B$3</f>
        <v>6453.23139584</v>
      </c>
      <c r="S18" s="57">
        <f>'Minigrids - 1 item'!Q53*$D$15*$B$3</f>
        <v>6453.23139584</v>
      </c>
      <c r="T18" s="57">
        <f>'Minigrids - 1 item'!R53*$D$15*$B$3</f>
        <v>6453.23139584</v>
      </c>
      <c r="U18" s="57">
        <f>'Minigrids - 1 item'!S53*$D$15*$B$3</f>
        <v>6453.23139584</v>
      </c>
      <c r="V18" s="57">
        <f>'Minigrids - 1 item'!T53*$D$15*$B$3</f>
        <v>6453.23139584</v>
      </c>
      <c r="W18" s="57">
        <f>'Minigrids - 1 item'!U53*$D$15*$B$3</f>
        <v>6453.23139584</v>
      </c>
      <c r="X18" s="57">
        <f>'Minigrids - 1 item'!V53*$D$15*$B$3</f>
        <v>6453.23139584</v>
      </c>
      <c r="Y18" s="57">
        <f>'Minigrids - 1 item'!W53*$D$15*$B$3</f>
        <v>6453.23139584</v>
      </c>
      <c r="Z18" s="57">
        <f>'Minigrids - 1 item'!X53*$D$15*$B$3</f>
        <v>6453.23139584</v>
      </c>
      <c r="AA18" s="57">
        <f>'Minigrids - 1 item'!Y53*$D$15*$B$3</f>
        <v>6453.23139584</v>
      </c>
      <c r="AB18" s="57">
        <f>'Minigrids - 1 item'!Z53*$D$15*$B$3</f>
        <v>6453.23139584</v>
      </c>
      <c r="AC18" s="57">
        <f>'Minigrids - 1 item'!AA53*$D$15*$B$3</f>
        <v>6453.23139584</v>
      </c>
      <c r="AD18" s="57">
        <f>'Minigrids - 1 item'!AB53*$D$15*$B$3</f>
        <v>6453.23139584</v>
      </c>
      <c r="AE18" s="4" t="s">
        <v>12</v>
      </c>
    </row>
    <row r="19" spans="1:31" x14ac:dyDescent="0.25">
      <c r="A19" s="4" t="s">
        <v>130</v>
      </c>
      <c r="E19" s="57">
        <f>E18-E17</f>
        <v>-27361</v>
      </c>
      <c r="F19" s="57">
        <f t="shared" ref="F19:AD19" si="1">F18-F17</f>
        <v>3717.1313958399996</v>
      </c>
      <c r="G19" s="57">
        <f t="shared" si="1"/>
        <v>3717.1313958399996</v>
      </c>
      <c r="H19" s="57">
        <f t="shared" si="1"/>
        <v>3717.1313958399996</v>
      </c>
      <c r="I19" s="57">
        <f t="shared" si="1"/>
        <v>3717.1313958399996</v>
      </c>
      <c r="J19" s="57">
        <f t="shared" si="1"/>
        <v>3717.1313958399996</v>
      </c>
      <c r="K19" s="57">
        <f t="shared" si="1"/>
        <v>3717.1313958399996</v>
      </c>
      <c r="L19" s="57">
        <f t="shared" si="1"/>
        <v>3717.1313958399996</v>
      </c>
      <c r="M19" s="57">
        <f t="shared" si="1"/>
        <v>3717.1313958399996</v>
      </c>
      <c r="N19" s="57">
        <f t="shared" si="1"/>
        <v>3717.1313958399996</v>
      </c>
      <c r="O19" s="57">
        <f t="shared" si="1"/>
        <v>3717.1313958399996</v>
      </c>
      <c r="P19" s="57">
        <f t="shared" si="1"/>
        <v>3717.1313958399996</v>
      </c>
      <c r="Q19" s="57">
        <f t="shared" si="1"/>
        <v>3717.1313958399996</v>
      </c>
      <c r="R19" s="57">
        <f t="shared" si="1"/>
        <v>3717.1313958399996</v>
      </c>
      <c r="S19" s="57">
        <f t="shared" si="1"/>
        <v>3717.1313958399996</v>
      </c>
      <c r="T19" s="57">
        <f t="shared" si="1"/>
        <v>3717.1313958399996</v>
      </c>
      <c r="U19" s="57">
        <f t="shared" si="1"/>
        <v>3717.1313958399996</v>
      </c>
      <c r="V19" s="57">
        <f t="shared" si="1"/>
        <v>3717.1313958399996</v>
      </c>
      <c r="W19" s="57">
        <f t="shared" si="1"/>
        <v>3717.1313958399996</v>
      </c>
      <c r="X19" s="57">
        <f t="shared" si="1"/>
        <v>3717.1313958399996</v>
      </c>
      <c r="Y19" s="57">
        <f t="shared" si="1"/>
        <v>3717.1313958399996</v>
      </c>
      <c r="Z19" s="57">
        <f t="shared" si="1"/>
        <v>3717.1313958399996</v>
      </c>
      <c r="AA19" s="57">
        <f t="shared" si="1"/>
        <v>3717.1313958399996</v>
      </c>
      <c r="AB19" s="57">
        <f t="shared" si="1"/>
        <v>3717.1313958399996</v>
      </c>
      <c r="AC19" s="57">
        <f t="shared" si="1"/>
        <v>3717.1313958399996</v>
      </c>
      <c r="AD19" s="57">
        <f t="shared" si="1"/>
        <v>3717.1313958399996</v>
      </c>
      <c r="AE19" s="4" t="s">
        <v>12</v>
      </c>
    </row>
    <row r="21" spans="1:31" x14ac:dyDescent="0.25">
      <c r="A21" s="4" t="s">
        <v>84</v>
      </c>
      <c r="C21" s="12">
        <f>XNPV(B$23,E19:AD19,$E$1:$AD$1)</f>
        <v>7704.1761331338685</v>
      </c>
    </row>
    <row r="22" spans="1:31" x14ac:dyDescent="0.25">
      <c r="A22" s="4" t="s">
        <v>83</v>
      </c>
      <c r="C22" s="247">
        <f>XIRR(E19:AD19,$E$1:$AD$1,0.1)</f>
        <v>0.12929065823554994</v>
      </c>
    </row>
    <row r="23" spans="1:31" x14ac:dyDescent="0.25">
      <c r="A23" s="4" t="s">
        <v>79</v>
      </c>
      <c r="B23">
        <v>9.5000000000000001E-2</v>
      </c>
    </row>
    <row r="24" spans="1:31" x14ac:dyDescent="0.25">
      <c r="A24" s="4"/>
    </row>
    <row r="25" spans="1:31" x14ac:dyDescent="0.25">
      <c r="A25" s="318" t="s">
        <v>149</v>
      </c>
      <c r="B25" s="318"/>
      <c r="C25" s="318"/>
      <c r="D25" s="243">
        <v>1.73</v>
      </c>
    </row>
    <row r="26" spans="1:31" x14ac:dyDescent="0.25">
      <c r="A26" s="245" t="s">
        <v>124</v>
      </c>
    </row>
    <row r="27" spans="1:31" x14ac:dyDescent="0.25">
      <c r="A27" s="4" t="s">
        <v>128</v>
      </c>
      <c r="E27" s="54">
        <f>'Minigrids - 1 item'!C76</f>
        <v>27361</v>
      </c>
      <c r="F27" s="54">
        <f>'Minigrids - 1 item'!D76</f>
        <v>2736.1000000000004</v>
      </c>
      <c r="G27" s="54">
        <f>'Minigrids - 1 item'!E76</f>
        <v>2736.1000000000004</v>
      </c>
      <c r="H27" s="54">
        <f>'Minigrids - 1 item'!F76</f>
        <v>2736.1000000000004</v>
      </c>
      <c r="I27" s="54">
        <f>'Minigrids - 1 item'!G76</f>
        <v>2736.1000000000004</v>
      </c>
      <c r="J27" s="54">
        <f>'Minigrids - 1 item'!H76</f>
        <v>2736.1000000000004</v>
      </c>
      <c r="K27" s="54">
        <f>'Minigrids - 1 item'!I76</f>
        <v>2736.1000000000004</v>
      </c>
      <c r="L27" s="54">
        <f>'Minigrids - 1 item'!J76</f>
        <v>2736.1000000000004</v>
      </c>
      <c r="M27" s="54">
        <f>'Minigrids - 1 item'!K76</f>
        <v>2736.1000000000004</v>
      </c>
      <c r="N27" s="54">
        <f>'Minigrids - 1 item'!L76</f>
        <v>2736.1000000000004</v>
      </c>
      <c r="O27" s="54">
        <f>'Minigrids - 1 item'!M76</f>
        <v>2736.1000000000004</v>
      </c>
      <c r="P27" s="54">
        <f>'Minigrids - 1 item'!N76</f>
        <v>2736.1000000000004</v>
      </c>
      <c r="Q27" s="54">
        <f>'Minigrids - 1 item'!O76</f>
        <v>2736.1000000000004</v>
      </c>
      <c r="R27" s="54">
        <f>'Minigrids - 1 item'!P76</f>
        <v>2736.1000000000004</v>
      </c>
      <c r="S27" s="54">
        <f>'Minigrids - 1 item'!Q76</f>
        <v>2736.1000000000004</v>
      </c>
      <c r="T27" s="54">
        <f>'Minigrids - 1 item'!R76</f>
        <v>2736.1000000000004</v>
      </c>
      <c r="U27" s="54">
        <f>'Minigrids - 1 item'!S76</f>
        <v>2736.1000000000004</v>
      </c>
      <c r="V27" s="54">
        <f>'Minigrids - 1 item'!T76</f>
        <v>2736.1000000000004</v>
      </c>
      <c r="W27" s="54">
        <f>'Minigrids - 1 item'!U76</f>
        <v>2736.1000000000004</v>
      </c>
      <c r="X27" s="54">
        <f>'Minigrids - 1 item'!V76</f>
        <v>2736.1000000000004</v>
      </c>
      <c r="Y27" s="54">
        <f>'Minigrids - 1 item'!W76</f>
        <v>2736.1000000000004</v>
      </c>
      <c r="Z27" s="54">
        <f>'Minigrids - 1 item'!X76</f>
        <v>2736.1000000000004</v>
      </c>
      <c r="AA27" s="54">
        <f>'Minigrids - 1 item'!Y76</f>
        <v>2736.1000000000004</v>
      </c>
      <c r="AB27" s="54">
        <f>'Minigrids - 1 item'!Z76</f>
        <v>2736.1000000000004</v>
      </c>
      <c r="AC27" s="54">
        <f>'Minigrids - 1 item'!AA76</f>
        <v>2736.1000000000004</v>
      </c>
      <c r="AD27" s="54">
        <f>'Minigrids - 1 item'!AB76</f>
        <v>2736.1000000000004</v>
      </c>
      <c r="AE27" s="4" t="s">
        <v>12</v>
      </c>
    </row>
    <row r="28" spans="1:31" x14ac:dyDescent="0.25">
      <c r="A28" s="4" t="s">
        <v>129</v>
      </c>
      <c r="E28" s="57">
        <f>'Minigrids - 1 item'!C86*$D$25*$B$3</f>
        <v>0</v>
      </c>
      <c r="F28" s="57">
        <f>'Minigrids - 1 item'!D86*$D$25*$B$3</f>
        <v>6692.3111846400006</v>
      </c>
      <c r="G28" s="57">
        <f>'Minigrids - 1 item'!E86*$D$25*$B$3</f>
        <v>6692.3111846400006</v>
      </c>
      <c r="H28" s="57">
        <f>'Minigrids - 1 item'!F86*$D$25*$B$3</f>
        <v>6692.3111846400006</v>
      </c>
      <c r="I28" s="57">
        <f>'Minigrids - 1 item'!G86*$D$25*$B$3</f>
        <v>6692.3111846400006</v>
      </c>
      <c r="J28" s="57">
        <f>'Minigrids - 1 item'!H86*$D$25*$B$3</f>
        <v>6692.3111846400006</v>
      </c>
      <c r="K28" s="57">
        <f>'Minigrids - 1 item'!I86*$D$25*$B$3</f>
        <v>6692.3111846400006</v>
      </c>
      <c r="L28" s="57">
        <f>'Minigrids - 1 item'!J86*$D$25*$B$3</f>
        <v>6692.3111846400006</v>
      </c>
      <c r="M28" s="57">
        <f>'Minigrids - 1 item'!K86*$D$25*$B$3</f>
        <v>6692.3111846400006</v>
      </c>
      <c r="N28" s="57">
        <f>'Minigrids - 1 item'!L86*$D$25*$B$3</f>
        <v>6692.3111846400006</v>
      </c>
      <c r="O28" s="57">
        <f>'Minigrids - 1 item'!M86*$D$25*$B$3</f>
        <v>6692.3111846400006</v>
      </c>
      <c r="P28" s="57">
        <f>'Minigrids - 1 item'!N86*$D$25*$B$3</f>
        <v>6692.3111846400006</v>
      </c>
      <c r="Q28" s="57">
        <f>'Minigrids - 1 item'!O86*$D$25*$B$3</f>
        <v>6692.3111846400006</v>
      </c>
      <c r="R28" s="57">
        <f>'Minigrids - 1 item'!P86*$D$25*$B$3</f>
        <v>6692.3111846400006</v>
      </c>
      <c r="S28" s="57">
        <f>'Minigrids - 1 item'!Q86*$D$25*$B$3</f>
        <v>6692.3111846400006</v>
      </c>
      <c r="T28" s="57">
        <f>'Minigrids - 1 item'!R86*$D$25*$B$3</f>
        <v>6692.3111846400006</v>
      </c>
      <c r="U28" s="57">
        <f>'Minigrids - 1 item'!S86*$D$25*$B$3</f>
        <v>6692.3111846400006</v>
      </c>
      <c r="V28" s="57">
        <f>'Minigrids - 1 item'!T86*$D$25*$B$3</f>
        <v>6692.3111846400006</v>
      </c>
      <c r="W28" s="57">
        <f>'Minigrids - 1 item'!U86*$D$25*$B$3</f>
        <v>6692.3111846400006</v>
      </c>
      <c r="X28" s="57">
        <f>'Minigrids - 1 item'!V86*$D$25*$B$3</f>
        <v>6692.3111846400006</v>
      </c>
      <c r="Y28" s="57">
        <f>'Minigrids - 1 item'!W86*$D$25*$B$3</f>
        <v>6692.3111846400006</v>
      </c>
      <c r="Z28" s="57">
        <f>'Minigrids - 1 item'!X86*$D$25*$B$3</f>
        <v>6692.3111846400006</v>
      </c>
      <c r="AA28" s="57">
        <f>'Minigrids - 1 item'!Y86*$D$25*$B$3</f>
        <v>6692.3111846400006</v>
      </c>
      <c r="AB28" s="57">
        <f>'Minigrids - 1 item'!Z86*$D$25*$B$3</f>
        <v>6692.3111846400006</v>
      </c>
      <c r="AC28" s="57">
        <f>'Minigrids - 1 item'!AA86*$D$25*$B$3</f>
        <v>6692.3111846400006</v>
      </c>
      <c r="AD28" s="57">
        <f>'Minigrids - 1 item'!AB86*$D$25*$B$3</f>
        <v>6692.3111846400006</v>
      </c>
      <c r="AE28" s="4" t="s">
        <v>12</v>
      </c>
    </row>
    <row r="29" spans="1:31" x14ac:dyDescent="0.25">
      <c r="A29" s="4" t="s">
        <v>130</v>
      </c>
      <c r="E29" s="57">
        <f>E28-E27</f>
        <v>-27361</v>
      </c>
      <c r="F29" s="57">
        <f t="shared" ref="F29:AD29" si="2">F28-F27</f>
        <v>3956.2111846400003</v>
      </c>
      <c r="G29" s="57">
        <f t="shared" si="2"/>
        <v>3956.2111846400003</v>
      </c>
      <c r="H29" s="57">
        <f t="shared" si="2"/>
        <v>3956.2111846400003</v>
      </c>
      <c r="I29" s="57">
        <f t="shared" si="2"/>
        <v>3956.2111846400003</v>
      </c>
      <c r="J29" s="57">
        <f t="shared" si="2"/>
        <v>3956.2111846400003</v>
      </c>
      <c r="K29" s="57">
        <f t="shared" si="2"/>
        <v>3956.2111846400003</v>
      </c>
      <c r="L29" s="57">
        <f t="shared" si="2"/>
        <v>3956.2111846400003</v>
      </c>
      <c r="M29" s="57">
        <f t="shared" si="2"/>
        <v>3956.2111846400003</v>
      </c>
      <c r="N29" s="57">
        <f t="shared" si="2"/>
        <v>3956.2111846400003</v>
      </c>
      <c r="O29" s="57">
        <f t="shared" si="2"/>
        <v>3956.2111846400003</v>
      </c>
      <c r="P29" s="57">
        <f t="shared" si="2"/>
        <v>3956.2111846400003</v>
      </c>
      <c r="Q29" s="57">
        <f t="shared" si="2"/>
        <v>3956.2111846400003</v>
      </c>
      <c r="R29" s="57">
        <f t="shared" si="2"/>
        <v>3956.2111846400003</v>
      </c>
      <c r="S29" s="57">
        <f t="shared" si="2"/>
        <v>3956.2111846400003</v>
      </c>
      <c r="T29" s="57">
        <f t="shared" si="2"/>
        <v>3956.2111846400003</v>
      </c>
      <c r="U29" s="57">
        <f t="shared" si="2"/>
        <v>3956.2111846400003</v>
      </c>
      <c r="V29" s="57">
        <f t="shared" si="2"/>
        <v>3956.2111846400003</v>
      </c>
      <c r="W29" s="57">
        <f t="shared" si="2"/>
        <v>3956.2111846400003</v>
      </c>
      <c r="X29" s="57">
        <f t="shared" si="2"/>
        <v>3956.2111846400003</v>
      </c>
      <c r="Y29" s="57">
        <f t="shared" si="2"/>
        <v>3956.2111846400003</v>
      </c>
      <c r="Z29" s="57">
        <f t="shared" si="2"/>
        <v>3956.2111846400003</v>
      </c>
      <c r="AA29" s="57">
        <f t="shared" si="2"/>
        <v>3956.2111846400003</v>
      </c>
      <c r="AB29" s="57">
        <f t="shared" si="2"/>
        <v>3956.2111846400003</v>
      </c>
      <c r="AC29" s="57">
        <f t="shared" si="2"/>
        <v>3956.2111846400003</v>
      </c>
      <c r="AD29" s="57">
        <f t="shared" si="2"/>
        <v>3956.2111846400003</v>
      </c>
      <c r="AE29" s="4" t="s">
        <v>12</v>
      </c>
    </row>
    <row r="31" spans="1:31" x14ac:dyDescent="0.25">
      <c r="A31" s="4" t="s">
        <v>84</v>
      </c>
      <c r="C31" s="12">
        <f>XNPV(B$33,E29:AD29,$E$1:$AD$1)</f>
        <v>34427.485034878751</v>
      </c>
    </row>
    <row r="32" spans="1:31" x14ac:dyDescent="0.25">
      <c r="A32" s="4" t="s">
        <v>83</v>
      </c>
      <c r="C32" s="247">
        <f>XIRR(E29:AD29,$E$1:$AD$1,0.1)</f>
        <v>0.13892874121665952</v>
      </c>
    </row>
    <row r="33" spans="1:31" x14ac:dyDescent="0.25">
      <c r="A33" s="4" t="s">
        <v>79</v>
      </c>
      <c r="B33">
        <v>0.04</v>
      </c>
    </row>
    <row r="34" spans="1:31" x14ac:dyDescent="0.25">
      <c r="A34" s="4"/>
    </row>
    <row r="35" spans="1:31" x14ac:dyDescent="0.25">
      <c r="A35" s="318" t="s">
        <v>149</v>
      </c>
      <c r="B35" s="318"/>
      <c r="C35" s="318"/>
      <c r="D35" s="243">
        <v>1.73</v>
      </c>
    </row>
    <row r="36" spans="1:31" x14ac:dyDescent="0.25">
      <c r="A36" s="245" t="s">
        <v>14</v>
      </c>
    </row>
    <row r="37" spans="1:31" x14ac:dyDescent="0.25">
      <c r="A37" s="4" t="s">
        <v>128</v>
      </c>
      <c r="E37" s="54">
        <f>'Minigrids - 1 item'!C109</f>
        <v>27361</v>
      </c>
      <c r="F37" s="54">
        <f>'Minigrids - 1 item'!D109</f>
        <v>2736.1000000000004</v>
      </c>
      <c r="G37" s="54">
        <f>'Minigrids - 1 item'!E109</f>
        <v>2736.1000000000004</v>
      </c>
      <c r="H37" s="54">
        <f>'Minigrids - 1 item'!F109</f>
        <v>2736.1000000000004</v>
      </c>
      <c r="I37" s="54">
        <f>'Minigrids - 1 item'!G109</f>
        <v>2736.1000000000004</v>
      </c>
      <c r="J37" s="54">
        <f>'Minigrids - 1 item'!H109</f>
        <v>2736.1000000000004</v>
      </c>
      <c r="K37" s="54">
        <f>'Minigrids - 1 item'!I109</f>
        <v>2736.1000000000004</v>
      </c>
      <c r="L37" s="54">
        <f>'Minigrids - 1 item'!J109</f>
        <v>2736.1000000000004</v>
      </c>
      <c r="M37" s="54">
        <f>'Minigrids - 1 item'!K109</f>
        <v>2736.1000000000004</v>
      </c>
      <c r="N37" s="54">
        <f>'Minigrids - 1 item'!L109</f>
        <v>2736.1000000000004</v>
      </c>
      <c r="O37" s="54">
        <f>'Minigrids - 1 item'!M109</f>
        <v>2736.1000000000004</v>
      </c>
      <c r="P37" s="54">
        <f>'Minigrids - 1 item'!N109</f>
        <v>2736.1000000000004</v>
      </c>
      <c r="Q37" s="54">
        <f>'Minigrids - 1 item'!O109</f>
        <v>2736.1000000000004</v>
      </c>
      <c r="R37" s="54">
        <f>'Minigrids - 1 item'!P109</f>
        <v>2736.1000000000004</v>
      </c>
      <c r="S37" s="54">
        <f>'Minigrids - 1 item'!Q109</f>
        <v>2736.1000000000004</v>
      </c>
      <c r="T37" s="54">
        <f>'Minigrids - 1 item'!R109</f>
        <v>2736.1000000000004</v>
      </c>
      <c r="U37" s="54">
        <f>'Minigrids - 1 item'!S109</f>
        <v>2736.1000000000004</v>
      </c>
      <c r="V37" s="54">
        <f>'Minigrids - 1 item'!T109</f>
        <v>2736.1000000000004</v>
      </c>
      <c r="W37" s="54">
        <f>'Minigrids - 1 item'!U109</f>
        <v>2736.1000000000004</v>
      </c>
      <c r="X37" s="54">
        <f>'Minigrids - 1 item'!V109</f>
        <v>2736.1000000000004</v>
      </c>
      <c r="Y37" s="54">
        <f>'Minigrids - 1 item'!W109</f>
        <v>2736.1000000000004</v>
      </c>
      <c r="Z37" s="54">
        <f>'Minigrids - 1 item'!X109</f>
        <v>2736.1000000000004</v>
      </c>
      <c r="AA37" s="54">
        <f>'Minigrids - 1 item'!Y109</f>
        <v>2736.1000000000004</v>
      </c>
      <c r="AB37" s="54">
        <f>'Minigrids - 1 item'!Z109</f>
        <v>2736.1000000000004</v>
      </c>
      <c r="AC37" s="54">
        <f>'Minigrids - 1 item'!AA109</f>
        <v>2736.1000000000004</v>
      </c>
      <c r="AD37" s="54">
        <f>'Minigrids - 1 item'!AB109</f>
        <v>2736.1000000000004</v>
      </c>
      <c r="AE37" s="4" t="s">
        <v>12</v>
      </c>
    </row>
    <row r="38" spans="1:31" x14ac:dyDescent="0.25">
      <c r="A38" s="4" t="s">
        <v>129</v>
      </c>
      <c r="E38" s="57">
        <f>'Minigrids - 1 item'!C119*$D$35*$B$3</f>
        <v>0</v>
      </c>
      <c r="F38" s="57">
        <f>'Minigrids - 1 item'!D119*$D$35*$B$3</f>
        <v>6692.3111846400006</v>
      </c>
      <c r="G38" s="57">
        <f>'Minigrids - 1 item'!E119*$D$35*$B$3</f>
        <v>6692.3111846400006</v>
      </c>
      <c r="H38" s="57">
        <f>'Minigrids - 1 item'!F119*$D$35*$B$3</f>
        <v>6692.3111846400006</v>
      </c>
      <c r="I38" s="57">
        <f>'Minigrids - 1 item'!G119*$D$35*$B$3</f>
        <v>6692.3111846400006</v>
      </c>
      <c r="J38" s="57">
        <f>'Minigrids - 1 item'!H119*$D$35*$B$3</f>
        <v>6692.3111846400006</v>
      </c>
      <c r="K38" s="57">
        <f>'Minigrids - 1 item'!I119*$D$35*$B$3</f>
        <v>6692.3111846400006</v>
      </c>
      <c r="L38" s="57">
        <f>'Minigrids - 1 item'!J119*$D$35*$B$3</f>
        <v>6692.3111846400006</v>
      </c>
      <c r="M38" s="57">
        <f>'Minigrids - 1 item'!K119*$D$35*$B$3</f>
        <v>6692.3111846400006</v>
      </c>
      <c r="N38" s="57">
        <f>'Minigrids - 1 item'!L119*$D$35*$B$3</f>
        <v>6692.3111846400006</v>
      </c>
      <c r="O38" s="57">
        <f>'Minigrids - 1 item'!M119*$D$35*$B$3</f>
        <v>6692.3111846400006</v>
      </c>
      <c r="P38" s="57">
        <f>'Minigrids - 1 item'!N119*$D$35*$B$3</f>
        <v>6692.3111846400006</v>
      </c>
      <c r="Q38" s="57">
        <f>'Minigrids - 1 item'!O119*$D$35*$B$3</f>
        <v>6692.3111846400006</v>
      </c>
      <c r="R38" s="57">
        <f>'Minigrids - 1 item'!P119*$D$35*$B$3</f>
        <v>6692.3111846400006</v>
      </c>
      <c r="S38" s="57">
        <f>'Minigrids - 1 item'!Q119*$D$35*$B$3</f>
        <v>6692.3111846400006</v>
      </c>
      <c r="T38" s="57">
        <f>'Minigrids - 1 item'!R119*$D$35*$B$3</f>
        <v>6692.3111846400006</v>
      </c>
      <c r="U38" s="57">
        <f>'Minigrids - 1 item'!S119*$D$35*$B$3</f>
        <v>6692.3111846400006</v>
      </c>
      <c r="V38" s="57">
        <f>'Minigrids - 1 item'!T119*$D$35*$B$3</f>
        <v>6692.3111846400006</v>
      </c>
      <c r="W38" s="57">
        <f>'Minigrids - 1 item'!U119*$D$35*$B$3</f>
        <v>6692.3111846400006</v>
      </c>
      <c r="X38" s="57">
        <f>'Minigrids - 1 item'!V119*$D$35*$B$3</f>
        <v>6692.3111846400006</v>
      </c>
      <c r="Y38" s="57">
        <f>'Minigrids - 1 item'!W119*$D$35*$B$3</f>
        <v>6692.3111846400006</v>
      </c>
      <c r="Z38" s="57">
        <f>'Minigrids - 1 item'!X119*$D$35*$B$3</f>
        <v>6692.3111846400006</v>
      </c>
      <c r="AA38" s="57">
        <f>'Minigrids - 1 item'!Y119*$D$35*$B$3</f>
        <v>6692.3111846400006</v>
      </c>
      <c r="AB38" s="57">
        <f>'Minigrids - 1 item'!Z119*$D$35*$B$3</f>
        <v>6692.3111846400006</v>
      </c>
      <c r="AC38" s="57">
        <f>'Minigrids - 1 item'!AA119*$D$35*$B$3</f>
        <v>6692.3111846400006</v>
      </c>
      <c r="AD38" s="57">
        <f>'Minigrids - 1 item'!AB119*$D$35*$B$3</f>
        <v>6692.3111846400006</v>
      </c>
      <c r="AE38" s="4" t="s">
        <v>12</v>
      </c>
    </row>
    <row r="39" spans="1:31" x14ac:dyDescent="0.25">
      <c r="A39" s="4" t="s">
        <v>130</v>
      </c>
      <c r="E39" s="57">
        <f>E38-E37</f>
        <v>-27361</v>
      </c>
      <c r="F39" s="57">
        <f t="shared" ref="F39:AD39" si="3">F38-F37</f>
        <v>3956.2111846400003</v>
      </c>
      <c r="G39" s="57">
        <f t="shared" si="3"/>
        <v>3956.2111846400003</v>
      </c>
      <c r="H39" s="57">
        <f t="shared" si="3"/>
        <v>3956.2111846400003</v>
      </c>
      <c r="I39" s="57">
        <f t="shared" si="3"/>
        <v>3956.2111846400003</v>
      </c>
      <c r="J39" s="57">
        <f t="shared" si="3"/>
        <v>3956.2111846400003</v>
      </c>
      <c r="K39" s="57">
        <f t="shared" si="3"/>
        <v>3956.2111846400003</v>
      </c>
      <c r="L39" s="57">
        <f t="shared" si="3"/>
        <v>3956.2111846400003</v>
      </c>
      <c r="M39" s="57">
        <f t="shared" si="3"/>
        <v>3956.2111846400003</v>
      </c>
      <c r="N39" s="57">
        <f t="shared" si="3"/>
        <v>3956.2111846400003</v>
      </c>
      <c r="O39" s="57">
        <f t="shared" si="3"/>
        <v>3956.2111846400003</v>
      </c>
      <c r="P39" s="57">
        <f t="shared" si="3"/>
        <v>3956.2111846400003</v>
      </c>
      <c r="Q39" s="57">
        <f t="shared" si="3"/>
        <v>3956.2111846400003</v>
      </c>
      <c r="R39" s="57">
        <f t="shared" si="3"/>
        <v>3956.2111846400003</v>
      </c>
      <c r="S39" s="57">
        <f t="shared" si="3"/>
        <v>3956.2111846400003</v>
      </c>
      <c r="T39" s="57">
        <f t="shared" si="3"/>
        <v>3956.2111846400003</v>
      </c>
      <c r="U39" s="57">
        <f t="shared" si="3"/>
        <v>3956.2111846400003</v>
      </c>
      <c r="V39" s="57">
        <f t="shared" si="3"/>
        <v>3956.2111846400003</v>
      </c>
      <c r="W39" s="57">
        <f t="shared" si="3"/>
        <v>3956.2111846400003</v>
      </c>
      <c r="X39" s="57">
        <f t="shared" si="3"/>
        <v>3956.2111846400003</v>
      </c>
      <c r="Y39" s="57">
        <f t="shared" si="3"/>
        <v>3956.2111846400003</v>
      </c>
      <c r="Z39" s="57">
        <f t="shared" si="3"/>
        <v>3956.2111846400003</v>
      </c>
      <c r="AA39" s="57">
        <f t="shared" si="3"/>
        <v>3956.2111846400003</v>
      </c>
      <c r="AB39" s="57">
        <f t="shared" si="3"/>
        <v>3956.2111846400003</v>
      </c>
      <c r="AC39" s="57">
        <f t="shared" si="3"/>
        <v>3956.2111846400003</v>
      </c>
      <c r="AD39" s="57">
        <f t="shared" si="3"/>
        <v>3956.2111846400003</v>
      </c>
      <c r="AE39" s="4" t="s">
        <v>12</v>
      </c>
    </row>
    <row r="41" spans="1:31" x14ac:dyDescent="0.25">
      <c r="A41" s="4" t="s">
        <v>84</v>
      </c>
      <c r="C41" s="12">
        <f>XNPV(B$43,E39:AD39,$E$1:$AD$1)</f>
        <v>34427.485034878751</v>
      </c>
    </row>
    <row r="42" spans="1:31" x14ac:dyDescent="0.25">
      <c r="A42" s="4" t="s">
        <v>83</v>
      </c>
      <c r="C42" s="247">
        <f>XIRR(E39:AD39,$E$1:$AD$1,0.1)</f>
        <v>0.13892874121665952</v>
      </c>
    </row>
    <row r="43" spans="1:31" x14ac:dyDescent="0.25">
      <c r="A43" s="4" t="s">
        <v>79</v>
      </c>
      <c r="B43">
        <v>0.04</v>
      </c>
    </row>
    <row r="44" spans="1:31" x14ac:dyDescent="0.25">
      <c r="A44" s="4"/>
    </row>
    <row r="45" spans="1:31" x14ac:dyDescent="0.25">
      <c r="A45" s="318" t="s">
        <v>149</v>
      </c>
      <c r="B45" s="318"/>
      <c r="C45" s="318"/>
      <c r="D45" s="243">
        <v>1.73</v>
      </c>
    </row>
    <row r="46" spans="1:31" x14ac:dyDescent="0.25">
      <c r="A46" s="245" t="s">
        <v>125</v>
      </c>
    </row>
    <row r="47" spans="1:31" x14ac:dyDescent="0.25">
      <c r="A47" s="4" t="s">
        <v>128</v>
      </c>
      <c r="E47" s="54">
        <f>'Minigrids - 1 item'!C142</f>
        <v>27361</v>
      </c>
      <c r="F47" s="54">
        <f>'Minigrids - 1 item'!D142</f>
        <v>2736.1000000000004</v>
      </c>
      <c r="G47" s="54">
        <f>'Minigrids - 1 item'!E142</f>
        <v>2736.1000000000004</v>
      </c>
      <c r="H47" s="54">
        <f>'Minigrids - 1 item'!F142</f>
        <v>2736.1000000000004</v>
      </c>
      <c r="I47" s="54">
        <f>'Minigrids - 1 item'!G142</f>
        <v>2736.1000000000004</v>
      </c>
      <c r="J47" s="54">
        <f>'Minigrids - 1 item'!H142</f>
        <v>2736.1000000000004</v>
      </c>
      <c r="K47" s="54">
        <f>'Minigrids - 1 item'!I142</f>
        <v>2736.1000000000004</v>
      </c>
      <c r="L47" s="54">
        <f>'Minigrids - 1 item'!J142</f>
        <v>2736.1000000000004</v>
      </c>
      <c r="M47" s="54">
        <f>'Minigrids - 1 item'!K142</f>
        <v>2736.1000000000004</v>
      </c>
      <c r="N47" s="54">
        <f>'Minigrids - 1 item'!L142</f>
        <v>2736.1000000000004</v>
      </c>
      <c r="O47" s="54">
        <f>'Minigrids - 1 item'!M142</f>
        <v>2736.1000000000004</v>
      </c>
      <c r="P47" s="54">
        <f>'Minigrids - 1 item'!N142</f>
        <v>2736.1000000000004</v>
      </c>
      <c r="Q47" s="54">
        <f>'Minigrids - 1 item'!O142</f>
        <v>2736.1000000000004</v>
      </c>
      <c r="R47" s="54">
        <f>'Minigrids - 1 item'!P142</f>
        <v>2736.1000000000004</v>
      </c>
      <c r="S47" s="54">
        <f>'Minigrids - 1 item'!Q142</f>
        <v>2736.1000000000004</v>
      </c>
      <c r="T47" s="54">
        <f>'Minigrids - 1 item'!R142</f>
        <v>2736.1000000000004</v>
      </c>
      <c r="U47" s="54">
        <f>'Minigrids - 1 item'!S142</f>
        <v>2736.1000000000004</v>
      </c>
      <c r="V47" s="54">
        <f>'Minigrids - 1 item'!T142</f>
        <v>2736.1000000000004</v>
      </c>
      <c r="W47" s="54">
        <f>'Minigrids - 1 item'!U142</f>
        <v>2736.1000000000004</v>
      </c>
      <c r="X47" s="54">
        <f>'Minigrids - 1 item'!V142</f>
        <v>2736.1000000000004</v>
      </c>
      <c r="Y47" s="54">
        <f>'Minigrids - 1 item'!W142</f>
        <v>2736.1000000000004</v>
      </c>
      <c r="Z47" s="54">
        <f>'Minigrids - 1 item'!X142</f>
        <v>2736.1000000000004</v>
      </c>
      <c r="AA47" s="54">
        <f>'Minigrids - 1 item'!Y142</f>
        <v>2736.1000000000004</v>
      </c>
      <c r="AB47" s="54">
        <f>'Minigrids - 1 item'!Z142</f>
        <v>2736.1000000000004</v>
      </c>
      <c r="AC47" s="54">
        <f>'Minigrids - 1 item'!AA142</f>
        <v>2736.1000000000004</v>
      </c>
      <c r="AD47" s="54">
        <f>'Minigrids - 1 item'!AB142</f>
        <v>2736.1000000000004</v>
      </c>
      <c r="AE47" s="4" t="s">
        <v>12</v>
      </c>
    </row>
    <row r="48" spans="1:31" x14ac:dyDescent="0.25">
      <c r="A48" s="4" t="s">
        <v>129</v>
      </c>
      <c r="E48" s="57">
        <f>'Minigrids - 1 item'!C152*$D$45*$B$3</f>
        <v>0</v>
      </c>
      <c r="F48" s="57">
        <f>'Minigrids - 1 item'!D152*$D$45*$B$3</f>
        <v>6692.3111846400006</v>
      </c>
      <c r="G48" s="57">
        <f>'Minigrids - 1 item'!E152*$D$45*$B$3</f>
        <v>6692.3111846400006</v>
      </c>
      <c r="H48" s="57">
        <f>'Minigrids - 1 item'!F152*$D$45*$B$3</f>
        <v>6692.3111846400006</v>
      </c>
      <c r="I48" s="57">
        <f>'Minigrids - 1 item'!G152*$D$45*$B$3</f>
        <v>6692.3111846400006</v>
      </c>
      <c r="J48" s="57">
        <f>'Minigrids - 1 item'!H152*$D$45*$B$3</f>
        <v>6692.3111846400006</v>
      </c>
      <c r="K48" s="57">
        <f>'Minigrids - 1 item'!I152*$D$45*$B$3</f>
        <v>6692.3111846400006</v>
      </c>
      <c r="L48" s="57">
        <f>'Minigrids - 1 item'!J152*$D$45*$B$3</f>
        <v>6692.3111846400006</v>
      </c>
      <c r="M48" s="57">
        <f>'Minigrids - 1 item'!K152*$D$45*$B$3</f>
        <v>6692.3111846400006</v>
      </c>
      <c r="N48" s="57">
        <f>'Minigrids - 1 item'!L152*$D$45*$B$3</f>
        <v>6692.3111846400006</v>
      </c>
      <c r="O48" s="57">
        <f>'Minigrids - 1 item'!M152*$D$45*$B$3</f>
        <v>6692.3111846400006</v>
      </c>
      <c r="P48" s="57">
        <f>'Minigrids - 1 item'!N152*$D$45*$B$3</f>
        <v>6692.3111846400006</v>
      </c>
      <c r="Q48" s="57">
        <f>'Minigrids - 1 item'!O152*$D$45*$B$3</f>
        <v>6692.3111846400006</v>
      </c>
      <c r="R48" s="57">
        <f>'Minigrids - 1 item'!P152*$D$45*$B$3</f>
        <v>6692.3111846400006</v>
      </c>
      <c r="S48" s="57">
        <f>'Minigrids - 1 item'!Q152*$D$45*$B$3</f>
        <v>6692.3111846400006</v>
      </c>
      <c r="T48" s="57">
        <f>'Minigrids - 1 item'!R152*$D$45*$B$3</f>
        <v>6692.3111846400006</v>
      </c>
      <c r="U48" s="57">
        <f>'Minigrids - 1 item'!S152*$D$45*$B$3</f>
        <v>6692.3111846400006</v>
      </c>
      <c r="V48" s="57">
        <f>'Minigrids - 1 item'!T152*$D$45*$B$3</f>
        <v>6692.3111846400006</v>
      </c>
      <c r="W48" s="57">
        <f>'Minigrids - 1 item'!U152*$D$45*$B$3</f>
        <v>6692.3111846400006</v>
      </c>
      <c r="X48" s="57">
        <f>'Minigrids - 1 item'!V152*$D$45*$B$3</f>
        <v>6692.3111846400006</v>
      </c>
      <c r="Y48" s="57">
        <f>'Minigrids - 1 item'!W152*$D$45*$B$3</f>
        <v>6692.3111846400006</v>
      </c>
      <c r="Z48" s="57">
        <f>'Minigrids - 1 item'!X152*$D$45*$B$3</f>
        <v>6692.3111846400006</v>
      </c>
      <c r="AA48" s="57">
        <f>'Minigrids - 1 item'!Y152*$D$45*$B$3</f>
        <v>6692.3111846400006</v>
      </c>
      <c r="AB48" s="57">
        <f>'Minigrids - 1 item'!Z152*$D$45*$B$3</f>
        <v>6692.3111846400006</v>
      </c>
      <c r="AC48" s="57">
        <f>'Minigrids - 1 item'!AA152*$D$45*$B$3</f>
        <v>6692.3111846400006</v>
      </c>
      <c r="AD48" s="57">
        <f>'Minigrids - 1 item'!AB152*$D$45*$B$3</f>
        <v>6692.3111846400006</v>
      </c>
      <c r="AE48" s="4" t="s">
        <v>12</v>
      </c>
    </row>
    <row r="49" spans="1:31" x14ac:dyDescent="0.25">
      <c r="A49" s="4" t="s">
        <v>130</v>
      </c>
      <c r="E49" s="57">
        <f>E48-E47</f>
        <v>-27361</v>
      </c>
      <c r="F49" s="57">
        <f t="shared" ref="F49:AD49" si="4">F48-F47</f>
        <v>3956.2111846400003</v>
      </c>
      <c r="G49" s="57">
        <f t="shared" si="4"/>
        <v>3956.2111846400003</v>
      </c>
      <c r="H49" s="57">
        <f t="shared" si="4"/>
        <v>3956.2111846400003</v>
      </c>
      <c r="I49" s="57">
        <f t="shared" si="4"/>
        <v>3956.2111846400003</v>
      </c>
      <c r="J49" s="57">
        <f t="shared" si="4"/>
        <v>3956.2111846400003</v>
      </c>
      <c r="K49" s="57">
        <f t="shared" si="4"/>
        <v>3956.2111846400003</v>
      </c>
      <c r="L49" s="57">
        <f t="shared" si="4"/>
        <v>3956.2111846400003</v>
      </c>
      <c r="M49" s="57">
        <f t="shared" si="4"/>
        <v>3956.2111846400003</v>
      </c>
      <c r="N49" s="57">
        <f t="shared" si="4"/>
        <v>3956.2111846400003</v>
      </c>
      <c r="O49" s="57">
        <f t="shared" si="4"/>
        <v>3956.2111846400003</v>
      </c>
      <c r="P49" s="57">
        <f t="shared" si="4"/>
        <v>3956.2111846400003</v>
      </c>
      <c r="Q49" s="57">
        <f t="shared" si="4"/>
        <v>3956.2111846400003</v>
      </c>
      <c r="R49" s="57">
        <f t="shared" si="4"/>
        <v>3956.2111846400003</v>
      </c>
      <c r="S49" s="57">
        <f t="shared" si="4"/>
        <v>3956.2111846400003</v>
      </c>
      <c r="T49" s="57">
        <f t="shared" si="4"/>
        <v>3956.2111846400003</v>
      </c>
      <c r="U49" s="57">
        <f t="shared" si="4"/>
        <v>3956.2111846400003</v>
      </c>
      <c r="V49" s="57">
        <f t="shared" si="4"/>
        <v>3956.2111846400003</v>
      </c>
      <c r="W49" s="57">
        <f t="shared" si="4"/>
        <v>3956.2111846400003</v>
      </c>
      <c r="X49" s="57">
        <f t="shared" si="4"/>
        <v>3956.2111846400003</v>
      </c>
      <c r="Y49" s="57">
        <f t="shared" si="4"/>
        <v>3956.2111846400003</v>
      </c>
      <c r="Z49" s="57">
        <f t="shared" si="4"/>
        <v>3956.2111846400003</v>
      </c>
      <c r="AA49" s="57">
        <f t="shared" si="4"/>
        <v>3956.2111846400003</v>
      </c>
      <c r="AB49" s="57">
        <f t="shared" si="4"/>
        <v>3956.2111846400003</v>
      </c>
      <c r="AC49" s="57">
        <f t="shared" si="4"/>
        <v>3956.2111846400003</v>
      </c>
      <c r="AD49" s="57">
        <f t="shared" si="4"/>
        <v>3956.2111846400003</v>
      </c>
      <c r="AE49" s="4" t="s">
        <v>12</v>
      </c>
    </row>
    <row r="51" spans="1:31" x14ac:dyDescent="0.25">
      <c r="A51" s="4" t="s">
        <v>84</v>
      </c>
      <c r="C51" s="12">
        <f>XNPV(B$53,E49:AD49,$E$1:$AD$1)</f>
        <v>34427.485034878751</v>
      </c>
    </row>
    <row r="52" spans="1:31" x14ac:dyDescent="0.25">
      <c r="A52" s="4" t="s">
        <v>83</v>
      </c>
      <c r="C52" s="247">
        <f>XIRR(E49:AD49,$E$1:$AD$1,0.1)</f>
        <v>0.13892874121665952</v>
      </c>
    </row>
    <row r="53" spans="1:31" x14ac:dyDescent="0.25">
      <c r="A53" s="4" t="s">
        <v>79</v>
      </c>
      <c r="B53">
        <v>0.04</v>
      </c>
    </row>
    <row r="57" spans="1:31" x14ac:dyDescent="0.25">
      <c r="B57" s="240" t="s">
        <v>83</v>
      </c>
      <c r="C57" s="240" t="s">
        <v>84</v>
      </c>
    </row>
    <row r="58" spans="1:31" x14ac:dyDescent="0.25">
      <c r="A58" s="245" t="s">
        <v>0</v>
      </c>
      <c r="B58" s="248">
        <f>C12</f>
        <v>0.14003544449806213</v>
      </c>
      <c r="C58" s="52">
        <f>C11</f>
        <v>28770.710385622686</v>
      </c>
    </row>
    <row r="59" spans="1:31" x14ac:dyDescent="0.25">
      <c r="A59" s="245" t="s">
        <v>123</v>
      </c>
      <c r="B59" s="268">
        <f>C22</f>
        <v>0.12929065823554994</v>
      </c>
      <c r="C59" s="52">
        <f>C21</f>
        <v>7704.1761331338685</v>
      </c>
    </row>
    <row r="60" spans="1:31" x14ac:dyDescent="0.25">
      <c r="A60" s="245" t="s">
        <v>124</v>
      </c>
      <c r="B60" s="248">
        <f>C32</f>
        <v>0.13892874121665952</v>
      </c>
      <c r="C60" s="52">
        <f>C31</f>
        <v>34427.485034878751</v>
      </c>
    </row>
    <row r="61" spans="1:31" x14ac:dyDescent="0.25">
      <c r="A61" s="245" t="s">
        <v>14</v>
      </c>
      <c r="B61" s="248">
        <f>C42</f>
        <v>0.13892874121665952</v>
      </c>
      <c r="C61" s="52">
        <f>C41</f>
        <v>34427.485034878751</v>
      </c>
    </row>
    <row r="62" spans="1:31" x14ac:dyDescent="0.25">
      <c r="A62" s="245" t="s">
        <v>125</v>
      </c>
      <c r="B62" s="248">
        <f>C52</f>
        <v>0.13892874121665952</v>
      </c>
      <c r="C62" s="52">
        <f>C51</f>
        <v>34427.485034878751</v>
      </c>
    </row>
    <row r="63" spans="1:31" x14ac:dyDescent="0.25">
      <c r="C63" s="249"/>
    </row>
  </sheetData>
  <mergeCells count="6">
    <mergeCell ref="A45:C45"/>
    <mergeCell ref="A1:B1"/>
    <mergeCell ref="A5:C5"/>
    <mergeCell ref="A15:C15"/>
    <mergeCell ref="A25:C25"/>
    <mergeCell ref="A35:C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86F3-E430-4D8D-8161-AA9B06B1907C}">
  <dimension ref="A1:AC12"/>
  <sheetViews>
    <sheetView zoomScale="57" zoomScaleNormal="57" workbookViewId="0">
      <selection activeCell="E9" sqref="E9:AC9"/>
    </sheetView>
  </sheetViews>
  <sheetFormatPr defaultRowHeight="15" x14ac:dyDescent="0.25"/>
  <cols>
    <col min="1" max="1" width="39.28515625" customWidth="1"/>
    <col min="2" max="2" width="14.7109375" style="8" bestFit="1" customWidth="1"/>
    <col min="4" max="4" width="10.85546875" bestFit="1" customWidth="1"/>
    <col min="5" max="5" width="10" bestFit="1" customWidth="1"/>
    <col min="6" max="9" width="9.5703125" bestFit="1" customWidth="1"/>
    <col min="10" max="24" width="10.5703125" bestFit="1" customWidth="1"/>
  </cols>
  <sheetData>
    <row r="1" spans="1:29" s="4" customFormat="1" x14ac:dyDescent="0.25">
      <c r="B1" s="8"/>
      <c r="D1" s="280" t="s">
        <v>163</v>
      </c>
      <c r="E1" s="280">
        <v>1</v>
      </c>
      <c r="F1" s="280">
        <v>2</v>
      </c>
      <c r="G1" s="280">
        <v>3</v>
      </c>
      <c r="H1" s="280">
        <v>4</v>
      </c>
      <c r="I1" s="280">
        <v>5</v>
      </c>
      <c r="J1" s="280">
        <v>6</v>
      </c>
      <c r="K1" s="280">
        <v>7</v>
      </c>
      <c r="L1" s="280">
        <v>8</v>
      </c>
      <c r="M1" s="280">
        <v>9</v>
      </c>
      <c r="N1" s="280">
        <v>10</v>
      </c>
      <c r="O1" s="280">
        <v>11</v>
      </c>
      <c r="P1" s="280">
        <v>12</v>
      </c>
      <c r="Q1" s="280">
        <v>13</v>
      </c>
      <c r="R1" s="280">
        <v>14</v>
      </c>
      <c r="S1" s="280">
        <v>15</v>
      </c>
      <c r="T1" s="280">
        <v>16</v>
      </c>
      <c r="U1" s="280">
        <v>17</v>
      </c>
      <c r="V1" s="280">
        <v>18</v>
      </c>
      <c r="W1" s="280">
        <v>19</v>
      </c>
      <c r="X1" s="280">
        <v>20</v>
      </c>
      <c r="Y1" s="280">
        <v>21</v>
      </c>
      <c r="Z1" s="280">
        <v>22</v>
      </c>
      <c r="AA1" s="280">
        <v>23</v>
      </c>
      <c r="AB1" s="280">
        <v>24</v>
      </c>
      <c r="AC1" s="280">
        <v>25</v>
      </c>
    </row>
    <row r="2" spans="1:29" s="4" customFormat="1" x14ac:dyDescent="0.25">
      <c r="A2" s="4" t="s">
        <v>164</v>
      </c>
      <c r="B2" s="281"/>
    </row>
    <row r="3" spans="1:29" s="4" customFormat="1" x14ac:dyDescent="0.25">
      <c r="A3" t="s">
        <v>165</v>
      </c>
      <c r="B3" s="8" t="s">
        <v>166</v>
      </c>
      <c r="C3">
        <v>40</v>
      </c>
      <c r="D3" s="28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s="4" customFormat="1" x14ac:dyDescent="0.25">
      <c r="A4" t="s">
        <v>167</v>
      </c>
      <c r="B4" s="8" t="s">
        <v>168</v>
      </c>
      <c r="C4" s="283">
        <v>2.5000000000000001E-2</v>
      </c>
      <c r="D4" s="28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s="4" customFormat="1" x14ac:dyDescent="0.25">
      <c r="A5" s="284" t="s">
        <v>169</v>
      </c>
      <c r="B5" s="285" t="s">
        <v>166</v>
      </c>
      <c r="C5" s="284"/>
      <c r="D5" s="286"/>
      <c r="E5" s="287">
        <f>C3</f>
        <v>40</v>
      </c>
      <c r="F5" s="288">
        <f t="shared" ref="F5:X5" si="0">E5*(1+$C$4)</f>
        <v>41</v>
      </c>
      <c r="G5" s="288">
        <f t="shared" si="0"/>
        <v>42.024999999999999</v>
      </c>
      <c r="H5" s="288">
        <f t="shared" si="0"/>
        <v>43.075624999999995</v>
      </c>
      <c r="I5" s="288">
        <f t="shared" si="0"/>
        <v>44.152515624999992</v>
      </c>
      <c r="J5" s="288">
        <f t="shared" si="0"/>
        <v>45.256328515624986</v>
      </c>
      <c r="K5" s="288">
        <f t="shared" si="0"/>
        <v>46.387736728515605</v>
      </c>
      <c r="L5" s="288">
        <f t="shared" si="0"/>
        <v>47.547430146728495</v>
      </c>
      <c r="M5" s="288">
        <f t="shared" si="0"/>
        <v>48.736115900396705</v>
      </c>
      <c r="N5" s="288">
        <f t="shared" si="0"/>
        <v>49.954518797906616</v>
      </c>
      <c r="O5" s="288">
        <f t="shared" si="0"/>
        <v>51.203381767854275</v>
      </c>
      <c r="P5" s="288">
        <f t="shared" si="0"/>
        <v>52.483466312050624</v>
      </c>
      <c r="Q5" s="288">
        <f t="shared" si="0"/>
        <v>53.795552969851883</v>
      </c>
      <c r="R5" s="288">
        <f t="shared" si="0"/>
        <v>55.140441794098173</v>
      </c>
      <c r="S5" s="288">
        <f t="shared" si="0"/>
        <v>56.518952838950625</v>
      </c>
      <c r="T5" s="288">
        <f t="shared" si="0"/>
        <v>57.931926659924386</v>
      </c>
      <c r="U5" s="288">
        <f t="shared" si="0"/>
        <v>59.380224826422491</v>
      </c>
      <c r="V5" s="288">
        <f t="shared" si="0"/>
        <v>60.864730447083048</v>
      </c>
      <c r="W5" s="288">
        <f t="shared" si="0"/>
        <v>62.386348708260115</v>
      </c>
      <c r="X5" s="288">
        <f t="shared" si="0"/>
        <v>63.946007425966613</v>
      </c>
      <c r="Y5" s="288">
        <f t="shared" ref="Y5" si="1">X5*(1+$C$4)</f>
        <v>65.544657611615776</v>
      </c>
      <c r="Z5" s="288">
        <f t="shared" ref="Z5" si="2">Y5*(1+$C$4)</f>
        <v>67.183274051906167</v>
      </c>
      <c r="AA5" s="288">
        <f t="shared" ref="AA5" si="3">Z5*(1+$C$4)</f>
        <v>68.862855903203823</v>
      </c>
      <c r="AB5" s="288">
        <f t="shared" ref="AB5" si="4">AA5*(1+$C$4)</f>
        <v>70.584427300783915</v>
      </c>
      <c r="AC5" s="288">
        <f t="shared" ref="AC5" si="5">AB5*(1+$C$4)</f>
        <v>72.349037983303504</v>
      </c>
    </row>
    <row r="6" spans="1:29" s="4" customFormat="1" x14ac:dyDescent="0.25">
      <c r="B6" s="281"/>
      <c r="D6" s="28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4" customFormat="1" x14ac:dyDescent="0.25">
      <c r="B7" s="281"/>
      <c r="D7" s="28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x14ac:dyDescent="0.25">
      <c r="A8" s="14" t="s">
        <v>170</v>
      </c>
      <c r="B8" s="281"/>
    </row>
    <row r="9" spans="1:29" s="292" customFormat="1" x14ac:dyDescent="0.25">
      <c r="A9" s="292" t="s">
        <v>131</v>
      </c>
      <c r="B9" s="293" t="s">
        <v>177</v>
      </c>
      <c r="E9" s="292">
        <f>Interventions!$L$13*Interventions!$L$15</f>
        <v>14.389760000000001</v>
      </c>
      <c r="F9" s="292">
        <f>Interventions!$L$13*Interventions!$L$15</f>
        <v>14.389760000000001</v>
      </c>
      <c r="G9" s="292">
        <f>Interventions!$L$13*Interventions!$L$15</f>
        <v>14.389760000000001</v>
      </c>
      <c r="H9" s="292">
        <f>Interventions!$L$13*Interventions!$L$15</f>
        <v>14.389760000000001</v>
      </c>
      <c r="I9" s="292">
        <f>Interventions!$L$13*Interventions!$L$15</f>
        <v>14.389760000000001</v>
      </c>
      <c r="J9" s="292">
        <f>Interventions!$L$13*Interventions!$L$15</f>
        <v>14.389760000000001</v>
      </c>
      <c r="K9" s="292">
        <f>Interventions!$L$13*Interventions!$L$15</f>
        <v>14.389760000000001</v>
      </c>
      <c r="L9" s="292">
        <f>Interventions!$L$13*Interventions!$L$15</f>
        <v>14.389760000000001</v>
      </c>
      <c r="M9" s="292">
        <f>Interventions!$L$13*Interventions!$L$15</f>
        <v>14.389760000000001</v>
      </c>
      <c r="N9" s="292">
        <f>Interventions!$L$13*Interventions!$L$15</f>
        <v>14.389760000000001</v>
      </c>
      <c r="O9" s="292">
        <f>Interventions!$L$13*Interventions!$L$15</f>
        <v>14.389760000000001</v>
      </c>
      <c r="P9" s="292">
        <f>Interventions!$L$13*Interventions!$L$15</f>
        <v>14.389760000000001</v>
      </c>
      <c r="Q9" s="292">
        <f>Interventions!$L$13*Interventions!$L$15</f>
        <v>14.389760000000001</v>
      </c>
      <c r="R9" s="292">
        <f>Interventions!$L$13*Interventions!$L$15</f>
        <v>14.389760000000001</v>
      </c>
      <c r="S9" s="292">
        <f>Interventions!$L$13*Interventions!$L$15</f>
        <v>14.389760000000001</v>
      </c>
      <c r="T9" s="292">
        <f>Interventions!$L$13*Interventions!$L$15</f>
        <v>14.389760000000001</v>
      </c>
      <c r="U9" s="292">
        <f>Interventions!$L$13*Interventions!$L$15</f>
        <v>14.389760000000001</v>
      </c>
      <c r="V9" s="292">
        <f>Interventions!$L$13*Interventions!$L$15</f>
        <v>14.389760000000001</v>
      </c>
      <c r="W9" s="292">
        <f>Interventions!$L$13*Interventions!$L$15</f>
        <v>14.389760000000001</v>
      </c>
      <c r="X9" s="292">
        <f>Interventions!$L$13*Interventions!$L$15</f>
        <v>14.389760000000001</v>
      </c>
      <c r="Y9" s="292">
        <f>Interventions!$L$13*Interventions!$L$15</f>
        <v>14.389760000000001</v>
      </c>
      <c r="Z9" s="292">
        <f>Interventions!$L$13*Interventions!$L$15</f>
        <v>14.389760000000001</v>
      </c>
      <c r="AA9" s="292">
        <f>Interventions!$L$13*Interventions!$L$15</f>
        <v>14.389760000000001</v>
      </c>
      <c r="AB9" s="292">
        <f>Interventions!$L$13*Interventions!$L$15</f>
        <v>14.389760000000001</v>
      </c>
      <c r="AC9" s="292">
        <f>Interventions!$L$13*Interventions!$L$15</f>
        <v>14.389760000000001</v>
      </c>
    </row>
    <row r="11" spans="1:29" x14ac:dyDescent="0.25">
      <c r="A11" s="4" t="s">
        <v>176</v>
      </c>
      <c r="B11" s="281"/>
    </row>
    <row r="12" spans="1:29" x14ac:dyDescent="0.25">
      <c r="A12" s="289" t="s">
        <v>131</v>
      </c>
      <c r="B12" s="290" t="s">
        <v>178</v>
      </c>
      <c r="C12" s="289"/>
      <c r="D12" s="289"/>
      <c r="E12" s="291">
        <f t="shared" ref="E12:X12" si="6">E9*E5</f>
        <v>575.59040000000005</v>
      </c>
      <c r="F12" s="291">
        <f t="shared" si="6"/>
        <v>589.98016000000007</v>
      </c>
      <c r="G12" s="291">
        <f t="shared" si="6"/>
        <v>604.72966399999996</v>
      </c>
      <c r="H12" s="291">
        <f t="shared" si="6"/>
        <v>619.84790559999999</v>
      </c>
      <c r="I12" s="291">
        <f t="shared" si="6"/>
        <v>635.34410323999998</v>
      </c>
      <c r="J12" s="291">
        <f t="shared" si="6"/>
        <v>651.22770582099986</v>
      </c>
      <c r="K12" s="291">
        <f t="shared" si="6"/>
        <v>667.5083984665248</v>
      </c>
      <c r="L12" s="291">
        <f t="shared" si="6"/>
        <v>684.19610842818781</v>
      </c>
      <c r="M12" s="291">
        <f t="shared" si="6"/>
        <v>701.30101113889248</v>
      </c>
      <c r="N12" s="291">
        <f t="shared" si="6"/>
        <v>718.83353641736471</v>
      </c>
      <c r="O12" s="291">
        <f t="shared" si="6"/>
        <v>736.80437482779871</v>
      </c>
      <c r="P12" s="291">
        <f t="shared" si="6"/>
        <v>755.22448419849366</v>
      </c>
      <c r="Q12" s="291">
        <f t="shared" si="6"/>
        <v>774.10509630345587</v>
      </c>
      <c r="R12" s="291">
        <f t="shared" si="6"/>
        <v>793.45772371104215</v>
      </c>
      <c r="S12" s="291">
        <f t="shared" si="6"/>
        <v>813.29416680381814</v>
      </c>
      <c r="T12" s="291">
        <f t="shared" si="6"/>
        <v>833.62652097391356</v>
      </c>
      <c r="U12" s="291">
        <f t="shared" si="6"/>
        <v>854.46718399826136</v>
      </c>
      <c r="V12" s="291">
        <f t="shared" si="6"/>
        <v>875.82886359821782</v>
      </c>
      <c r="W12" s="291">
        <f t="shared" si="6"/>
        <v>897.72458518817314</v>
      </c>
      <c r="X12" s="291">
        <f t="shared" si="6"/>
        <v>920.16769981787741</v>
      </c>
      <c r="Y12" s="291">
        <f t="shared" ref="Y12:AC12" si="7">Y9*Y5</f>
        <v>943.17189231332429</v>
      </c>
      <c r="Z12" s="291">
        <f t="shared" si="7"/>
        <v>966.75118962115732</v>
      </c>
      <c r="AA12" s="291">
        <f t="shared" si="7"/>
        <v>990.9199693616863</v>
      </c>
      <c r="AB12" s="291">
        <f t="shared" si="7"/>
        <v>1015.6929685957284</v>
      </c>
      <c r="AC12" s="291">
        <f t="shared" si="7"/>
        <v>1041.0852928106215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114"/>
  <sheetViews>
    <sheetView topLeftCell="C41" zoomScale="66" zoomScaleNormal="66" workbookViewId="0">
      <selection activeCell="C67" sqref="C67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47" t="s">
        <v>3</v>
      </c>
      <c r="G1" s="47" t="s">
        <v>4</v>
      </c>
      <c r="H1" s="47" t="s">
        <v>5</v>
      </c>
      <c r="I1" s="47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5">
        <v>0.1</v>
      </c>
      <c r="C3" s="266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0.88</v>
      </c>
      <c r="E8" s="49">
        <f t="shared" ref="E8:AB8" si="0">1*((1-$B$6)^E7)</f>
        <v>0.77439999999999998</v>
      </c>
      <c r="F8" s="49">
        <f t="shared" si="0"/>
        <v>0.68147199999999997</v>
      </c>
      <c r="G8" s="49">
        <f t="shared" si="0"/>
        <v>0.59969536000000001</v>
      </c>
      <c r="H8" s="49">
        <f t="shared" si="0"/>
        <v>0.52773191679999998</v>
      </c>
      <c r="I8" s="49">
        <f t="shared" si="0"/>
        <v>0.46440408678399997</v>
      </c>
      <c r="J8" s="49">
        <f t="shared" si="0"/>
        <v>0.40867559636992001</v>
      </c>
      <c r="K8" s="49">
        <f t="shared" si="0"/>
        <v>0.3596345248055296</v>
      </c>
      <c r="L8" s="49">
        <f t="shared" si="0"/>
        <v>0.31647838182886606</v>
      </c>
      <c r="M8" s="49">
        <f t="shared" si="0"/>
        <v>0.2785009760094021</v>
      </c>
      <c r="N8" s="49">
        <f t="shared" si="0"/>
        <v>0.24508085888827386</v>
      </c>
      <c r="O8" s="49">
        <f t="shared" si="0"/>
        <v>0.215671155821681</v>
      </c>
      <c r="P8" s="49">
        <f t="shared" si="0"/>
        <v>0.18979061712307926</v>
      </c>
      <c r="Q8" s="49">
        <f t="shared" si="0"/>
        <v>0.16701574306830977</v>
      </c>
      <c r="R8" s="49">
        <f t="shared" si="0"/>
        <v>0.14697385390011261</v>
      </c>
      <c r="S8" s="49">
        <f t="shared" si="0"/>
        <v>0.12933699143209909</v>
      </c>
      <c r="T8" s="49">
        <f t="shared" si="0"/>
        <v>0.1138165524602472</v>
      </c>
      <c r="U8" s="49">
        <f t="shared" si="0"/>
        <v>0.10015856616501753</v>
      </c>
      <c r="V8" s="49">
        <f t="shared" si="0"/>
        <v>8.8139538225215433E-2</v>
      </c>
      <c r="W8" s="49">
        <f t="shared" si="0"/>
        <v>7.7562793638189576E-2</v>
      </c>
      <c r="X8" s="49">
        <f t="shared" si="0"/>
        <v>6.825525840160683E-2</v>
      </c>
      <c r="Y8" s="49">
        <f t="shared" si="0"/>
        <v>6.0064627393414005E-2</v>
      </c>
      <c r="Z8" s="49">
        <f t="shared" si="0"/>
        <v>5.2856872106204329E-2</v>
      </c>
      <c r="AA8" s="49">
        <f t="shared" si="0"/>
        <v>4.6514047453459807E-2</v>
      </c>
      <c r="AB8" s="49">
        <f t="shared" si="0"/>
        <v>4.0932361759044633E-2</v>
      </c>
      <c r="AC8" s="49">
        <f t="shared" ref="AC8:AD8" si="1">1*((1-$B$6)^AC7)</f>
        <v>3.6020478347959274E-2</v>
      </c>
      <c r="AD8" s="49">
        <f t="shared" si="1"/>
        <v>3.1698020946204164E-2</v>
      </c>
      <c r="AE8" s="49">
        <f t="shared" ref="AE8:AH8" si="2">1*((1-$B$6)^AE7)</f>
        <v>2.7894258432659663E-2</v>
      </c>
      <c r="AF8" s="49">
        <f t="shared" si="2"/>
        <v>2.4546947420740501E-2</v>
      </c>
      <c r="AG8" s="49">
        <f t="shared" si="2"/>
        <v>2.1601313730251644E-2</v>
      </c>
      <c r="AH8" s="49">
        <f t="shared" si="2"/>
        <v>1.9009156082621447E-2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B10" si="3">1*((1-$B$9)^F7)</f>
        <v>1</v>
      </c>
      <c r="G10" s="49">
        <f t="shared" si="3"/>
        <v>1</v>
      </c>
      <c r="H10" s="49">
        <f t="shared" si="3"/>
        <v>1</v>
      </c>
      <c r="I10" s="49">
        <f t="shared" si="3"/>
        <v>1</v>
      </c>
      <c r="J10" s="49">
        <f t="shared" si="3"/>
        <v>1</v>
      </c>
      <c r="K10" s="49">
        <f t="shared" si="3"/>
        <v>1</v>
      </c>
      <c r="L10" s="49">
        <f t="shared" si="3"/>
        <v>1</v>
      </c>
      <c r="M10" s="49">
        <f t="shared" si="3"/>
        <v>1</v>
      </c>
      <c r="N10" s="49">
        <f t="shared" si="3"/>
        <v>1</v>
      </c>
      <c r="O10" s="49">
        <f t="shared" si="3"/>
        <v>1</v>
      </c>
      <c r="P10" s="49">
        <f t="shared" si="3"/>
        <v>1</v>
      </c>
      <c r="Q10" s="49">
        <f t="shared" si="3"/>
        <v>1</v>
      </c>
      <c r="R10" s="49">
        <f t="shared" si="3"/>
        <v>1</v>
      </c>
      <c r="S10" s="49">
        <f t="shared" si="3"/>
        <v>1</v>
      </c>
      <c r="T10" s="49">
        <f t="shared" si="3"/>
        <v>1</v>
      </c>
      <c r="U10" s="49">
        <f t="shared" si="3"/>
        <v>1</v>
      </c>
      <c r="V10" s="49">
        <f t="shared" si="3"/>
        <v>1</v>
      </c>
      <c r="W10" s="49">
        <f t="shared" si="3"/>
        <v>1</v>
      </c>
      <c r="X10" s="49">
        <f t="shared" si="3"/>
        <v>1</v>
      </c>
      <c r="Y10" s="49">
        <f t="shared" si="3"/>
        <v>1</v>
      </c>
      <c r="Z10" s="49">
        <f t="shared" si="3"/>
        <v>1</v>
      </c>
      <c r="AA10" s="49">
        <f t="shared" si="3"/>
        <v>1</v>
      </c>
      <c r="AB10" s="49">
        <f t="shared" si="3"/>
        <v>1</v>
      </c>
      <c r="AC10" s="49">
        <f t="shared" ref="AC10:AD10" si="4">1*((1-$B$9)^AC7)</f>
        <v>1</v>
      </c>
      <c r="AD10" s="49">
        <f t="shared" si="4"/>
        <v>1</v>
      </c>
      <c r="AE10" s="49">
        <f t="shared" ref="AE10:AH10" si="5">1*((1-$B$9)^AE7)</f>
        <v>1</v>
      </c>
      <c r="AF10" s="49">
        <f t="shared" si="5"/>
        <v>1</v>
      </c>
      <c r="AG10" s="49">
        <f t="shared" si="5"/>
        <v>1</v>
      </c>
      <c r="AH10" s="49">
        <f t="shared" si="5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0.12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0.12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0.12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2">
        <v>0.13500000000000001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47">
        <v>2</v>
      </c>
      <c r="F21" s="46">
        <v>3</v>
      </c>
      <c r="G21" s="47">
        <v>4</v>
      </c>
      <c r="H21" s="46">
        <v>5</v>
      </c>
      <c r="I21" s="47">
        <v>6</v>
      </c>
      <c r="J21" s="46">
        <v>7</v>
      </c>
      <c r="K21" s="47">
        <v>8</v>
      </c>
      <c r="L21" s="46">
        <v>9</v>
      </c>
      <c r="M21" s="47">
        <v>10</v>
      </c>
      <c r="N21" s="46">
        <v>11</v>
      </c>
      <c r="O21" s="47">
        <v>12</v>
      </c>
      <c r="P21" s="46">
        <v>13</v>
      </c>
      <c r="Q21" s="47">
        <v>14</v>
      </c>
      <c r="R21" s="46">
        <v>15</v>
      </c>
      <c r="S21" s="47">
        <v>16</v>
      </c>
      <c r="T21" s="46">
        <v>17</v>
      </c>
      <c r="U21" s="47">
        <v>18</v>
      </c>
      <c r="V21" s="46">
        <v>19</v>
      </c>
      <c r="W21" s="47">
        <v>20</v>
      </c>
      <c r="X21" s="46">
        <v>21</v>
      </c>
      <c r="Y21" s="47">
        <v>22</v>
      </c>
      <c r="Z21" s="46">
        <v>23</v>
      </c>
      <c r="AA21" s="47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6">SUM(E25:E26)</f>
        <v>1824074.0740740739</v>
      </c>
      <c r="F24" s="139">
        <f t="shared" si="6"/>
        <v>1824074.0740740739</v>
      </c>
      <c r="G24" s="139">
        <f t="shared" si="6"/>
        <v>1824074.0740740742</v>
      </c>
      <c r="H24" s="139">
        <f t="shared" si="6"/>
        <v>1824074.0740740742</v>
      </c>
      <c r="I24" s="139">
        <f>I26</f>
        <v>794431.81277227646</v>
      </c>
      <c r="J24" s="139">
        <f t="shared" ref="J24:AH24" si="7">J26</f>
        <v>794431.81277227646</v>
      </c>
      <c r="K24" s="139">
        <f t="shared" si="7"/>
        <v>794431.81277227646</v>
      </c>
      <c r="L24" s="139">
        <f t="shared" si="7"/>
        <v>794431.81277227646</v>
      </c>
      <c r="M24" s="139">
        <f t="shared" si="7"/>
        <v>794431.81277227646</v>
      </c>
      <c r="N24" s="139">
        <f t="shared" si="7"/>
        <v>794431.81277227646</v>
      </c>
      <c r="O24" s="139">
        <f t="shared" si="7"/>
        <v>794431.81277227646</v>
      </c>
      <c r="P24" s="139">
        <f t="shared" si="7"/>
        <v>794431.81277227646</v>
      </c>
      <c r="Q24" s="139">
        <f t="shared" si="7"/>
        <v>794431.81277227646</v>
      </c>
      <c r="R24" s="139">
        <f t="shared" si="7"/>
        <v>794431.81277227646</v>
      </c>
      <c r="S24" s="139">
        <f t="shared" si="7"/>
        <v>794431.81277227646</v>
      </c>
      <c r="T24" s="139">
        <f t="shared" si="7"/>
        <v>794431.81277227646</v>
      </c>
      <c r="U24" s="139">
        <f t="shared" si="7"/>
        <v>794431.81277227646</v>
      </c>
      <c r="V24" s="139">
        <f t="shared" si="7"/>
        <v>794431.81277227646</v>
      </c>
      <c r="W24" s="139">
        <f t="shared" si="7"/>
        <v>794431.81277227646</v>
      </c>
      <c r="X24" s="139">
        <f t="shared" si="7"/>
        <v>794431.81277227646</v>
      </c>
      <c r="Y24" s="139">
        <f t="shared" si="7"/>
        <v>794431.81277227646</v>
      </c>
      <c r="Z24" s="139">
        <f t="shared" si="7"/>
        <v>794431.81277227646</v>
      </c>
      <c r="AA24" s="139">
        <f t="shared" si="7"/>
        <v>794431.81277227646</v>
      </c>
      <c r="AB24" s="139">
        <f t="shared" si="7"/>
        <v>794431.81277227646</v>
      </c>
      <c r="AC24" s="139">
        <f t="shared" si="7"/>
        <v>794431.81277227646</v>
      </c>
      <c r="AD24" s="139">
        <f t="shared" si="7"/>
        <v>628606.8969473606</v>
      </c>
      <c r="AE24" s="139">
        <f t="shared" si="7"/>
        <v>477856.9734701644</v>
      </c>
      <c r="AF24" s="139">
        <f t="shared" si="7"/>
        <v>340811.58849089511</v>
      </c>
      <c r="AG24" s="139">
        <f t="shared" si="7"/>
        <v>216224.87487337762</v>
      </c>
      <c r="AH24" s="139">
        <f t="shared" si="7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8">E23-E26</f>
        <v>1507499.2347719618</v>
      </c>
      <c r="F25" s="24">
        <f t="shared" si="8"/>
        <v>1370453.8497926926</v>
      </c>
      <c r="G25" s="24">
        <f t="shared" si="8"/>
        <v>1245867.1361751752</v>
      </c>
      <c r="H25" s="24">
        <f t="shared" si="8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C28*(Interventions!$E$7)</f>
        <v>165824.91582491584</v>
      </c>
      <c r="E26" s="27">
        <f>D28*(Interventions!$E$7)</f>
        <v>316574.83930211206</v>
      </c>
      <c r="F26" s="27">
        <f>E28*(Interventions!$E$7)</f>
        <v>453620.22428138135</v>
      </c>
      <c r="G26" s="27">
        <f>F28*(Interventions!$E$7)</f>
        <v>578206.93789889885</v>
      </c>
      <c r="H26" s="27">
        <f>G28*(Interventions!$E$7)</f>
        <v>691467.58664209663</v>
      </c>
      <c r="I26" s="27">
        <f>H28*(Interventions!$E$7)</f>
        <v>794431.81277227646</v>
      </c>
      <c r="J26" s="27">
        <f>I28*(Interventions!$E$7)</f>
        <v>794431.81277227646</v>
      </c>
      <c r="K26" s="27">
        <f>J28*(Interventions!$E$7)</f>
        <v>794431.81277227646</v>
      </c>
      <c r="L26" s="27">
        <f>K28*(Interventions!$E$7)</f>
        <v>794431.81277227646</v>
      </c>
      <c r="M26" s="27">
        <f>L28*(Interventions!$E$7)</f>
        <v>794431.81277227646</v>
      </c>
      <c r="N26" s="27">
        <f>M28*(Interventions!$E$7)</f>
        <v>794431.81277227646</v>
      </c>
      <c r="O26" s="27">
        <f>N28*(Interventions!$E$7)</f>
        <v>794431.81277227646</v>
      </c>
      <c r="P26" s="27">
        <f>O28*(Interventions!$E$7)</f>
        <v>794431.81277227646</v>
      </c>
      <c r="Q26" s="27">
        <f>P28*(Interventions!$E$7)</f>
        <v>794431.81277227646</v>
      </c>
      <c r="R26" s="27">
        <f>Q28*(Interventions!$E$7)</f>
        <v>794431.81277227646</v>
      </c>
      <c r="S26" s="27">
        <f>R28*(Interventions!$E$7)</f>
        <v>794431.81277227646</v>
      </c>
      <c r="T26" s="27">
        <f>S28*(Interventions!$E$7)</f>
        <v>794431.81277227646</v>
      </c>
      <c r="U26" s="27">
        <f>T28*(Interventions!$E$7)</f>
        <v>794431.81277227646</v>
      </c>
      <c r="V26" s="27">
        <f>U28*(Interventions!$E$7)</f>
        <v>794431.81277227646</v>
      </c>
      <c r="W26" s="27">
        <f>V28*(Interventions!$E$7)</f>
        <v>794431.81277227646</v>
      </c>
      <c r="X26" s="27">
        <f>W28*(Interventions!$E$7)</f>
        <v>794431.81277227646</v>
      </c>
      <c r="Y26" s="27">
        <f>X28*(Interventions!$E$7)</f>
        <v>794431.81277227646</v>
      </c>
      <c r="Z26" s="27">
        <f>Y28*(Interventions!$E$7)</f>
        <v>794431.81277227646</v>
      </c>
      <c r="AA26" s="27">
        <f>Z28*(Interventions!$E$7)</f>
        <v>794431.81277227646</v>
      </c>
      <c r="AB26" s="27">
        <f>AA28*(Interventions!$E$7)</f>
        <v>794431.81277227646</v>
      </c>
      <c r="AC26" s="27">
        <f>AB28*(Interventions!$E$7)</f>
        <v>794431.81277227646</v>
      </c>
      <c r="AD26" s="27">
        <f>AC28*(Interventions!$E$7)</f>
        <v>628606.8969473606</v>
      </c>
      <c r="AE26" s="27">
        <f>AD28*(Interventions!$E$7)</f>
        <v>477856.9734701644</v>
      </c>
      <c r="AF26" s="27">
        <f>AE28*(Interventions!$E$7)</f>
        <v>340811.58849089511</v>
      </c>
      <c r="AG26" s="27">
        <f>AF28*(Interventions!$E$7)</f>
        <v>216224.87487337762</v>
      </c>
      <c r="AH26" s="27">
        <f>AG28*(Interventions!$E$7)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D25/(Interventions!$E$6+Interventions!$E$7)</f>
        <v>55.096642475492928</v>
      </c>
      <c r="E27" s="45">
        <f>E25/(Interventions!$E$6+Interventions!$E$7)</f>
        <v>50.08785679590266</v>
      </c>
      <c r="F27" s="45">
        <f>F25/(Interventions!$E$6+Interventions!$E$7)</f>
        <v>45.534415269002416</v>
      </c>
      <c r="G27" s="45">
        <f>G25/(Interventions!$E$6+Interventions!$E$7)</f>
        <v>41.394922971820385</v>
      </c>
      <c r="H27" s="45">
        <f>H25/(Interventions!$E$6+Interventions!$E$7)</f>
        <v>37.631748156200345</v>
      </c>
      <c r="I27" s="45">
        <f>I25/(Interventions!$E$6+Interventions!$E$7)</f>
        <v>0</v>
      </c>
      <c r="J27" s="45">
        <f>J25/(Interventions!$E$6+Interventions!$E$7)</f>
        <v>0</v>
      </c>
      <c r="K27" s="45">
        <f>K25/(Interventions!$E$6+Interventions!$E$7)</f>
        <v>0</v>
      </c>
      <c r="L27" s="45">
        <f>L25/(Interventions!$E$6+Interventions!$E$7)</f>
        <v>0</v>
      </c>
      <c r="M27" s="45">
        <f>M25/(Interventions!$E$6+Interventions!$E$7)</f>
        <v>0</v>
      </c>
      <c r="N27" s="45">
        <f>N25/(Interventions!$E$6+Interventions!$E$7)</f>
        <v>0</v>
      </c>
      <c r="O27" s="45">
        <f>O25/(Interventions!$E$6+Interventions!$E$7)</f>
        <v>0</v>
      </c>
      <c r="P27" s="45">
        <f>P25/(Interventions!$E$6+Interventions!$E$7)</f>
        <v>0</v>
      </c>
      <c r="Q27" s="45">
        <f>Q25/(Interventions!$E$6+Interventions!$E$7)</f>
        <v>0</v>
      </c>
      <c r="R27" s="45">
        <f>R25/(Interventions!$E$6+Interventions!$E$7)</f>
        <v>0</v>
      </c>
      <c r="S27" s="45">
        <f>S25/(Interventions!$E$6+Interventions!$E$7)</f>
        <v>0</v>
      </c>
      <c r="T27" s="45">
        <f>T25/(Interventions!$E$6+Interventions!$E$7)</f>
        <v>0</v>
      </c>
      <c r="U27" s="45">
        <f>U25/(Interventions!$E$6+Interventions!$E$7)</f>
        <v>0</v>
      </c>
      <c r="V27" s="45">
        <f>V25/(Interventions!$E$6+Interventions!$E$7)</f>
        <v>0</v>
      </c>
      <c r="W27" s="45">
        <f>W25/(Interventions!$E$6+Interventions!$E$7)</f>
        <v>0</v>
      </c>
      <c r="X27" s="45">
        <f>X25/(Interventions!$E$6+Interventions!$E$7)</f>
        <v>0</v>
      </c>
      <c r="Y27" s="45">
        <f>Y25/(Interventions!$E$6+Interventions!$E$7)</f>
        <v>0</v>
      </c>
      <c r="Z27" s="45">
        <f>Z25/(Interventions!$E$6+Interventions!$E$7)</f>
        <v>0</v>
      </c>
      <c r="AA27" s="45">
        <f>AA25/(Interventions!$E$6+Interventions!$E$7)</f>
        <v>0</v>
      </c>
      <c r="AB27" s="45">
        <f>AB25/(Interventions!$E$6+Interventions!$E$7)</f>
        <v>0</v>
      </c>
      <c r="AC27" s="45">
        <f>AC25/(Interventions!$E$6+Interventions!$E$7)</f>
        <v>0</v>
      </c>
      <c r="AD27" s="45">
        <f>AD25/(Interventions!$E$6+Interventions!$E$7)</f>
        <v>0</v>
      </c>
      <c r="AE27" s="45">
        <f>AE25/(Interventions!$E$6+Interventions!$E$7)</f>
        <v>0</v>
      </c>
      <c r="AF27" s="45">
        <f>AF25/(Interventions!$E$6+Interventions!$E$7)</f>
        <v>0</v>
      </c>
      <c r="AG27" s="45">
        <f>AG25/(Interventions!$E$6+Interventions!$E$7)</f>
        <v>0</v>
      </c>
      <c r="AH27" s="45">
        <f>AH25/(Interventions!$E$6+Interventions!$E$7)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H28" si="9">D28+E27</f>
        <v>165.79080599443782</v>
      </c>
      <c r="F28" s="42">
        <f t="shared" si="9"/>
        <v>211.32522126344023</v>
      </c>
      <c r="G28" s="42">
        <f t="shared" si="9"/>
        <v>252.72014423526062</v>
      </c>
      <c r="H28" s="42">
        <f t="shared" si="9"/>
        <v>290.35189239146098</v>
      </c>
      <c r="I28" s="42">
        <f t="shared" ref="I28" si="10">H28+I27</f>
        <v>290.35189239146098</v>
      </c>
      <c r="J28" s="42">
        <f t="shared" ref="J28" si="11">I28+J27</f>
        <v>290.35189239146098</v>
      </c>
      <c r="K28" s="42">
        <f t="shared" ref="K28" si="12">J28+K27</f>
        <v>290.35189239146098</v>
      </c>
      <c r="L28" s="42">
        <f t="shared" ref="L28" si="13">K28+L27</f>
        <v>290.35189239146098</v>
      </c>
      <c r="M28" s="42">
        <f t="shared" ref="M28" si="14">L28+M27</f>
        <v>290.35189239146098</v>
      </c>
      <c r="N28" s="42">
        <f t="shared" ref="N28" si="15">M28+N27</f>
        <v>290.35189239146098</v>
      </c>
      <c r="O28" s="42">
        <f t="shared" ref="O28" si="16">N28+O27</f>
        <v>290.35189239146098</v>
      </c>
      <c r="P28" s="42">
        <f t="shared" ref="P28" si="17">O28+P27</f>
        <v>290.35189239146098</v>
      </c>
      <c r="Q28" s="42">
        <f t="shared" ref="Q28" si="18">P28+Q27</f>
        <v>290.35189239146098</v>
      </c>
      <c r="R28" s="42">
        <f t="shared" ref="R28" si="19">Q28+R27</f>
        <v>290.35189239146098</v>
      </c>
      <c r="S28" s="42">
        <f t="shared" ref="S28" si="20">R28+S27</f>
        <v>290.35189239146098</v>
      </c>
      <c r="T28" s="42">
        <f t="shared" ref="T28" si="21">S28+T27</f>
        <v>290.35189239146098</v>
      </c>
      <c r="U28" s="42">
        <f t="shared" ref="U28" si="22">T28+U27</f>
        <v>290.35189239146098</v>
      </c>
      <c r="V28" s="42">
        <f t="shared" ref="V28" si="23">U28+V27</f>
        <v>290.35189239146098</v>
      </c>
      <c r="W28" s="42">
        <f t="shared" ref="W28" si="24">V28+W27</f>
        <v>290.35189239146098</v>
      </c>
      <c r="X28" s="42">
        <f t="shared" ref="X28" si="25">W28+X27</f>
        <v>290.35189239146098</v>
      </c>
      <c r="Y28" s="42">
        <f t="shared" ref="Y28" si="26">X28+Y27</f>
        <v>290.35189239146098</v>
      </c>
      <c r="Z28" s="42">
        <f t="shared" ref="Z28" si="27">Y28+Z27</f>
        <v>290.35189239146098</v>
      </c>
      <c r="AA28" s="42">
        <f t="shared" ref="AA28" si="28">Z28+AA27</f>
        <v>290.35189239146098</v>
      </c>
      <c r="AB28" s="42">
        <f t="shared" ref="AB28" si="29">AA28+AB27</f>
        <v>290.35189239146098</v>
      </c>
      <c r="AC28" s="42">
        <f>AB28-C27</f>
        <v>229.74558566841876</v>
      </c>
      <c r="AD28" s="42">
        <f t="shared" ref="AD28:AH28" si="30">AC28-D27</f>
        <v>174.64894319292583</v>
      </c>
      <c r="AE28" s="42">
        <f t="shared" si="30"/>
        <v>124.56108639702316</v>
      </c>
      <c r="AF28" s="42">
        <f t="shared" si="30"/>
        <v>79.026671128020752</v>
      </c>
      <c r="AG28" s="42">
        <f t="shared" si="30"/>
        <v>37.631748156200366</v>
      </c>
      <c r="AH28" s="42">
        <f t="shared" si="30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C30" si="31">E31+E32</f>
        <v>443139.99988387752</v>
      </c>
      <c r="F30" s="116">
        <f t="shared" si="31"/>
        <v>637420.82982528408</v>
      </c>
      <c r="G30" s="116">
        <f t="shared" si="31"/>
        <v>815683.21269414632</v>
      </c>
      <c r="H30" s="116">
        <f t="shared" si="31"/>
        <v>979377.5207320794</v>
      </c>
      <c r="I30" s="116">
        <f t="shared" si="31"/>
        <v>1129825.3281112106</v>
      </c>
      <c r="J30" s="116">
        <f t="shared" si="31"/>
        <v>1134552.4580302825</v>
      </c>
      <c r="K30" s="116">
        <f t="shared" si="31"/>
        <v>1139397.766197331</v>
      </c>
      <c r="L30" s="116">
        <f t="shared" si="31"/>
        <v>1144364.207068556</v>
      </c>
      <c r="M30" s="116">
        <f t="shared" si="31"/>
        <v>1149454.8089615616</v>
      </c>
      <c r="N30" s="116">
        <f t="shared" si="31"/>
        <v>1154672.6759018921</v>
      </c>
      <c r="O30" s="116">
        <f t="shared" si="31"/>
        <v>1160020.9895157311</v>
      </c>
      <c r="P30" s="116">
        <f t="shared" si="31"/>
        <v>1165503.0109699161</v>
      </c>
      <c r="Q30" s="116">
        <f t="shared" si="31"/>
        <v>1171122.0829604557</v>
      </c>
      <c r="R30" s="116">
        <f t="shared" si="31"/>
        <v>1176881.6317507587</v>
      </c>
      <c r="S30" s="116">
        <f t="shared" si="31"/>
        <v>1182785.1692608192</v>
      </c>
      <c r="T30" s="116">
        <f t="shared" si="31"/>
        <v>1188836.2952086315</v>
      </c>
      <c r="U30" s="116">
        <f t="shared" si="31"/>
        <v>1195038.6993051388</v>
      </c>
      <c r="V30" s="116">
        <f t="shared" si="31"/>
        <v>1201396.163504059</v>
      </c>
      <c r="W30" s="116">
        <f t="shared" si="31"/>
        <v>1207912.5643079521</v>
      </c>
      <c r="X30" s="116">
        <f t="shared" si="31"/>
        <v>1214591.8751319426</v>
      </c>
      <c r="Y30" s="116">
        <f t="shared" si="31"/>
        <v>1221438.1687265327</v>
      </c>
      <c r="Z30" s="116">
        <f t="shared" si="31"/>
        <v>1228455.6196609878</v>
      </c>
      <c r="AA30" s="116">
        <f t="shared" si="31"/>
        <v>1235648.5068688041</v>
      </c>
      <c r="AB30" s="116">
        <f t="shared" si="31"/>
        <v>1243021.2162568157</v>
      </c>
      <c r="AC30" s="116">
        <f t="shared" si="31"/>
        <v>940740.13134833355</v>
      </c>
      <c r="AD30" s="116">
        <f t="shared" ref="AD30:AH30" si="32">AD31+AD32</f>
        <v>744375.69756567676</v>
      </c>
      <c r="AE30" s="116">
        <f t="shared" si="32"/>
        <v>565862.57594507968</v>
      </c>
      <c r="AF30" s="116">
        <f t="shared" si="32"/>
        <v>403577.91992635507</v>
      </c>
      <c r="AG30" s="116">
        <f t="shared" si="32"/>
        <v>256046.41445478724</v>
      </c>
      <c r="AH30" s="116">
        <f t="shared" si="32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C28*Interventions!$E$10</f>
        <v>196364.43378265679</v>
      </c>
      <c r="E32" s="42">
        <f>D28*Interventions!$E$10</f>
        <v>374877.55540325388</v>
      </c>
      <c r="F32" s="42">
        <f>E28*Interventions!$E$10</f>
        <v>537162.21142197854</v>
      </c>
      <c r="G32" s="42">
        <f>F28*Interventions!$E$10</f>
        <v>684693.71689354628</v>
      </c>
      <c r="H32" s="42">
        <f>G28*Interventions!$E$10</f>
        <v>818813.26732224436</v>
      </c>
      <c r="I32" s="42">
        <f>H28*Interventions!$E$10</f>
        <v>940740.13134833355</v>
      </c>
      <c r="J32" s="42">
        <f>I28*Interventions!$E$10</f>
        <v>940740.13134833355</v>
      </c>
      <c r="K32" s="42">
        <f>J28*Interventions!$E$10</f>
        <v>940740.13134833355</v>
      </c>
      <c r="L32" s="42">
        <f>K28*Interventions!$E$10</f>
        <v>940740.13134833355</v>
      </c>
      <c r="M32" s="42">
        <f>L28*Interventions!$E$10</f>
        <v>940740.13134833355</v>
      </c>
      <c r="N32" s="42">
        <f>M28*Interventions!$E$10</f>
        <v>940740.13134833355</v>
      </c>
      <c r="O32" s="42">
        <f>N28*Interventions!$E$10</f>
        <v>940740.13134833355</v>
      </c>
      <c r="P32" s="42">
        <f>O28*Interventions!$E$10</f>
        <v>940740.13134833355</v>
      </c>
      <c r="Q32" s="42">
        <f>P28*Interventions!$E$10</f>
        <v>940740.13134833355</v>
      </c>
      <c r="R32" s="42">
        <f>Q28*Interventions!$E$10</f>
        <v>940740.13134833355</v>
      </c>
      <c r="S32" s="42">
        <f>R28*Interventions!$E$10</f>
        <v>940740.13134833355</v>
      </c>
      <c r="T32" s="42">
        <f>S28*Interventions!$E$10</f>
        <v>940740.13134833355</v>
      </c>
      <c r="U32" s="42">
        <f>T28*Interventions!$E$10</f>
        <v>940740.13134833355</v>
      </c>
      <c r="V32" s="42">
        <f>U28*Interventions!$E$10</f>
        <v>940740.13134833355</v>
      </c>
      <c r="W32" s="42">
        <f>V28*Interventions!$E$10</f>
        <v>940740.13134833355</v>
      </c>
      <c r="X32" s="42">
        <f>W28*Interventions!$E$10</f>
        <v>940740.13134833355</v>
      </c>
      <c r="Y32" s="42">
        <f>X28*Interventions!$E$10</f>
        <v>940740.13134833355</v>
      </c>
      <c r="Z32" s="42">
        <f>Y28*Interventions!$E$10</f>
        <v>940740.13134833355</v>
      </c>
      <c r="AA32" s="42">
        <f>Z28*Interventions!$E$10</f>
        <v>940740.13134833355</v>
      </c>
      <c r="AB32" s="42">
        <f>AA28*Interventions!$E$10</f>
        <v>940740.13134833355</v>
      </c>
      <c r="AC32" s="42">
        <f>AB28*Interventions!$E$10</f>
        <v>940740.13134833355</v>
      </c>
      <c r="AD32" s="42">
        <f>AC28*Interventions!$E$10</f>
        <v>744375.69756567676</v>
      </c>
      <c r="AE32" s="42">
        <f>AD28*Interventions!$E$10</f>
        <v>565862.57594507968</v>
      </c>
      <c r="AF32" s="42">
        <f>AE28*Interventions!$E$10</f>
        <v>403577.91992635507</v>
      </c>
      <c r="AG32" s="42">
        <f>AF28*Interventions!$E$10</f>
        <v>256046.41445478724</v>
      </c>
      <c r="AH32" s="42">
        <f>AG28*Interventions!$E$10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33">SUM(C35:C37)</f>
        <v>0</v>
      </c>
      <c r="D34" s="116">
        <f>D37-D38</f>
        <v>281266.16037942376</v>
      </c>
      <c r="E34" s="116">
        <f t="shared" ref="E34:AH34" si="34">E37-E38</f>
        <v>536962.66981526348</v>
      </c>
      <c r="F34" s="116">
        <f t="shared" si="34"/>
        <v>769414.04202966345</v>
      </c>
      <c r="G34" s="116">
        <f t="shared" si="34"/>
        <v>980733.47131548135</v>
      </c>
      <c r="H34" s="116">
        <f t="shared" si="34"/>
        <v>1172842.0433934981</v>
      </c>
      <c r="I34" s="116">
        <f t="shared" si="34"/>
        <v>1347486.1998280582</v>
      </c>
      <c r="J34" s="116">
        <f t="shared" si="34"/>
        <v>1347486.1998280582</v>
      </c>
      <c r="K34" s="116">
        <f t="shared" si="34"/>
        <v>1347486.1998280582</v>
      </c>
      <c r="L34" s="116">
        <f t="shared" si="34"/>
        <v>1347486.1998280582</v>
      </c>
      <c r="M34" s="116">
        <f t="shared" si="34"/>
        <v>1347486.1998280582</v>
      </c>
      <c r="N34" s="116">
        <f t="shared" si="34"/>
        <v>1347486.1998280582</v>
      </c>
      <c r="O34" s="116">
        <f t="shared" si="34"/>
        <v>1347486.1998280582</v>
      </c>
      <c r="P34" s="116">
        <f t="shared" si="34"/>
        <v>1347486.1998280582</v>
      </c>
      <c r="Q34" s="116">
        <f t="shared" si="34"/>
        <v>1347486.1998280582</v>
      </c>
      <c r="R34" s="116">
        <f t="shared" si="34"/>
        <v>1347486.1998280582</v>
      </c>
      <c r="S34" s="116">
        <f t="shared" si="34"/>
        <v>1347486.1998280582</v>
      </c>
      <c r="T34" s="116">
        <f t="shared" si="34"/>
        <v>1347486.1998280582</v>
      </c>
      <c r="U34" s="116">
        <f t="shared" si="34"/>
        <v>1347486.1998280582</v>
      </c>
      <c r="V34" s="116">
        <f t="shared" si="34"/>
        <v>1347486.1998280582</v>
      </c>
      <c r="W34" s="116">
        <f t="shared" si="34"/>
        <v>1347486.1998280582</v>
      </c>
      <c r="X34" s="116">
        <f t="shared" si="34"/>
        <v>1347486.1998280582</v>
      </c>
      <c r="Y34" s="116">
        <f t="shared" si="34"/>
        <v>1347486.1998280582</v>
      </c>
      <c r="Z34" s="116">
        <f t="shared" si="34"/>
        <v>1347486.1998280582</v>
      </c>
      <c r="AA34" s="116">
        <f t="shared" si="34"/>
        <v>1347486.1998280582</v>
      </c>
      <c r="AB34" s="116">
        <f t="shared" si="34"/>
        <v>1347486.1998280582</v>
      </c>
      <c r="AC34" s="116">
        <f t="shared" si="34"/>
        <v>1347486.1998280582</v>
      </c>
      <c r="AD34" s="116">
        <f t="shared" si="34"/>
        <v>1066220.0394486347</v>
      </c>
      <c r="AE34" s="116">
        <f t="shared" si="34"/>
        <v>810523.53001279465</v>
      </c>
      <c r="AF34" s="116">
        <f t="shared" si="34"/>
        <v>578072.15779839491</v>
      </c>
      <c r="AG34" s="116">
        <f t="shared" si="34"/>
        <v>366752.72851257678</v>
      </c>
      <c r="AH34" s="116">
        <f t="shared" si="34"/>
        <v>174644.15643456043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C28*Interventions!$E$13</f>
        <v>566305.33002010651</v>
      </c>
      <c r="E37" s="42">
        <f>D28*Interventions!$E$13</f>
        <v>1081128.3573111123</v>
      </c>
      <c r="F37" s="42">
        <f>E28*Interventions!$E$13</f>
        <v>1549149.291212027</v>
      </c>
      <c r="G37" s="42">
        <f>F28*Interventions!$E$13</f>
        <v>1974622.8674855854</v>
      </c>
      <c r="H37" s="42">
        <f>G28*Interventions!$E$13</f>
        <v>2361417.0277342754</v>
      </c>
      <c r="I37" s="42">
        <f>H28*Interventions!$E$13</f>
        <v>2713048.0825058115</v>
      </c>
      <c r="J37" s="42">
        <f>I28*Interventions!$E$13</f>
        <v>2713048.0825058115</v>
      </c>
      <c r="K37" s="42">
        <f>J28*Interventions!$E$13</f>
        <v>2713048.0825058115</v>
      </c>
      <c r="L37" s="42">
        <f>K28*Interventions!$E$13</f>
        <v>2713048.0825058115</v>
      </c>
      <c r="M37" s="42">
        <f>L28*Interventions!$E$13</f>
        <v>2713048.0825058115</v>
      </c>
      <c r="N37" s="42">
        <f>M28*Interventions!$E$13</f>
        <v>2713048.0825058115</v>
      </c>
      <c r="O37" s="42">
        <f>N28*Interventions!$E$13</f>
        <v>2713048.0825058115</v>
      </c>
      <c r="P37" s="42">
        <f>O28*Interventions!$E$13</f>
        <v>2713048.0825058115</v>
      </c>
      <c r="Q37" s="42">
        <f>P28*Interventions!$E$13</f>
        <v>2713048.0825058115</v>
      </c>
      <c r="R37" s="42">
        <f>Q28*Interventions!$E$13</f>
        <v>2713048.0825058115</v>
      </c>
      <c r="S37" s="42">
        <f>R28*Interventions!$E$13</f>
        <v>2713048.0825058115</v>
      </c>
      <c r="T37" s="42">
        <f>S28*Interventions!$E$13</f>
        <v>2713048.0825058115</v>
      </c>
      <c r="U37" s="42">
        <f>T28*Interventions!$E$13</f>
        <v>2713048.0825058115</v>
      </c>
      <c r="V37" s="42">
        <f>U28*Interventions!$E$13</f>
        <v>2713048.0825058115</v>
      </c>
      <c r="W37" s="42">
        <f>V28*Interventions!$E$13</f>
        <v>2713048.0825058115</v>
      </c>
      <c r="X37" s="42">
        <f>W28*Interventions!$E$13</f>
        <v>2713048.0825058115</v>
      </c>
      <c r="Y37" s="42">
        <f>X28*Interventions!$E$13</f>
        <v>2713048.0825058115</v>
      </c>
      <c r="Z37" s="42">
        <f>Y28*Interventions!$E$13</f>
        <v>2713048.0825058115</v>
      </c>
      <c r="AA37" s="42">
        <f>Z28*Interventions!$E$13</f>
        <v>2713048.0825058115</v>
      </c>
      <c r="AB37" s="42">
        <f>AA28*Interventions!$E$13</f>
        <v>2713048.0825058115</v>
      </c>
      <c r="AC37" s="42">
        <f>AB28*Interventions!$E$13</f>
        <v>2713048.0825058115</v>
      </c>
      <c r="AD37" s="42">
        <f>AC28*Interventions!$E$13</f>
        <v>2146742.7524857051</v>
      </c>
      <c r="AE37" s="42">
        <f>AD28*Interventions!$E$13</f>
        <v>1631919.7251946989</v>
      </c>
      <c r="AF37" s="42">
        <f>AE28*Interventions!$E$13</f>
        <v>1163898.7912937845</v>
      </c>
      <c r="AG37" s="42">
        <f>AF28*Interventions!$E$13</f>
        <v>738425.21502022585</v>
      </c>
      <c r="AH37" s="42">
        <f>AG28*Interventions!$E$13</f>
        <v>351631.0547715362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C28*Interventions!$E$14</f>
        <v>285039.16964068275</v>
      </c>
      <c r="E38" s="42">
        <f>D28*Interventions!$E$14</f>
        <v>544165.68749584886</v>
      </c>
      <c r="F38" s="42">
        <f>E28*Interventions!$E$14</f>
        <v>779735.24918236351</v>
      </c>
      <c r="G38" s="42">
        <f>F28*Interventions!$E$14</f>
        <v>993889.39617010404</v>
      </c>
      <c r="H38" s="42">
        <f>G28*Interventions!$E$14</f>
        <v>1188574.9843407774</v>
      </c>
      <c r="I38" s="42">
        <f>H28*Interventions!$E$14</f>
        <v>1365561.8826777532</v>
      </c>
      <c r="J38" s="42">
        <f>I28*Interventions!$E$14</f>
        <v>1365561.8826777532</v>
      </c>
      <c r="K38" s="42">
        <f>J28*Interventions!$E$14</f>
        <v>1365561.8826777532</v>
      </c>
      <c r="L38" s="42">
        <f>K28*Interventions!$E$14</f>
        <v>1365561.8826777532</v>
      </c>
      <c r="M38" s="42">
        <f>L28*Interventions!$E$14</f>
        <v>1365561.8826777532</v>
      </c>
      <c r="N38" s="42">
        <f>M28*Interventions!$E$14</f>
        <v>1365561.8826777532</v>
      </c>
      <c r="O38" s="42">
        <f>N28*Interventions!$E$14</f>
        <v>1365561.8826777532</v>
      </c>
      <c r="P38" s="42">
        <f>O28*Interventions!$E$14</f>
        <v>1365561.8826777532</v>
      </c>
      <c r="Q38" s="42">
        <f>P28*Interventions!$E$14</f>
        <v>1365561.8826777532</v>
      </c>
      <c r="R38" s="42">
        <f>Q28*Interventions!$E$14</f>
        <v>1365561.8826777532</v>
      </c>
      <c r="S38" s="42">
        <f>R28*Interventions!$E$14</f>
        <v>1365561.8826777532</v>
      </c>
      <c r="T38" s="42">
        <f>S28*Interventions!$E$14</f>
        <v>1365561.8826777532</v>
      </c>
      <c r="U38" s="42">
        <f>T28*Interventions!$E$14</f>
        <v>1365561.8826777532</v>
      </c>
      <c r="V38" s="42">
        <f>U28*Interventions!$E$14</f>
        <v>1365561.8826777532</v>
      </c>
      <c r="W38" s="42">
        <f>V28*Interventions!$E$14</f>
        <v>1365561.8826777532</v>
      </c>
      <c r="X38" s="42">
        <f>W28*Interventions!$E$14</f>
        <v>1365561.8826777532</v>
      </c>
      <c r="Y38" s="42">
        <f>X28*Interventions!$E$14</f>
        <v>1365561.8826777532</v>
      </c>
      <c r="Z38" s="42">
        <f>Y28*Interventions!$E$14</f>
        <v>1365561.8826777532</v>
      </c>
      <c r="AA38" s="42">
        <f>Z28*Interventions!$E$14</f>
        <v>1365561.8826777532</v>
      </c>
      <c r="AB38" s="42">
        <f>AA28*Interventions!$E$14</f>
        <v>1365561.8826777532</v>
      </c>
      <c r="AC38" s="42">
        <f>AB28*Interventions!$E$14</f>
        <v>1365561.8826777532</v>
      </c>
      <c r="AD38" s="42">
        <f>AC28*Interventions!$E$14</f>
        <v>1080522.7130370704</v>
      </c>
      <c r="AE38" s="42">
        <f>AD28*Interventions!$E$14</f>
        <v>821396.19518190424</v>
      </c>
      <c r="AF38" s="42">
        <f>AE28*Interventions!$E$14</f>
        <v>585826.6334953896</v>
      </c>
      <c r="AG38" s="42">
        <f>AF28*Interventions!$E$14</f>
        <v>371672.48650764907</v>
      </c>
      <c r="AH38" s="42">
        <f>AG28*Interventions!$E$14</f>
        <v>176986.89833697578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C40" si="35">C30+C34</f>
        <v>0</v>
      </c>
      <c r="D40" s="116">
        <f t="shared" si="35"/>
        <v>512515.00249131909</v>
      </c>
      <c r="E40" s="116">
        <f t="shared" si="35"/>
        <v>980102.66969914106</v>
      </c>
      <c r="F40" s="116">
        <f t="shared" si="35"/>
        <v>1406834.8718549474</v>
      </c>
      <c r="G40" s="116">
        <f t="shared" si="35"/>
        <v>1796416.6840096277</v>
      </c>
      <c r="H40" s="116">
        <f t="shared" si="35"/>
        <v>2152219.5641255775</v>
      </c>
      <c r="I40" s="116">
        <f t="shared" si="35"/>
        <v>2477311.5279392689</v>
      </c>
      <c r="J40" s="116">
        <f t="shared" si="35"/>
        <v>2482038.657858341</v>
      </c>
      <c r="K40" s="116">
        <f t="shared" si="35"/>
        <v>2486883.9660253893</v>
      </c>
      <c r="L40" s="116">
        <f t="shared" si="35"/>
        <v>2491850.4068966145</v>
      </c>
      <c r="M40" s="116">
        <f t="shared" si="35"/>
        <v>2496941.0087896199</v>
      </c>
      <c r="N40" s="116">
        <f t="shared" si="35"/>
        <v>2502158.8757299501</v>
      </c>
      <c r="O40" s="116">
        <f t="shared" si="35"/>
        <v>2507507.1893437896</v>
      </c>
      <c r="P40" s="116">
        <f t="shared" si="35"/>
        <v>2512989.2107979744</v>
      </c>
      <c r="Q40" s="116">
        <f t="shared" si="35"/>
        <v>2518608.2827885142</v>
      </c>
      <c r="R40" s="116">
        <f t="shared" si="35"/>
        <v>2524367.8315788172</v>
      </c>
      <c r="S40" s="116">
        <f t="shared" si="35"/>
        <v>2530271.3690888775</v>
      </c>
      <c r="T40" s="116">
        <f t="shared" si="35"/>
        <v>2536322.4950366896</v>
      </c>
      <c r="U40" s="116">
        <f t="shared" si="35"/>
        <v>2542524.899133197</v>
      </c>
      <c r="V40" s="116">
        <f t="shared" si="35"/>
        <v>2548882.363332117</v>
      </c>
      <c r="W40" s="116">
        <f t="shared" si="35"/>
        <v>2555398.7641360103</v>
      </c>
      <c r="X40" s="116">
        <f t="shared" si="35"/>
        <v>2562078.0749600008</v>
      </c>
      <c r="Y40" s="116">
        <f t="shared" si="35"/>
        <v>2568924.3685545912</v>
      </c>
      <c r="Z40" s="116">
        <f t="shared" si="35"/>
        <v>2575941.819489046</v>
      </c>
      <c r="AA40" s="116">
        <f t="shared" si="35"/>
        <v>2583134.7066968624</v>
      </c>
      <c r="AB40" s="116">
        <f t="shared" si="35"/>
        <v>2590507.416084874</v>
      </c>
      <c r="AC40" s="116">
        <f t="shared" si="35"/>
        <v>2288226.3311763918</v>
      </c>
      <c r="AD40" s="116">
        <f t="shared" ref="AD40:AH40" si="36">AD30+AD34</f>
        <v>1810595.7370143114</v>
      </c>
      <c r="AE40" s="116">
        <f t="shared" si="36"/>
        <v>1376386.1059578743</v>
      </c>
      <c r="AF40" s="116">
        <f t="shared" si="36"/>
        <v>981650.07772474992</v>
      </c>
      <c r="AG40" s="116">
        <f t="shared" si="36"/>
        <v>622799.14296736405</v>
      </c>
      <c r="AH40" s="116">
        <f t="shared" si="36"/>
        <v>296571.02046064963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C42" si="37">C40-C24</f>
        <v>-1824074.0740740739</v>
      </c>
      <c r="D42" s="31">
        <f t="shared" si="37"/>
        <v>-1311559.0715827548</v>
      </c>
      <c r="E42" s="31">
        <f t="shared" si="37"/>
        <v>-843971.40437493287</v>
      </c>
      <c r="F42" s="31">
        <f t="shared" si="37"/>
        <v>-417239.20221912651</v>
      </c>
      <c r="G42" s="31">
        <f t="shared" si="37"/>
        <v>-27657.390064446488</v>
      </c>
      <c r="H42" s="31">
        <f t="shared" si="37"/>
        <v>328145.49005150329</v>
      </c>
      <c r="I42" s="31">
        <f t="shared" si="37"/>
        <v>1682879.7151669925</v>
      </c>
      <c r="J42" s="31">
        <f t="shared" si="37"/>
        <v>1687606.8450860647</v>
      </c>
      <c r="K42" s="31">
        <f t="shared" si="37"/>
        <v>1692452.1532531129</v>
      </c>
      <c r="L42" s="31">
        <f t="shared" si="37"/>
        <v>1697418.5941243381</v>
      </c>
      <c r="M42" s="31">
        <f t="shared" si="37"/>
        <v>1702509.1960173436</v>
      </c>
      <c r="N42" s="31">
        <f t="shared" si="37"/>
        <v>1707727.0629576738</v>
      </c>
      <c r="O42" s="31">
        <f t="shared" si="37"/>
        <v>1713075.3765715132</v>
      </c>
      <c r="P42" s="31">
        <f t="shared" si="37"/>
        <v>1718557.398025698</v>
      </c>
      <c r="Q42" s="31">
        <f t="shared" si="37"/>
        <v>1724176.4700162378</v>
      </c>
      <c r="R42" s="31">
        <f t="shared" si="37"/>
        <v>1729936.0188065409</v>
      </c>
      <c r="S42" s="31">
        <f t="shared" si="37"/>
        <v>1735839.5563166011</v>
      </c>
      <c r="T42" s="31">
        <f t="shared" si="37"/>
        <v>1741890.6822644132</v>
      </c>
      <c r="U42" s="31">
        <f t="shared" si="37"/>
        <v>1748093.0863609207</v>
      </c>
      <c r="V42" s="31">
        <f t="shared" si="37"/>
        <v>1754450.5505598406</v>
      </c>
      <c r="W42" s="31">
        <f t="shared" si="37"/>
        <v>1760966.951363734</v>
      </c>
      <c r="X42" s="31">
        <f t="shared" si="37"/>
        <v>1767646.2621877245</v>
      </c>
      <c r="Y42" s="31">
        <f t="shared" si="37"/>
        <v>1774492.5557823149</v>
      </c>
      <c r="Z42" s="31">
        <f t="shared" si="37"/>
        <v>1781510.0067167697</v>
      </c>
      <c r="AA42" s="31">
        <f t="shared" si="37"/>
        <v>1788702.893924586</v>
      </c>
      <c r="AB42" s="31">
        <f t="shared" si="37"/>
        <v>1796075.6033125976</v>
      </c>
      <c r="AC42" s="31">
        <f t="shared" si="37"/>
        <v>1493794.5184041155</v>
      </c>
      <c r="AD42" s="31">
        <f t="shared" ref="AD42:AH42" si="38">AD40-AD24</f>
        <v>1181988.8400669508</v>
      </c>
      <c r="AE42" s="31">
        <f t="shared" si="38"/>
        <v>898529.13248770987</v>
      </c>
      <c r="AF42" s="31">
        <f t="shared" si="38"/>
        <v>640838.48923385481</v>
      </c>
      <c r="AG42" s="31">
        <f t="shared" si="38"/>
        <v>406574.26809398644</v>
      </c>
      <c r="AH42" s="31">
        <f t="shared" si="38"/>
        <v>193606.7943304698</v>
      </c>
    </row>
    <row r="43" spans="1:34" x14ac:dyDescent="0.25">
      <c r="A43" s="119" t="s">
        <v>93</v>
      </c>
      <c r="B43" s="28" t="s">
        <v>37</v>
      </c>
      <c r="C43" s="31">
        <f t="shared" ref="C43:AC43" si="39">C34-C24</f>
        <v>-1824074.0740740739</v>
      </c>
      <c r="D43" s="31">
        <f t="shared" si="39"/>
        <v>-1542807.9136946502</v>
      </c>
      <c r="E43" s="31">
        <f t="shared" si="39"/>
        <v>-1287111.4042588104</v>
      </c>
      <c r="F43" s="31">
        <f t="shared" si="39"/>
        <v>-1054660.0320444105</v>
      </c>
      <c r="G43" s="31">
        <f t="shared" si="39"/>
        <v>-843340.60275859281</v>
      </c>
      <c r="H43" s="31">
        <f t="shared" si="39"/>
        <v>-651232.03068057611</v>
      </c>
      <c r="I43" s="31">
        <f t="shared" si="39"/>
        <v>553054.38705578179</v>
      </c>
      <c r="J43" s="31">
        <f t="shared" si="39"/>
        <v>553054.38705578179</v>
      </c>
      <c r="K43" s="31">
        <f t="shared" si="39"/>
        <v>553054.38705578179</v>
      </c>
      <c r="L43" s="31">
        <f t="shared" si="39"/>
        <v>553054.38705578179</v>
      </c>
      <c r="M43" s="31">
        <f t="shared" si="39"/>
        <v>553054.38705578179</v>
      </c>
      <c r="N43" s="31">
        <f t="shared" si="39"/>
        <v>553054.38705578179</v>
      </c>
      <c r="O43" s="31">
        <f t="shared" si="39"/>
        <v>553054.38705578179</v>
      </c>
      <c r="P43" s="31">
        <f t="shared" si="39"/>
        <v>553054.38705578179</v>
      </c>
      <c r="Q43" s="31">
        <f t="shared" si="39"/>
        <v>553054.38705578179</v>
      </c>
      <c r="R43" s="31">
        <f t="shared" si="39"/>
        <v>553054.38705578179</v>
      </c>
      <c r="S43" s="31">
        <f t="shared" si="39"/>
        <v>553054.38705578179</v>
      </c>
      <c r="T43" s="31">
        <f t="shared" si="39"/>
        <v>553054.38705578179</v>
      </c>
      <c r="U43" s="31">
        <f t="shared" si="39"/>
        <v>553054.38705578179</v>
      </c>
      <c r="V43" s="31">
        <f t="shared" si="39"/>
        <v>553054.38705578179</v>
      </c>
      <c r="W43" s="31">
        <f t="shared" si="39"/>
        <v>553054.38705578179</v>
      </c>
      <c r="X43" s="31">
        <f t="shared" si="39"/>
        <v>553054.38705578179</v>
      </c>
      <c r="Y43" s="31">
        <f t="shared" si="39"/>
        <v>553054.38705578179</v>
      </c>
      <c r="Z43" s="31">
        <f t="shared" si="39"/>
        <v>553054.38705578179</v>
      </c>
      <c r="AA43" s="31">
        <f t="shared" si="39"/>
        <v>553054.38705578179</v>
      </c>
      <c r="AB43" s="31">
        <f t="shared" si="39"/>
        <v>553054.38705578179</v>
      </c>
      <c r="AC43" s="31">
        <f t="shared" si="39"/>
        <v>553054.38705578179</v>
      </c>
      <c r="AD43" s="31">
        <f t="shared" ref="AD43:AH43" si="40">AD34-AD24</f>
        <v>437613.14250127412</v>
      </c>
      <c r="AE43" s="31">
        <f t="shared" si="40"/>
        <v>332666.55654263025</v>
      </c>
      <c r="AF43" s="31">
        <f t="shared" si="40"/>
        <v>237260.5693074998</v>
      </c>
      <c r="AG43" s="31">
        <f t="shared" si="40"/>
        <v>150527.85363919917</v>
      </c>
      <c r="AH43" s="31">
        <f t="shared" si="40"/>
        <v>71679.930304380585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C45" si="41">(C25+C26)*C$8</f>
        <v>1824074.0740740739</v>
      </c>
      <c r="D45" s="31">
        <f t="shared" si="41"/>
        <v>1605185.1851851852</v>
      </c>
      <c r="E45" s="31">
        <f t="shared" si="41"/>
        <v>1412562.9629629629</v>
      </c>
      <c r="F45" s="31">
        <f t="shared" si="41"/>
        <v>1243055.4074074072</v>
      </c>
      <c r="G45" s="31">
        <f t="shared" si="41"/>
        <v>1093888.7585185186</v>
      </c>
      <c r="H45" s="31">
        <f t="shared" si="41"/>
        <v>962622.10749629629</v>
      </c>
      <c r="I45" s="31">
        <f t="shared" si="41"/>
        <v>368937.38052266667</v>
      </c>
      <c r="J45" s="31">
        <f t="shared" si="41"/>
        <v>324664.89485994674</v>
      </c>
      <c r="K45" s="31">
        <f t="shared" si="41"/>
        <v>285705.10747675312</v>
      </c>
      <c r="L45" s="31">
        <f t="shared" si="41"/>
        <v>251420.49457954275</v>
      </c>
      <c r="M45" s="31">
        <f t="shared" si="41"/>
        <v>221250.03522999759</v>
      </c>
      <c r="N45" s="31">
        <f t="shared" si="41"/>
        <v>194700.03100239788</v>
      </c>
      <c r="O45" s="31">
        <f t="shared" si="41"/>
        <v>171336.02728211015</v>
      </c>
      <c r="P45" s="31">
        <f t="shared" si="41"/>
        <v>150775.7040082569</v>
      </c>
      <c r="Q45" s="31">
        <f t="shared" si="41"/>
        <v>132682.6195272661</v>
      </c>
      <c r="R45" s="31">
        <f t="shared" si="41"/>
        <v>116760.70518399417</v>
      </c>
      <c r="S45" s="31">
        <f t="shared" si="41"/>
        <v>102749.42056191487</v>
      </c>
      <c r="T45" s="31">
        <f t="shared" si="41"/>
        <v>90419.490094485081</v>
      </c>
      <c r="U45" s="31">
        <f t="shared" si="41"/>
        <v>79569.151283146872</v>
      </c>
      <c r="V45" s="31">
        <f t="shared" si="41"/>
        <v>70020.853129169249</v>
      </c>
      <c r="W45" s="31">
        <f t="shared" si="41"/>
        <v>61618.350753668936</v>
      </c>
      <c r="X45" s="31">
        <f t="shared" si="41"/>
        <v>54224.148663228669</v>
      </c>
      <c r="Y45" s="31">
        <f t="shared" si="41"/>
        <v>47717.250823641225</v>
      </c>
      <c r="Z45" s="31">
        <f t="shared" si="41"/>
        <v>41991.180724804282</v>
      </c>
      <c r="AA45" s="31">
        <f t="shared" si="41"/>
        <v>36952.239037827763</v>
      </c>
      <c r="AB45" s="31">
        <f t="shared" si="41"/>
        <v>32517.970353288434</v>
      </c>
      <c r="AC45" s="31">
        <f t="shared" si="41"/>
        <v>28615.813910893819</v>
      </c>
      <c r="AD45" s="31">
        <f t="shared" ref="AD45:AH45" si="42">(AD25+AD26)*AD$8</f>
        <v>19925.594586365838</v>
      </c>
      <c r="AE45" s="31">
        <f t="shared" si="42"/>
        <v>13329.465911825358</v>
      </c>
      <c r="AF45" s="31">
        <f t="shared" si="42"/>
        <v>8365.88414306505</v>
      </c>
      <c r="AG45" s="31">
        <f t="shared" si="42"/>
        <v>4670.7413584242358</v>
      </c>
      <c r="AH45" s="31">
        <f t="shared" si="42"/>
        <v>1957.2630454349182</v>
      </c>
    </row>
    <row r="46" spans="1:34" x14ac:dyDescent="0.25">
      <c r="A46" s="51" t="s">
        <v>70</v>
      </c>
      <c r="B46" s="28" t="s">
        <v>37</v>
      </c>
      <c r="C46" s="31">
        <f t="shared" ref="C46:AC46" si="43">C34*C$8</f>
        <v>0</v>
      </c>
      <c r="D46" s="31">
        <f t="shared" si="43"/>
        <v>247514.22113389292</v>
      </c>
      <c r="E46" s="31">
        <f t="shared" si="43"/>
        <v>415823.89150494005</v>
      </c>
      <c r="F46" s="31">
        <f t="shared" si="43"/>
        <v>524334.12605003885</v>
      </c>
      <c r="G46" s="31">
        <f t="shared" si="43"/>
        <v>588141.31214458728</v>
      </c>
      <c r="H46" s="31">
        <f t="shared" si="43"/>
        <v>618946.17966367945</v>
      </c>
      <c r="I46" s="31">
        <f t="shared" si="43"/>
        <v>625778.09808519192</v>
      </c>
      <c r="J46" s="31">
        <f t="shared" si="43"/>
        <v>550684.7263149689</v>
      </c>
      <c r="K46" s="31">
        <f t="shared" si="43"/>
        <v>484602.55915717263</v>
      </c>
      <c r="L46" s="31">
        <f t="shared" si="43"/>
        <v>426450.25205831195</v>
      </c>
      <c r="M46" s="31">
        <f t="shared" si="43"/>
        <v>375276.22181131446</v>
      </c>
      <c r="N46" s="31">
        <f t="shared" si="43"/>
        <v>330243.07519395673</v>
      </c>
      <c r="O46" s="31">
        <f t="shared" si="43"/>
        <v>290613.90617068193</v>
      </c>
      <c r="P46" s="31">
        <f t="shared" si="43"/>
        <v>255740.23743020007</v>
      </c>
      <c r="Q46" s="31">
        <f t="shared" si="43"/>
        <v>225051.40893857609</v>
      </c>
      <c r="R46" s="31">
        <f t="shared" si="43"/>
        <v>198045.23986594699</v>
      </c>
      <c r="S46" s="31">
        <f t="shared" si="43"/>
        <v>174279.81108203332</v>
      </c>
      <c r="T46" s="31">
        <f t="shared" si="43"/>
        <v>153366.23375218935</v>
      </c>
      <c r="U46" s="31">
        <f t="shared" si="43"/>
        <v>134962.28570192659</v>
      </c>
      <c r="V46" s="31">
        <f t="shared" si="43"/>
        <v>118766.81141769543</v>
      </c>
      <c r="W46" s="31">
        <f t="shared" si="43"/>
        <v>104514.79404757197</v>
      </c>
      <c r="X46" s="31">
        <f t="shared" si="43"/>
        <v>91973.018761863335</v>
      </c>
      <c r="Y46" s="31">
        <f t="shared" si="43"/>
        <v>80936.256510439722</v>
      </c>
      <c r="Z46" s="31">
        <f t="shared" si="43"/>
        <v>71223.905729186969</v>
      </c>
      <c r="AA46" s="31">
        <f t="shared" si="43"/>
        <v>62677.037041684525</v>
      </c>
      <c r="AB46" s="31">
        <f t="shared" si="43"/>
        <v>55155.79259668239</v>
      </c>
      <c r="AC46" s="31">
        <f t="shared" si="43"/>
        <v>48537.097485080492</v>
      </c>
      <c r="AD46" s="31">
        <f t="shared" ref="AD46:AH46" si="44">AD34*AD$8</f>
        <v>33797.065143705455</v>
      </c>
      <c r="AE46" s="31">
        <f t="shared" si="44"/>
        <v>22608.952811928473</v>
      </c>
      <c r="AF46" s="31">
        <f t="shared" si="44"/>
        <v>14189.906862871207</v>
      </c>
      <c r="AG46" s="31">
        <f t="shared" si="44"/>
        <v>7922.3407500259782</v>
      </c>
      <c r="AH46" s="31">
        <f t="shared" si="44"/>
        <v>3319.8380285823159</v>
      </c>
    </row>
    <row r="47" spans="1:34" x14ac:dyDescent="0.25">
      <c r="A47" s="51" t="s">
        <v>153</v>
      </c>
      <c r="B47" s="28" t="s">
        <v>37</v>
      </c>
      <c r="C47" s="31">
        <f t="shared" ref="C47:AC47" si="45">C30*C$10</f>
        <v>0</v>
      </c>
      <c r="D47" s="31">
        <f t="shared" si="45"/>
        <v>231248.84211189536</v>
      </c>
      <c r="E47" s="31">
        <f t="shared" si="45"/>
        <v>443139.99988387752</v>
      </c>
      <c r="F47" s="31">
        <f t="shared" si="45"/>
        <v>637420.82982528408</v>
      </c>
      <c r="G47" s="31">
        <f t="shared" si="45"/>
        <v>815683.21269414632</v>
      </c>
      <c r="H47" s="31">
        <f t="shared" si="45"/>
        <v>979377.5207320794</v>
      </c>
      <c r="I47" s="31">
        <f t="shared" si="45"/>
        <v>1129825.3281112106</v>
      </c>
      <c r="J47" s="31">
        <f t="shared" si="45"/>
        <v>1134552.4580302825</v>
      </c>
      <c r="K47" s="31">
        <f t="shared" si="45"/>
        <v>1139397.766197331</v>
      </c>
      <c r="L47" s="31">
        <f t="shared" si="45"/>
        <v>1144364.207068556</v>
      </c>
      <c r="M47" s="31">
        <f t="shared" si="45"/>
        <v>1149454.8089615616</v>
      </c>
      <c r="N47" s="31">
        <f t="shared" si="45"/>
        <v>1154672.6759018921</v>
      </c>
      <c r="O47" s="31">
        <f t="shared" si="45"/>
        <v>1160020.9895157311</v>
      </c>
      <c r="P47" s="31">
        <f t="shared" si="45"/>
        <v>1165503.0109699161</v>
      </c>
      <c r="Q47" s="31">
        <f t="shared" si="45"/>
        <v>1171122.0829604557</v>
      </c>
      <c r="R47" s="31">
        <f t="shared" si="45"/>
        <v>1176881.6317507587</v>
      </c>
      <c r="S47" s="31">
        <f t="shared" si="45"/>
        <v>1182785.1692608192</v>
      </c>
      <c r="T47" s="31">
        <f t="shared" si="45"/>
        <v>1188836.2952086315</v>
      </c>
      <c r="U47" s="31">
        <f t="shared" si="45"/>
        <v>1195038.6993051388</v>
      </c>
      <c r="V47" s="31">
        <f t="shared" si="45"/>
        <v>1201396.163504059</v>
      </c>
      <c r="W47" s="31">
        <f t="shared" si="45"/>
        <v>1207912.5643079521</v>
      </c>
      <c r="X47" s="31">
        <f t="shared" si="45"/>
        <v>1214591.8751319426</v>
      </c>
      <c r="Y47" s="31">
        <f t="shared" si="45"/>
        <v>1221438.1687265327</v>
      </c>
      <c r="Z47" s="31">
        <f t="shared" si="45"/>
        <v>1228455.6196609878</v>
      </c>
      <c r="AA47" s="31">
        <f t="shared" si="45"/>
        <v>1235648.5068688041</v>
      </c>
      <c r="AB47" s="31">
        <f t="shared" si="45"/>
        <v>1243021.2162568157</v>
      </c>
      <c r="AC47" s="31">
        <f t="shared" si="45"/>
        <v>940740.13134833355</v>
      </c>
      <c r="AD47" s="31">
        <f t="shared" ref="AD47:AH47" si="46">AD30*AD$10</f>
        <v>744375.69756567676</v>
      </c>
      <c r="AE47" s="31">
        <f t="shared" si="46"/>
        <v>565862.57594507968</v>
      </c>
      <c r="AF47" s="31">
        <f t="shared" si="46"/>
        <v>403577.91992635507</v>
      </c>
      <c r="AG47" s="31">
        <f t="shared" si="46"/>
        <v>256046.41445478724</v>
      </c>
      <c r="AH47" s="31">
        <f t="shared" si="46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-1126422.121939397</v>
      </c>
      <c r="E48" s="31">
        <f>E47+E46-E45</f>
        <v>-553599.07157414535</v>
      </c>
      <c r="F48" s="31">
        <f t="shared" ref="F48:AC48" si="47">F47+F46-F45</f>
        <v>-81300.451532084262</v>
      </c>
      <c r="G48" s="31">
        <f t="shared" si="47"/>
        <v>309935.76632021484</v>
      </c>
      <c r="H48" s="31">
        <f t="shared" si="47"/>
        <v>635701.59289946244</v>
      </c>
      <c r="I48" s="31">
        <f t="shared" si="47"/>
        <v>1386666.0456737357</v>
      </c>
      <c r="J48" s="31">
        <f t="shared" si="47"/>
        <v>1360572.2894853046</v>
      </c>
      <c r="K48" s="31">
        <f t="shared" si="47"/>
        <v>1338295.2178777505</v>
      </c>
      <c r="L48" s="31">
        <f t="shared" si="47"/>
        <v>1319393.9645473252</v>
      </c>
      <c r="M48" s="31">
        <f t="shared" si="47"/>
        <v>1303480.9955428783</v>
      </c>
      <c r="N48" s="31">
        <f t="shared" si="47"/>
        <v>1290215.720093451</v>
      </c>
      <c r="O48" s="31">
        <f t="shared" si="47"/>
        <v>1279298.868404303</v>
      </c>
      <c r="P48" s="31">
        <f t="shared" si="47"/>
        <v>1270467.5443918593</v>
      </c>
      <c r="Q48" s="31">
        <f t="shared" si="47"/>
        <v>1263490.8723717656</v>
      </c>
      <c r="R48" s="31">
        <f t="shared" si="47"/>
        <v>1258166.1664327115</v>
      </c>
      <c r="S48" s="31">
        <f t="shared" si="47"/>
        <v>1254315.5597809376</v>
      </c>
      <c r="T48" s="31">
        <f t="shared" si="47"/>
        <v>1251783.038866336</v>
      </c>
      <c r="U48" s="31">
        <f t="shared" si="47"/>
        <v>1250431.8337239185</v>
      </c>
      <c r="V48" s="31">
        <f t="shared" si="47"/>
        <v>1250142.1217925851</v>
      </c>
      <c r="W48" s="31">
        <f t="shared" si="47"/>
        <v>1250809.0076018551</v>
      </c>
      <c r="X48" s="31">
        <f t="shared" si="47"/>
        <v>1252340.7452305772</v>
      </c>
      <c r="Y48" s="31">
        <f t="shared" si="47"/>
        <v>1254657.1744133313</v>
      </c>
      <c r="Z48" s="31">
        <f t="shared" si="47"/>
        <v>1257688.3446653704</v>
      </c>
      <c r="AA48" s="31">
        <f t="shared" si="47"/>
        <v>1261373.3048726609</v>
      </c>
      <c r="AB48" s="31">
        <f t="shared" si="47"/>
        <v>1265659.0385002098</v>
      </c>
      <c r="AC48" s="31">
        <f t="shared" si="47"/>
        <v>960661.41492252017</v>
      </c>
      <c r="AD48" s="31">
        <f t="shared" ref="AD48:AH48" si="48">AD47+AD46-AD45</f>
        <v>758247.16812301637</v>
      </c>
      <c r="AE48" s="31">
        <f t="shared" si="48"/>
        <v>575142.06284518284</v>
      </c>
      <c r="AF48" s="31">
        <f t="shared" si="48"/>
        <v>409401.94264616119</v>
      </c>
      <c r="AG48" s="31">
        <f t="shared" si="48"/>
        <v>259298.01384638896</v>
      </c>
      <c r="AH48" s="31">
        <f t="shared" si="48"/>
        <v>123289.43900923659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3680892.9032709571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-3462031.5044583445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C53" si="49">(XNPV($B$6,D30,D$22)+XNPV($B$6,D34,D$22))/(XNPV($B$6,D24,D$22))</f>
        <v>0.28097269172112926</v>
      </c>
      <c r="E53" s="32">
        <f t="shared" si="49"/>
        <v>0.53731516917516364</v>
      </c>
      <c r="F53" s="32">
        <f t="shared" si="49"/>
        <v>0.77125972670220477</v>
      </c>
      <c r="G53" s="32">
        <f t="shared" si="49"/>
        <v>0.98483757295959284</v>
      </c>
      <c r="H53" s="32">
        <f t="shared" si="49"/>
        <v>1.1798970199267125</v>
      </c>
      <c r="I53" s="32">
        <f t="shared" si="49"/>
        <v>3.1183438126607212</v>
      </c>
      <c r="J53" s="32">
        <f t="shared" si="49"/>
        <v>3.1242941407355453</v>
      </c>
      <c r="K53" s="32">
        <f t="shared" si="49"/>
        <v>3.130393227012239</v>
      </c>
      <c r="L53" s="32">
        <f t="shared" si="49"/>
        <v>3.136644790445851</v>
      </c>
      <c r="M53" s="32">
        <f t="shared" si="49"/>
        <v>3.1430526429653023</v>
      </c>
      <c r="N53" s="32">
        <f t="shared" si="49"/>
        <v>3.1496206917977401</v>
      </c>
      <c r="O53" s="32">
        <f t="shared" si="49"/>
        <v>3.1563529418509897</v>
      </c>
      <c r="P53" s="32">
        <f t="shared" si="49"/>
        <v>3.1632534981555702</v>
      </c>
      <c r="Q53" s="32">
        <f t="shared" si="49"/>
        <v>3.1703265683677651</v>
      </c>
      <c r="R53" s="32">
        <f t="shared" si="49"/>
        <v>3.1775764653352647</v>
      </c>
      <c r="S53" s="32">
        <f t="shared" si="49"/>
        <v>3.1850076097269517</v>
      </c>
      <c r="T53" s="32">
        <f t="shared" si="49"/>
        <v>3.1926245327284311</v>
      </c>
      <c r="U53" s="32">
        <f t="shared" si="49"/>
        <v>3.2004318788049475</v>
      </c>
      <c r="V53" s="32">
        <f t="shared" si="49"/>
        <v>3.2084344085333765</v>
      </c>
      <c r="W53" s="32">
        <f t="shared" si="49"/>
        <v>3.216637001505017</v>
      </c>
      <c r="X53" s="32">
        <f t="shared" si="49"/>
        <v>3.2250446593009481</v>
      </c>
      <c r="Y53" s="32">
        <f t="shared" si="49"/>
        <v>3.2336625085417774</v>
      </c>
      <c r="Z53" s="32">
        <f t="shared" si="49"/>
        <v>3.2424958040136271</v>
      </c>
      <c r="AA53" s="32">
        <f t="shared" si="49"/>
        <v>3.2515499318722738</v>
      </c>
      <c r="AB53" s="32">
        <f t="shared" si="49"/>
        <v>3.260830412927386</v>
      </c>
      <c r="AC53" s="32">
        <f t="shared" si="49"/>
        <v>2.8803306896677752</v>
      </c>
      <c r="AD53" s="32">
        <f t="shared" ref="AD53:AH53" si="50">(XNPV($B$6,AD30,AD$22)+XNPV($B$6,AD34,AD$22))/(XNPV($B$6,AD24,AD$22))</f>
        <v>2.8803306896677756</v>
      </c>
      <c r="AE53" s="32">
        <f t="shared" si="50"/>
        <v>2.8803306896677752</v>
      </c>
      <c r="AF53" s="32">
        <f t="shared" si="50"/>
        <v>2.8803306896677752</v>
      </c>
      <c r="AG53" s="32">
        <f t="shared" si="50"/>
        <v>2.8803306896677747</v>
      </c>
      <c r="AH53" s="32">
        <f t="shared" si="50"/>
        <v>2.8803306896677747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1.2443942687094012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C55" si="51">(XNPV($B$14,D47,D$22)+XNPV($B$14,D46,D$22))/(XNPV($B$14,D45,D$22))</f>
        <v>0.2982603301254334</v>
      </c>
      <c r="E55" s="32">
        <f t="shared" si="51"/>
        <v>0.60808892340421605</v>
      </c>
      <c r="F55" s="32">
        <f t="shared" si="51"/>
        <v>0.93459627700614767</v>
      </c>
      <c r="G55" s="32">
        <f t="shared" si="51"/>
        <v>1.2833338983572413</v>
      </c>
      <c r="H55" s="32">
        <f t="shared" si="51"/>
        <v>1.660385407678691</v>
      </c>
      <c r="I55" s="32">
        <f>(XNPV($B$14,I47,I$22)+XNPV($B$14,I46,I$22))/(XNPV($B$14,I45,I$22))</f>
        <v>4.7585403889117224</v>
      </c>
      <c r="J55" s="32">
        <f t="shared" si="51"/>
        <v>5.1906972728672294</v>
      </c>
      <c r="K55" s="32">
        <f t="shared" si="51"/>
        <v>5.6841837365005565</v>
      </c>
      <c r="L55" s="32">
        <f t="shared" si="51"/>
        <v>6.247758209822087</v>
      </c>
      <c r="M55" s="32">
        <f t="shared" si="51"/>
        <v>6.8914385897740615</v>
      </c>
      <c r="N55" s="32">
        <f t="shared" si="51"/>
        <v>7.6266847182862589</v>
      </c>
      <c r="O55" s="32">
        <f t="shared" si="51"/>
        <v>8.4666075121369371</v>
      </c>
      <c r="P55" s="32">
        <f t="shared" si="51"/>
        <v>9.426208670345753</v>
      </c>
      <c r="Q55" s="32">
        <f t="shared" si="51"/>
        <v>10.522655468164915</v>
      </c>
      <c r="R55" s="32">
        <f t="shared" si="51"/>
        <v>11.775595817531803</v>
      </c>
      <c r="S55" s="32">
        <f t="shared" si="51"/>
        <v>13.207519545330287</v>
      </c>
      <c r="T55" s="32">
        <f t="shared" si="51"/>
        <v>14.84417272822782</v>
      </c>
      <c r="U55" s="32">
        <f t="shared" si="51"/>
        <v>16.715032943788177</v>
      </c>
      <c r="V55" s="32">
        <f t="shared" si="51"/>
        <v>18.853854472272939</v>
      </c>
      <c r="W55" s="32">
        <f t="shared" si="51"/>
        <v>21.299293835406303</v>
      </c>
      <c r="X55" s="32">
        <f t="shared" si="51"/>
        <v>24.095627614340657</v>
      </c>
      <c r="Y55" s="32">
        <f t="shared" si="51"/>
        <v>27.293576280210154</v>
      </c>
      <c r="Z55" s="32">
        <f t="shared" si="51"/>
        <v>30.951249832859574</v>
      </c>
      <c r="AA55" s="32">
        <f t="shared" si="51"/>
        <v>35.135233417964237</v>
      </c>
      <c r="AB55" s="32">
        <f t="shared" si="51"/>
        <v>39.921833827559837</v>
      </c>
      <c r="AC55" s="32">
        <f t="shared" si="51"/>
        <v>34.570997418207412</v>
      </c>
      <c r="AD55" s="32">
        <f t="shared" ref="AD55:AH55" si="52">(XNPV($B$14,AD47,AD$22)+XNPV($B$14,AD46,AD$22))/(XNPV($B$14,AD45,AD$22))</f>
        <v>39.053929323737712</v>
      </c>
      <c r="AE55" s="32">
        <f t="shared" si="52"/>
        <v>44.148170125476689</v>
      </c>
      <c r="AF55" s="32">
        <f t="shared" si="52"/>
        <v>49.937080127452809</v>
      </c>
      <c r="AG55" s="32">
        <f t="shared" si="52"/>
        <v>56.515386947880181</v>
      </c>
      <c r="AH55" s="32">
        <f t="shared" si="52"/>
        <v>63.99073560745677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1.3915544947397847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C57" si="53">(XNPV($B$6,D46,D$22))/(XNPV($B$6,D45,D$22))</f>
        <v>0.15419667675623233</v>
      </c>
      <c r="E57" s="32">
        <f t="shared" si="53"/>
        <v>0.29437547380735257</v>
      </c>
      <c r="F57" s="32">
        <f t="shared" si="53"/>
        <v>0.42181074385382578</v>
      </c>
      <c r="G57" s="32">
        <f t="shared" si="53"/>
        <v>0.53766098935061912</v>
      </c>
      <c r="H57" s="32">
        <f t="shared" si="53"/>
        <v>0.64297939434770446</v>
      </c>
      <c r="I57" s="32">
        <f t="shared" si="53"/>
        <v>1.6961634443185556</v>
      </c>
      <c r="J57" s="32">
        <f t="shared" si="53"/>
        <v>1.6961634443185554</v>
      </c>
      <c r="K57" s="32">
        <f t="shared" si="53"/>
        <v>1.6961634443185554</v>
      </c>
      <c r="L57" s="32">
        <f t="shared" si="53"/>
        <v>1.6961634443185556</v>
      </c>
      <c r="M57" s="32">
        <f t="shared" si="53"/>
        <v>1.6961634443185556</v>
      </c>
      <c r="N57" s="32">
        <f t="shared" si="53"/>
        <v>1.6961634443185556</v>
      </c>
      <c r="O57" s="32">
        <f t="shared" si="53"/>
        <v>1.6961634443185554</v>
      </c>
      <c r="P57" s="32">
        <f t="shared" si="53"/>
        <v>1.6961634443185556</v>
      </c>
      <c r="Q57" s="32">
        <f t="shared" si="53"/>
        <v>1.6961634443185554</v>
      </c>
      <c r="R57" s="32">
        <f t="shared" si="53"/>
        <v>1.6961634443185556</v>
      </c>
      <c r="S57" s="32">
        <f t="shared" si="53"/>
        <v>1.6961634443185554</v>
      </c>
      <c r="T57" s="32">
        <f t="shared" si="53"/>
        <v>1.6961634443185558</v>
      </c>
      <c r="U57" s="32">
        <f t="shared" si="53"/>
        <v>1.6961634443185554</v>
      </c>
      <c r="V57" s="32">
        <f t="shared" si="53"/>
        <v>1.6961634443185556</v>
      </c>
      <c r="W57" s="32">
        <f t="shared" si="53"/>
        <v>1.6961634443185556</v>
      </c>
      <c r="X57" s="32">
        <f t="shared" si="53"/>
        <v>1.6961634443185556</v>
      </c>
      <c r="Y57" s="32">
        <f t="shared" si="53"/>
        <v>1.6961634443185554</v>
      </c>
      <c r="Z57" s="32">
        <f t="shared" si="53"/>
        <v>1.6961634443185556</v>
      </c>
      <c r="AA57" s="32">
        <f t="shared" si="53"/>
        <v>1.6961634443185556</v>
      </c>
      <c r="AB57" s="32">
        <f t="shared" si="53"/>
        <v>1.6961634443185556</v>
      </c>
      <c r="AC57" s="32">
        <f t="shared" si="53"/>
        <v>1.6961634443185554</v>
      </c>
      <c r="AD57" s="32">
        <f t="shared" ref="AD57:AH57" si="54">(XNPV($B$6,AD46,AD$22))/(XNPV($B$6,AD45,AD$22))</f>
        <v>1.696163444318556</v>
      </c>
      <c r="AE57" s="32">
        <f t="shared" si="54"/>
        <v>1.6961634443185554</v>
      </c>
      <c r="AF57" s="32">
        <f t="shared" si="54"/>
        <v>1.696163444318556</v>
      </c>
      <c r="AG57" s="32">
        <f t="shared" si="54"/>
        <v>1.6961634443185549</v>
      </c>
      <c r="AH57" s="32">
        <f t="shared" si="54"/>
        <v>1.6961634443185554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0.42333867581460605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0.19126814365386963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4.102584362030029E-2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0.28097269172112926</v>
      </c>
      <c r="D65" s="121">
        <f>(SUM($D$34:E34)+SUM($D$30:E30))/SUM($C$25:D25)</f>
        <v>0.42862697475520106</v>
      </c>
      <c r="E65" s="121">
        <f>(SUM($D$34:F34)+SUM($D$30:F30))/SUM($C$25:E25)</f>
        <v>0.58107328730942054</v>
      </c>
      <c r="F65" s="121">
        <f>(SUM($D$34:G34)+SUM($D$30:G30))/SUM($C$25:F25)</f>
        <v>0.73831214150028412</v>
      </c>
      <c r="G65" s="121">
        <f>(SUM($D$34:H34)+SUM($D$30:H30))/SUM($C$25:G25)</f>
        <v>0.90033652854954049</v>
      </c>
      <c r="H65" s="121">
        <f>(SUM($D$34:I34)+SUM($D$30:I30))/SUM($C$25:H25)</f>
        <v>1.0671320707903913</v>
      </c>
      <c r="I65" s="121">
        <f>(SUM($D$34:J34)+SUM($D$30:J30))/SUM($C$25:I25)</f>
        <v>1.351158810857259</v>
      </c>
      <c r="J65" s="121">
        <f>(SUM($D$34:K34)+SUM($D$30:K30))/SUM($C$25:J25)</f>
        <v>1.6357400133129172</v>
      </c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D34/C25</f>
        <v>0.15419667675623233</v>
      </c>
      <c r="D67" s="32">
        <f>SUM($D$34:E34)/SUM($C$25:D25)</f>
        <v>0.23496636458092543</v>
      </c>
      <c r="E67" s="32">
        <f>SUM($D$34:F34)/SUM($C$25:E25)</f>
        <v>0.31817622424322256</v>
      </c>
      <c r="F67" s="32">
        <f>SUM($D$34:G34)/SUM($C$25:F25)</f>
        <v>0.40381521424159611</v>
      </c>
      <c r="G67" s="32">
        <f>SUM($D$34:H34)/SUM($C$25:G25)</f>
        <v>0.49186797619846467</v>
      </c>
      <c r="H67" s="32">
        <f>SUM($D$34:I34)/SUM($C$25:H25)</f>
        <v>0.58231493307532722</v>
      </c>
      <c r="I67" s="32">
        <f>SUM($D$34:J34)/SUM($C$25:I25)</f>
        <v>0.73651160983155961</v>
      </c>
      <c r="J67" s="32">
        <f>SUM($D$34:K34)/SUM($C$25:J25)</f>
        <v>0.89070828658779189</v>
      </c>
      <c r="K67" s="32">
        <f>SUM($D$34:L34)/SUM($C$25:K25)</f>
        <v>1.0449049633440244</v>
      </c>
      <c r="L67" s="32">
        <f>SUM($D$34:M34)/SUM($C$25:L25)</f>
        <v>1.1991016401002565</v>
      </c>
      <c r="M67" s="32">
        <f>SUM($D$34:N34)/SUM($C$25:M25)</f>
        <v>1.3532983168564889</v>
      </c>
      <c r="N67" s="32">
        <f>SUM($D$34:O34)/SUM($C$25:N25)</f>
        <v>1.5074949936127213</v>
      </c>
      <c r="O67" s="32">
        <f>SUM($D$34:P34)/SUM($C$25:O25)</f>
        <v>1.6616916703689537</v>
      </c>
      <c r="P67" s="32">
        <f>SUM($D$34:Q34)/SUM($C$25:P25)</f>
        <v>1.8158883471251861</v>
      </c>
      <c r="Q67" s="32">
        <f>SUM($D$34:R34)/SUM($C$25:Q25)</f>
        <v>1.9700850238814185</v>
      </c>
      <c r="R67" s="32">
        <f>SUM($D$34:S34)/SUM($C$25:R25)</f>
        <v>2.1242817006376509</v>
      </c>
      <c r="S67" s="32">
        <f>SUM($D$34:T34)/SUM($C$25:S25)</f>
        <v>2.278478377393883</v>
      </c>
      <c r="T67" s="32">
        <f>SUM($D$34:U34)/SUM($C$25:T25)</f>
        <v>2.4326750541501156</v>
      </c>
      <c r="U67" s="32">
        <f>SUM($D$34:V34)/SUM($C$25:U25)</f>
        <v>2.5868717309063478</v>
      </c>
      <c r="V67" s="32">
        <f>SUM($D$34:W34)/SUM($C$25:V25)</f>
        <v>2.7410684076625804</v>
      </c>
      <c r="W67" s="32">
        <f>SUM($D$34:X34)/SUM($C$25:W25)</f>
        <v>2.8952650844188126</v>
      </c>
      <c r="X67" s="32">
        <f>SUM($D$34:Y34)/SUM($C$25:X25)</f>
        <v>3.0494617611750447</v>
      </c>
      <c r="Y67" s="32">
        <f>SUM($D$34:Z34)/SUM($C$25:Y25)</f>
        <v>3.2036584379312774</v>
      </c>
      <c r="Z67" s="32">
        <f>SUM($D$34:AA34)/SUM($C$25:Z25)</f>
        <v>3.3578551146875095</v>
      </c>
      <c r="AA67" s="32">
        <f>SUM($D$34:AB34)/SUM($C$25:AA25)</f>
        <v>3.5120517914437421</v>
      </c>
      <c r="AB67" s="32">
        <f>SUM($D$34:AC34)/SUM($C$25:AB25)</f>
        <v>3.6662484681999743</v>
      </c>
      <c r="AC67" s="32">
        <f>SUM($D$34:AD34)/SUM($C$25:AC25)</f>
        <v>3.7882590585829088</v>
      </c>
      <c r="AD67" s="32">
        <f>SUM($D$34:AE34)/SUM($C$25:AD25)</f>
        <v>3.8810095704446641</v>
      </c>
      <c r="AE67" s="32">
        <f>SUM($D$34:AF34)/SUM($C$25:AE25)</f>
        <v>3.9471600109235281</v>
      </c>
      <c r="AF67" s="32">
        <f>SUM($D$34:AG34)/SUM($C$25:AF25)</f>
        <v>3.9891285683270374</v>
      </c>
      <c r="AG67" s="32">
        <f>SUM($D$34:AH34)/SUM($C$25:AG25)</f>
        <v>4.0091135956620416</v>
      </c>
      <c r="AH67" s="32">
        <f>SUM($D$34:AI34)/SUM($C$25:AH25)</f>
        <v>4.0091135956620416</v>
      </c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B70" si="55">E76+E79+E82+E85+E88+E91</f>
        <v>0</v>
      </c>
      <c r="F70" s="155">
        <f t="shared" si="55"/>
        <v>364814.81481481477</v>
      </c>
      <c r="G70" s="155">
        <f>G76+G79+G82+G85+G88+G91</f>
        <v>729629.62962962955</v>
      </c>
      <c r="H70" s="155">
        <f t="shared" si="55"/>
        <v>1094444.4444444443</v>
      </c>
      <c r="I70" s="155">
        <f t="shared" si="55"/>
        <v>1459259.2592592591</v>
      </c>
      <c r="J70" s="155">
        <f t="shared" si="55"/>
        <v>1824074.0740740739</v>
      </c>
      <c r="K70" s="155">
        <f t="shared" si="55"/>
        <v>1824074.0740740739</v>
      </c>
      <c r="L70" s="155">
        <f t="shared" si="55"/>
        <v>1459259.2592592593</v>
      </c>
      <c r="M70" s="155">
        <f t="shared" si="55"/>
        <v>1094444.4444444445</v>
      </c>
      <c r="N70" s="155">
        <f t="shared" si="55"/>
        <v>729629.62962962966</v>
      </c>
      <c r="O70" s="155">
        <f t="shared" si="55"/>
        <v>364814.81481481483</v>
      </c>
      <c r="P70" s="155">
        <f t="shared" si="55"/>
        <v>0</v>
      </c>
      <c r="Q70" s="155">
        <f t="shared" si="55"/>
        <v>0</v>
      </c>
      <c r="R70" s="155">
        <f t="shared" si="55"/>
        <v>0</v>
      </c>
      <c r="S70" s="155">
        <f t="shared" si="55"/>
        <v>0</v>
      </c>
      <c r="T70" s="155">
        <f t="shared" si="55"/>
        <v>0</v>
      </c>
      <c r="U70" s="155">
        <f t="shared" si="55"/>
        <v>0</v>
      </c>
      <c r="V70" s="155">
        <f t="shared" si="55"/>
        <v>0</v>
      </c>
      <c r="W70" s="155">
        <f t="shared" si="55"/>
        <v>0</v>
      </c>
      <c r="X70" s="155">
        <f t="shared" si="55"/>
        <v>0</v>
      </c>
      <c r="Y70" s="155">
        <f t="shared" si="55"/>
        <v>0</v>
      </c>
      <c r="Z70" s="155">
        <f t="shared" si="55"/>
        <v>0</v>
      </c>
      <c r="AA70" s="155">
        <f t="shared" si="55"/>
        <v>0</v>
      </c>
      <c r="AB70" s="156">
        <f t="shared" si="55"/>
        <v>0</v>
      </c>
      <c r="AC70" s="156">
        <f t="shared" ref="AC70:AD70" si="56">AC76+AC79+AC82+AC85+AC88+AC91</f>
        <v>0</v>
      </c>
      <c r="AD70" s="156">
        <f t="shared" si="56"/>
        <v>0</v>
      </c>
      <c r="AE70" s="156">
        <f t="shared" ref="AE70:AH70" si="57">AE76+AE79+AE82+AE85+AE88+AE91</f>
        <v>0</v>
      </c>
      <c r="AF70" s="156">
        <f t="shared" si="57"/>
        <v>0</v>
      </c>
      <c r="AG70" s="156">
        <f t="shared" si="57"/>
        <v>0</v>
      </c>
      <c r="AH70" s="156">
        <f t="shared" si="57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218888.88888888888</v>
      </c>
      <c r="E71" s="159">
        <f t="shared" ref="E71:AB71" si="58">E77+E80+E83+E86+E89+E92</f>
        <v>437777.77777777775</v>
      </c>
      <c r="F71" s="159">
        <f t="shared" si="58"/>
        <v>656666.66666666663</v>
      </c>
      <c r="G71" s="159">
        <f t="shared" si="58"/>
        <v>831777.77777777775</v>
      </c>
      <c r="H71" s="159">
        <f t="shared" si="58"/>
        <v>963111.11111111101</v>
      </c>
      <c r="I71" s="159">
        <f t="shared" si="58"/>
        <v>1050666.6666666667</v>
      </c>
      <c r="J71" s="159">
        <f t="shared" si="58"/>
        <v>875555.5555555555</v>
      </c>
      <c r="K71" s="159">
        <f t="shared" si="58"/>
        <v>656666.66666666674</v>
      </c>
      <c r="L71" s="159">
        <f t="shared" si="58"/>
        <v>437777.77777777781</v>
      </c>
      <c r="M71" s="159">
        <f t="shared" si="58"/>
        <v>262666.66666666669</v>
      </c>
      <c r="N71" s="159">
        <f t="shared" si="58"/>
        <v>131333.33333333334</v>
      </c>
      <c r="O71" s="159">
        <f t="shared" si="58"/>
        <v>43777.777777777781</v>
      </c>
      <c r="P71" s="159">
        <f t="shared" si="58"/>
        <v>0</v>
      </c>
      <c r="Q71" s="159">
        <f t="shared" si="58"/>
        <v>0</v>
      </c>
      <c r="R71" s="159">
        <f t="shared" si="58"/>
        <v>0</v>
      </c>
      <c r="S71" s="159">
        <f t="shared" si="58"/>
        <v>0</v>
      </c>
      <c r="T71" s="159">
        <f t="shared" si="58"/>
        <v>0</v>
      </c>
      <c r="U71" s="159">
        <f t="shared" si="58"/>
        <v>0</v>
      </c>
      <c r="V71" s="159">
        <f t="shared" si="58"/>
        <v>0</v>
      </c>
      <c r="W71" s="159">
        <f t="shared" si="58"/>
        <v>0</v>
      </c>
      <c r="X71" s="159">
        <f t="shared" si="58"/>
        <v>0</v>
      </c>
      <c r="Y71" s="159">
        <f t="shared" si="58"/>
        <v>0</v>
      </c>
      <c r="Z71" s="159">
        <f t="shared" si="58"/>
        <v>0</v>
      </c>
      <c r="AA71" s="159">
        <f t="shared" si="58"/>
        <v>0</v>
      </c>
      <c r="AB71" s="160">
        <f t="shared" si="58"/>
        <v>0</v>
      </c>
      <c r="AC71" s="160">
        <f t="shared" ref="AC71:AD71" si="59">AC77+AC80+AC83+AC86+AC89+AC92</f>
        <v>0</v>
      </c>
      <c r="AD71" s="160">
        <f t="shared" si="59"/>
        <v>0</v>
      </c>
      <c r="AE71" s="160">
        <f t="shared" ref="AE71:AH71" si="60">AE77+AE80+AE83+AE86+AE89+AE92</f>
        <v>0</v>
      </c>
      <c r="AF71" s="160">
        <f t="shared" si="60"/>
        <v>0</v>
      </c>
      <c r="AG71" s="160">
        <f t="shared" si="60"/>
        <v>0</v>
      </c>
      <c r="AH71" s="160">
        <f t="shared" si="6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61">C24</f>
        <v>1824074.0740740739</v>
      </c>
      <c r="D72" s="37">
        <f t="shared" si="61"/>
        <v>1824074.0740740739</v>
      </c>
      <c r="E72" s="37">
        <f t="shared" si="61"/>
        <v>1824074.0740740739</v>
      </c>
      <c r="F72" s="37">
        <f t="shared" si="61"/>
        <v>1824074.0740740739</v>
      </c>
      <c r="G72" s="37">
        <f t="shared" si="61"/>
        <v>1824074.0740740742</v>
      </c>
      <c r="H72" s="37">
        <f t="shared" si="61"/>
        <v>1824074.0740740742</v>
      </c>
      <c r="I72" s="37">
        <f t="shared" ref="I72:AC72" si="62">I25</f>
        <v>0</v>
      </c>
      <c r="J72" s="37">
        <f t="shared" si="62"/>
        <v>0</v>
      </c>
      <c r="K72" s="37">
        <f t="shared" si="62"/>
        <v>0</v>
      </c>
      <c r="L72" s="37">
        <f t="shared" si="62"/>
        <v>0</v>
      </c>
      <c r="M72" s="37">
        <f t="shared" si="62"/>
        <v>0</v>
      </c>
      <c r="N72" s="37">
        <f t="shared" si="62"/>
        <v>0</v>
      </c>
      <c r="O72" s="37">
        <f t="shared" si="62"/>
        <v>0</v>
      </c>
      <c r="P72" s="37">
        <f t="shared" si="62"/>
        <v>0</v>
      </c>
      <c r="Q72" s="37">
        <f t="shared" si="62"/>
        <v>0</v>
      </c>
      <c r="R72" s="37">
        <f t="shared" si="62"/>
        <v>0</v>
      </c>
      <c r="S72" s="37">
        <f t="shared" si="62"/>
        <v>0</v>
      </c>
      <c r="T72" s="37">
        <f t="shared" si="62"/>
        <v>0</v>
      </c>
      <c r="U72" s="37">
        <f t="shared" si="62"/>
        <v>0</v>
      </c>
      <c r="V72" s="37">
        <f t="shared" si="62"/>
        <v>0</v>
      </c>
      <c r="W72" s="37">
        <f t="shared" si="62"/>
        <v>0</v>
      </c>
      <c r="X72" s="37">
        <f t="shared" si="62"/>
        <v>0</v>
      </c>
      <c r="Y72" s="37">
        <f t="shared" si="62"/>
        <v>0</v>
      </c>
      <c r="Z72" s="37">
        <f t="shared" si="62"/>
        <v>0</v>
      </c>
      <c r="AA72" s="37">
        <f t="shared" si="62"/>
        <v>0</v>
      </c>
      <c r="AB72" s="38">
        <f t="shared" si="62"/>
        <v>0</v>
      </c>
      <c r="AC72" s="38">
        <f t="shared" si="62"/>
        <v>0</v>
      </c>
      <c r="AD72" s="38">
        <f t="shared" ref="AD72:AH72" si="63">AD25</f>
        <v>0</v>
      </c>
      <c r="AE72" s="38">
        <f t="shared" si="63"/>
        <v>0</v>
      </c>
      <c r="AF72" s="38">
        <f t="shared" si="63"/>
        <v>0</v>
      </c>
      <c r="AG72" s="38">
        <f t="shared" si="63"/>
        <v>0</v>
      </c>
      <c r="AH72" s="38">
        <f t="shared" si="63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" si="64">E75+1</f>
        <v>3</v>
      </c>
      <c r="G75" s="171">
        <f t="shared" ref="G75" si="65">F75+1</f>
        <v>4</v>
      </c>
      <c r="H75" s="171">
        <f t="shared" ref="H75" si="66">G75+1</f>
        <v>5</v>
      </c>
      <c r="I75" s="171">
        <f t="shared" ref="I75" si="67">H75+1</f>
        <v>6</v>
      </c>
      <c r="J75" s="171">
        <f t="shared" ref="J75" si="68">I75+1</f>
        <v>7</v>
      </c>
      <c r="K75" s="171">
        <f t="shared" ref="K75" si="69">J75+1</f>
        <v>8</v>
      </c>
      <c r="L75" s="171">
        <f t="shared" ref="L75" si="70">K75+1</f>
        <v>9</v>
      </c>
      <c r="M75" s="171">
        <f t="shared" ref="M75" si="71">L75+1</f>
        <v>10</v>
      </c>
      <c r="N75" s="171">
        <f t="shared" ref="N75" si="72">M75+1</f>
        <v>11</v>
      </c>
      <c r="O75" s="171">
        <f t="shared" ref="O75" si="73">N75+1</f>
        <v>12</v>
      </c>
      <c r="P75" s="171">
        <f t="shared" ref="P75" si="74">O75+1</f>
        <v>13</v>
      </c>
      <c r="Q75" s="171">
        <f t="shared" ref="Q75" si="75">P75+1</f>
        <v>14</v>
      </c>
      <c r="R75" s="171">
        <f t="shared" ref="R75" si="76">Q75+1</f>
        <v>15</v>
      </c>
      <c r="S75" s="171">
        <f t="shared" ref="S75" si="77">R75+1</f>
        <v>16</v>
      </c>
      <c r="T75" s="171">
        <f t="shared" ref="T75" si="78">S75+1</f>
        <v>17</v>
      </c>
      <c r="U75" s="171">
        <f t="shared" ref="U75" si="79">T75+1</f>
        <v>18</v>
      </c>
      <c r="V75" s="171">
        <f t="shared" ref="V75" si="80">U75+1</f>
        <v>19</v>
      </c>
      <c r="W75" s="171">
        <f t="shared" ref="W75" si="81">V75+1</f>
        <v>20</v>
      </c>
      <c r="X75" s="171">
        <f t="shared" ref="X75" si="82">W75+1</f>
        <v>21</v>
      </c>
      <c r="Y75" s="171">
        <f t="shared" ref="Y75" si="83">X75+1</f>
        <v>22</v>
      </c>
      <c r="Z75" s="171">
        <f t="shared" ref="Z75" si="84">Y75+1</f>
        <v>23</v>
      </c>
      <c r="AA75" s="171">
        <f t="shared" ref="AA75" si="85">Z75+1</f>
        <v>24</v>
      </c>
      <c r="AB75" s="172">
        <f t="shared" ref="AB75:AC75" si="86">AA75+1</f>
        <v>25</v>
      </c>
      <c r="AC75" s="172">
        <f t="shared" si="86"/>
        <v>26</v>
      </c>
      <c r="AD75" s="172">
        <f t="shared" ref="AD75" si="87">AC75+1</f>
        <v>27</v>
      </c>
      <c r="AE75" s="172">
        <f t="shared" ref="AE75" si="88">AD75+1</f>
        <v>28</v>
      </c>
      <c r="AF75" s="172">
        <f t="shared" ref="AF75" si="89">AE75+1</f>
        <v>29</v>
      </c>
      <c r="AG75" s="172">
        <f t="shared" ref="AG75" si="90">AF75+1</f>
        <v>30</v>
      </c>
      <c r="AH75" s="172">
        <f t="shared" ref="AH75" si="91">AG75+1</f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218888.88888888888</v>
      </c>
      <c r="E77" s="181">
        <f>($C$72-SUM($C$76:D76))*$B$14</f>
        <v>218888.88888888888</v>
      </c>
      <c r="F77" s="181">
        <f>($C$72-SUM($C$76:E76))*$B$14</f>
        <v>218888.88888888888</v>
      </c>
      <c r="G77" s="181">
        <f>($C$72-SUM($C$76:F76))*$B$14</f>
        <v>175111.11111111109</v>
      </c>
      <c r="H77" s="181">
        <f>($C$72-SUM($C$76:G76))*$B$14</f>
        <v>131333.33333333334</v>
      </c>
      <c r="I77" s="181">
        <f>($C$72-SUM($C$76:H76))*$B$14</f>
        <v>87555.555555555562</v>
      </c>
      <c r="J77" s="181">
        <f>($C$72-SUM($C$76:I76))*$B$14</f>
        <v>43777.777777777781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" si="92">F78+1</f>
        <v>3</v>
      </c>
      <c r="H78" s="171">
        <f t="shared" ref="H78" si="93">G78+1</f>
        <v>4</v>
      </c>
      <c r="I78" s="171">
        <f t="shared" ref="I78" si="94">H78+1</f>
        <v>5</v>
      </c>
      <c r="J78" s="171">
        <f t="shared" ref="J78" si="95">I78+1</f>
        <v>6</v>
      </c>
      <c r="K78" s="171">
        <f t="shared" ref="K78" si="96">J78+1</f>
        <v>7</v>
      </c>
      <c r="L78" s="171">
        <f t="shared" ref="L78" si="97">K78+1</f>
        <v>8</v>
      </c>
      <c r="M78" s="171">
        <f t="shared" ref="M78" si="98">L78+1</f>
        <v>9</v>
      </c>
      <c r="N78" s="171">
        <f t="shared" ref="N78" si="99">M78+1</f>
        <v>10</v>
      </c>
      <c r="O78" s="171">
        <f t="shared" ref="O78" si="100">N78+1</f>
        <v>11</v>
      </c>
      <c r="P78" s="171">
        <f t="shared" ref="P78" si="101">O78+1</f>
        <v>12</v>
      </c>
      <c r="Q78" s="171">
        <f t="shared" ref="Q78" si="102">P78+1</f>
        <v>13</v>
      </c>
      <c r="R78" s="171">
        <f t="shared" ref="R78" si="103">Q78+1</f>
        <v>14</v>
      </c>
      <c r="S78" s="171">
        <f t="shared" ref="S78" si="104">R78+1</f>
        <v>15</v>
      </c>
      <c r="T78" s="171">
        <f t="shared" ref="T78" si="105">S78+1</f>
        <v>16</v>
      </c>
      <c r="U78" s="171">
        <f t="shared" ref="U78" si="106">T78+1</f>
        <v>17</v>
      </c>
      <c r="V78" s="171">
        <f t="shared" ref="V78" si="107">U78+1</f>
        <v>18</v>
      </c>
      <c r="W78" s="171">
        <f t="shared" ref="W78" si="108">V78+1</f>
        <v>19</v>
      </c>
      <c r="X78" s="171">
        <f t="shared" ref="X78" si="109">W78+1</f>
        <v>20</v>
      </c>
      <c r="Y78" s="171">
        <f t="shared" ref="Y78" si="110">X78+1</f>
        <v>21</v>
      </c>
      <c r="Z78" s="171">
        <f t="shared" ref="Z78" si="111">Y78+1</f>
        <v>22</v>
      </c>
      <c r="AA78" s="171">
        <f t="shared" ref="AA78" si="112">Z78+1</f>
        <v>23</v>
      </c>
      <c r="AB78" s="172">
        <f t="shared" ref="AB78:AC78" si="113">AA78+1</f>
        <v>24</v>
      </c>
      <c r="AC78" s="172">
        <f t="shared" si="113"/>
        <v>25</v>
      </c>
      <c r="AD78" s="172">
        <f t="shared" ref="AD78" si="114">AC78+1</f>
        <v>26</v>
      </c>
      <c r="AE78" s="172">
        <f t="shared" ref="AE78" si="115">AD78+1</f>
        <v>27</v>
      </c>
      <c r="AF78" s="172">
        <f t="shared" ref="AF78" si="116">AE78+1</f>
        <v>28</v>
      </c>
      <c r="AG78" s="172">
        <f t="shared" ref="AG78" si="117">AF78+1</f>
        <v>29</v>
      </c>
      <c r="AH78" s="172">
        <f t="shared" ref="AH78" si="118">AG78+1</f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218888.88888888888</v>
      </c>
      <c r="F80" s="181">
        <f>($D$72-SUM($C$79:E79))*$B$14</f>
        <v>218888.88888888888</v>
      </c>
      <c r="G80" s="181">
        <f>($D$72-SUM($C$79:F79))*$B$14</f>
        <v>218888.88888888888</v>
      </c>
      <c r="H80" s="181">
        <f>($D$72-SUM($C$79:G79))*$B$14</f>
        <v>175111.11111111109</v>
      </c>
      <c r="I80" s="181">
        <f>($D$72-SUM($C$79:H79))*$B$14</f>
        <v>131333.33333333334</v>
      </c>
      <c r="J80" s="181">
        <f>($D$72-SUM($C$79:I79))*$B$14</f>
        <v>87555.555555555562</v>
      </c>
      <c r="K80" s="181">
        <f>($D$72-SUM($C$79:J79))*$B$14</f>
        <v>43777.777777777781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" si="119">G81+1</f>
        <v>3</v>
      </c>
      <c r="I81" s="171">
        <f t="shared" ref="I81" si="120">H81+1</f>
        <v>4</v>
      </c>
      <c r="J81" s="171">
        <f t="shared" ref="J81" si="121">I81+1</f>
        <v>5</v>
      </c>
      <c r="K81" s="171">
        <f t="shared" ref="K81" si="122">J81+1</f>
        <v>6</v>
      </c>
      <c r="L81" s="171">
        <f t="shared" ref="L81" si="123">K81+1</f>
        <v>7</v>
      </c>
      <c r="M81" s="171">
        <f t="shared" ref="M81" si="124">L81+1</f>
        <v>8</v>
      </c>
      <c r="N81" s="171">
        <f t="shared" ref="N81" si="125">M81+1</f>
        <v>9</v>
      </c>
      <c r="O81" s="171">
        <f t="shared" ref="O81" si="126">N81+1</f>
        <v>10</v>
      </c>
      <c r="P81" s="171">
        <f t="shared" ref="P81" si="127">O81+1</f>
        <v>11</v>
      </c>
      <c r="Q81" s="171">
        <f t="shared" ref="Q81" si="128">P81+1</f>
        <v>12</v>
      </c>
      <c r="R81" s="171">
        <f t="shared" ref="R81" si="129">Q81+1</f>
        <v>13</v>
      </c>
      <c r="S81" s="171">
        <f t="shared" ref="S81" si="130">R81+1</f>
        <v>14</v>
      </c>
      <c r="T81" s="171">
        <f t="shared" ref="T81" si="131">S81+1</f>
        <v>15</v>
      </c>
      <c r="U81" s="171">
        <f t="shared" ref="U81" si="132">T81+1</f>
        <v>16</v>
      </c>
      <c r="V81" s="171">
        <f t="shared" ref="V81" si="133">U81+1</f>
        <v>17</v>
      </c>
      <c r="W81" s="171">
        <f t="shared" ref="W81" si="134">V81+1</f>
        <v>18</v>
      </c>
      <c r="X81" s="171">
        <f t="shared" ref="X81" si="135">W81+1</f>
        <v>19</v>
      </c>
      <c r="Y81" s="171">
        <f t="shared" ref="Y81" si="136">X81+1</f>
        <v>20</v>
      </c>
      <c r="Z81" s="171">
        <f t="shared" ref="Z81" si="137">Y81+1</f>
        <v>21</v>
      </c>
      <c r="AA81" s="171">
        <f t="shared" ref="AA81" si="138">Z81+1</f>
        <v>22</v>
      </c>
      <c r="AB81" s="172">
        <f t="shared" ref="AB81:AC81" si="139">AA81+1</f>
        <v>23</v>
      </c>
      <c r="AC81" s="172">
        <f t="shared" si="139"/>
        <v>24</v>
      </c>
      <c r="AD81" s="172">
        <f t="shared" ref="AD81" si="140">AC81+1</f>
        <v>25</v>
      </c>
      <c r="AE81" s="172">
        <f t="shared" ref="AE81" si="141">AD81+1</f>
        <v>26</v>
      </c>
      <c r="AF81" s="172">
        <f t="shared" ref="AF81" si="142">AE81+1</f>
        <v>27</v>
      </c>
      <c r="AG81" s="172">
        <f t="shared" ref="AG81" si="143">AF81+1</f>
        <v>28</v>
      </c>
      <c r="AH81" s="172">
        <f t="shared" ref="AH81" si="144">AG81+1</f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218888.88888888888</v>
      </c>
      <c r="G83" s="181">
        <f>($E$72-SUM($C$82:F82))*$B$14</f>
        <v>218888.88888888888</v>
      </c>
      <c r="H83" s="181">
        <f>($E$72-SUM($C$82:G82))*$B$14</f>
        <v>218888.88888888888</v>
      </c>
      <c r="I83" s="181">
        <f>($E$72-SUM($C$82:H82))*$B$14</f>
        <v>175111.11111111109</v>
      </c>
      <c r="J83" s="181">
        <f>($E$72-SUM($C$82:I82))*$B$14</f>
        <v>131333.33333333334</v>
      </c>
      <c r="K83" s="181">
        <f>($E$72-SUM($C$82:J82))*$B$14</f>
        <v>87555.555555555562</v>
      </c>
      <c r="L83" s="181">
        <f>($E$72-SUM($C$82:K82))*$B$14</f>
        <v>43777.777777777781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" si="145">H84+1</f>
        <v>3</v>
      </c>
      <c r="J84" s="171">
        <f t="shared" ref="J84" si="146">I84+1</f>
        <v>4</v>
      </c>
      <c r="K84" s="171">
        <f t="shared" ref="K84" si="147">J84+1</f>
        <v>5</v>
      </c>
      <c r="L84" s="171">
        <f t="shared" ref="L84" si="148">K84+1</f>
        <v>6</v>
      </c>
      <c r="M84" s="171">
        <f t="shared" ref="M84" si="149">L84+1</f>
        <v>7</v>
      </c>
      <c r="N84" s="171">
        <f t="shared" ref="N84" si="150">M84+1</f>
        <v>8</v>
      </c>
      <c r="O84" s="171">
        <f t="shared" ref="O84" si="151">N84+1</f>
        <v>9</v>
      </c>
      <c r="P84" s="171">
        <f t="shared" ref="P84" si="152">O84+1</f>
        <v>10</v>
      </c>
      <c r="Q84" s="171">
        <f t="shared" ref="Q84" si="153">P84+1</f>
        <v>11</v>
      </c>
      <c r="R84" s="171">
        <f t="shared" ref="R84" si="154">Q84+1</f>
        <v>12</v>
      </c>
      <c r="S84" s="171">
        <f t="shared" ref="S84" si="155">R84+1</f>
        <v>13</v>
      </c>
      <c r="T84" s="171">
        <f t="shared" ref="T84" si="156">S84+1</f>
        <v>14</v>
      </c>
      <c r="U84" s="171">
        <f t="shared" ref="U84" si="157">T84+1</f>
        <v>15</v>
      </c>
      <c r="V84" s="171">
        <f t="shared" ref="V84" si="158">U84+1</f>
        <v>16</v>
      </c>
      <c r="W84" s="171">
        <f t="shared" ref="W84" si="159">V84+1</f>
        <v>17</v>
      </c>
      <c r="X84" s="171">
        <f t="shared" ref="X84" si="160">W84+1</f>
        <v>18</v>
      </c>
      <c r="Y84" s="171">
        <f t="shared" ref="Y84" si="161">X84+1</f>
        <v>19</v>
      </c>
      <c r="Z84" s="171">
        <f t="shared" ref="Z84" si="162">Y84+1</f>
        <v>20</v>
      </c>
      <c r="AA84" s="171">
        <f t="shared" ref="AA84" si="163">Z84+1</f>
        <v>21</v>
      </c>
      <c r="AB84" s="172">
        <f t="shared" ref="AB84:AC84" si="164">AA84+1</f>
        <v>22</v>
      </c>
      <c r="AC84" s="172">
        <f t="shared" si="164"/>
        <v>23</v>
      </c>
      <c r="AD84" s="172">
        <f t="shared" ref="AD84" si="165">AC84+1</f>
        <v>24</v>
      </c>
      <c r="AE84" s="172">
        <f t="shared" ref="AE84" si="166">AD84+1</f>
        <v>25</v>
      </c>
      <c r="AF84" s="172">
        <f t="shared" ref="AF84" si="167">AE84+1</f>
        <v>26</v>
      </c>
      <c r="AG84" s="172">
        <f t="shared" ref="AG84" si="168">AF84+1</f>
        <v>27</v>
      </c>
      <c r="AH84" s="172">
        <f t="shared" ref="AH84" si="169">AG84+1</f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218888.88888888888</v>
      </c>
      <c r="H86" s="181">
        <f>($F$72-SUM($C$85:G85))*$B$14</f>
        <v>218888.88888888888</v>
      </c>
      <c r="I86" s="181">
        <f>($F$72-SUM($C$85:H85))*$B$14</f>
        <v>218888.88888888888</v>
      </c>
      <c r="J86" s="181">
        <f>($F$72-SUM($C$85:I85))*$B$14</f>
        <v>175111.11111111109</v>
      </c>
      <c r="K86" s="181">
        <f>($F$72-SUM($C$85:J85))*$B$14</f>
        <v>131333.33333333334</v>
      </c>
      <c r="L86" s="181">
        <f>($F$72-SUM($C$85:K85))*$B$14</f>
        <v>87555.555555555562</v>
      </c>
      <c r="M86" s="181">
        <f>($F$72-SUM($C$85:L85))*$B$14</f>
        <v>43777.777777777781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" si="170">I87+1</f>
        <v>3</v>
      </c>
      <c r="K87" s="171">
        <f t="shared" ref="K87" si="171">J87+1</f>
        <v>4</v>
      </c>
      <c r="L87" s="171">
        <f t="shared" ref="L87" si="172">K87+1</f>
        <v>5</v>
      </c>
      <c r="M87" s="171">
        <f t="shared" ref="M87" si="173">L87+1</f>
        <v>6</v>
      </c>
      <c r="N87" s="171">
        <f t="shared" ref="N87" si="174">M87+1</f>
        <v>7</v>
      </c>
      <c r="O87" s="171">
        <f t="shared" ref="O87" si="175">N87+1</f>
        <v>8</v>
      </c>
      <c r="P87" s="171">
        <f t="shared" ref="P87" si="176">O87+1</f>
        <v>9</v>
      </c>
      <c r="Q87" s="171">
        <f t="shared" ref="Q87" si="177">P87+1</f>
        <v>10</v>
      </c>
      <c r="R87" s="171">
        <f t="shared" ref="R87" si="178">Q87+1</f>
        <v>11</v>
      </c>
      <c r="S87" s="171">
        <f t="shared" ref="S87" si="179">R87+1</f>
        <v>12</v>
      </c>
      <c r="T87" s="171">
        <f t="shared" ref="T87" si="180">S87+1</f>
        <v>13</v>
      </c>
      <c r="U87" s="171">
        <f t="shared" ref="U87" si="181">T87+1</f>
        <v>14</v>
      </c>
      <c r="V87" s="171">
        <f t="shared" ref="V87" si="182">U87+1</f>
        <v>15</v>
      </c>
      <c r="W87" s="171">
        <f t="shared" ref="W87" si="183">V87+1</f>
        <v>16</v>
      </c>
      <c r="X87" s="171">
        <f t="shared" ref="X87" si="184">W87+1</f>
        <v>17</v>
      </c>
      <c r="Y87" s="171">
        <f t="shared" ref="Y87" si="185">X87+1</f>
        <v>18</v>
      </c>
      <c r="Z87" s="171">
        <f t="shared" ref="Z87" si="186">Y87+1</f>
        <v>19</v>
      </c>
      <c r="AA87" s="171">
        <f t="shared" ref="AA87" si="187">Z87+1</f>
        <v>20</v>
      </c>
      <c r="AB87" s="172">
        <f t="shared" ref="AB87:AC87" si="188">AA87+1</f>
        <v>21</v>
      </c>
      <c r="AC87" s="172">
        <f t="shared" si="188"/>
        <v>22</v>
      </c>
      <c r="AD87" s="172">
        <f t="shared" ref="AD87" si="189">AC87+1</f>
        <v>23</v>
      </c>
      <c r="AE87" s="172">
        <f t="shared" ref="AE87" si="190">AD87+1</f>
        <v>24</v>
      </c>
      <c r="AF87" s="172">
        <f t="shared" ref="AF87" si="191">AE87+1</f>
        <v>25</v>
      </c>
      <c r="AG87" s="172">
        <f t="shared" ref="AG87" si="192">AF87+1</f>
        <v>26</v>
      </c>
      <c r="AH87" s="172">
        <f t="shared" ref="AH87" si="193">AG87+1</f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218888.88888888891</v>
      </c>
      <c r="I89" s="181">
        <f>($G$72-SUM($C$88:H88))*$B$14</f>
        <v>218888.88888888891</v>
      </c>
      <c r="J89" s="181">
        <f>($G$72-SUM($C$88:I88))*$B$14</f>
        <v>218888.88888888891</v>
      </c>
      <c r="K89" s="181">
        <f>($G$72-SUM($C$88:J88))*$B$14</f>
        <v>175111.11111111112</v>
      </c>
      <c r="L89" s="181">
        <f>($G$72-SUM($C$88:K88))*$B$14</f>
        <v>131333.33333333334</v>
      </c>
      <c r="M89" s="181">
        <f>($G$72-SUM($C$88:L88))*$B$14</f>
        <v>87555.555555555562</v>
      </c>
      <c r="N89" s="181">
        <f>($G$72-SUM($C$88:M88))*$B$14</f>
        <v>43777.777777777781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" si="194">J90+1</f>
        <v>3</v>
      </c>
      <c r="L90" s="171">
        <f t="shared" ref="L90" si="195">K90+1</f>
        <v>4</v>
      </c>
      <c r="M90" s="171">
        <f t="shared" ref="M90" si="196">L90+1</f>
        <v>5</v>
      </c>
      <c r="N90" s="171">
        <f t="shared" ref="N90" si="197">M90+1</f>
        <v>6</v>
      </c>
      <c r="O90" s="171">
        <f t="shared" ref="O90" si="198">N90+1</f>
        <v>7</v>
      </c>
      <c r="P90" s="171">
        <f t="shared" ref="P90" si="199">O90+1</f>
        <v>8</v>
      </c>
      <c r="Q90" s="171">
        <f t="shared" ref="Q90" si="200">P90+1</f>
        <v>9</v>
      </c>
      <c r="R90" s="171">
        <f t="shared" ref="R90" si="201">Q90+1</f>
        <v>10</v>
      </c>
      <c r="S90" s="171">
        <f t="shared" ref="S90" si="202">R90+1</f>
        <v>11</v>
      </c>
      <c r="T90" s="171">
        <f t="shared" ref="T90" si="203">S90+1</f>
        <v>12</v>
      </c>
      <c r="U90" s="171">
        <f t="shared" ref="U90" si="204">T90+1</f>
        <v>13</v>
      </c>
      <c r="V90" s="171">
        <f t="shared" ref="V90" si="205">U90+1</f>
        <v>14</v>
      </c>
      <c r="W90" s="171">
        <f t="shared" ref="W90" si="206">V90+1</f>
        <v>15</v>
      </c>
      <c r="X90" s="171">
        <f t="shared" ref="X90" si="207">W90+1</f>
        <v>16</v>
      </c>
      <c r="Y90" s="171">
        <f t="shared" ref="Y90" si="208">X90+1</f>
        <v>17</v>
      </c>
      <c r="Z90" s="171">
        <f t="shared" ref="Z90" si="209">Y90+1</f>
        <v>18</v>
      </c>
      <c r="AA90" s="171">
        <f t="shared" ref="AA90" si="210">Z90+1</f>
        <v>19</v>
      </c>
      <c r="AB90" s="172">
        <f t="shared" ref="AB90:AC90" si="211">AA90+1</f>
        <v>20</v>
      </c>
      <c r="AC90" s="172">
        <f t="shared" si="211"/>
        <v>21</v>
      </c>
      <c r="AD90" s="172">
        <f t="shared" ref="AD90" si="212">AC90+1</f>
        <v>22</v>
      </c>
      <c r="AE90" s="172">
        <f t="shared" ref="AE90" si="213">AD90+1</f>
        <v>23</v>
      </c>
      <c r="AF90" s="172">
        <f t="shared" ref="AF90" si="214">AE90+1</f>
        <v>24</v>
      </c>
      <c r="AG90" s="172">
        <f t="shared" ref="AG90" si="215">AF90+1</f>
        <v>25</v>
      </c>
      <c r="AH90" s="172">
        <f t="shared" ref="AH90" si="216">AG90+1</f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218888.88888888891</v>
      </c>
      <c r="J92" s="181">
        <f>($H$72-SUM($C$91:I91))*$B$14</f>
        <v>218888.88888888891</v>
      </c>
      <c r="K92" s="181">
        <f>($H$72-SUM($C$91:J91))*$B$14</f>
        <v>218888.88888888891</v>
      </c>
      <c r="L92" s="181">
        <f>($H$72-SUM($C$91:K91))*$B$14</f>
        <v>175111.11111111112</v>
      </c>
      <c r="M92" s="181">
        <f>($H$72-SUM($C$91:L91))*$B$14</f>
        <v>131333.33333333334</v>
      </c>
      <c r="N92" s="181">
        <f>($H$72-SUM($C$91:M91))*$B$14</f>
        <v>87555.555555555562</v>
      </c>
      <c r="O92" s="181">
        <f>($H$72-SUM($C$91:N91))*$B$14</f>
        <v>43777.777777777781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C94" si="217">C34</f>
        <v>0</v>
      </c>
      <c r="D94" s="203">
        <f t="shared" si="217"/>
        <v>281266.16037942376</v>
      </c>
      <c r="E94" s="203">
        <f t="shared" si="217"/>
        <v>536962.66981526348</v>
      </c>
      <c r="F94" s="203">
        <f t="shared" si="217"/>
        <v>769414.04202966345</v>
      </c>
      <c r="G94" s="203">
        <f t="shared" si="217"/>
        <v>980733.47131548135</v>
      </c>
      <c r="H94" s="203">
        <f t="shared" si="217"/>
        <v>1172842.0433934981</v>
      </c>
      <c r="I94" s="203">
        <f t="shared" si="217"/>
        <v>1347486.1998280582</v>
      </c>
      <c r="J94" s="203">
        <f t="shared" si="217"/>
        <v>1347486.1998280582</v>
      </c>
      <c r="K94" s="203">
        <f t="shared" si="217"/>
        <v>1347486.1998280582</v>
      </c>
      <c r="L94" s="203">
        <f t="shared" si="217"/>
        <v>1347486.1998280582</v>
      </c>
      <c r="M94" s="203">
        <f t="shared" si="217"/>
        <v>1347486.1998280582</v>
      </c>
      <c r="N94" s="203">
        <f t="shared" si="217"/>
        <v>1347486.1998280582</v>
      </c>
      <c r="O94" s="203">
        <f t="shared" si="217"/>
        <v>1347486.1998280582</v>
      </c>
      <c r="P94" s="203">
        <f t="shared" si="217"/>
        <v>1347486.1998280582</v>
      </c>
      <c r="Q94" s="203">
        <f t="shared" si="217"/>
        <v>1347486.1998280582</v>
      </c>
      <c r="R94" s="203">
        <f t="shared" si="217"/>
        <v>1347486.1998280582</v>
      </c>
      <c r="S94" s="203">
        <f t="shared" si="217"/>
        <v>1347486.1998280582</v>
      </c>
      <c r="T94" s="203">
        <f t="shared" si="217"/>
        <v>1347486.1998280582</v>
      </c>
      <c r="U94" s="203">
        <f t="shared" si="217"/>
        <v>1347486.1998280582</v>
      </c>
      <c r="V94" s="203">
        <f t="shared" si="217"/>
        <v>1347486.1998280582</v>
      </c>
      <c r="W94" s="203">
        <f t="shared" si="217"/>
        <v>1347486.1998280582</v>
      </c>
      <c r="X94" s="203">
        <f t="shared" si="217"/>
        <v>1347486.1998280582</v>
      </c>
      <c r="Y94" s="203">
        <f t="shared" si="217"/>
        <v>1347486.1998280582</v>
      </c>
      <c r="Z94" s="203">
        <f t="shared" si="217"/>
        <v>1347486.1998280582</v>
      </c>
      <c r="AA94" s="203">
        <f t="shared" si="217"/>
        <v>1347486.1998280582</v>
      </c>
      <c r="AB94" s="203">
        <f t="shared" si="217"/>
        <v>1347486.1998280582</v>
      </c>
      <c r="AC94" s="203">
        <f t="shared" si="217"/>
        <v>1347486.1998280582</v>
      </c>
      <c r="AD94" s="203">
        <f t="shared" ref="AD94:AH94" si="218">AD34</f>
        <v>1066220.0394486347</v>
      </c>
      <c r="AE94" s="203">
        <f t="shared" si="218"/>
        <v>810523.53001279465</v>
      </c>
      <c r="AF94" s="203">
        <f t="shared" si="218"/>
        <v>578072.15779839491</v>
      </c>
      <c r="AG94" s="203">
        <f t="shared" si="218"/>
        <v>366752.72851257678</v>
      </c>
      <c r="AH94" s="203">
        <f t="shared" si="218"/>
        <v>174644.15643456043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C95" si="219">C26</f>
        <v>0</v>
      </c>
      <c r="D95" s="203">
        <f t="shared" si="219"/>
        <v>165824.91582491584</v>
      </c>
      <c r="E95" s="203">
        <f t="shared" si="219"/>
        <v>316574.83930211206</v>
      </c>
      <c r="F95" s="203">
        <f t="shared" si="219"/>
        <v>453620.22428138135</v>
      </c>
      <c r="G95" s="203">
        <f t="shared" si="219"/>
        <v>578206.93789889885</v>
      </c>
      <c r="H95" s="203">
        <f t="shared" si="219"/>
        <v>691467.58664209663</v>
      </c>
      <c r="I95" s="203">
        <f t="shared" si="219"/>
        <v>794431.81277227646</v>
      </c>
      <c r="J95" s="203">
        <f t="shared" si="219"/>
        <v>794431.81277227646</v>
      </c>
      <c r="K95" s="203">
        <f t="shared" si="219"/>
        <v>794431.81277227646</v>
      </c>
      <c r="L95" s="203">
        <f t="shared" si="219"/>
        <v>794431.81277227646</v>
      </c>
      <c r="M95" s="203">
        <f t="shared" si="219"/>
        <v>794431.81277227646</v>
      </c>
      <c r="N95" s="203">
        <f t="shared" si="219"/>
        <v>794431.81277227646</v>
      </c>
      <c r="O95" s="203">
        <f t="shared" si="219"/>
        <v>794431.81277227646</v>
      </c>
      <c r="P95" s="203">
        <f t="shared" si="219"/>
        <v>794431.81277227646</v>
      </c>
      <c r="Q95" s="203">
        <f t="shared" si="219"/>
        <v>794431.81277227646</v>
      </c>
      <c r="R95" s="203">
        <f t="shared" si="219"/>
        <v>794431.81277227646</v>
      </c>
      <c r="S95" s="203">
        <f t="shared" si="219"/>
        <v>794431.81277227646</v>
      </c>
      <c r="T95" s="203">
        <f t="shared" si="219"/>
        <v>794431.81277227646</v>
      </c>
      <c r="U95" s="203">
        <f t="shared" si="219"/>
        <v>794431.81277227646</v>
      </c>
      <c r="V95" s="203">
        <f t="shared" si="219"/>
        <v>794431.81277227646</v>
      </c>
      <c r="W95" s="203">
        <f t="shared" si="219"/>
        <v>794431.81277227646</v>
      </c>
      <c r="X95" s="203">
        <f t="shared" si="219"/>
        <v>794431.81277227646</v>
      </c>
      <c r="Y95" s="203">
        <f t="shared" si="219"/>
        <v>794431.81277227646</v>
      </c>
      <c r="Z95" s="203">
        <f t="shared" si="219"/>
        <v>794431.81277227646</v>
      </c>
      <c r="AA95" s="203">
        <f t="shared" si="219"/>
        <v>794431.81277227646</v>
      </c>
      <c r="AB95" s="203">
        <f t="shared" si="219"/>
        <v>794431.81277227646</v>
      </c>
      <c r="AC95" s="203">
        <f t="shared" si="219"/>
        <v>794431.81277227646</v>
      </c>
      <c r="AD95" s="203">
        <f t="shared" ref="AD95:AH95" si="220">AD26</f>
        <v>628606.8969473606</v>
      </c>
      <c r="AE95" s="203">
        <f t="shared" si="220"/>
        <v>477856.9734701644</v>
      </c>
      <c r="AF95" s="203">
        <f t="shared" si="220"/>
        <v>340811.58849089511</v>
      </c>
      <c r="AG95" s="203">
        <f t="shared" si="220"/>
        <v>216224.87487337762</v>
      </c>
      <c r="AH95" s="203">
        <f t="shared" si="22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221">C94-C95</f>
        <v>0</v>
      </c>
      <c r="D96" s="203">
        <f>D94-D95</f>
        <v>115441.24455450792</v>
      </c>
      <c r="E96" s="203">
        <f t="shared" ref="E96:AC96" si="222">E94-E95</f>
        <v>220387.83051315142</v>
      </c>
      <c r="F96" s="203">
        <f t="shared" si="222"/>
        <v>315793.8177482821</v>
      </c>
      <c r="G96" s="203">
        <f t="shared" si="222"/>
        <v>402526.5334165825</v>
      </c>
      <c r="H96" s="203">
        <f t="shared" si="222"/>
        <v>481374.45675140142</v>
      </c>
      <c r="I96" s="203">
        <f t="shared" si="222"/>
        <v>553054.38705578179</v>
      </c>
      <c r="J96" s="203">
        <f t="shared" si="222"/>
        <v>553054.38705578179</v>
      </c>
      <c r="K96" s="203">
        <f t="shared" si="222"/>
        <v>553054.38705578179</v>
      </c>
      <c r="L96" s="203">
        <f t="shared" si="222"/>
        <v>553054.38705578179</v>
      </c>
      <c r="M96" s="203">
        <f t="shared" si="222"/>
        <v>553054.38705578179</v>
      </c>
      <c r="N96" s="203">
        <f t="shared" si="222"/>
        <v>553054.38705578179</v>
      </c>
      <c r="O96" s="203">
        <f t="shared" si="222"/>
        <v>553054.38705578179</v>
      </c>
      <c r="P96" s="203">
        <f t="shared" si="222"/>
        <v>553054.38705578179</v>
      </c>
      <c r="Q96" s="203">
        <f t="shared" si="222"/>
        <v>553054.38705578179</v>
      </c>
      <c r="R96" s="203">
        <f t="shared" si="222"/>
        <v>553054.38705578179</v>
      </c>
      <c r="S96" s="203">
        <f t="shared" si="222"/>
        <v>553054.38705578179</v>
      </c>
      <c r="T96" s="203">
        <f t="shared" si="222"/>
        <v>553054.38705578179</v>
      </c>
      <c r="U96" s="203">
        <f t="shared" si="222"/>
        <v>553054.38705578179</v>
      </c>
      <c r="V96" s="203">
        <f t="shared" si="222"/>
        <v>553054.38705578179</v>
      </c>
      <c r="W96" s="203">
        <f t="shared" si="222"/>
        <v>553054.38705578179</v>
      </c>
      <c r="X96" s="203">
        <f t="shared" si="222"/>
        <v>553054.38705578179</v>
      </c>
      <c r="Y96" s="203">
        <f t="shared" si="222"/>
        <v>553054.38705578179</v>
      </c>
      <c r="Z96" s="203">
        <f t="shared" si="222"/>
        <v>553054.38705578179</v>
      </c>
      <c r="AA96" s="203">
        <f t="shared" si="222"/>
        <v>553054.38705578179</v>
      </c>
      <c r="AB96" s="203">
        <f t="shared" si="222"/>
        <v>553054.38705578179</v>
      </c>
      <c r="AC96" s="203">
        <f t="shared" si="222"/>
        <v>553054.38705578179</v>
      </c>
      <c r="AD96" s="203">
        <f t="shared" ref="AD96:AH96" si="223">AD94-AD95</f>
        <v>437613.14250127412</v>
      </c>
      <c r="AE96" s="203">
        <f t="shared" si="223"/>
        <v>332666.55654263025</v>
      </c>
      <c r="AF96" s="203">
        <f t="shared" si="223"/>
        <v>237260.5693074998</v>
      </c>
      <c r="AG96" s="203">
        <f t="shared" si="223"/>
        <v>150527.85363919917</v>
      </c>
      <c r="AH96" s="203">
        <f t="shared" si="223"/>
        <v>71679.930304380585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C97" si="224">D71</f>
        <v>218888.88888888888</v>
      </c>
      <c r="E97" s="203">
        <f t="shared" si="224"/>
        <v>437777.77777777775</v>
      </c>
      <c r="F97" s="203">
        <f t="shared" si="224"/>
        <v>656666.66666666663</v>
      </c>
      <c r="G97" s="203">
        <f t="shared" si="224"/>
        <v>831777.77777777775</v>
      </c>
      <c r="H97" s="203">
        <f t="shared" si="224"/>
        <v>963111.11111111101</v>
      </c>
      <c r="I97" s="203">
        <f t="shared" si="224"/>
        <v>1050666.6666666667</v>
      </c>
      <c r="J97" s="203">
        <f t="shared" si="224"/>
        <v>875555.5555555555</v>
      </c>
      <c r="K97" s="203">
        <f t="shared" si="224"/>
        <v>656666.66666666674</v>
      </c>
      <c r="L97" s="203">
        <f t="shared" si="224"/>
        <v>437777.77777777781</v>
      </c>
      <c r="M97" s="203">
        <f t="shared" si="224"/>
        <v>262666.66666666669</v>
      </c>
      <c r="N97" s="203">
        <f t="shared" si="224"/>
        <v>131333.33333333334</v>
      </c>
      <c r="O97" s="203">
        <f t="shared" si="224"/>
        <v>43777.777777777781</v>
      </c>
      <c r="P97" s="203">
        <f t="shared" si="224"/>
        <v>0</v>
      </c>
      <c r="Q97" s="203">
        <f t="shared" si="224"/>
        <v>0</v>
      </c>
      <c r="R97" s="203">
        <f t="shared" si="224"/>
        <v>0</v>
      </c>
      <c r="S97" s="203">
        <f t="shared" si="224"/>
        <v>0</v>
      </c>
      <c r="T97" s="203">
        <f t="shared" si="224"/>
        <v>0</v>
      </c>
      <c r="U97" s="203">
        <f t="shared" si="224"/>
        <v>0</v>
      </c>
      <c r="V97" s="203">
        <f t="shared" si="224"/>
        <v>0</v>
      </c>
      <c r="W97" s="203">
        <f t="shared" si="224"/>
        <v>0</v>
      </c>
      <c r="X97" s="203">
        <f t="shared" si="224"/>
        <v>0</v>
      </c>
      <c r="Y97" s="203">
        <f t="shared" si="224"/>
        <v>0</v>
      </c>
      <c r="Z97" s="203">
        <f t="shared" si="224"/>
        <v>0</v>
      </c>
      <c r="AA97" s="203">
        <f t="shared" si="224"/>
        <v>0</v>
      </c>
      <c r="AB97" s="203">
        <f t="shared" si="224"/>
        <v>0</v>
      </c>
      <c r="AC97" s="203">
        <f t="shared" si="224"/>
        <v>0</v>
      </c>
      <c r="AD97" s="203">
        <f t="shared" ref="AD97:AH97" si="225">AD71</f>
        <v>0</v>
      </c>
      <c r="AE97" s="203">
        <f t="shared" si="225"/>
        <v>0</v>
      </c>
      <c r="AF97" s="203">
        <f t="shared" si="225"/>
        <v>0</v>
      </c>
      <c r="AG97" s="203">
        <f t="shared" si="225"/>
        <v>0</v>
      </c>
      <c r="AH97" s="203">
        <f t="shared" si="225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-103447.64433438095</v>
      </c>
      <c r="E98" s="203">
        <f t="shared" ref="E98:AC98" si="226">E96-E97</f>
        <v>-217389.94726462633</v>
      </c>
      <c r="F98" s="203">
        <f t="shared" si="226"/>
        <v>-340872.84891838452</v>
      </c>
      <c r="G98" s="203">
        <f t="shared" si="226"/>
        <v>-429251.24436119525</v>
      </c>
      <c r="H98" s="203">
        <f t="shared" si="226"/>
        <v>-481736.65435970959</v>
      </c>
      <c r="I98" s="203">
        <f t="shared" si="226"/>
        <v>-497612.27961088496</v>
      </c>
      <c r="J98" s="203">
        <f t="shared" si="226"/>
        <v>-322501.16849977372</v>
      </c>
      <c r="K98" s="203">
        <f t="shared" si="226"/>
        <v>-103612.27961088496</v>
      </c>
      <c r="L98" s="203">
        <f t="shared" si="226"/>
        <v>115276.60927800398</v>
      </c>
      <c r="M98" s="203">
        <f t="shared" si="226"/>
        <v>290387.7203891151</v>
      </c>
      <c r="N98" s="203">
        <f t="shared" si="226"/>
        <v>421721.05372244841</v>
      </c>
      <c r="O98" s="203">
        <f t="shared" si="226"/>
        <v>509276.60927800403</v>
      </c>
      <c r="P98" s="203">
        <f t="shared" si="226"/>
        <v>553054.38705578179</v>
      </c>
      <c r="Q98" s="203">
        <f t="shared" si="226"/>
        <v>553054.38705578179</v>
      </c>
      <c r="R98" s="203">
        <f t="shared" si="226"/>
        <v>553054.38705578179</v>
      </c>
      <c r="S98" s="203">
        <f t="shared" si="226"/>
        <v>553054.38705578179</v>
      </c>
      <c r="T98" s="203">
        <f t="shared" si="226"/>
        <v>553054.38705578179</v>
      </c>
      <c r="U98" s="203">
        <f t="shared" si="226"/>
        <v>553054.38705578179</v>
      </c>
      <c r="V98" s="203">
        <f t="shared" si="226"/>
        <v>553054.38705578179</v>
      </c>
      <c r="W98" s="203">
        <f t="shared" si="226"/>
        <v>553054.38705578179</v>
      </c>
      <c r="X98" s="203">
        <f t="shared" si="226"/>
        <v>553054.38705578179</v>
      </c>
      <c r="Y98" s="203">
        <f t="shared" si="226"/>
        <v>553054.38705578179</v>
      </c>
      <c r="Z98" s="203">
        <f t="shared" si="226"/>
        <v>553054.38705578179</v>
      </c>
      <c r="AA98" s="203">
        <f t="shared" si="226"/>
        <v>553054.38705578179</v>
      </c>
      <c r="AB98" s="203">
        <f t="shared" si="226"/>
        <v>553054.38705578179</v>
      </c>
      <c r="AC98" s="203">
        <f t="shared" si="226"/>
        <v>553054.38705578179</v>
      </c>
      <c r="AD98" s="203">
        <f t="shared" ref="AD98:AH98" si="227">AD96-AD97</f>
        <v>437613.14250127412</v>
      </c>
      <c r="AE98" s="203">
        <f t="shared" si="227"/>
        <v>332666.55654263025</v>
      </c>
      <c r="AF98" s="203">
        <f t="shared" si="227"/>
        <v>237260.5693074998</v>
      </c>
      <c r="AG98" s="203">
        <f t="shared" si="227"/>
        <v>150527.85363919917</v>
      </c>
      <c r="AH98" s="203">
        <f t="shared" si="227"/>
        <v>71679.930304380585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-103447.64433438095</v>
      </c>
      <c r="E100" s="203">
        <f t="shared" ref="E100:AC100" si="228">E98+E99</f>
        <v>-217389.94726462633</v>
      </c>
      <c r="F100" s="203">
        <f t="shared" si="228"/>
        <v>-340872.84891838452</v>
      </c>
      <c r="G100" s="203">
        <f t="shared" si="228"/>
        <v>-429251.24436119525</v>
      </c>
      <c r="H100" s="203">
        <f t="shared" si="228"/>
        <v>-481736.65435970959</v>
      </c>
      <c r="I100" s="203">
        <f t="shared" si="228"/>
        <v>-497612.27961088496</v>
      </c>
      <c r="J100" s="203">
        <f t="shared" si="228"/>
        <v>-322501.16849977372</v>
      </c>
      <c r="K100" s="203">
        <f t="shared" si="228"/>
        <v>-103612.27961088496</v>
      </c>
      <c r="L100" s="203">
        <f t="shared" si="228"/>
        <v>115276.60927800398</v>
      </c>
      <c r="M100" s="203">
        <f t="shared" si="228"/>
        <v>290387.7203891151</v>
      </c>
      <c r="N100" s="203">
        <f t="shared" si="228"/>
        <v>421721.05372244841</v>
      </c>
      <c r="O100" s="203">
        <f t="shared" si="228"/>
        <v>509276.60927800403</v>
      </c>
      <c r="P100" s="203">
        <f t="shared" si="228"/>
        <v>553054.38705578179</v>
      </c>
      <c r="Q100" s="203">
        <f t="shared" si="228"/>
        <v>553054.38705578179</v>
      </c>
      <c r="R100" s="203">
        <f t="shared" si="228"/>
        <v>553054.38705578179</v>
      </c>
      <c r="S100" s="203">
        <f t="shared" si="228"/>
        <v>553054.38705578179</v>
      </c>
      <c r="T100" s="203">
        <f t="shared" si="228"/>
        <v>553054.38705578179</v>
      </c>
      <c r="U100" s="203">
        <f t="shared" si="228"/>
        <v>553054.38705578179</v>
      </c>
      <c r="V100" s="203">
        <f t="shared" si="228"/>
        <v>553054.38705578179</v>
      </c>
      <c r="W100" s="203">
        <f t="shared" si="228"/>
        <v>553054.38705578179</v>
      </c>
      <c r="X100" s="203">
        <f t="shared" si="228"/>
        <v>553054.38705578179</v>
      </c>
      <c r="Y100" s="203">
        <f t="shared" si="228"/>
        <v>553054.38705578179</v>
      </c>
      <c r="Z100" s="203">
        <f t="shared" si="228"/>
        <v>553054.38705578179</v>
      </c>
      <c r="AA100" s="203">
        <f t="shared" si="228"/>
        <v>553054.38705578179</v>
      </c>
      <c r="AB100" s="203">
        <f t="shared" si="228"/>
        <v>553054.38705578179</v>
      </c>
      <c r="AC100" s="203">
        <f t="shared" si="228"/>
        <v>553054.38705578179</v>
      </c>
      <c r="AD100" s="203">
        <f t="shared" ref="AD100:AH100" si="229">AD98+AD99</f>
        <v>437613.14250127412</v>
      </c>
      <c r="AE100" s="203">
        <f t="shared" si="229"/>
        <v>332666.55654263025</v>
      </c>
      <c r="AF100" s="203">
        <f t="shared" si="229"/>
        <v>237260.5693074998</v>
      </c>
      <c r="AG100" s="203">
        <f t="shared" si="229"/>
        <v>150527.85363919917</v>
      </c>
      <c r="AH100" s="203">
        <f t="shared" si="229"/>
        <v>71679.930304380585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C101" si="230">IF(E100*$B$17&gt;0,E100*$B$17,0)</f>
        <v>0</v>
      </c>
      <c r="F101" s="203">
        <f t="shared" si="230"/>
        <v>0</v>
      </c>
      <c r="G101" s="203">
        <f t="shared" si="230"/>
        <v>0</v>
      </c>
      <c r="H101" s="203">
        <f t="shared" si="230"/>
        <v>0</v>
      </c>
      <c r="I101" s="203">
        <f t="shared" si="230"/>
        <v>0</v>
      </c>
      <c r="J101" s="203">
        <f t="shared" si="230"/>
        <v>0</v>
      </c>
      <c r="K101" s="203">
        <f t="shared" si="230"/>
        <v>0</v>
      </c>
      <c r="L101" s="203">
        <f t="shared" si="230"/>
        <v>15562.342252530538</v>
      </c>
      <c r="M101" s="203">
        <f t="shared" si="230"/>
        <v>39202.342252530543</v>
      </c>
      <c r="N101" s="203">
        <f t="shared" si="230"/>
        <v>56932.342252530543</v>
      </c>
      <c r="O101" s="203">
        <f t="shared" si="230"/>
        <v>68752.34225253055</v>
      </c>
      <c r="P101" s="203">
        <f t="shared" si="230"/>
        <v>74662.34225253055</v>
      </c>
      <c r="Q101" s="203">
        <f t="shared" si="230"/>
        <v>74662.34225253055</v>
      </c>
      <c r="R101" s="203">
        <f t="shared" si="230"/>
        <v>74662.34225253055</v>
      </c>
      <c r="S101" s="203">
        <f t="shared" si="230"/>
        <v>74662.34225253055</v>
      </c>
      <c r="T101" s="203">
        <f t="shared" si="230"/>
        <v>74662.34225253055</v>
      </c>
      <c r="U101" s="203">
        <f t="shared" si="230"/>
        <v>74662.34225253055</v>
      </c>
      <c r="V101" s="203">
        <f t="shared" si="230"/>
        <v>74662.34225253055</v>
      </c>
      <c r="W101" s="203">
        <f t="shared" si="230"/>
        <v>74662.34225253055</v>
      </c>
      <c r="X101" s="203">
        <f t="shared" si="230"/>
        <v>74662.34225253055</v>
      </c>
      <c r="Y101" s="203">
        <f t="shared" si="230"/>
        <v>74662.34225253055</v>
      </c>
      <c r="Z101" s="203">
        <f t="shared" si="230"/>
        <v>74662.34225253055</v>
      </c>
      <c r="AA101" s="203">
        <f t="shared" si="230"/>
        <v>74662.34225253055</v>
      </c>
      <c r="AB101" s="203">
        <f t="shared" si="230"/>
        <v>74662.34225253055</v>
      </c>
      <c r="AC101" s="203">
        <f t="shared" si="230"/>
        <v>74662.34225253055</v>
      </c>
      <c r="AD101" s="203">
        <f t="shared" ref="AD101:AH101" si="231">IF(AD100*$B$17&gt;0,AD100*$B$17,0)</f>
        <v>59077.774237672013</v>
      </c>
      <c r="AE101" s="203">
        <f t="shared" si="231"/>
        <v>44909.98513325509</v>
      </c>
      <c r="AF101" s="203">
        <f t="shared" si="231"/>
        <v>32030.176856512473</v>
      </c>
      <c r="AG101" s="203">
        <f t="shared" si="231"/>
        <v>20321.26024129189</v>
      </c>
      <c r="AH101" s="203">
        <f t="shared" si="231"/>
        <v>9676.7905910913796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-103447.64433438095</v>
      </c>
      <c r="E102" s="203">
        <f t="shared" ref="E102:AC102" si="232">E100-E101</f>
        <v>-217389.94726462633</v>
      </c>
      <c r="F102" s="203">
        <f t="shared" si="232"/>
        <v>-340872.84891838452</v>
      </c>
      <c r="G102" s="203">
        <f t="shared" si="232"/>
        <v>-429251.24436119525</v>
      </c>
      <c r="H102" s="203">
        <f t="shared" si="232"/>
        <v>-481736.65435970959</v>
      </c>
      <c r="I102" s="203">
        <f t="shared" si="232"/>
        <v>-497612.27961088496</v>
      </c>
      <c r="J102" s="203">
        <f t="shared" si="232"/>
        <v>-322501.16849977372</v>
      </c>
      <c r="K102" s="203">
        <f t="shared" si="232"/>
        <v>-103612.27961088496</v>
      </c>
      <c r="L102" s="203">
        <f t="shared" si="232"/>
        <v>99714.26702547344</v>
      </c>
      <c r="M102" s="203">
        <f t="shared" si="232"/>
        <v>251185.37813658456</v>
      </c>
      <c r="N102" s="203">
        <f t="shared" si="232"/>
        <v>364788.71146991785</v>
      </c>
      <c r="O102" s="203">
        <f t="shared" si="232"/>
        <v>440524.26702547347</v>
      </c>
      <c r="P102" s="203">
        <f t="shared" si="232"/>
        <v>478392.04480325122</v>
      </c>
      <c r="Q102" s="203">
        <f t="shared" si="232"/>
        <v>478392.04480325122</v>
      </c>
      <c r="R102" s="203">
        <f t="shared" si="232"/>
        <v>478392.04480325122</v>
      </c>
      <c r="S102" s="203">
        <f t="shared" si="232"/>
        <v>478392.04480325122</v>
      </c>
      <c r="T102" s="203">
        <f t="shared" si="232"/>
        <v>478392.04480325122</v>
      </c>
      <c r="U102" s="203">
        <f t="shared" si="232"/>
        <v>478392.04480325122</v>
      </c>
      <c r="V102" s="203">
        <f t="shared" si="232"/>
        <v>478392.04480325122</v>
      </c>
      <c r="W102" s="203">
        <f t="shared" si="232"/>
        <v>478392.04480325122</v>
      </c>
      <c r="X102" s="203">
        <f t="shared" si="232"/>
        <v>478392.04480325122</v>
      </c>
      <c r="Y102" s="203">
        <f t="shared" si="232"/>
        <v>478392.04480325122</v>
      </c>
      <c r="Z102" s="203">
        <f t="shared" si="232"/>
        <v>478392.04480325122</v>
      </c>
      <c r="AA102" s="203">
        <f t="shared" si="232"/>
        <v>478392.04480325122</v>
      </c>
      <c r="AB102" s="203">
        <f t="shared" si="232"/>
        <v>478392.04480325122</v>
      </c>
      <c r="AC102" s="203">
        <f t="shared" si="232"/>
        <v>478392.04480325122</v>
      </c>
      <c r="AD102" s="203">
        <f t="shared" ref="AD102:AH102" si="233">AD100-AD101</f>
        <v>378535.36826360214</v>
      </c>
      <c r="AE102" s="203">
        <f t="shared" si="233"/>
        <v>287756.57140937517</v>
      </c>
      <c r="AF102" s="203">
        <f t="shared" si="233"/>
        <v>205230.39245098733</v>
      </c>
      <c r="AG102" s="203">
        <f t="shared" si="233"/>
        <v>130206.59339790727</v>
      </c>
      <c r="AH102" s="203">
        <f t="shared" si="233"/>
        <v>62003.139713289202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C103" si="234">D102-D72</f>
        <v>-1927521.7184084549</v>
      </c>
      <c r="E103" s="203">
        <f t="shared" si="234"/>
        <v>-2041464.0213387003</v>
      </c>
      <c r="F103" s="203">
        <f t="shared" si="234"/>
        <v>-2164946.9229924586</v>
      </c>
      <c r="G103" s="203">
        <f t="shared" si="234"/>
        <v>-2253325.3184352694</v>
      </c>
      <c r="H103" s="203">
        <f t="shared" si="234"/>
        <v>-2305810.7284337836</v>
      </c>
      <c r="I103" s="203">
        <f t="shared" si="234"/>
        <v>-497612.27961088496</v>
      </c>
      <c r="J103" s="203">
        <f t="shared" si="234"/>
        <v>-322501.16849977372</v>
      </c>
      <c r="K103" s="203">
        <f t="shared" si="234"/>
        <v>-103612.27961088496</v>
      </c>
      <c r="L103" s="203">
        <f t="shared" si="234"/>
        <v>99714.26702547344</v>
      </c>
      <c r="M103" s="203">
        <f t="shared" si="234"/>
        <v>251185.37813658456</v>
      </c>
      <c r="N103" s="203">
        <f t="shared" si="234"/>
        <v>364788.71146991785</v>
      </c>
      <c r="O103" s="203">
        <f t="shared" si="234"/>
        <v>440524.26702547347</v>
      </c>
      <c r="P103" s="203">
        <f t="shared" si="234"/>
        <v>478392.04480325122</v>
      </c>
      <c r="Q103" s="203">
        <f t="shared" si="234"/>
        <v>478392.04480325122</v>
      </c>
      <c r="R103" s="203">
        <f t="shared" si="234"/>
        <v>478392.04480325122</v>
      </c>
      <c r="S103" s="203">
        <f t="shared" si="234"/>
        <v>478392.04480325122</v>
      </c>
      <c r="T103" s="203">
        <f t="shared" si="234"/>
        <v>478392.04480325122</v>
      </c>
      <c r="U103" s="203">
        <f t="shared" si="234"/>
        <v>478392.04480325122</v>
      </c>
      <c r="V103" s="203">
        <f t="shared" si="234"/>
        <v>478392.04480325122</v>
      </c>
      <c r="W103" s="203">
        <f t="shared" si="234"/>
        <v>478392.04480325122</v>
      </c>
      <c r="X103" s="203">
        <f t="shared" si="234"/>
        <v>478392.04480325122</v>
      </c>
      <c r="Y103" s="203">
        <f t="shared" si="234"/>
        <v>478392.04480325122</v>
      </c>
      <c r="Z103" s="203">
        <f t="shared" si="234"/>
        <v>478392.04480325122</v>
      </c>
      <c r="AA103" s="203">
        <f t="shared" si="234"/>
        <v>478392.04480325122</v>
      </c>
      <c r="AB103" s="203">
        <f t="shared" si="234"/>
        <v>478392.04480325122</v>
      </c>
      <c r="AC103" s="203">
        <f t="shared" si="234"/>
        <v>478392.04480325122</v>
      </c>
      <c r="AD103" s="203">
        <f t="shared" ref="AD103:AH103" si="235">AD102-AD72</f>
        <v>378535.36826360214</v>
      </c>
      <c r="AE103" s="203">
        <f t="shared" si="235"/>
        <v>287756.57140937517</v>
      </c>
      <c r="AF103" s="203">
        <f t="shared" si="235"/>
        <v>205230.39245098733</v>
      </c>
      <c r="AG103" s="203">
        <f t="shared" si="235"/>
        <v>130206.59339790727</v>
      </c>
      <c r="AH103" s="203">
        <f t="shared" si="235"/>
        <v>62003.139713289202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C104" si="236">C103+C31+C32</f>
        <v>-1824074.0740740739</v>
      </c>
      <c r="D104" s="203">
        <f t="shared" si="236"/>
        <v>-1696272.8762965593</v>
      </c>
      <c r="E104" s="203">
        <f t="shared" si="236"/>
        <v>-1598324.0214548227</v>
      </c>
      <c r="F104" s="203">
        <f t="shared" si="236"/>
        <v>-1527526.0931671746</v>
      </c>
      <c r="G104" s="203">
        <f t="shared" si="236"/>
        <v>-1437642.1057411232</v>
      </c>
      <c r="H104" s="203">
        <f t="shared" si="236"/>
        <v>-1326433.2077017042</v>
      </c>
      <c r="I104" s="203">
        <f t="shared" si="236"/>
        <v>632213.04850032553</v>
      </c>
      <c r="J104" s="203">
        <f t="shared" si="236"/>
        <v>812051.28953050869</v>
      </c>
      <c r="K104" s="203">
        <f t="shared" si="236"/>
        <v>1035785.4865864462</v>
      </c>
      <c r="L104" s="203">
        <f t="shared" si="236"/>
        <v>1244078.4740940295</v>
      </c>
      <c r="M104" s="203">
        <f t="shared" si="236"/>
        <v>1400640.1870981462</v>
      </c>
      <c r="N104" s="203">
        <f t="shared" si="236"/>
        <v>1519461.3873718102</v>
      </c>
      <c r="O104" s="203">
        <f t="shared" si="236"/>
        <v>1600545.2565412046</v>
      </c>
      <c r="P104" s="203">
        <f t="shared" si="236"/>
        <v>1643895.0557731674</v>
      </c>
      <c r="Q104" s="203">
        <f t="shared" si="236"/>
        <v>1649514.1277637067</v>
      </c>
      <c r="R104" s="203">
        <f t="shared" si="236"/>
        <v>1655273.6765540098</v>
      </c>
      <c r="S104" s="203">
        <f t="shared" si="236"/>
        <v>1661177.2140640705</v>
      </c>
      <c r="T104" s="203">
        <f t="shared" si="236"/>
        <v>1667228.3400118826</v>
      </c>
      <c r="U104" s="203">
        <f t="shared" si="236"/>
        <v>1673430.7441083901</v>
      </c>
      <c r="V104" s="203">
        <f t="shared" si="236"/>
        <v>1679788.20830731</v>
      </c>
      <c r="W104" s="203">
        <f t="shared" si="236"/>
        <v>1686304.6091112033</v>
      </c>
      <c r="X104" s="203">
        <f t="shared" si="236"/>
        <v>1692983.9199351938</v>
      </c>
      <c r="Y104" s="203">
        <f t="shared" si="236"/>
        <v>1699830.213529784</v>
      </c>
      <c r="Z104" s="203">
        <f t="shared" si="236"/>
        <v>1706847.664464239</v>
      </c>
      <c r="AA104" s="203">
        <f t="shared" si="236"/>
        <v>1714040.5516720554</v>
      </c>
      <c r="AB104" s="203">
        <f t="shared" si="236"/>
        <v>1721413.261060067</v>
      </c>
      <c r="AC104" s="203">
        <f t="shared" si="236"/>
        <v>1419132.1761515848</v>
      </c>
      <c r="AD104" s="203">
        <f t="shared" ref="AD104:AH104" si="237">AD103+AD31+AD32</f>
        <v>1122911.0658292789</v>
      </c>
      <c r="AE104" s="203">
        <f t="shared" si="237"/>
        <v>853619.14735445485</v>
      </c>
      <c r="AF104" s="203">
        <f t="shared" si="237"/>
        <v>608808.31237734237</v>
      </c>
      <c r="AG104" s="203">
        <f t="shared" si="237"/>
        <v>386253.00785269449</v>
      </c>
      <c r="AH104" s="203">
        <f t="shared" si="237"/>
        <v>183930.00373937839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0.52739654872617836</v>
      </c>
      <c r="E108" s="215">
        <f t="shared" ref="E108:G108" si="238">(E102+E71+E70)/(E70+E71)</f>
        <v>0.50342397832953378</v>
      </c>
      <c r="F108" s="215">
        <f t="shared" si="238"/>
        <v>0.66629561563464901</v>
      </c>
      <c r="G108" s="215">
        <f t="shared" si="238"/>
        <v>0.72508696812580598</v>
      </c>
      <c r="H108" s="215">
        <f>(H102+H71+H70)/(H70+H71)</f>
        <v>0.76586943032523014</v>
      </c>
      <c r="I108" s="215">
        <f>(I102+I71+I70)/(I70+I71)</f>
        <v>0.80174224487230117</v>
      </c>
      <c r="J108" s="215">
        <f t="shared" ref="J108:N108" si="239">(J102+J71+J70)/(J70+J71)</f>
        <v>0.88053873577316655</v>
      </c>
      <c r="K108" s="215">
        <f t="shared" si="239"/>
        <v>0.95823333010609302</v>
      </c>
      <c r="L108" s="215">
        <f t="shared" si="239"/>
        <v>1.0525631630161614</v>
      </c>
      <c r="M108" s="215">
        <f t="shared" si="239"/>
        <v>1.1850882923881825</v>
      </c>
      <c r="N108" s="215">
        <f t="shared" si="239"/>
        <v>1.4236984947813722</v>
      </c>
      <c r="O108" s="215">
        <f>(O102+O71+O70)/(O70+O71)</f>
        <v>2.0781503997178921</v>
      </c>
      <c r="P108" s="215" t="e">
        <f t="shared" ref="P108:AB108" si="240">(P102+P71+P70)/(P70+P71)</f>
        <v>#DIV/0!</v>
      </c>
      <c r="Q108" s="215" t="e">
        <f t="shared" si="240"/>
        <v>#DIV/0!</v>
      </c>
      <c r="R108" s="215" t="e">
        <f t="shared" si="240"/>
        <v>#DIV/0!</v>
      </c>
      <c r="S108" s="215" t="e">
        <f t="shared" si="240"/>
        <v>#DIV/0!</v>
      </c>
      <c r="T108" s="215" t="e">
        <f t="shared" si="240"/>
        <v>#DIV/0!</v>
      </c>
      <c r="U108" s="215" t="e">
        <f t="shared" si="240"/>
        <v>#DIV/0!</v>
      </c>
      <c r="V108" s="215" t="e">
        <f t="shared" si="240"/>
        <v>#DIV/0!</v>
      </c>
      <c r="W108" s="215" t="e">
        <f t="shared" si="240"/>
        <v>#DIV/0!</v>
      </c>
      <c r="X108" s="215" t="e">
        <f t="shared" si="240"/>
        <v>#DIV/0!</v>
      </c>
      <c r="Y108" s="215" t="e">
        <f t="shared" si="240"/>
        <v>#DIV/0!</v>
      </c>
      <c r="Z108" s="215" t="e">
        <f t="shared" si="240"/>
        <v>#DIV/0!</v>
      </c>
      <c r="AA108" s="215" t="e">
        <f t="shared" si="240"/>
        <v>#DIV/0!</v>
      </c>
      <c r="AB108" s="215" t="e">
        <f t="shared" si="240"/>
        <v>#DIV/0!</v>
      </c>
      <c r="AC108" s="215" t="e">
        <f t="shared" ref="AC108:AD108" si="241">(AC102+AC71+AC70)/(AC70+AC71)</f>
        <v>#DIV/0!</v>
      </c>
      <c r="AD108" s="215" t="e">
        <f t="shared" si="241"/>
        <v>#DIV/0!</v>
      </c>
      <c r="AE108" s="215" t="e">
        <f t="shared" ref="AE108:AH108" si="242">(AE102+AE71+AE70)/(AE70+AE71)</f>
        <v>#DIV/0!</v>
      </c>
      <c r="AF108" s="215" t="e">
        <f t="shared" si="242"/>
        <v>#DIV/0!</v>
      </c>
      <c r="AG108" s="215" t="e">
        <f t="shared" si="242"/>
        <v>#DIV/0!</v>
      </c>
      <c r="AH108" s="215" t="e">
        <f t="shared" si="2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0.96400726681638049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C110" si="243">(C102+C71*$C15+C70)/(C70+C71*$C15)</f>
        <v>#DIV/0!</v>
      </c>
      <c r="D110" s="215">
        <f t="shared" si="243"/>
        <v>0.52739654872617836</v>
      </c>
      <c r="E110" s="215">
        <f t="shared" si="243"/>
        <v>0.50342397832953378</v>
      </c>
      <c r="F110" s="215">
        <f t="shared" si="243"/>
        <v>0.66629561563464901</v>
      </c>
      <c r="G110" s="215">
        <f t="shared" si="243"/>
        <v>0.72508696812580598</v>
      </c>
      <c r="H110" s="215">
        <f t="shared" si="243"/>
        <v>0.76586943032523014</v>
      </c>
      <c r="I110" s="215">
        <f t="shared" si="243"/>
        <v>0.80174224487230117</v>
      </c>
      <c r="J110" s="215">
        <f t="shared" si="243"/>
        <v>0.88053873577316655</v>
      </c>
      <c r="K110" s="215">
        <f t="shared" si="243"/>
        <v>0.95823333010609302</v>
      </c>
      <c r="L110" s="215">
        <f t="shared" si="243"/>
        <v>1.0525631630161614</v>
      </c>
      <c r="M110" s="215">
        <f t="shared" si="243"/>
        <v>1.1850882923881825</v>
      </c>
      <c r="N110" s="215">
        <f t="shared" si="243"/>
        <v>1.4236984947813722</v>
      </c>
      <c r="O110" s="215">
        <f t="shared" si="243"/>
        <v>2.0781503997178921</v>
      </c>
      <c r="P110" s="215" t="e">
        <f t="shared" si="243"/>
        <v>#DIV/0!</v>
      </c>
      <c r="Q110" s="215" t="e">
        <f t="shared" si="243"/>
        <v>#DIV/0!</v>
      </c>
      <c r="R110" s="215" t="e">
        <f t="shared" si="243"/>
        <v>#DIV/0!</v>
      </c>
      <c r="S110" s="215" t="e">
        <f t="shared" si="243"/>
        <v>#DIV/0!</v>
      </c>
      <c r="T110" s="215" t="e">
        <f t="shared" si="243"/>
        <v>#DIV/0!</v>
      </c>
      <c r="U110" s="215" t="e">
        <f t="shared" si="243"/>
        <v>#DIV/0!</v>
      </c>
      <c r="V110" s="215" t="e">
        <f t="shared" si="243"/>
        <v>#DIV/0!</v>
      </c>
      <c r="W110" s="215" t="e">
        <f t="shared" si="243"/>
        <v>#DIV/0!</v>
      </c>
      <c r="X110" s="215" t="e">
        <f t="shared" si="243"/>
        <v>#DIV/0!</v>
      </c>
      <c r="Y110" s="215" t="e">
        <f t="shared" si="243"/>
        <v>#DIV/0!</v>
      </c>
      <c r="Z110" s="215" t="e">
        <f t="shared" si="243"/>
        <v>#DIV/0!</v>
      </c>
      <c r="AA110" s="215" t="e">
        <f t="shared" si="243"/>
        <v>#DIV/0!</v>
      </c>
      <c r="AB110" s="215" t="e">
        <f t="shared" si="243"/>
        <v>#DIV/0!</v>
      </c>
      <c r="AC110" s="215" t="e">
        <f t="shared" si="243"/>
        <v>#DIV/0!</v>
      </c>
      <c r="AD110" s="215" t="e">
        <f t="shared" ref="AD110:AH110" si="244">(AD102+AD71*$C15+AD70)/(AD70+AD71*$C15)</f>
        <v>#DIV/0!</v>
      </c>
      <c r="AE110" s="215" t="e">
        <f t="shared" si="244"/>
        <v>#DIV/0!</v>
      </c>
      <c r="AF110" s="215" t="e">
        <f t="shared" si="244"/>
        <v>#DIV/0!</v>
      </c>
      <c r="AG110" s="215" t="e">
        <f t="shared" si="244"/>
        <v>#DIV/0!</v>
      </c>
      <c r="AH110" s="215" t="e">
        <f t="shared" si="244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0.96400726681638049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C112" si="245">(C102+C71*$C16+C70)/(C70+C71*$C16)</f>
        <v>#DIV/0!</v>
      </c>
      <c r="D112" s="215">
        <f t="shared" si="245"/>
        <v>0.52739654872617836</v>
      </c>
      <c r="E112" s="215">
        <f t="shared" si="245"/>
        <v>0.50342397832953378</v>
      </c>
      <c r="F112" s="215">
        <f t="shared" si="245"/>
        <v>0.66629561563464901</v>
      </c>
      <c r="G112" s="215">
        <f t="shared" si="245"/>
        <v>0.72508696812580598</v>
      </c>
      <c r="H112" s="215">
        <f t="shared" si="245"/>
        <v>0.76586943032523014</v>
      </c>
      <c r="I112" s="215">
        <f t="shared" si="245"/>
        <v>0.80174224487230117</v>
      </c>
      <c r="J112" s="215">
        <f t="shared" si="245"/>
        <v>0.88053873577316655</v>
      </c>
      <c r="K112" s="215">
        <f t="shared" si="245"/>
        <v>0.95823333010609302</v>
      </c>
      <c r="L112" s="215">
        <f t="shared" si="245"/>
        <v>1.0525631630161614</v>
      </c>
      <c r="M112" s="215">
        <f t="shared" si="245"/>
        <v>1.1850882923881825</v>
      </c>
      <c r="N112" s="215">
        <f t="shared" si="245"/>
        <v>1.4236984947813722</v>
      </c>
      <c r="O112" s="215">
        <f t="shared" si="245"/>
        <v>2.0781503997178921</v>
      </c>
      <c r="P112" s="215" t="e">
        <f t="shared" si="245"/>
        <v>#DIV/0!</v>
      </c>
      <c r="Q112" s="215" t="e">
        <f t="shared" si="245"/>
        <v>#DIV/0!</v>
      </c>
      <c r="R112" s="215" t="e">
        <f t="shared" si="245"/>
        <v>#DIV/0!</v>
      </c>
      <c r="S112" s="215" t="e">
        <f t="shared" si="245"/>
        <v>#DIV/0!</v>
      </c>
      <c r="T112" s="215" t="e">
        <f t="shared" si="245"/>
        <v>#DIV/0!</v>
      </c>
      <c r="U112" s="215" t="e">
        <f t="shared" si="245"/>
        <v>#DIV/0!</v>
      </c>
      <c r="V112" s="215" t="e">
        <f t="shared" si="245"/>
        <v>#DIV/0!</v>
      </c>
      <c r="W112" s="215" t="e">
        <f t="shared" si="245"/>
        <v>#DIV/0!</v>
      </c>
      <c r="X112" s="215" t="e">
        <f t="shared" si="245"/>
        <v>#DIV/0!</v>
      </c>
      <c r="Y112" s="215" t="e">
        <f t="shared" si="245"/>
        <v>#DIV/0!</v>
      </c>
      <c r="Z112" s="215" t="e">
        <f t="shared" si="245"/>
        <v>#DIV/0!</v>
      </c>
      <c r="AA112" s="215" t="e">
        <f t="shared" si="245"/>
        <v>#DIV/0!</v>
      </c>
      <c r="AB112" s="215" t="e">
        <f t="shared" si="245"/>
        <v>#DIV/0!</v>
      </c>
      <c r="AC112" s="215" t="e">
        <f t="shared" si="245"/>
        <v>#DIV/0!</v>
      </c>
      <c r="AD112" s="215" t="e">
        <f t="shared" ref="AD112:AH112" si="246">(AD102+AD71*$C16+AD70)/(AD70+AD71*$C16)</f>
        <v>#DIV/0!</v>
      </c>
      <c r="AE112" s="215" t="e">
        <f t="shared" si="246"/>
        <v>#DIV/0!</v>
      </c>
      <c r="AF112" s="215" t="e">
        <f t="shared" si="246"/>
        <v>#DIV/0!</v>
      </c>
      <c r="AG112" s="215" t="e">
        <f t="shared" si="246"/>
        <v>#DIV/0!</v>
      </c>
      <c r="AH112" s="215" t="e">
        <f t="shared" si="246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0.96400726681638049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932-3E95-4ECB-95D8-56174FC16254}">
  <dimension ref="A1:BV114"/>
  <sheetViews>
    <sheetView topLeftCell="A36" zoomScale="53" zoomScaleNormal="53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5">
        <v>0.1</v>
      </c>
      <c r="C3" s="266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0.20499999999999999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0.79500000000000004</v>
      </c>
      <c r="E8" s="49">
        <f t="shared" ref="E8:AH8" si="0">1*((1-$B$6)^E7)</f>
        <v>0.63202500000000006</v>
      </c>
      <c r="F8" s="49">
        <f t="shared" si="0"/>
        <v>0.50245987500000011</v>
      </c>
      <c r="G8" s="49">
        <f t="shared" si="0"/>
        <v>0.39945560062500007</v>
      </c>
      <c r="H8" s="49">
        <f t="shared" si="0"/>
        <v>0.31756720249687509</v>
      </c>
      <c r="I8" s="49">
        <f t="shared" si="0"/>
        <v>0.25246592598501572</v>
      </c>
      <c r="J8" s="49">
        <f t="shared" si="0"/>
        <v>0.20071041115808749</v>
      </c>
      <c r="K8" s="49">
        <f t="shared" si="0"/>
        <v>0.15956477687067955</v>
      </c>
      <c r="L8" s="49">
        <f t="shared" si="0"/>
        <v>0.12685399761219024</v>
      </c>
      <c r="M8" s="49">
        <f t="shared" si="0"/>
        <v>0.10084892810169126</v>
      </c>
      <c r="N8" s="49">
        <f t="shared" si="0"/>
        <v>8.0174897840844556E-2</v>
      </c>
      <c r="O8" s="49">
        <f t="shared" si="0"/>
        <v>6.3739043783471422E-2</v>
      </c>
      <c r="P8" s="49">
        <f t="shared" si="0"/>
        <v>5.0672539807859782E-2</v>
      </c>
      <c r="Q8" s="49">
        <f t="shared" si="0"/>
        <v>4.0284669147248528E-2</v>
      </c>
      <c r="R8" s="49">
        <f t="shared" si="0"/>
        <v>3.2026311972062578E-2</v>
      </c>
      <c r="S8" s="49">
        <f t="shared" si="0"/>
        <v>2.5460918017789751E-2</v>
      </c>
      <c r="T8" s="49">
        <f t="shared" si="0"/>
        <v>2.0241429824142853E-2</v>
      </c>
      <c r="U8" s="49">
        <f t="shared" si="0"/>
        <v>1.6091936710193568E-2</v>
      </c>
      <c r="V8" s="49">
        <f t="shared" si="0"/>
        <v>1.279308968460389E-2</v>
      </c>
      <c r="W8" s="49">
        <f t="shared" si="0"/>
        <v>1.0170506299260092E-2</v>
      </c>
      <c r="X8" s="49">
        <f t="shared" si="0"/>
        <v>8.0855525079117727E-3</v>
      </c>
      <c r="Y8" s="49">
        <f t="shared" si="0"/>
        <v>6.4280142437898608E-3</v>
      </c>
      <c r="Z8" s="49">
        <f t="shared" si="0"/>
        <v>5.1102713238129387E-3</v>
      </c>
      <c r="AA8" s="49">
        <f t="shared" si="0"/>
        <v>4.0626657024312859E-3</v>
      </c>
      <c r="AB8" s="49">
        <f t="shared" si="0"/>
        <v>3.2298192334328725E-3</v>
      </c>
      <c r="AC8" s="49">
        <f t="shared" si="0"/>
        <v>2.567706290579134E-3</v>
      </c>
      <c r="AD8" s="49">
        <f t="shared" si="0"/>
        <v>2.041326501010412E-3</v>
      </c>
      <c r="AE8" s="49">
        <f t="shared" si="0"/>
        <v>1.6228545683032774E-3</v>
      </c>
      <c r="AF8" s="49">
        <f t="shared" si="0"/>
        <v>1.2901693818011056E-3</v>
      </c>
      <c r="AG8" s="49">
        <f t="shared" si="0"/>
        <v>1.025684658531879E-3</v>
      </c>
      <c r="AH8" s="49">
        <f t="shared" si="0"/>
        <v>8.1541930353284367E-4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17">
        <v>0.20499999999999999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17">
        <v>0.20499999999999999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17">
        <v>0.20499999999999999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0">
        <v>0.3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C28*(Interventions!$F$7)</f>
        <v>124368.68686868688</v>
      </c>
      <c r="E26" s="27">
        <f>D28*(Interventions!$F$7)</f>
        <v>237431.12947658403</v>
      </c>
      <c r="F26" s="27">
        <f>E28*(Interventions!$F$7)</f>
        <v>340215.16821103601</v>
      </c>
      <c r="G26" s="27">
        <f>F28*(Interventions!$F$7)</f>
        <v>433655.20342417416</v>
      </c>
      <c r="H26" s="27">
        <f>G28*(Interventions!$F$7)</f>
        <v>518600.6899815725</v>
      </c>
      <c r="I26" s="27">
        <f>H28*(Interventions!$F$7)</f>
        <v>595823.85957920738</v>
      </c>
      <c r="J26" s="27">
        <f>I28*(Interventions!$F$7)</f>
        <v>595823.85957920738</v>
      </c>
      <c r="K26" s="27">
        <f>J28*(Interventions!$F$7)</f>
        <v>595823.85957920738</v>
      </c>
      <c r="L26" s="27">
        <f>K28*(Interventions!$F$7)</f>
        <v>595823.85957920738</v>
      </c>
      <c r="M26" s="27">
        <f>L28*(Interventions!$F$7)</f>
        <v>595823.85957920738</v>
      </c>
      <c r="N26" s="27">
        <f>M28*(Interventions!$F$7)</f>
        <v>595823.85957920738</v>
      </c>
      <c r="O26" s="27">
        <f>N28*(Interventions!$F$7)</f>
        <v>595823.85957920738</v>
      </c>
      <c r="P26" s="27">
        <f>O28*(Interventions!$F$7)</f>
        <v>595823.85957920738</v>
      </c>
      <c r="Q26" s="27">
        <f>P28*(Interventions!$F$7)</f>
        <v>595823.85957920738</v>
      </c>
      <c r="R26" s="27">
        <f>Q28*(Interventions!$F$7)</f>
        <v>595823.85957920738</v>
      </c>
      <c r="S26" s="27">
        <f>R28*(Interventions!$F$7)</f>
        <v>595823.85957920738</v>
      </c>
      <c r="T26" s="27">
        <f>S28*(Interventions!$F$7)</f>
        <v>595823.85957920738</v>
      </c>
      <c r="U26" s="27">
        <f>T28*(Interventions!$F$7)</f>
        <v>595823.85957920738</v>
      </c>
      <c r="V26" s="27">
        <f>U28*(Interventions!$F$7)</f>
        <v>595823.85957920738</v>
      </c>
      <c r="W26" s="27">
        <f>V28*(Interventions!$F$7)</f>
        <v>595823.85957920738</v>
      </c>
      <c r="X26" s="27">
        <f>W28*(Interventions!$F$7)</f>
        <v>595823.85957920738</v>
      </c>
      <c r="Y26" s="27">
        <f>X28*(Interventions!$F$7)</f>
        <v>595823.85957920738</v>
      </c>
      <c r="Z26" s="27">
        <f>Y28*(Interventions!$F$7)</f>
        <v>595823.85957920738</v>
      </c>
      <c r="AA26" s="27">
        <f>Z28*(Interventions!$F$7)</f>
        <v>595823.85957920738</v>
      </c>
      <c r="AB26" s="27">
        <f>AA28*(Interventions!$F$7)</f>
        <v>595823.85957920738</v>
      </c>
      <c r="AC26" s="27">
        <f>AB28*(Interventions!$F$7)</f>
        <v>595823.85957920738</v>
      </c>
      <c r="AD26" s="27">
        <f>AC28*(Interventions!$F$7)</f>
        <v>471455.17271052051</v>
      </c>
      <c r="AE26" s="27">
        <f>AD28*(Interventions!$F$7)</f>
        <v>358392.73010262335</v>
      </c>
      <c r="AF26" s="27">
        <f>AE28*(Interventions!$F$7)</f>
        <v>255608.69136817136</v>
      </c>
      <c r="AG26" s="27">
        <f>AF28*(Interventions!$F$7)</f>
        <v>162168.65615503321</v>
      </c>
      <c r="AH26" s="27">
        <f>AG28*(Interventions!$F$7)</f>
        <v>77223.169597634886</v>
      </c>
    </row>
    <row r="27" spans="1:34" x14ac:dyDescent="0.25">
      <c r="A27" s="41" t="s">
        <v>147</v>
      </c>
      <c r="B27" s="10" t="s">
        <v>135</v>
      </c>
      <c r="C27" s="45">
        <f>E3</f>
        <v>45.454730042281668</v>
      </c>
      <c r="D27" s="45">
        <f>D25/(Interventions!$F$6+Interventions!$F$7)</f>
        <v>41.322481856619696</v>
      </c>
      <c r="E27" s="45">
        <f>E25/(Interventions!$F$6+Interventions!$F$7)</f>
        <v>37.565892596927</v>
      </c>
      <c r="F27" s="45">
        <f>F25/(Interventions!$F$6+Interventions!$F$7)</f>
        <v>34.150811451751814</v>
      </c>
      <c r="G27" s="45">
        <f>G25/(Interventions!$F$6+Interventions!$F$7)</f>
        <v>31.046192228865287</v>
      </c>
      <c r="H27" s="45">
        <f>H25/(Interventions!$F$6+Interventions!$F$7)</f>
        <v>28.223811117150255</v>
      </c>
      <c r="I27" s="45">
        <f>I25/(Interventions!$F$6+Interventions!$F$7)</f>
        <v>0</v>
      </c>
      <c r="J27" s="45">
        <f>J25/(Interventions!$F$6+Interventions!$F$7)</f>
        <v>0</v>
      </c>
      <c r="K27" s="45">
        <f>K25/(Interventions!$F$6+Interventions!$F$7)</f>
        <v>0</v>
      </c>
      <c r="L27" s="45">
        <f>L25/(Interventions!$F$6+Interventions!$F$7)</f>
        <v>0</v>
      </c>
      <c r="M27" s="45">
        <f>M25/(Interventions!$F$6+Interventions!$F$7)</f>
        <v>0</v>
      </c>
      <c r="N27" s="45">
        <f>N25/(Interventions!$F$6+Interventions!$F$7)</f>
        <v>0</v>
      </c>
      <c r="O27" s="45">
        <f>O25/(Interventions!$F$6+Interventions!$F$7)</f>
        <v>0</v>
      </c>
      <c r="P27" s="45">
        <f>P25/(Interventions!$F$6+Interventions!$F$7)</f>
        <v>0</v>
      </c>
      <c r="Q27" s="45">
        <f>Q25/(Interventions!$F$6+Interventions!$F$7)</f>
        <v>0</v>
      </c>
      <c r="R27" s="45">
        <f>R25/(Interventions!$F$6+Interventions!$F$7)</f>
        <v>0</v>
      </c>
      <c r="S27" s="45">
        <f>S25/(Interventions!$F$6+Interventions!$F$7)</f>
        <v>0</v>
      </c>
      <c r="T27" s="45">
        <f>T25/(Interventions!$F$6+Interventions!$F$7)</f>
        <v>0</v>
      </c>
      <c r="U27" s="45">
        <f>U25/(Interventions!$F$6+Interventions!$F$7)</f>
        <v>0</v>
      </c>
      <c r="V27" s="45">
        <f>V25/(Interventions!$F$6+Interventions!$F$7)</f>
        <v>0</v>
      </c>
      <c r="W27" s="45">
        <f>W25/(Interventions!$F$6+Interventions!$F$7)</f>
        <v>0</v>
      </c>
      <c r="X27" s="45">
        <f>X25/(Interventions!$F$6+Interventions!$F$7)</f>
        <v>0</v>
      </c>
      <c r="Y27" s="45">
        <f>Y25/(Interventions!$F$6+Interventions!$F$7)</f>
        <v>0</v>
      </c>
      <c r="Z27" s="45">
        <f>Z25/(Interventions!$F$6+Interventions!$F$7)</f>
        <v>0</v>
      </c>
      <c r="AA27" s="45">
        <f>AA25/(Interventions!$F$6+Interventions!$F$7)</f>
        <v>0</v>
      </c>
      <c r="AB27" s="45">
        <f>AB25/(Interventions!$F$6+Interventions!$F$7)</f>
        <v>0</v>
      </c>
      <c r="AC27" s="45">
        <f>AC25/(Interventions!$F$6+Interventions!$F$7)</f>
        <v>0</v>
      </c>
      <c r="AD27" s="45">
        <f>AD25/(Interventions!$F$6+Interventions!$F$7)</f>
        <v>0</v>
      </c>
      <c r="AE27" s="45">
        <f>AE25/(Interventions!$F$6+Interventions!$F$7)</f>
        <v>0</v>
      </c>
      <c r="AF27" s="45">
        <f>AF25/(Interventions!$F$6+Interventions!$F$7)</f>
        <v>0</v>
      </c>
      <c r="AG27" s="45">
        <f>AG25/(Interventions!$F$6+Interventions!$F$7)</f>
        <v>0</v>
      </c>
      <c r="AH27" s="45">
        <f>AH25/(Interventions!$F$6+Interventions!$F$7)</f>
        <v>0</v>
      </c>
    </row>
    <row r="28" spans="1:34" x14ac:dyDescent="0.25">
      <c r="A28" s="43" t="s">
        <v>148</v>
      </c>
      <c r="B28" s="10" t="s">
        <v>135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C28*Interventions!$F$10</f>
        <v>147273.3253369926</v>
      </c>
      <c r="E32" s="42">
        <f>D28*Interventions!$F$10</f>
        <v>281158.16655244038</v>
      </c>
      <c r="F32" s="42">
        <f>E28*Interventions!$F$10</f>
        <v>402871.65856648388</v>
      </c>
      <c r="G32" s="42">
        <f>F28*Interventions!$F$10</f>
        <v>513520.28767015977</v>
      </c>
      <c r="H32" s="42">
        <f>G28*Interventions!$F$10</f>
        <v>614109.95049168332</v>
      </c>
      <c r="I32" s="42">
        <f>H28*Interventions!$F$10</f>
        <v>705555.09851125022</v>
      </c>
      <c r="J32" s="42">
        <f>I28*Interventions!$F$10</f>
        <v>705555.09851125022</v>
      </c>
      <c r="K32" s="42">
        <f>J28*Interventions!$F$10</f>
        <v>705555.09851125022</v>
      </c>
      <c r="L32" s="42">
        <f>K28*Interventions!$F$10</f>
        <v>705555.09851125022</v>
      </c>
      <c r="M32" s="42">
        <f>L28*Interventions!$F$10</f>
        <v>705555.09851125022</v>
      </c>
      <c r="N32" s="42">
        <f>M28*Interventions!$F$10</f>
        <v>705555.09851125022</v>
      </c>
      <c r="O32" s="42">
        <f>N28*Interventions!$F$10</f>
        <v>705555.09851125022</v>
      </c>
      <c r="P32" s="42">
        <f>O28*Interventions!$F$10</f>
        <v>705555.09851125022</v>
      </c>
      <c r="Q32" s="42">
        <f>P28*Interventions!$F$10</f>
        <v>705555.09851125022</v>
      </c>
      <c r="R32" s="42">
        <f>Q28*Interventions!$F$10</f>
        <v>705555.09851125022</v>
      </c>
      <c r="S32" s="42">
        <f>R28*Interventions!$F$10</f>
        <v>705555.09851125022</v>
      </c>
      <c r="T32" s="42">
        <f>S28*Interventions!$F$10</f>
        <v>705555.09851125022</v>
      </c>
      <c r="U32" s="42">
        <f>T28*Interventions!$F$10</f>
        <v>705555.09851125022</v>
      </c>
      <c r="V32" s="42">
        <f>U28*Interventions!$F$10</f>
        <v>705555.09851125022</v>
      </c>
      <c r="W32" s="42">
        <f>V28*Interventions!$F$10</f>
        <v>705555.09851125022</v>
      </c>
      <c r="X32" s="42">
        <f>W28*Interventions!$F$10</f>
        <v>705555.09851125022</v>
      </c>
      <c r="Y32" s="42">
        <f>X28*Interventions!$F$10</f>
        <v>705555.09851125022</v>
      </c>
      <c r="Z32" s="42">
        <f>Y28*Interventions!$F$10</f>
        <v>705555.09851125022</v>
      </c>
      <c r="AA32" s="42">
        <f>Z28*Interventions!$F$10</f>
        <v>705555.09851125022</v>
      </c>
      <c r="AB32" s="42">
        <f>AA28*Interventions!$F$10</f>
        <v>705555.09851125022</v>
      </c>
      <c r="AC32" s="42">
        <f>AB28*Interventions!$F$10</f>
        <v>705555.09851125022</v>
      </c>
      <c r="AD32" s="42">
        <f>AC28*Interventions!$F$10</f>
        <v>558281.7731742576</v>
      </c>
      <c r="AE32" s="42">
        <f>AD28*Interventions!$F$10</f>
        <v>424396.93195880979</v>
      </c>
      <c r="AF32" s="42">
        <f>AE28*Interventions!$F$10</f>
        <v>302683.43994476629</v>
      </c>
      <c r="AG32" s="42">
        <f>AF28*Interventions!$F$10</f>
        <v>192034.81084109042</v>
      </c>
      <c r="AH32" s="42">
        <f>AG28*Interventions!$F$10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D37-D38</f>
        <v>168193.74483846541</v>
      </c>
      <c r="E34" s="116">
        <f t="shared" ref="E34:AH34" si="9">E37-E38</f>
        <v>321097.14923707023</v>
      </c>
      <c r="F34" s="116">
        <f t="shared" si="9"/>
        <v>460100.24414489302</v>
      </c>
      <c r="G34" s="116">
        <f t="shared" si="9"/>
        <v>586466.69406109536</v>
      </c>
      <c r="H34" s="116">
        <f t="shared" si="9"/>
        <v>701345.28489400656</v>
      </c>
      <c r="I34" s="116">
        <f t="shared" si="9"/>
        <v>805780.36746938061</v>
      </c>
      <c r="J34" s="116">
        <f t="shared" si="9"/>
        <v>805780.36746938061</v>
      </c>
      <c r="K34" s="116">
        <f t="shared" si="9"/>
        <v>805780.36746938061</v>
      </c>
      <c r="L34" s="116">
        <f t="shared" si="9"/>
        <v>805780.36746938061</v>
      </c>
      <c r="M34" s="116">
        <f t="shared" si="9"/>
        <v>805780.36746938061</v>
      </c>
      <c r="N34" s="116">
        <f t="shared" si="9"/>
        <v>805780.36746938061</v>
      </c>
      <c r="O34" s="116">
        <f t="shared" si="9"/>
        <v>805780.36746938061</v>
      </c>
      <c r="P34" s="116">
        <f t="shared" si="9"/>
        <v>805780.36746938061</v>
      </c>
      <c r="Q34" s="116">
        <f t="shared" si="9"/>
        <v>805780.36746938061</v>
      </c>
      <c r="R34" s="116">
        <f t="shared" si="9"/>
        <v>805780.36746938061</v>
      </c>
      <c r="S34" s="116">
        <f t="shared" si="9"/>
        <v>805780.36746938061</v>
      </c>
      <c r="T34" s="116">
        <f t="shared" si="9"/>
        <v>805780.36746938061</v>
      </c>
      <c r="U34" s="116">
        <f t="shared" si="9"/>
        <v>805780.36746938061</v>
      </c>
      <c r="V34" s="116">
        <f t="shared" si="9"/>
        <v>805780.36746938061</v>
      </c>
      <c r="W34" s="116">
        <f t="shared" si="9"/>
        <v>805780.36746938061</v>
      </c>
      <c r="X34" s="116">
        <f t="shared" si="9"/>
        <v>805780.36746938061</v>
      </c>
      <c r="Y34" s="116">
        <f t="shared" si="9"/>
        <v>805780.36746938061</v>
      </c>
      <c r="Z34" s="116">
        <f t="shared" si="9"/>
        <v>805780.36746938061</v>
      </c>
      <c r="AA34" s="116">
        <f t="shared" si="9"/>
        <v>805780.36746938061</v>
      </c>
      <c r="AB34" s="116">
        <f t="shared" si="9"/>
        <v>805780.36746938061</v>
      </c>
      <c r="AC34" s="116">
        <f t="shared" si="9"/>
        <v>805780.36746938061</v>
      </c>
      <c r="AD34" s="116">
        <f t="shared" si="9"/>
        <v>637586.62263091514</v>
      </c>
      <c r="AE34" s="116">
        <f t="shared" si="9"/>
        <v>484683.21823231038</v>
      </c>
      <c r="AF34" s="116">
        <f t="shared" si="9"/>
        <v>345680.12332448759</v>
      </c>
      <c r="AG34" s="116">
        <f t="shared" si="9"/>
        <v>219313.67340828519</v>
      </c>
      <c r="AH34" s="116">
        <f t="shared" si="9"/>
        <v>104435.08257537396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C28*Interventions!$F$13</f>
        <v>424728.99751507991</v>
      </c>
      <c r="E37" s="42">
        <f>D28*Interventions!$F$13</f>
        <v>810846.26798333426</v>
      </c>
      <c r="F37" s="42">
        <f>E28*Interventions!$F$13</f>
        <v>1161861.9684090202</v>
      </c>
      <c r="G37" s="42">
        <f>F28*Interventions!$F$13</f>
        <v>1480967.1506141892</v>
      </c>
      <c r="H37" s="42">
        <f>G28*Interventions!$F$13</f>
        <v>1771062.7708007065</v>
      </c>
      <c r="I37" s="42">
        <f>H28*Interventions!$F$13</f>
        <v>2034786.0618793585</v>
      </c>
      <c r="J37" s="42">
        <f>I28*Interventions!$F$13</f>
        <v>2034786.0618793585</v>
      </c>
      <c r="K37" s="42">
        <f>J28*Interventions!$F$13</f>
        <v>2034786.0618793585</v>
      </c>
      <c r="L37" s="42">
        <f>K28*Interventions!$F$13</f>
        <v>2034786.0618793585</v>
      </c>
      <c r="M37" s="42">
        <f>L28*Interventions!$F$13</f>
        <v>2034786.0618793585</v>
      </c>
      <c r="N37" s="42">
        <f>M28*Interventions!$F$13</f>
        <v>2034786.0618793585</v>
      </c>
      <c r="O37" s="42">
        <f>N28*Interventions!$F$13</f>
        <v>2034786.0618793585</v>
      </c>
      <c r="P37" s="42">
        <f>O28*Interventions!$F$13</f>
        <v>2034786.0618793585</v>
      </c>
      <c r="Q37" s="42">
        <f>P28*Interventions!$F$13</f>
        <v>2034786.0618793585</v>
      </c>
      <c r="R37" s="42">
        <f>Q28*Interventions!$F$13</f>
        <v>2034786.0618793585</v>
      </c>
      <c r="S37" s="42">
        <f>R28*Interventions!$F$13</f>
        <v>2034786.0618793585</v>
      </c>
      <c r="T37" s="42">
        <f>S28*Interventions!$F$13</f>
        <v>2034786.0618793585</v>
      </c>
      <c r="U37" s="42">
        <f>T28*Interventions!$F$13</f>
        <v>2034786.0618793585</v>
      </c>
      <c r="V37" s="42">
        <f>U28*Interventions!$F$13</f>
        <v>2034786.0618793585</v>
      </c>
      <c r="W37" s="42">
        <f>V28*Interventions!$F$13</f>
        <v>2034786.0618793585</v>
      </c>
      <c r="X37" s="42">
        <f>W28*Interventions!$F$13</f>
        <v>2034786.0618793585</v>
      </c>
      <c r="Y37" s="42">
        <f>X28*Interventions!$F$13</f>
        <v>2034786.0618793585</v>
      </c>
      <c r="Z37" s="42">
        <f>Y28*Interventions!$F$13</f>
        <v>2034786.0618793585</v>
      </c>
      <c r="AA37" s="42">
        <f>Z28*Interventions!$F$13</f>
        <v>2034786.0618793585</v>
      </c>
      <c r="AB37" s="42">
        <f>AA28*Interventions!$F$13</f>
        <v>2034786.0618793585</v>
      </c>
      <c r="AC37" s="42">
        <f>AB28*Interventions!$F$13</f>
        <v>2034786.0618793585</v>
      </c>
      <c r="AD37" s="42">
        <f>AC28*Interventions!$F$13</f>
        <v>1610057.0643642787</v>
      </c>
      <c r="AE37" s="42">
        <f>AD28*Interventions!$F$13</f>
        <v>1223939.7938960243</v>
      </c>
      <c r="AF37" s="42">
        <f>AE28*Interventions!$F$13</f>
        <v>872924.09347033838</v>
      </c>
      <c r="AG37" s="42">
        <f>AF28*Interventions!$F$13</f>
        <v>553818.91126516939</v>
      </c>
      <c r="AH37" s="42">
        <f>AG28*Interventions!$F$13</f>
        <v>263723.2910786522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C28*Interventions!$F$14</f>
        <v>256535.2526766145</v>
      </c>
      <c r="E38" s="42">
        <f>D28*Interventions!$F$14</f>
        <v>489749.11874626402</v>
      </c>
      <c r="F38" s="42">
        <f>E28*Interventions!$F$14</f>
        <v>701761.7242641272</v>
      </c>
      <c r="G38" s="42">
        <f>F28*Interventions!$F$14</f>
        <v>894500.45655309386</v>
      </c>
      <c r="H38" s="42">
        <f>G28*Interventions!$F$14</f>
        <v>1069717.4859066999</v>
      </c>
      <c r="I38" s="42">
        <f>H28*Interventions!$F$14</f>
        <v>1229005.6944099779</v>
      </c>
      <c r="J38" s="42">
        <f>I28*Interventions!$F$14</f>
        <v>1229005.6944099779</v>
      </c>
      <c r="K38" s="42">
        <f>J28*Interventions!$F$14</f>
        <v>1229005.6944099779</v>
      </c>
      <c r="L38" s="42">
        <f>K28*Interventions!$F$14</f>
        <v>1229005.6944099779</v>
      </c>
      <c r="M38" s="42">
        <f>L28*Interventions!$F$14</f>
        <v>1229005.6944099779</v>
      </c>
      <c r="N38" s="42">
        <f>M28*Interventions!$F$14</f>
        <v>1229005.6944099779</v>
      </c>
      <c r="O38" s="42">
        <f>N28*Interventions!$F$14</f>
        <v>1229005.6944099779</v>
      </c>
      <c r="P38" s="42">
        <f>O28*Interventions!$F$14</f>
        <v>1229005.6944099779</v>
      </c>
      <c r="Q38" s="42">
        <f>P28*Interventions!$F$14</f>
        <v>1229005.6944099779</v>
      </c>
      <c r="R38" s="42">
        <f>Q28*Interventions!$F$14</f>
        <v>1229005.6944099779</v>
      </c>
      <c r="S38" s="42">
        <f>R28*Interventions!$F$14</f>
        <v>1229005.6944099779</v>
      </c>
      <c r="T38" s="42">
        <f>S28*Interventions!$F$14</f>
        <v>1229005.6944099779</v>
      </c>
      <c r="U38" s="42">
        <f>T28*Interventions!$F$14</f>
        <v>1229005.6944099779</v>
      </c>
      <c r="V38" s="42">
        <f>U28*Interventions!$F$14</f>
        <v>1229005.6944099779</v>
      </c>
      <c r="W38" s="42">
        <f>V28*Interventions!$F$14</f>
        <v>1229005.6944099779</v>
      </c>
      <c r="X38" s="42">
        <f>W28*Interventions!$F$14</f>
        <v>1229005.6944099779</v>
      </c>
      <c r="Y38" s="42">
        <f>X28*Interventions!$F$14</f>
        <v>1229005.6944099779</v>
      </c>
      <c r="Z38" s="42">
        <f>Y28*Interventions!$F$14</f>
        <v>1229005.6944099779</v>
      </c>
      <c r="AA38" s="42">
        <f>Z28*Interventions!$F$14</f>
        <v>1229005.6944099779</v>
      </c>
      <c r="AB38" s="42">
        <f>AA28*Interventions!$F$14</f>
        <v>1229005.6944099779</v>
      </c>
      <c r="AC38" s="42">
        <f>AB28*Interventions!$F$14</f>
        <v>1229005.6944099779</v>
      </c>
      <c r="AD38" s="42">
        <f>AC28*Interventions!$F$14</f>
        <v>972470.44173336355</v>
      </c>
      <c r="AE38" s="42">
        <f>AD28*Interventions!$F$14</f>
        <v>739256.57566371397</v>
      </c>
      <c r="AF38" s="42">
        <f>AE28*Interventions!$F$14</f>
        <v>527243.97014585079</v>
      </c>
      <c r="AG38" s="42">
        <f>AF28*Interventions!$F$14</f>
        <v>334505.2378568842</v>
      </c>
      <c r="AH38" s="42">
        <f>AG28*Interventions!$F$14</f>
        <v>159288.20850327823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341630.37642238697</v>
      </c>
      <c r="E40" s="116">
        <f t="shared" si="10"/>
        <v>653452.1491499783</v>
      </c>
      <c r="F40" s="116">
        <f t="shared" si="10"/>
        <v>938165.86651385599</v>
      </c>
      <c r="G40" s="116">
        <f t="shared" si="10"/>
        <v>1198229.1035817051</v>
      </c>
      <c r="H40" s="116">
        <f t="shared" si="10"/>
        <v>1435878.4254430663</v>
      </c>
      <c r="I40" s="116">
        <f t="shared" si="10"/>
        <v>1653149.3635527885</v>
      </c>
      <c r="J40" s="116">
        <f t="shared" si="10"/>
        <v>1656694.7109920925</v>
      </c>
      <c r="K40" s="116">
        <f t="shared" si="10"/>
        <v>1660328.692117379</v>
      </c>
      <c r="L40" s="116">
        <f t="shared" si="10"/>
        <v>1664053.5227707978</v>
      </c>
      <c r="M40" s="116">
        <f t="shared" si="10"/>
        <v>1667871.4741905518</v>
      </c>
      <c r="N40" s="116">
        <f t="shared" si="10"/>
        <v>1671784.8743957998</v>
      </c>
      <c r="O40" s="116">
        <f t="shared" si="10"/>
        <v>1675796.1096061789</v>
      </c>
      <c r="P40" s="116">
        <f t="shared" si="10"/>
        <v>1679907.6256968179</v>
      </c>
      <c r="Q40" s="116">
        <f t="shared" si="10"/>
        <v>1684121.9296897224</v>
      </c>
      <c r="R40" s="116">
        <f t="shared" si="10"/>
        <v>1688441.5912824497</v>
      </c>
      <c r="S40" s="116">
        <f t="shared" si="10"/>
        <v>1692869.2444149952</v>
      </c>
      <c r="T40" s="116">
        <f t="shared" si="10"/>
        <v>1697407.5888758544</v>
      </c>
      <c r="U40" s="116">
        <f t="shared" si="10"/>
        <v>1702059.3919482348</v>
      </c>
      <c r="V40" s="116">
        <f t="shared" si="10"/>
        <v>1706827.4900974249</v>
      </c>
      <c r="W40" s="116">
        <f t="shared" si="10"/>
        <v>1711714.7907003448</v>
      </c>
      <c r="X40" s="116">
        <f t="shared" si="10"/>
        <v>1716724.2738183376</v>
      </c>
      <c r="Y40" s="116">
        <f t="shared" si="10"/>
        <v>1721858.9940142801</v>
      </c>
      <c r="Z40" s="116">
        <f t="shared" si="10"/>
        <v>1727122.0822151215</v>
      </c>
      <c r="AA40" s="116">
        <f t="shared" si="10"/>
        <v>1732516.7476209837</v>
      </c>
      <c r="AB40" s="116">
        <f t="shared" si="10"/>
        <v>1738046.2796619926</v>
      </c>
      <c r="AC40" s="116">
        <f t="shared" si="10"/>
        <v>1511335.4659806308</v>
      </c>
      <c r="AD40" s="116">
        <f t="shared" si="10"/>
        <v>1195868.3958051726</v>
      </c>
      <c r="AE40" s="116">
        <f t="shared" si="10"/>
        <v>909080.1501911201</v>
      </c>
      <c r="AF40" s="116">
        <f t="shared" si="10"/>
        <v>648363.56326925382</v>
      </c>
      <c r="AG40" s="116">
        <f t="shared" si="10"/>
        <v>411348.48424937564</v>
      </c>
      <c r="AH40" s="116">
        <f t="shared" si="10"/>
        <v>195880.23059494086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-1026425.1791331685</v>
      </c>
      <c r="E42" s="31">
        <f t="shared" si="11"/>
        <v>-714603.4064055772</v>
      </c>
      <c r="F42" s="31">
        <f t="shared" si="11"/>
        <v>-429889.68904169952</v>
      </c>
      <c r="G42" s="31">
        <f t="shared" si="11"/>
        <v>-169826.45197385037</v>
      </c>
      <c r="H42" s="31">
        <f t="shared" si="11"/>
        <v>67822.86988751078</v>
      </c>
      <c r="I42" s="31">
        <f t="shared" si="11"/>
        <v>1057325.5039735811</v>
      </c>
      <c r="J42" s="31">
        <f t="shared" si="11"/>
        <v>1060870.8514128851</v>
      </c>
      <c r="K42" s="31">
        <f t="shared" si="11"/>
        <v>1064504.8325381717</v>
      </c>
      <c r="L42" s="31">
        <f t="shared" si="11"/>
        <v>1068229.6631915905</v>
      </c>
      <c r="M42" s="31">
        <f t="shared" si="11"/>
        <v>1072047.6146113444</v>
      </c>
      <c r="N42" s="31">
        <f t="shared" si="11"/>
        <v>1075961.0148165924</v>
      </c>
      <c r="O42" s="31">
        <f t="shared" si="11"/>
        <v>1079972.2500269716</v>
      </c>
      <c r="P42" s="31">
        <f t="shared" si="11"/>
        <v>1084083.7661176105</v>
      </c>
      <c r="Q42" s="31">
        <f t="shared" si="11"/>
        <v>1088298.070110515</v>
      </c>
      <c r="R42" s="31">
        <f t="shared" si="11"/>
        <v>1092617.7317032423</v>
      </c>
      <c r="S42" s="31">
        <f t="shared" si="11"/>
        <v>1097045.3848357878</v>
      </c>
      <c r="T42" s="31">
        <f t="shared" si="11"/>
        <v>1101583.729296647</v>
      </c>
      <c r="U42" s="31">
        <f t="shared" si="11"/>
        <v>1106235.5323690274</v>
      </c>
      <c r="V42" s="31">
        <f t="shared" si="11"/>
        <v>1111003.6305182176</v>
      </c>
      <c r="W42" s="31">
        <f t="shared" si="11"/>
        <v>1115890.9311211375</v>
      </c>
      <c r="X42" s="31">
        <f t="shared" si="11"/>
        <v>1120900.4142391302</v>
      </c>
      <c r="Y42" s="31">
        <f t="shared" si="11"/>
        <v>1126035.1344350728</v>
      </c>
      <c r="Z42" s="31">
        <f t="shared" si="11"/>
        <v>1131298.2226359141</v>
      </c>
      <c r="AA42" s="31">
        <f t="shared" si="11"/>
        <v>1136692.8880417764</v>
      </c>
      <c r="AB42" s="31">
        <f t="shared" si="11"/>
        <v>1142222.4200827852</v>
      </c>
      <c r="AC42" s="31">
        <f t="shared" si="11"/>
        <v>915511.60640142346</v>
      </c>
      <c r="AD42" s="31">
        <f t="shared" si="11"/>
        <v>724413.22309465217</v>
      </c>
      <c r="AE42" s="31">
        <f t="shared" si="11"/>
        <v>550687.42008849676</v>
      </c>
      <c r="AF42" s="31">
        <f t="shared" si="11"/>
        <v>392754.87190108246</v>
      </c>
      <c r="AG42" s="31">
        <f t="shared" si="11"/>
        <v>249179.82809434243</v>
      </c>
      <c r="AH42" s="31">
        <f t="shared" si="11"/>
        <v>118657.06099730598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-1199861.81071709</v>
      </c>
      <c r="E43" s="31">
        <f t="shared" si="12"/>
        <v>-1046958.4063184853</v>
      </c>
      <c r="F43" s="31">
        <f t="shared" si="12"/>
        <v>-907955.31141066249</v>
      </c>
      <c r="G43" s="31">
        <f t="shared" si="12"/>
        <v>-781588.86149446014</v>
      </c>
      <c r="H43" s="31">
        <f t="shared" si="12"/>
        <v>-666710.27066154894</v>
      </c>
      <c r="I43" s="31">
        <f t="shared" si="12"/>
        <v>209956.50789017323</v>
      </c>
      <c r="J43" s="31">
        <f t="shared" si="12"/>
        <v>209956.50789017323</v>
      </c>
      <c r="K43" s="31">
        <f t="shared" si="12"/>
        <v>209956.50789017323</v>
      </c>
      <c r="L43" s="31">
        <f t="shared" si="12"/>
        <v>209956.50789017323</v>
      </c>
      <c r="M43" s="31">
        <f t="shared" si="12"/>
        <v>209956.50789017323</v>
      </c>
      <c r="N43" s="31">
        <f t="shared" si="12"/>
        <v>209956.50789017323</v>
      </c>
      <c r="O43" s="31">
        <f t="shared" si="12"/>
        <v>209956.50789017323</v>
      </c>
      <c r="P43" s="31">
        <f t="shared" si="12"/>
        <v>209956.50789017323</v>
      </c>
      <c r="Q43" s="31">
        <f t="shared" si="12"/>
        <v>209956.50789017323</v>
      </c>
      <c r="R43" s="31">
        <f t="shared" si="12"/>
        <v>209956.50789017323</v>
      </c>
      <c r="S43" s="31">
        <f t="shared" si="12"/>
        <v>209956.50789017323</v>
      </c>
      <c r="T43" s="31">
        <f t="shared" si="12"/>
        <v>209956.50789017323</v>
      </c>
      <c r="U43" s="31">
        <f t="shared" si="12"/>
        <v>209956.50789017323</v>
      </c>
      <c r="V43" s="31">
        <f t="shared" si="12"/>
        <v>209956.50789017323</v>
      </c>
      <c r="W43" s="31">
        <f t="shared" si="12"/>
        <v>209956.50789017323</v>
      </c>
      <c r="X43" s="31">
        <f t="shared" si="12"/>
        <v>209956.50789017323</v>
      </c>
      <c r="Y43" s="31">
        <f t="shared" si="12"/>
        <v>209956.50789017323</v>
      </c>
      <c r="Z43" s="31">
        <f t="shared" si="12"/>
        <v>209956.50789017323</v>
      </c>
      <c r="AA43" s="31">
        <f t="shared" si="12"/>
        <v>209956.50789017323</v>
      </c>
      <c r="AB43" s="31">
        <f t="shared" si="12"/>
        <v>209956.50789017323</v>
      </c>
      <c r="AC43" s="31">
        <f t="shared" si="12"/>
        <v>209956.50789017323</v>
      </c>
      <c r="AD43" s="31">
        <f t="shared" si="12"/>
        <v>166131.44992039463</v>
      </c>
      <c r="AE43" s="31">
        <f t="shared" si="12"/>
        <v>126290.48812968703</v>
      </c>
      <c r="AF43" s="31">
        <f t="shared" si="12"/>
        <v>90071.431956316228</v>
      </c>
      <c r="AG43" s="31">
        <f t="shared" si="12"/>
        <v>57145.017253251979</v>
      </c>
      <c r="AH43" s="31">
        <f t="shared" si="12"/>
        <v>27211.912977739077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1087604.1666666667</v>
      </c>
      <c r="E45" s="31">
        <f t="shared" si="13"/>
        <v>864645.3125</v>
      </c>
      <c r="F45" s="31">
        <f t="shared" si="13"/>
        <v>687393.02343750012</v>
      </c>
      <c r="G45" s="31">
        <f t="shared" si="13"/>
        <v>546477.4536328126</v>
      </c>
      <c r="H45" s="31">
        <f t="shared" si="13"/>
        <v>434449.57563808607</v>
      </c>
      <c r="I45" s="31">
        <f t="shared" si="13"/>
        <v>150425.22243263057</v>
      </c>
      <c r="J45" s="31">
        <f t="shared" si="13"/>
        <v>119588.0518339413</v>
      </c>
      <c r="K45" s="31">
        <f t="shared" si="13"/>
        <v>95072.501207983325</v>
      </c>
      <c r="L45" s="31">
        <f t="shared" si="13"/>
        <v>75582.638460346745</v>
      </c>
      <c r="M45" s="31">
        <f t="shared" si="13"/>
        <v>60088.197575975675</v>
      </c>
      <c r="N45" s="31">
        <f t="shared" si="13"/>
        <v>47770.117072900663</v>
      </c>
      <c r="O45" s="31">
        <f t="shared" si="13"/>
        <v>37977.243072956029</v>
      </c>
      <c r="P45" s="31">
        <f t="shared" si="13"/>
        <v>30191.908243000042</v>
      </c>
      <c r="Q45" s="31">
        <f t="shared" si="13"/>
        <v>24002.567053185034</v>
      </c>
      <c r="R45" s="31">
        <f t="shared" si="13"/>
        <v>19082.040807282101</v>
      </c>
      <c r="S45" s="31">
        <f t="shared" si="13"/>
        <v>15170.222441789272</v>
      </c>
      <c r="T45" s="31">
        <f t="shared" si="13"/>
        <v>12060.326841222472</v>
      </c>
      <c r="U45" s="31">
        <f t="shared" si="13"/>
        <v>9587.9598387718652</v>
      </c>
      <c r="V45" s="31">
        <f t="shared" si="13"/>
        <v>7622.4280718236341</v>
      </c>
      <c r="W45" s="31">
        <f t="shared" si="13"/>
        <v>6059.8303170997888</v>
      </c>
      <c r="X45" s="31">
        <f t="shared" si="13"/>
        <v>4817.5651020943324</v>
      </c>
      <c r="Y45" s="31">
        <f t="shared" si="13"/>
        <v>3829.9642561649948</v>
      </c>
      <c r="Z45" s="31">
        <f t="shared" si="13"/>
        <v>3044.8215836511704</v>
      </c>
      <c r="AA45" s="31">
        <f t="shared" si="13"/>
        <v>2420.6331590026803</v>
      </c>
      <c r="AB45" s="31">
        <f t="shared" si="13"/>
        <v>1924.4033614071311</v>
      </c>
      <c r="AC45" s="31">
        <f t="shared" si="13"/>
        <v>1529.9006723186694</v>
      </c>
      <c r="AD45" s="31">
        <f t="shared" si="13"/>
        <v>962.39393809242631</v>
      </c>
      <c r="AE45" s="31">
        <f t="shared" si="13"/>
        <v>581.61927929372587</v>
      </c>
      <c r="AF45" s="31">
        <f t="shared" si="13"/>
        <v>329.77850732546324</v>
      </c>
      <c r="AG45" s="31">
        <f t="shared" si="13"/>
        <v>166.33390271294894</v>
      </c>
      <c r="AH45" s="31">
        <f t="shared" si="13"/>
        <v>62.969263169902106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133714.02714658002</v>
      </c>
      <c r="E46" s="31">
        <f t="shared" si="14"/>
        <v>202941.42574655934</v>
      </c>
      <c r="F46" s="31">
        <f t="shared" si="14"/>
        <v>231181.91116051248</v>
      </c>
      <c r="G46" s="31">
        <f t="shared" si="14"/>
        <v>234267.40552273302</v>
      </c>
      <c r="H46" s="31">
        <f t="shared" si="14"/>
        <v>222724.26010816352</v>
      </c>
      <c r="I46" s="31">
        <f t="shared" si="14"/>
        <v>203432.0866137034</v>
      </c>
      <c r="J46" s="31">
        <f t="shared" si="14"/>
        <v>161728.50885789422</v>
      </c>
      <c r="K46" s="31">
        <f t="shared" si="14"/>
        <v>128574.16454202589</v>
      </c>
      <c r="L46" s="31">
        <f t="shared" si="14"/>
        <v>102216.46081091058</v>
      </c>
      <c r="M46" s="31">
        <f t="shared" si="14"/>
        <v>81262.086344673924</v>
      </c>
      <c r="N46" s="31">
        <f t="shared" si="14"/>
        <v>64603.358644015774</v>
      </c>
      <c r="O46" s="31">
        <f t="shared" si="14"/>
        <v>51359.670121992545</v>
      </c>
      <c r="P46" s="31">
        <f t="shared" si="14"/>
        <v>40830.937746984069</v>
      </c>
      <c r="Q46" s="31">
        <f t="shared" si="14"/>
        <v>32460.595508852337</v>
      </c>
      <c r="R46" s="31">
        <f t="shared" si="14"/>
        <v>25806.173429537608</v>
      </c>
      <c r="S46" s="31">
        <f t="shared" si="14"/>
        <v>20515.907876482401</v>
      </c>
      <c r="T46" s="31">
        <f t="shared" si="14"/>
        <v>16310.146761803508</v>
      </c>
      <c r="U46" s="31">
        <f t="shared" si="14"/>
        <v>12966.566675633789</v>
      </c>
      <c r="V46" s="31">
        <f t="shared" si="14"/>
        <v>10308.420507128865</v>
      </c>
      <c r="W46" s="31">
        <f t="shared" si="14"/>
        <v>8195.1943031674473</v>
      </c>
      <c r="X46" s="31">
        <f t="shared" si="14"/>
        <v>6515.1794710181202</v>
      </c>
      <c r="Y46" s="31">
        <f t="shared" si="14"/>
        <v>5179.5676794594065</v>
      </c>
      <c r="Z46" s="31">
        <f t="shared" si="14"/>
        <v>4117.7563051702282</v>
      </c>
      <c r="AA46" s="31">
        <f t="shared" si="14"/>
        <v>3273.616262610331</v>
      </c>
      <c r="AB46" s="31">
        <f t="shared" si="14"/>
        <v>2602.5249287752131</v>
      </c>
      <c r="AC46" s="31">
        <f t="shared" si="14"/>
        <v>2069.0073183762947</v>
      </c>
      <c r="AD46" s="31">
        <f t="shared" si="14"/>
        <v>1301.522469466212</v>
      </c>
      <c r="AE46" s="31">
        <f t="shared" si="14"/>
        <v>786.57037488823926</v>
      </c>
      <c r="AF46" s="31">
        <f t="shared" si="14"/>
        <v>445.98591101048407</v>
      </c>
      <c r="AG46" s="31">
        <f t="shared" si="14"/>
        <v>224.94667022114902</v>
      </c>
      <c r="AH46" s="31">
        <f t="shared" si="14"/>
        <v>85.158382298006458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-780453.5079361652</v>
      </c>
      <c r="E48" s="31">
        <f>E47+E46-E45</f>
        <v>-329348.88684053253</v>
      </c>
      <c r="F48" s="31">
        <f t="shared" ref="F48:AH48" si="16">F47+F46-F45</f>
        <v>21854.510091975448</v>
      </c>
      <c r="G48" s="31">
        <f t="shared" si="16"/>
        <v>299552.36141053017</v>
      </c>
      <c r="H48" s="31">
        <f t="shared" si="16"/>
        <v>522807.82501913724</v>
      </c>
      <c r="I48" s="31">
        <f t="shared" si="16"/>
        <v>900375.86026448058</v>
      </c>
      <c r="J48" s="31">
        <f t="shared" si="16"/>
        <v>893054.80054666486</v>
      </c>
      <c r="K48" s="31">
        <f t="shared" si="16"/>
        <v>888049.98798204097</v>
      </c>
      <c r="L48" s="31">
        <f t="shared" si="16"/>
        <v>884906.97765198094</v>
      </c>
      <c r="M48" s="31">
        <f t="shared" si="16"/>
        <v>883264.99548986938</v>
      </c>
      <c r="N48" s="31">
        <f t="shared" si="16"/>
        <v>882837.74849753431</v>
      </c>
      <c r="O48" s="31">
        <f t="shared" si="16"/>
        <v>883398.16918583505</v>
      </c>
      <c r="P48" s="31">
        <f t="shared" si="16"/>
        <v>884766.28773142118</v>
      </c>
      <c r="Q48" s="31">
        <f t="shared" si="16"/>
        <v>886799.59067600907</v>
      </c>
      <c r="R48" s="31">
        <f t="shared" si="16"/>
        <v>889385.35643532453</v>
      </c>
      <c r="S48" s="31">
        <f t="shared" si="16"/>
        <v>892434.5623803077</v>
      </c>
      <c r="T48" s="31">
        <f t="shared" si="16"/>
        <v>895877.04132705473</v>
      </c>
      <c r="U48" s="31">
        <f t="shared" si="16"/>
        <v>899657.63131571608</v>
      </c>
      <c r="V48" s="31">
        <f t="shared" si="16"/>
        <v>903733.11506334948</v>
      </c>
      <c r="W48" s="31">
        <f t="shared" si="16"/>
        <v>908069.7872170317</v>
      </c>
      <c r="X48" s="31">
        <f t="shared" si="16"/>
        <v>912641.52071788081</v>
      </c>
      <c r="Y48" s="31">
        <f t="shared" si="16"/>
        <v>917428.22996819403</v>
      </c>
      <c r="Z48" s="31">
        <f t="shared" si="16"/>
        <v>922414.64946725999</v>
      </c>
      <c r="AA48" s="31">
        <f t="shared" si="16"/>
        <v>927589.3632552108</v>
      </c>
      <c r="AB48" s="31">
        <f t="shared" si="16"/>
        <v>932944.03375998</v>
      </c>
      <c r="AC48" s="31">
        <f t="shared" si="16"/>
        <v>706094.20515730791</v>
      </c>
      <c r="AD48" s="31">
        <f t="shared" si="16"/>
        <v>558620.9017056314</v>
      </c>
      <c r="AE48" s="31">
        <f t="shared" si="16"/>
        <v>424601.88305440429</v>
      </c>
      <c r="AF48" s="31">
        <f t="shared" si="16"/>
        <v>302799.64734845131</v>
      </c>
      <c r="AG48" s="31">
        <f t="shared" si="16"/>
        <v>192093.42360859862</v>
      </c>
      <c r="AH48" s="31">
        <f t="shared" si="16"/>
        <v>91467.337138695002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-982392.32681377081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-3839448.525118384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0.24971966601433362</v>
      </c>
      <c r="E53" s="32">
        <f t="shared" si="17"/>
        <v>0.47765030191673541</v>
      </c>
      <c r="F53" s="32">
        <f t="shared" si="17"/>
        <v>0.68576591257865616</v>
      </c>
      <c r="G53" s="32">
        <f t="shared" si="17"/>
        <v>0.87586289804957129</v>
      </c>
      <c r="H53" s="32">
        <f t="shared" si="17"/>
        <v>1.049576107938079</v>
      </c>
      <c r="I53" s="32">
        <f t="shared" si="17"/>
        <v>2.7745605298859686</v>
      </c>
      <c r="J53" s="32">
        <f t="shared" si="17"/>
        <v>2.7805108579607922</v>
      </c>
      <c r="K53" s="32">
        <f t="shared" si="17"/>
        <v>2.7866099442374863</v>
      </c>
      <c r="L53" s="32">
        <f t="shared" si="17"/>
        <v>2.7928615076710983</v>
      </c>
      <c r="M53" s="32">
        <f t="shared" si="17"/>
        <v>2.7992693601905496</v>
      </c>
      <c r="N53" s="32">
        <f t="shared" si="17"/>
        <v>2.8058374090229878</v>
      </c>
      <c r="O53" s="32">
        <f t="shared" si="17"/>
        <v>2.812569659076237</v>
      </c>
      <c r="P53" s="32">
        <f t="shared" si="17"/>
        <v>2.8194702153808175</v>
      </c>
      <c r="Q53" s="32">
        <f t="shared" si="17"/>
        <v>2.8265432855930124</v>
      </c>
      <c r="R53" s="32">
        <f t="shared" si="17"/>
        <v>2.833793182560512</v>
      </c>
      <c r="S53" s="32">
        <f t="shared" si="17"/>
        <v>2.8412243269521995</v>
      </c>
      <c r="T53" s="32">
        <f t="shared" si="17"/>
        <v>2.8488412499536788</v>
      </c>
      <c r="U53" s="32">
        <f t="shared" si="17"/>
        <v>2.8566485960301948</v>
      </c>
      <c r="V53" s="32">
        <f t="shared" si="17"/>
        <v>2.8646511257586242</v>
      </c>
      <c r="W53" s="32">
        <f t="shared" si="17"/>
        <v>2.8728537187302643</v>
      </c>
      <c r="X53" s="32">
        <f t="shared" si="17"/>
        <v>2.8812613765261954</v>
      </c>
      <c r="Y53" s="32">
        <f t="shared" si="17"/>
        <v>2.8898792257670247</v>
      </c>
      <c r="Z53" s="32">
        <f t="shared" si="17"/>
        <v>2.8987125212388749</v>
      </c>
      <c r="AA53" s="32">
        <f t="shared" si="17"/>
        <v>2.9077666490975211</v>
      </c>
      <c r="AB53" s="32">
        <f t="shared" si="17"/>
        <v>2.9170471301526333</v>
      </c>
      <c r="AC53" s="32">
        <f t="shared" si="17"/>
        <v>2.5365474068930225</v>
      </c>
      <c r="AD53" s="32">
        <f t="shared" si="17"/>
        <v>2.536547406893022</v>
      </c>
      <c r="AE53" s="32">
        <f t="shared" si="17"/>
        <v>2.5365474068930225</v>
      </c>
      <c r="AF53" s="32">
        <f t="shared" si="17"/>
        <v>2.536547406893022</v>
      </c>
      <c r="AG53" s="32">
        <f t="shared" si="17"/>
        <v>2.536547406893022</v>
      </c>
      <c r="AH53" s="32">
        <f t="shared" si="17"/>
        <v>2.5365474068930225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0.83348516664288785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0.28241033653987307</v>
      </c>
      <c r="E55" s="32">
        <f t="shared" si="18"/>
        <v>0.61909365368758351</v>
      </c>
      <c r="F55" s="32">
        <f t="shared" si="18"/>
        <v>1.031793325429295</v>
      </c>
      <c r="G55" s="32">
        <f t="shared" si="18"/>
        <v>1.5481513636458357</v>
      </c>
      <c r="H55" s="32">
        <f t="shared" si="18"/>
        <v>2.203379757596212</v>
      </c>
      <c r="I55" s="32">
        <f>(XNPV($B$14,I47,I$22)+XNPV($B$14,I46,I$22))/(XNPV($B$14,I45,I$22))</f>
        <v>6.9855378353701481</v>
      </c>
      <c r="J55" s="32">
        <f t="shared" si="18"/>
        <v>8.4677594195342465</v>
      </c>
      <c r="K55" s="32">
        <f t="shared" si="18"/>
        <v>10.34076601223857</v>
      </c>
      <c r="L55" s="32">
        <f t="shared" si="18"/>
        <v>12.707807449937508</v>
      </c>
      <c r="M55" s="32">
        <f t="shared" si="18"/>
        <v>15.699475622863655</v>
      </c>
      <c r="N55" s="32">
        <f t="shared" si="18"/>
        <v>19.48096263089035</v>
      </c>
      <c r="O55" s="32">
        <f t="shared" si="18"/>
        <v>24.261250625507138</v>
      </c>
      <c r="P55" s="32">
        <f t="shared" si="18"/>
        <v>30.304748829069233</v>
      </c>
      <c r="Q55" s="32">
        <f t="shared" si="18"/>
        <v>37.946031177041739</v>
      </c>
      <c r="R55" s="32">
        <f t="shared" si="18"/>
        <v>47.608503011686082</v>
      </c>
      <c r="S55" s="32">
        <f t="shared" si="18"/>
        <v>59.828047235611152</v>
      </c>
      <c r="T55" s="32">
        <f t="shared" si="18"/>
        <v>75.282981972339812</v>
      </c>
      <c r="U55" s="32">
        <f t="shared" si="18"/>
        <v>94.832019161957021</v>
      </c>
      <c r="V55" s="32">
        <f t="shared" si="18"/>
        <v>119.56236707618221</v>
      </c>
      <c r="W55" s="32">
        <f t="shared" si="18"/>
        <v>150.85069543195235</v>
      </c>
      <c r="X55" s="32">
        <f t="shared" si="18"/>
        <v>190.44041261033081</v>
      </c>
      <c r="Y55" s="32">
        <f t="shared" si="18"/>
        <v>240.53963238467134</v>
      </c>
      <c r="Z55" s="32">
        <f t="shared" si="18"/>
        <v>303.94538583806104</v>
      </c>
      <c r="AA55" s="32">
        <f t="shared" si="18"/>
        <v>384.2011305824567</v>
      </c>
      <c r="AB55" s="32">
        <f t="shared" si="18"/>
        <v>485.79651016500395</v>
      </c>
      <c r="AC55" s="32">
        <f t="shared" si="18"/>
        <v>462.52944301094635</v>
      </c>
      <c r="AD55" s="32">
        <f t="shared" si="18"/>
        <v>581.44931456330789</v>
      </c>
      <c r="AE55" s="32">
        <f t="shared" si="18"/>
        <v>731.03405865432876</v>
      </c>
      <c r="AF55" s="32">
        <f t="shared" si="18"/>
        <v>919.1909694606444</v>
      </c>
      <c r="AG55" s="32">
        <f t="shared" si="18"/>
        <v>1155.8663289654437</v>
      </c>
      <c r="AH55" s="32">
        <f t="shared" si="18"/>
        <v>1453.5711836884623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0.94795140809550127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0.12294365104943665</v>
      </c>
      <c r="E57" s="32">
        <f t="shared" si="19"/>
        <v>0.23471060654892448</v>
      </c>
      <c r="F57" s="32">
        <f t="shared" si="19"/>
        <v>0.33631692973027716</v>
      </c>
      <c r="G57" s="32">
        <f t="shared" si="19"/>
        <v>0.42868631444059763</v>
      </c>
      <c r="H57" s="32">
        <f t="shared" si="19"/>
        <v>0.51265848235907074</v>
      </c>
      <c r="I57" s="32">
        <f t="shared" si="19"/>
        <v>1.3523801615438027</v>
      </c>
      <c r="J57" s="32">
        <f t="shared" si="19"/>
        <v>1.3523801615438031</v>
      </c>
      <c r="K57" s="32">
        <f t="shared" si="19"/>
        <v>1.3523801615438029</v>
      </c>
      <c r="L57" s="32">
        <f t="shared" si="19"/>
        <v>1.3523801615438029</v>
      </c>
      <c r="M57" s="32">
        <f t="shared" si="19"/>
        <v>1.3523801615438029</v>
      </c>
      <c r="N57" s="32">
        <f t="shared" si="19"/>
        <v>1.3523801615438029</v>
      </c>
      <c r="O57" s="32">
        <f t="shared" si="19"/>
        <v>1.3523801615438029</v>
      </c>
      <c r="P57" s="32">
        <f t="shared" si="19"/>
        <v>1.3523801615438029</v>
      </c>
      <c r="Q57" s="32">
        <f t="shared" si="19"/>
        <v>1.3523801615438029</v>
      </c>
      <c r="R57" s="32">
        <f t="shared" si="19"/>
        <v>1.3523801615438029</v>
      </c>
      <c r="S57" s="32">
        <f t="shared" si="19"/>
        <v>1.3523801615438029</v>
      </c>
      <c r="T57" s="32">
        <f t="shared" si="19"/>
        <v>1.3523801615438029</v>
      </c>
      <c r="U57" s="32">
        <f t="shared" si="19"/>
        <v>1.3523801615438029</v>
      </c>
      <c r="V57" s="32">
        <f t="shared" si="19"/>
        <v>1.3523801615438029</v>
      </c>
      <c r="W57" s="32">
        <f t="shared" si="19"/>
        <v>1.3523801615438029</v>
      </c>
      <c r="X57" s="32">
        <f t="shared" si="19"/>
        <v>1.3523801615438029</v>
      </c>
      <c r="Y57" s="32">
        <f t="shared" si="19"/>
        <v>1.3523801615438029</v>
      </c>
      <c r="Z57" s="32">
        <f t="shared" si="19"/>
        <v>1.3523801615438031</v>
      </c>
      <c r="AA57" s="32">
        <f t="shared" si="19"/>
        <v>1.3523801615438031</v>
      </c>
      <c r="AB57" s="32">
        <f t="shared" si="19"/>
        <v>1.3523801615438027</v>
      </c>
      <c r="AC57" s="32">
        <f t="shared" si="19"/>
        <v>1.3523801615438029</v>
      </c>
      <c r="AD57" s="32">
        <f t="shared" si="19"/>
        <v>1.3523801615438027</v>
      </c>
      <c r="AE57" s="32">
        <f t="shared" si="19"/>
        <v>1.3523801615438029</v>
      </c>
      <c r="AF57" s="32">
        <f t="shared" si="19"/>
        <v>1.3523801615438027</v>
      </c>
      <c r="AG57" s="32">
        <f t="shared" si="19"/>
        <v>1.3523801615438025</v>
      </c>
      <c r="AH57" s="32">
        <f t="shared" si="19"/>
        <v>1.3523801615438031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0.20261350764136413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0.15890109539031982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-1.3087106738239526E-2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IF(I65,$J$21-$D$21)+1</f>
        <v>7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0.24971966601433362</v>
      </c>
      <c r="D65" s="121">
        <f>(SUM($D$34:E34)+SUM($D$30:E30))/SUM($C$25:D25)</f>
        <v>0.38100331653532199</v>
      </c>
      <c r="E65" s="121">
        <f>(SUM($D$34:F34)+SUM($D$30:F30))/SUM($C$25:E25)</f>
        <v>0.51658441553376666</v>
      </c>
      <c r="F65" s="121">
        <f>(SUM($D$34:G34)+SUM($D$30:G30))/SUM($C$25:F25)</f>
        <v>0.65646571304943413</v>
      </c>
      <c r="G65" s="121">
        <f>(SUM($D$34:H34)+SUM($D$30:H30))/SUM($C$25:G25)</f>
        <v>0.80064331318419157</v>
      </c>
      <c r="H65" s="121">
        <f>(SUM($D$34:I34)+SUM($D$30:I30))/SUM($C$25:H25)</f>
        <v>0.94910680620168086</v>
      </c>
      <c r="I65" s="121">
        <f>(SUM($D$34:J34)+SUM($D$30:J30))/SUM($C$25:I25)</f>
        <v>1.2018805205617529</v>
      </c>
      <c r="J65" s="121">
        <f>(SUM($D$34:K34)+SUM($D$30:K30))/SUM($C$25:J25)</f>
        <v>1.4552086973106155</v>
      </c>
      <c r="K65" s="121">
        <f>(SUM($D$34:L34)+SUM($D$30:L30))/SUM($C$25:K25)</f>
        <v>1.7091051980079879</v>
      </c>
      <c r="L65" s="121">
        <f>(SUM($D$34:M34)+SUM($D$30:M30))/SUM($C$25:L25)</f>
        <v>1.9635842307525835</v>
      </c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IF(M67,$N$21-$D$21)+1</f>
        <v>11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D34/C25</f>
        <v>0.12294365104943665</v>
      </c>
      <c r="D67" s="32">
        <f>SUM($D$34:E34)/SUM($C$25:D25)</f>
        <v>0.1873427063610463</v>
      </c>
      <c r="E67" s="32">
        <f>SUM($D$34:F34)/SUM($C$25:E25)</f>
        <v>0.25368735246756868</v>
      </c>
      <c r="F67" s="32">
        <f>SUM($D$34:G34)/SUM($C$25:F25)</f>
        <v>0.32196878579074617</v>
      </c>
      <c r="G67" s="32">
        <f>SUM($D$34:H34)/SUM($C$25:G25)</f>
        <v>0.39217476083311559</v>
      </c>
      <c r="H67" s="32">
        <f>SUM($D$34:I34)/SUM($C$25:H25)</f>
        <v>0.46428966848661651</v>
      </c>
      <c r="I67" s="32">
        <f>SUM($D$34:J34)/SUM($C$25:I25)</f>
        <v>0.58723331953605318</v>
      </c>
      <c r="J67" s="32">
        <f>SUM($D$34:K34)/SUM($C$25:J25)</f>
        <v>0.7101769705854899</v>
      </c>
      <c r="K67" s="32">
        <f>SUM($D$34:L34)/SUM($C$25:K25)</f>
        <v>0.83312062163492651</v>
      </c>
      <c r="L67" s="32">
        <f>SUM($D$34:M34)/SUM($C$25:L25)</f>
        <v>0.95606427268436323</v>
      </c>
      <c r="M67" s="32">
        <f>SUM($D$34:N34)/SUM($C$25:M25)</f>
        <v>1.0790079237337999</v>
      </c>
      <c r="N67" s="32">
        <f>SUM($D$34:O34)/SUM($C$25:N25)</f>
        <v>1.2019515747832366</v>
      </c>
      <c r="O67" s="32">
        <f>SUM($D$34:P34)/SUM($C$25:O25)</f>
        <v>1.3248952258326732</v>
      </c>
      <c r="P67" s="32">
        <f>SUM($D$34:Q34)/SUM($C$25:P25)</f>
        <v>1.44783887688211</v>
      </c>
      <c r="Q67" s="32">
        <f>SUM($D$34:R34)/SUM($C$25:Q25)</f>
        <v>1.5707825279315468</v>
      </c>
      <c r="R67" s="32">
        <f>SUM($D$34:S34)/SUM($C$25:R25)</f>
        <v>1.6937261789809837</v>
      </c>
      <c r="S67" s="32">
        <f>SUM($D$34:T34)/SUM($C$25:S25)</f>
        <v>1.8166698300304205</v>
      </c>
      <c r="T67" s="32">
        <f>SUM($D$34:U34)/SUM($C$25:T25)</f>
        <v>1.9396134810798571</v>
      </c>
      <c r="U67" s="32">
        <f>SUM($D$34:V34)/SUM($C$25:U25)</f>
        <v>2.0625571321292941</v>
      </c>
      <c r="V67" s="32">
        <f>SUM($D$34:W34)/SUM($C$25:V25)</f>
        <v>2.185500783178731</v>
      </c>
      <c r="W67" s="32">
        <f>SUM($D$34:X34)/SUM($C$25:W25)</f>
        <v>2.3084444342281678</v>
      </c>
      <c r="X67" s="32">
        <f>SUM($D$34:Y34)/SUM($C$25:X25)</f>
        <v>2.4313880852776046</v>
      </c>
      <c r="Y67" s="32">
        <f>SUM($D$34:Z34)/SUM($C$25:Y25)</f>
        <v>2.554331736327041</v>
      </c>
      <c r="Z67" s="32">
        <f>SUM($D$34:AA34)/SUM($C$25:Z25)</f>
        <v>2.6772753873764779</v>
      </c>
      <c r="AA67" s="32">
        <f>SUM($D$34:AB34)/SUM($C$25:AA25)</f>
        <v>2.8002190384259147</v>
      </c>
      <c r="AB67" s="32">
        <f>SUM($D$34:AC34)/SUM($C$25:AB25)</f>
        <v>2.9231626894753515</v>
      </c>
      <c r="AC67" s="32">
        <f>SUM($D$34:AD34)/SUM($C$25:AC25)</f>
        <v>3.0204438226614401</v>
      </c>
      <c r="AD67" s="32">
        <f>SUM($D$34:AE34)/SUM($C$25:AD25)</f>
        <v>3.094395394153576</v>
      </c>
      <c r="AE67" s="32">
        <f>SUM($D$34:AF34)/SUM($C$25:AE25)</f>
        <v>3.1471382731966631</v>
      </c>
      <c r="AF67" s="32">
        <f>SUM($D$34:AG34)/SUM($C$25:AF25)</f>
        <v>3.1806005227406158</v>
      </c>
      <c r="AG67" s="32">
        <f>SUM($D$34:AH34)/SUM($C$25:AG25)</f>
        <v>3.1965349272853554</v>
      </c>
      <c r="AH67" s="32">
        <f>SUM($D$34:AI34)/SUM($C$25:AH25)</f>
        <v>3.1965349272853554</v>
      </c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273611.11111111112</v>
      </c>
      <c r="G70" s="155">
        <f>G76+G79+G82+G85+G88+G91</f>
        <v>547222.22222222225</v>
      </c>
      <c r="H70" s="155">
        <f t="shared" si="20"/>
        <v>820833.33333333337</v>
      </c>
      <c r="I70" s="155">
        <f t="shared" si="20"/>
        <v>1094444.4444444445</v>
      </c>
      <c r="J70" s="155">
        <f t="shared" si="20"/>
        <v>1368055.5555555555</v>
      </c>
      <c r="K70" s="155">
        <f t="shared" si="20"/>
        <v>1368055.5555555555</v>
      </c>
      <c r="L70" s="155">
        <f t="shared" si="20"/>
        <v>1094444.4444444445</v>
      </c>
      <c r="M70" s="155">
        <f t="shared" si="20"/>
        <v>820833.33333333337</v>
      </c>
      <c r="N70" s="155">
        <f t="shared" si="20"/>
        <v>547222.22222222225</v>
      </c>
      <c r="O70" s="155">
        <f t="shared" si="20"/>
        <v>273611.11111111112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280451.38888888888</v>
      </c>
      <c r="E71" s="159">
        <f t="shared" si="20"/>
        <v>560902.77777777775</v>
      </c>
      <c r="F71" s="159">
        <f t="shared" si="20"/>
        <v>841354.16666666663</v>
      </c>
      <c r="G71" s="159">
        <f t="shared" si="20"/>
        <v>1065715.2777777778</v>
      </c>
      <c r="H71" s="159">
        <f t="shared" si="20"/>
        <v>1233986.111111111</v>
      </c>
      <c r="I71" s="159">
        <f t="shared" si="20"/>
        <v>1346166.6666666665</v>
      </c>
      <c r="J71" s="159">
        <f t="shared" si="20"/>
        <v>1121805.5555555555</v>
      </c>
      <c r="K71" s="159">
        <f t="shared" si="20"/>
        <v>841354.16666666663</v>
      </c>
      <c r="L71" s="159">
        <f t="shared" si="20"/>
        <v>560902.77777777775</v>
      </c>
      <c r="M71" s="159">
        <f t="shared" si="20"/>
        <v>336541.66666666663</v>
      </c>
      <c r="N71" s="159">
        <f t="shared" si="20"/>
        <v>168270.83333333328</v>
      </c>
      <c r="O71" s="159">
        <f t="shared" si="20"/>
        <v>56090.277777777752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273611.11111111112</v>
      </c>
      <c r="G76" s="176">
        <f>IF($B$13&gt;G75,0,IF($C$72-(SUM($C$76:F76)+1)&gt;0,IF($B$12&gt;0,$C$72/$B$12,0),0))</f>
        <v>273611.11111111112</v>
      </c>
      <c r="H76" s="176">
        <f>IF($B$13&gt;H75,0,IF($C$72-(SUM($C$76:G76)+1)&gt;0,IF($B$12&gt;0,$C$72/$B$12,0),0))</f>
        <v>273611.11111111112</v>
      </c>
      <c r="I76" s="176">
        <f>IF($B$13&gt;I75,0,IF($C$72-(SUM($C$76:H76)+1)&gt;0,IF($B$12&gt;0,$C$72/$B$12,0),0))</f>
        <v>273611.11111111112</v>
      </c>
      <c r="J76" s="176">
        <f>IF($B$13&gt;J75,0,IF($C$72-(SUM($C$76:I76)+1)&gt;0,IF($B$12&gt;0,$C$72/$B$12,0),0))</f>
        <v>273611.11111111112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280451.38888888888</v>
      </c>
      <c r="E77" s="181">
        <f>($C$72-SUM($C$76:D76))*$B$14</f>
        <v>280451.38888888888</v>
      </c>
      <c r="F77" s="181">
        <f>($C$72-SUM($C$76:E76))*$B$14</f>
        <v>280451.38888888888</v>
      </c>
      <c r="G77" s="181">
        <f>($C$72-SUM($C$76:F76))*$B$14</f>
        <v>224361.11111111109</v>
      </c>
      <c r="H77" s="181">
        <f>($C$72-SUM($C$76:G76))*$B$14</f>
        <v>168270.83333333331</v>
      </c>
      <c r="I77" s="181">
        <f>($C$72-SUM($C$76:H76))*$B$14</f>
        <v>112180.55555555553</v>
      </c>
      <c r="J77" s="181">
        <f>($C$72-SUM($C$76:I76))*$B$14</f>
        <v>56090.277777777752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273611.11111111112</v>
      </c>
      <c r="H79" s="176">
        <f>IF($B$13&gt;H78,0,IF($D$72-(SUM($C$79:G79)+1)&gt;0,IF($B$12&gt;0,$D$72/$B$12,0),0))</f>
        <v>273611.11111111112</v>
      </c>
      <c r="I79" s="176">
        <f>IF($B$13&gt;I78,0,IF($D$72-(SUM($C$79:H79)+1)&gt;0,IF($B$12&gt;0,$D$72/$B$12,0),0))</f>
        <v>273611.11111111112</v>
      </c>
      <c r="J79" s="176">
        <f>IF($B$13&gt;J78,0,IF($D$72-(SUM($C$79:I79)+1)&gt;0,IF($B$12&gt;0,$D$72/$B$12,0),0))</f>
        <v>273611.11111111112</v>
      </c>
      <c r="K79" s="176">
        <f>IF($B$13&gt;K78,0,IF($D$72-(SUM($C$79:J79)+1)&gt;0,IF($B$12&gt;0,$D$72/$B$12,0),0))</f>
        <v>273611.11111111112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280451.38888888888</v>
      </c>
      <c r="F80" s="181">
        <f>($D$72-SUM($C$79:E79))*$B$14</f>
        <v>280451.38888888888</v>
      </c>
      <c r="G80" s="181">
        <f>($D$72-SUM($C$79:F79))*$B$14</f>
        <v>280451.38888888888</v>
      </c>
      <c r="H80" s="181">
        <f>($D$72-SUM($C$79:G79))*$B$14</f>
        <v>224361.11111111109</v>
      </c>
      <c r="I80" s="181">
        <f>($D$72-SUM($C$79:H79))*$B$14</f>
        <v>168270.83333333331</v>
      </c>
      <c r="J80" s="181">
        <f>($D$72-SUM($C$79:I79))*$B$14</f>
        <v>112180.55555555553</v>
      </c>
      <c r="K80" s="181">
        <f>($D$72-SUM($C$79:J79))*$B$14</f>
        <v>56090.277777777752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273611.11111111112</v>
      </c>
      <c r="I82" s="176">
        <f>IF($B$13&gt;I81,0,IF($E$72-(SUM($C$82:H82)+1)&gt;0,IF($B$12&gt;0,$E$72/$B$12,0),0))</f>
        <v>273611.11111111112</v>
      </c>
      <c r="J82" s="176">
        <f>IF($B$13&gt;J81,0,IF($E$72-(SUM($C$82:I82)+1)&gt;0,IF($B$12&gt;0,$E$72/$B$12,0),0))</f>
        <v>273611.11111111112</v>
      </c>
      <c r="K82" s="176">
        <f>IF($B$13&gt;K81,0,IF($E$72-(SUM($C$82:J82)+1)&gt;0,IF($B$12&gt;0,$E$72/$B$12,0),0))</f>
        <v>273611.11111111112</v>
      </c>
      <c r="L82" s="176">
        <f>IF($B$13&gt;L81,0,IF($E$72-(SUM($C$82:K82)+1)&gt;0,IF($B$12&gt;0,$E$72/$B$12,0),0))</f>
        <v>273611.11111111112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280451.38888888888</v>
      </c>
      <c r="G83" s="181">
        <f>($E$72-SUM($C$82:F82))*$B$14</f>
        <v>280451.38888888888</v>
      </c>
      <c r="H83" s="181">
        <f>($E$72-SUM($C$82:G82))*$B$14</f>
        <v>280451.38888888888</v>
      </c>
      <c r="I83" s="181">
        <f>($E$72-SUM($C$82:H82))*$B$14</f>
        <v>224361.11111111109</v>
      </c>
      <c r="J83" s="181">
        <f>($E$72-SUM($C$82:I82))*$B$14</f>
        <v>168270.83333333331</v>
      </c>
      <c r="K83" s="181">
        <f>($E$72-SUM($C$82:J82))*$B$14</f>
        <v>112180.55555555553</v>
      </c>
      <c r="L83" s="181">
        <f>($E$72-SUM($C$82:K82))*$B$14</f>
        <v>56090.277777777752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273611.11111111112</v>
      </c>
      <c r="J85" s="176">
        <f>IF($B$13&gt;J84,0,IF($F$72-(SUM($C$85:I85)+1)&gt;0,IF($B$12&gt;0,$F$72/$B$12,0),0))</f>
        <v>273611.11111111112</v>
      </c>
      <c r="K85" s="176">
        <f>IF($B$13&gt;K84,0,IF($F$72-(SUM($C$85:J85)+1)&gt;0,IF($B$12&gt;0,$F$72/$B$12,0),0))</f>
        <v>273611.11111111112</v>
      </c>
      <c r="L85" s="176">
        <f>IF($B$13&gt;L84,0,IF($F$72-(SUM($C$85:K85)+1)&gt;0,IF($B$12&gt;0,$F$72/$B$12,0),0))</f>
        <v>273611.11111111112</v>
      </c>
      <c r="M85" s="176">
        <f>IF($B$13&gt;M84,0,IF($F$72-(SUM($C$85:L85)+1)&gt;0,IF($B$12&gt;0,$F$72/$B$12,0),0))</f>
        <v>273611.11111111112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280451.38888888888</v>
      </c>
      <c r="H86" s="181">
        <f>($F$72-SUM($C$85:G85))*$B$14</f>
        <v>280451.38888888888</v>
      </c>
      <c r="I86" s="181">
        <f>($F$72-SUM($C$85:H85))*$B$14</f>
        <v>280451.38888888888</v>
      </c>
      <c r="J86" s="181">
        <f>($F$72-SUM($C$85:I85))*$B$14</f>
        <v>224361.11111111109</v>
      </c>
      <c r="K86" s="181">
        <f>($F$72-SUM($C$85:J85))*$B$14</f>
        <v>168270.83333333331</v>
      </c>
      <c r="L86" s="181">
        <f>($F$72-SUM($C$85:K85))*$B$14</f>
        <v>112180.55555555553</v>
      </c>
      <c r="M86" s="181">
        <f>($F$72-SUM($C$85:L85))*$B$14</f>
        <v>56090.277777777752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273611.11111111112</v>
      </c>
      <c r="K88" s="176">
        <f>IF($B$13&gt;K87,0,IF($G$72-(SUM($C$88:J88)+1)&gt;0,IF($B$12&gt;0,$G$72/$B$12,0),0))</f>
        <v>273611.11111111112</v>
      </c>
      <c r="L88" s="176">
        <f>IF($B$13&gt;L87,0,IF($G$72-(SUM($C$88:K88)+1)&gt;0,IF($B$12&gt;0,$G$72/$B$12,0),0))</f>
        <v>273611.11111111112</v>
      </c>
      <c r="M88" s="176">
        <f>IF($B$13&gt;M87,0,IF($G$72-(SUM($C$88:L88)+1)&gt;0,IF($B$12&gt;0,$G$72/$B$12,0),0))</f>
        <v>273611.11111111112</v>
      </c>
      <c r="N88" s="176">
        <f>IF($B$13&gt;N87,0,IF($G$72-(SUM($C$88:M88)+1)&gt;0,IF($B$12&gt;0,$G$72/$B$12,0),0))</f>
        <v>273611.11111111112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280451.38888888888</v>
      </c>
      <c r="I89" s="181">
        <f>($G$72-SUM($C$88:H88))*$B$14</f>
        <v>280451.38888888888</v>
      </c>
      <c r="J89" s="181">
        <f>($G$72-SUM($C$88:I88))*$B$14</f>
        <v>280451.38888888888</v>
      </c>
      <c r="K89" s="181">
        <f>($G$72-SUM($C$88:J88))*$B$14</f>
        <v>224361.11111111109</v>
      </c>
      <c r="L89" s="181">
        <f>($G$72-SUM($C$88:K88))*$B$14</f>
        <v>168270.83333333331</v>
      </c>
      <c r="M89" s="181">
        <f>($G$72-SUM($C$88:L88))*$B$14</f>
        <v>112180.55555555553</v>
      </c>
      <c r="N89" s="181">
        <f>($G$72-SUM($C$88:M88))*$B$14</f>
        <v>56090.277777777752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273611.11111111112</v>
      </c>
      <c r="L91" s="176">
        <f>IF($B$13&gt;L90,0,IF($H$72-(SUM($C$91:K91)+1)&gt;0,IF($B$12&gt;0,$H$72/$B$12,0),0))</f>
        <v>273611.11111111112</v>
      </c>
      <c r="M91" s="176">
        <f>IF($B$13&gt;M90,0,IF($H$72-(SUM($C$91:L91)+1)&gt;0,IF($B$12&gt;0,$H$72/$B$12,0),0))</f>
        <v>273611.11111111112</v>
      </c>
      <c r="N91" s="176">
        <f>IF($B$13&gt;N90,0,IF($H$72-(SUM($C$91:M91)+1)&gt;0,IF($B$12&gt;0,$H$72/$B$12,0),0))</f>
        <v>273611.11111111112</v>
      </c>
      <c r="O91" s="176">
        <f>IF($B$13&gt;O90,0,IF($H$72-(SUM($C$91:N91)+1)&gt;0,IF($B$12&gt;0,$H$72/$B$12,0),0))</f>
        <v>273611.11111111112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280451.38888888888</v>
      </c>
      <c r="J92" s="181">
        <f>($H$72-SUM($C$91:I91))*$B$14</f>
        <v>280451.38888888888</v>
      </c>
      <c r="K92" s="181">
        <f>($H$72-SUM($C$91:J91))*$B$14</f>
        <v>280451.38888888888</v>
      </c>
      <c r="L92" s="181">
        <f>($H$72-SUM($C$91:K91))*$B$14</f>
        <v>224361.11111111109</v>
      </c>
      <c r="M92" s="181">
        <f>($H$72-SUM($C$91:L91))*$B$14</f>
        <v>168270.83333333331</v>
      </c>
      <c r="N92" s="181">
        <f>($H$72-SUM($C$91:M91))*$B$14</f>
        <v>112180.55555555553</v>
      </c>
      <c r="O92" s="181">
        <f>($H$72-SUM($C$91:N91))*$B$14</f>
        <v>56090.277777777752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168193.74483846541</v>
      </c>
      <c r="E94" s="203">
        <f t="shared" si="29"/>
        <v>321097.14923707023</v>
      </c>
      <c r="F94" s="203">
        <f t="shared" si="29"/>
        <v>460100.24414489302</v>
      </c>
      <c r="G94" s="203">
        <f t="shared" si="29"/>
        <v>586466.69406109536</v>
      </c>
      <c r="H94" s="203">
        <f t="shared" si="29"/>
        <v>701345.28489400656</v>
      </c>
      <c r="I94" s="203">
        <f t="shared" si="29"/>
        <v>805780.36746938061</v>
      </c>
      <c r="J94" s="203">
        <f t="shared" si="29"/>
        <v>805780.36746938061</v>
      </c>
      <c r="K94" s="203">
        <f t="shared" si="29"/>
        <v>805780.36746938061</v>
      </c>
      <c r="L94" s="203">
        <f t="shared" si="29"/>
        <v>805780.36746938061</v>
      </c>
      <c r="M94" s="203">
        <f t="shared" si="29"/>
        <v>805780.36746938061</v>
      </c>
      <c r="N94" s="203">
        <f t="shared" si="29"/>
        <v>805780.36746938061</v>
      </c>
      <c r="O94" s="203">
        <f t="shared" si="29"/>
        <v>805780.36746938061</v>
      </c>
      <c r="P94" s="203">
        <f t="shared" si="29"/>
        <v>805780.36746938061</v>
      </c>
      <c r="Q94" s="203">
        <f t="shared" si="29"/>
        <v>805780.36746938061</v>
      </c>
      <c r="R94" s="203">
        <f t="shared" si="29"/>
        <v>805780.36746938061</v>
      </c>
      <c r="S94" s="203">
        <f t="shared" si="29"/>
        <v>805780.36746938061</v>
      </c>
      <c r="T94" s="203">
        <f t="shared" si="29"/>
        <v>805780.36746938061</v>
      </c>
      <c r="U94" s="203">
        <f t="shared" si="29"/>
        <v>805780.36746938061</v>
      </c>
      <c r="V94" s="203">
        <f t="shared" si="29"/>
        <v>805780.36746938061</v>
      </c>
      <c r="W94" s="203">
        <f t="shared" si="29"/>
        <v>805780.36746938061</v>
      </c>
      <c r="X94" s="203">
        <f t="shared" si="29"/>
        <v>805780.36746938061</v>
      </c>
      <c r="Y94" s="203">
        <f t="shared" si="29"/>
        <v>805780.36746938061</v>
      </c>
      <c r="Z94" s="203">
        <f t="shared" si="29"/>
        <v>805780.36746938061</v>
      </c>
      <c r="AA94" s="203">
        <f t="shared" si="29"/>
        <v>805780.36746938061</v>
      </c>
      <c r="AB94" s="203">
        <f t="shared" si="29"/>
        <v>805780.36746938061</v>
      </c>
      <c r="AC94" s="203">
        <f t="shared" si="29"/>
        <v>805780.36746938061</v>
      </c>
      <c r="AD94" s="203">
        <f t="shared" si="29"/>
        <v>637586.62263091514</v>
      </c>
      <c r="AE94" s="203">
        <f t="shared" si="29"/>
        <v>484683.21823231038</v>
      </c>
      <c r="AF94" s="203">
        <f t="shared" si="29"/>
        <v>345680.12332448759</v>
      </c>
      <c r="AG94" s="203">
        <f t="shared" si="29"/>
        <v>219313.67340828519</v>
      </c>
      <c r="AH94" s="203">
        <f t="shared" si="29"/>
        <v>104435.08257537396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124368.68686868688</v>
      </c>
      <c r="E95" s="203">
        <f t="shared" si="30"/>
        <v>237431.12947658403</v>
      </c>
      <c r="F95" s="203">
        <f t="shared" si="30"/>
        <v>340215.16821103601</v>
      </c>
      <c r="G95" s="203">
        <f t="shared" si="30"/>
        <v>433655.20342417416</v>
      </c>
      <c r="H95" s="203">
        <f t="shared" si="30"/>
        <v>518600.6899815725</v>
      </c>
      <c r="I95" s="203">
        <f t="shared" si="30"/>
        <v>595823.85957920738</v>
      </c>
      <c r="J95" s="203">
        <f t="shared" si="30"/>
        <v>595823.85957920738</v>
      </c>
      <c r="K95" s="203">
        <f t="shared" si="30"/>
        <v>595823.85957920738</v>
      </c>
      <c r="L95" s="203">
        <f t="shared" si="30"/>
        <v>595823.85957920738</v>
      </c>
      <c r="M95" s="203">
        <f t="shared" si="30"/>
        <v>595823.85957920738</v>
      </c>
      <c r="N95" s="203">
        <f t="shared" si="30"/>
        <v>595823.85957920738</v>
      </c>
      <c r="O95" s="203">
        <f t="shared" si="30"/>
        <v>595823.85957920738</v>
      </c>
      <c r="P95" s="203">
        <f t="shared" si="30"/>
        <v>595823.85957920738</v>
      </c>
      <c r="Q95" s="203">
        <f t="shared" si="30"/>
        <v>595823.85957920738</v>
      </c>
      <c r="R95" s="203">
        <f t="shared" si="30"/>
        <v>595823.85957920738</v>
      </c>
      <c r="S95" s="203">
        <f t="shared" si="30"/>
        <v>595823.85957920738</v>
      </c>
      <c r="T95" s="203">
        <f t="shared" si="30"/>
        <v>595823.85957920738</v>
      </c>
      <c r="U95" s="203">
        <f t="shared" si="30"/>
        <v>595823.85957920738</v>
      </c>
      <c r="V95" s="203">
        <f t="shared" si="30"/>
        <v>595823.85957920738</v>
      </c>
      <c r="W95" s="203">
        <f t="shared" si="30"/>
        <v>595823.85957920738</v>
      </c>
      <c r="X95" s="203">
        <f t="shared" si="30"/>
        <v>595823.85957920738</v>
      </c>
      <c r="Y95" s="203">
        <f t="shared" si="30"/>
        <v>595823.85957920738</v>
      </c>
      <c r="Z95" s="203">
        <f t="shared" si="30"/>
        <v>595823.85957920738</v>
      </c>
      <c r="AA95" s="203">
        <f t="shared" si="30"/>
        <v>595823.85957920738</v>
      </c>
      <c r="AB95" s="203">
        <f t="shared" si="30"/>
        <v>595823.85957920738</v>
      </c>
      <c r="AC95" s="203">
        <f t="shared" si="30"/>
        <v>595823.85957920738</v>
      </c>
      <c r="AD95" s="203">
        <f t="shared" si="30"/>
        <v>471455.17271052051</v>
      </c>
      <c r="AE95" s="203">
        <f t="shared" si="30"/>
        <v>358392.73010262335</v>
      </c>
      <c r="AF95" s="203">
        <f t="shared" si="30"/>
        <v>255608.69136817136</v>
      </c>
      <c r="AG95" s="203">
        <f t="shared" si="30"/>
        <v>162168.65615503321</v>
      </c>
      <c r="AH95" s="203">
        <f t="shared" si="30"/>
        <v>77223.169597634886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43825.057969778529</v>
      </c>
      <c r="E96" s="203">
        <f t="shared" ref="E96:AH96" si="32">E94-E95</f>
        <v>83666.019760486204</v>
      </c>
      <c r="F96" s="203">
        <f t="shared" si="32"/>
        <v>119885.07593385701</v>
      </c>
      <c r="G96" s="203">
        <f t="shared" si="32"/>
        <v>152811.4906369212</v>
      </c>
      <c r="H96" s="203">
        <f t="shared" si="32"/>
        <v>182744.59491243406</v>
      </c>
      <c r="I96" s="203">
        <f t="shared" si="32"/>
        <v>209956.50789017323</v>
      </c>
      <c r="J96" s="203">
        <f t="shared" si="32"/>
        <v>209956.50789017323</v>
      </c>
      <c r="K96" s="203">
        <f t="shared" si="32"/>
        <v>209956.50789017323</v>
      </c>
      <c r="L96" s="203">
        <f t="shared" si="32"/>
        <v>209956.50789017323</v>
      </c>
      <c r="M96" s="203">
        <f t="shared" si="32"/>
        <v>209956.50789017323</v>
      </c>
      <c r="N96" s="203">
        <f t="shared" si="32"/>
        <v>209956.50789017323</v>
      </c>
      <c r="O96" s="203">
        <f t="shared" si="32"/>
        <v>209956.50789017323</v>
      </c>
      <c r="P96" s="203">
        <f t="shared" si="32"/>
        <v>209956.50789017323</v>
      </c>
      <c r="Q96" s="203">
        <f t="shared" si="32"/>
        <v>209956.50789017323</v>
      </c>
      <c r="R96" s="203">
        <f t="shared" si="32"/>
        <v>209956.50789017323</v>
      </c>
      <c r="S96" s="203">
        <f t="shared" si="32"/>
        <v>209956.50789017323</v>
      </c>
      <c r="T96" s="203">
        <f t="shared" si="32"/>
        <v>209956.50789017323</v>
      </c>
      <c r="U96" s="203">
        <f t="shared" si="32"/>
        <v>209956.50789017323</v>
      </c>
      <c r="V96" s="203">
        <f t="shared" si="32"/>
        <v>209956.50789017323</v>
      </c>
      <c r="W96" s="203">
        <f t="shared" si="32"/>
        <v>209956.50789017323</v>
      </c>
      <c r="X96" s="203">
        <f t="shared" si="32"/>
        <v>209956.50789017323</v>
      </c>
      <c r="Y96" s="203">
        <f t="shared" si="32"/>
        <v>209956.50789017323</v>
      </c>
      <c r="Z96" s="203">
        <f t="shared" si="32"/>
        <v>209956.50789017323</v>
      </c>
      <c r="AA96" s="203">
        <f t="shared" si="32"/>
        <v>209956.50789017323</v>
      </c>
      <c r="AB96" s="203">
        <f t="shared" si="32"/>
        <v>209956.50789017323</v>
      </c>
      <c r="AC96" s="203">
        <f t="shared" si="32"/>
        <v>209956.50789017323</v>
      </c>
      <c r="AD96" s="203">
        <f t="shared" si="32"/>
        <v>166131.44992039463</v>
      </c>
      <c r="AE96" s="203">
        <f t="shared" si="32"/>
        <v>126290.48812968703</v>
      </c>
      <c r="AF96" s="203">
        <f t="shared" si="32"/>
        <v>90071.431956316228</v>
      </c>
      <c r="AG96" s="203">
        <f t="shared" si="32"/>
        <v>57145.017253251979</v>
      </c>
      <c r="AH96" s="203">
        <f t="shared" si="32"/>
        <v>27211.912977739077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280451.38888888888</v>
      </c>
      <c r="E97" s="203">
        <f t="shared" si="33"/>
        <v>560902.77777777775</v>
      </c>
      <c r="F97" s="203">
        <f t="shared" si="33"/>
        <v>841354.16666666663</v>
      </c>
      <c r="G97" s="203">
        <f t="shared" si="33"/>
        <v>1065715.2777777778</v>
      </c>
      <c r="H97" s="203">
        <f t="shared" si="33"/>
        <v>1233986.111111111</v>
      </c>
      <c r="I97" s="203">
        <f t="shared" si="33"/>
        <v>1346166.6666666665</v>
      </c>
      <c r="J97" s="203">
        <f t="shared" si="33"/>
        <v>1121805.5555555555</v>
      </c>
      <c r="K97" s="203">
        <f t="shared" si="33"/>
        <v>841354.16666666663</v>
      </c>
      <c r="L97" s="203">
        <f t="shared" si="33"/>
        <v>560902.77777777775</v>
      </c>
      <c r="M97" s="203">
        <f t="shared" si="33"/>
        <v>336541.66666666663</v>
      </c>
      <c r="N97" s="203">
        <f t="shared" si="33"/>
        <v>168270.83333333328</v>
      </c>
      <c r="O97" s="203">
        <f t="shared" si="33"/>
        <v>56090.277777777752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-236626.33091911033</v>
      </c>
      <c r="E98" s="203">
        <f t="shared" ref="E98:AH98" si="34">E96-E97</f>
        <v>-477236.75801729155</v>
      </c>
      <c r="F98" s="203">
        <f t="shared" si="34"/>
        <v>-721469.09073280962</v>
      </c>
      <c r="G98" s="203">
        <f t="shared" si="34"/>
        <v>-912903.7871408565</v>
      </c>
      <c r="H98" s="203">
        <f t="shared" si="34"/>
        <v>-1051241.516198677</v>
      </c>
      <c r="I98" s="203">
        <f t="shared" si="34"/>
        <v>-1136210.1587764933</v>
      </c>
      <c r="J98" s="203">
        <f t="shared" si="34"/>
        <v>-911849.04766538227</v>
      </c>
      <c r="K98" s="203">
        <f t="shared" si="34"/>
        <v>-631397.65877649339</v>
      </c>
      <c r="L98" s="203">
        <f t="shared" si="34"/>
        <v>-350946.26988760452</v>
      </c>
      <c r="M98" s="203">
        <f t="shared" si="34"/>
        <v>-126585.15877649339</v>
      </c>
      <c r="N98" s="203">
        <f t="shared" si="34"/>
        <v>41685.674556839949</v>
      </c>
      <c r="O98" s="203">
        <f t="shared" si="34"/>
        <v>153866.23011239548</v>
      </c>
      <c r="P98" s="203">
        <f t="shared" si="34"/>
        <v>209956.50789017323</v>
      </c>
      <c r="Q98" s="203">
        <f t="shared" si="34"/>
        <v>209956.50789017323</v>
      </c>
      <c r="R98" s="203">
        <f t="shared" si="34"/>
        <v>209956.50789017323</v>
      </c>
      <c r="S98" s="203">
        <f t="shared" si="34"/>
        <v>209956.50789017323</v>
      </c>
      <c r="T98" s="203">
        <f t="shared" si="34"/>
        <v>209956.50789017323</v>
      </c>
      <c r="U98" s="203">
        <f t="shared" si="34"/>
        <v>209956.50789017323</v>
      </c>
      <c r="V98" s="203">
        <f t="shared" si="34"/>
        <v>209956.50789017323</v>
      </c>
      <c r="W98" s="203">
        <f t="shared" si="34"/>
        <v>209956.50789017323</v>
      </c>
      <c r="X98" s="203">
        <f t="shared" si="34"/>
        <v>209956.50789017323</v>
      </c>
      <c r="Y98" s="203">
        <f t="shared" si="34"/>
        <v>209956.50789017323</v>
      </c>
      <c r="Z98" s="203">
        <f t="shared" si="34"/>
        <v>209956.50789017323</v>
      </c>
      <c r="AA98" s="203">
        <f t="shared" si="34"/>
        <v>209956.50789017323</v>
      </c>
      <c r="AB98" s="203">
        <f t="shared" si="34"/>
        <v>209956.50789017323</v>
      </c>
      <c r="AC98" s="203">
        <f t="shared" si="34"/>
        <v>209956.50789017323</v>
      </c>
      <c r="AD98" s="203">
        <f t="shared" si="34"/>
        <v>166131.44992039463</v>
      </c>
      <c r="AE98" s="203">
        <f t="shared" si="34"/>
        <v>126290.48812968703</v>
      </c>
      <c r="AF98" s="203">
        <f t="shared" si="34"/>
        <v>90071.431956316228</v>
      </c>
      <c r="AG98" s="203">
        <f t="shared" si="34"/>
        <v>57145.017253251979</v>
      </c>
      <c r="AH98" s="203">
        <f t="shared" si="34"/>
        <v>27211.912977739077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-236626.33091911033</v>
      </c>
      <c r="E100" s="203">
        <f t="shared" ref="E100:AH100" si="35">E98+E99</f>
        <v>-477236.75801729155</v>
      </c>
      <c r="F100" s="203">
        <f t="shared" si="35"/>
        <v>-721469.09073280962</v>
      </c>
      <c r="G100" s="203">
        <f t="shared" si="35"/>
        <v>-912903.7871408565</v>
      </c>
      <c r="H100" s="203">
        <f t="shared" si="35"/>
        <v>-1051241.516198677</v>
      </c>
      <c r="I100" s="203">
        <f t="shared" si="35"/>
        <v>-1136210.1587764933</v>
      </c>
      <c r="J100" s="203">
        <f t="shared" si="35"/>
        <v>-911849.04766538227</v>
      </c>
      <c r="K100" s="203">
        <f t="shared" si="35"/>
        <v>-631397.65877649339</v>
      </c>
      <c r="L100" s="203">
        <f t="shared" si="35"/>
        <v>-350946.26988760452</v>
      </c>
      <c r="M100" s="203">
        <f t="shared" si="35"/>
        <v>-126585.15877649339</v>
      </c>
      <c r="N100" s="203">
        <f t="shared" si="35"/>
        <v>41685.674556839949</v>
      </c>
      <c r="O100" s="203">
        <f t="shared" si="35"/>
        <v>153866.23011239548</v>
      </c>
      <c r="P100" s="203">
        <f t="shared" si="35"/>
        <v>209956.50789017323</v>
      </c>
      <c r="Q100" s="203">
        <f t="shared" si="35"/>
        <v>209956.50789017323</v>
      </c>
      <c r="R100" s="203">
        <f t="shared" si="35"/>
        <v>209956.50789017323</v>
      </c>
      <c r="S100" s="203">
        <f t="shared" si="35"/>
        <v>209956.50789017323</v>
      </c>
      <c r="T100" s="203">
        <f t="shared" si="35"/>
        <v>209956.50789017323</v>
      </c>
      <c r="U100" s="203">
        <f t="shared" si="35"/>
        <v>209956.50789017323</v>
      </c>
      <c r="V100" s="203">
        <f t="shared" si="35"/>
        <v>209956.50789017323</v>
      </c>
      <c r="W100" s="203">
        <f t="shared" si="35"/>
        <v>209956.50789017323</v>
      </c>
      <c r="X100" s="203">
        <f t="shared" si="35"/>
        <v>209956.50789017323</v>
      </c>
      <c r="Y100" s="203">
        <f t="shared" si="35"/>
        <v>209956.50789017323</v>
      </c>
      <c r="Z100" s="203">
        <f t="shared" si="35"/>
        <v>209956.50789017323</v>
      </c>
      <c r="AA100" s="203">
        <f t="shared" si="35"/>
        <v>209956.50789017323</v>
      </c>
      <c r="AB100" s="203">
        <f t="shared" si="35"/>
        <v>209956.50789017323</v>
      </c>
      <c r="AC100" s="203">
        <f t="shared" si="35"/>
        <v>209956.50789017323</v>
      </c>
      <c r="AD100" s="203">
        <f t="shared" si="35"/>
        <v>166131.44992039463</v>
      </c>
      <c r="AE100" s="203">
        <f t="shared" si="35"/>
        <v>126290.48812968703</v>
      </c>
      <c r="AF100" s="203">
        <f t="shared" si="35"/>
        <v>90071.431956316228</v>
      </c>
      <c r="AG100" s="203">
        <f t="shared" si="35"/>
        <v>57145.017253251979</v>
      </c>
      <c r="AH100" s="203">
        <f t="shared" si="35"/>
        <v>27211.912977739077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0</v>
      </c>
      <c r="M101" s="203">
        <f t="shared" si="36"/>
        <v>0</v>
      </c>
      <c r="N101" s="203">
        <f t="shared" si="36"/>
        <v>12505.702367051985</v>
      </c>
      <c r="O101" s="203">
        <f t="shared" si="36"/>
        <v>46159.869033718642</v>
      </c>
      <c r="P101" s="203">
        <f t="shared" si="36"/>
        <v>62986.95236705197</v>
      </c>
      <c r="Q101" s="203">
        <f t="shared" si="36"/>
        <v>62986.95236705197</v>
      </c>
      <c r="R101" s="203">
        <f t="shared" si="36"/>
        <v>62986.95236705197</v>
      </c>
      <c r="S101" s="203">
        <f t="shared" si="36"/>
        <v>62986.95236705197</v>
      </c>
      <c r="T101" s="203">
        <f t="shared" si="36"/>
        <v>62986.95236705197</v>
      </c>
      <c r="U101" s="203">
        <f t="shared" si="36"/>
        <v>62986.95236705197</v>
      </c>
      <c r="V101" s="203">
        <f t="shared" si="36"/>
        <v>62986.95236705197</v>
      </c>
      <c r="W101" s="203">
        <f t="shared" si="36"/>
        <v>62986.95236705197</v>
      </c>
      <c r="X101" s="203">
        <f t="shared" si="36"/>
        <v>62986.95236705197</v>
      </c>
      <c r="Y101" s="203">
        <f t="shared" si="36"/>
        <v>62986.95236705197</v>
      </c>
      <c r="Z101" s="203">
        <f t="shared" si="36"/>
        <v>62986.95236705197</v>
      </c>
      <c r="AA101" s="203">
        <f t="shared" si="36"/>
        <v>62986.95236705197</v>
      </c>
      <c r="AB101" s="203">
        <f t="shared" si="36"/>
        <v>62986.95236705197</v>
      </c>
      <c r="AC101" s="203">
        <f t="shared" si="36"/>
        <v>62986.95236705197</v>
      </c>
      <c r="AD101" s="203">
        <f t="shared" si="36"/>
        <v>49839.434976118391</v>
      </c>
      <c r="AE101" s="203">
        <f t="shared" si="36"/>
        <v>37887.146438906108</v>
      </c>
      <c r="AF101" s="203">
        <f t="shared" si="36"/>
        <v>27021.429586894868</v>
      </c>
      <c r="AG101" s="203">
        <f t="shared" si="36"/>
        <v>17143.505175975592</v>
      </c>
      <c r="AH101" s="203">
        <f t="shared" si="36"/>
        <v>8163.5738933217226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-236626.33091911033</v>
      </c>
      <c r="E102" s="203">
        <f t="shared" ref="E102:AH102" si="37">E100-E101</f>
        <v>-477236.75801729155</v>
      </c>
      <c r="F102" s="203">
        <f t="shared" si="37"/>
        <v>-721469.09073280962</v>
      </c>
      <c r="G102" s="203">
        <f t="shared" si="37"/>
        <v>-912903.7871408565</v>
      </c>
      <c r="H102" s="203">
        <f t="shared" si="37"/>
        <v>-1051241.516198677</v>
      </c>
      <c r="I102" s="203">
        <f t="shared" si="37"/>
        <v>-1136210.1587764933</v>
      </c>
      <c r="J102" s="203">
        <f t="shared" si="37"/>
        <v>-911849.04766538227</v>
      </c>
      <c r="K102" s="203">
        <f t="shared" si="37"/>
        <v>-631397.65877649339</v>
      </c>
      <c r="L102" s="203">
        <f t="shared" si="37"/>
        <v>-350946.26988760452</v>
      </c>
      <c r="M102" s="203">
        <f t="shared" si="37"/>
        <v>-126585.15877649339</v>
      </c>
      <c r="N102" s="203">
        <f t="shared" si="37"/>
        <v>29179.972189787964</v>
      </c>
      <c r="O102" s="203">
        <f t="shared" si="37"/>
        <v>107706.36107867684</v>
      </c>
      <c r="P102" s="203">
        <f t="shared" si="37"/>
        <v>146969.55552312126</v>
      </c>
      <c r="Q102" s="203">
        <f t="shared" si="37"/>
        <v>146969.55552312126</v>
      </c>
      <c r="R102" s="203">
        <f t="shared" si="37"/>
        <v>146969.55552312126</v>
      </c>
      <c r="S102" s="203">
        <f t="shared" si="37"/>
        <v>146969.55552312126</v>
      </c>
      <c r="T102" s="203">
        <f t="shared" si="37"/>
        <v>146969.55552312126</v>
      </c>
      <c r="U102" s="203">
        <f t="shared" si="37"/>
        <v>146969.55552312126</v>
      </c>
      <c r="V102" s="203">
        <f t="shared" si="37"/>
        <v>146969.55552312126</v>
      </c>
      <c r="W102" s="203">
        <f t="shared" si="37"/>
        <v>146969.55552312126</v>
      </c>
      <c r="X102" s="203">
        <f t="shared" si="37"/>
        <v>146969.55552312126</v>
      </c>
      <c r="Y102" s="203">
        <f t="shared" si="37"/>
        <v>146969.55552312126</v>
      </c>
      <c r="Z102" s="203">
        <f t="shared" si="37"/>
        <v>146969.55552312126</v>
      </c>
      <c r="AA102" s="203">
        <f t="shared" si="37"/>
        <v>146969.55552312126</v>
      </c>
      <c r="AB102" s="203">
        <f t="shared" si="37"/>
        <v>146969.55552312126</v>
      </c>
      <c r="AC102" s="203">
        <f t="shared" si="37"/>
        <v>146969.55552312126</v>
      </c>
      <c r="AD102" s="203">
        <f t="shared" si="37"/>
        <v>116292.01494427625</v>
      </c>
      <c r="AE102" s="203">
        <f t="shared" si="37"/>
        <v>88403.341690780915</v>
      </c>
      <c r="AF102" s="203">
        <f t="shared" si="37"/>
        <v>63050.00236942136</v>
      </c>
      <c r="AG102" s="203">
        <f t="shared" si="37"/>
        <v>40001.512077276391</v>
      </c>
      <c r="AH102" s="203">
        <f t="shared" si="37"/>
        <v>19048.339084417355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-1368055.5555555555</v>
      </c>
      <c r="D103" s="203">
        <f t="shared" ref="D103:AH103" si="38">D102-D72</f>
        <v>-1604681.8864746657</v>
      </c>
      <c r="E103" s="203">
        <f t="shared" si="38"/>
        <v>-1845292.3135728471</v>
      </c>
      <c r="F103" s="203">
        <f t="shared" si="38"/>
        <v>-2089524.6462883651</v>
      </c>
      <c r="G103" s="203">
        <f t="shared" si="38"/>
        <v>-2280959.342696412</v>
      </c>
      <c r="H103" s="203">
        <f t="shared" si="38"/>
        <v>-2419297.0717542325</v>
      </c>
      <c r="I103" s="203">
        <f t="shared" si="38"/>
        <v>-1136210.1587764933</v>
      </c>
      <c r="J103" s="203">
        <f t="shared" si="38"/>
        <v>-911849.04766538227</v>
      </c>
      <c r="K103" s="203">
        <f t="shared" si="38"/>
        <v>-631397.65877649339</v>
      </c>
      <c r="L103" s="203">
        <f t="shared" si="38"/>
        <v>-350946.26988760452</v>
      </c>
      <c r="M103" s="203">
        <f t="shared" si="38"/>
        <v>-126585.15877649339</v>
      </c>
      <c r="N103" s="203">
        <f t="shared" si="38"/>
        <v>29179.972189787964</v>
      </c>
      <c r="O103" s="203">
        <f t="shared" si="38"/>
        <v>107706.36107867684</v>
      </c>
      <c r="P103" s="203">
        <f t="shared" si="38"/>
        <v>146969.55552312126</v>
      </c>
      <c r="Q103" s="203">
        <f t="shared" si="38"/>
        <v>146969.55552312126</v>
      </c>
      <c r="R103" s="203">
        <f t="shared" si="38"/>
        <v>146969.55552312126</v>
      </c>
      <c r="S103" s="203">
        <f t="shared" si="38"/>
        <v>146969.55552312126</v>
      </c>
      <c r="T103" s="203">
        <f t="shared" si="38"/>
        <v>146969.55552312126</v>
      </c>
      <c r="U103" s="203">
        <f t="shared" si="38"/>
        <v>146969.55552312126</v>
      </c>
      <c r="V103" s="203">
        <f t="shared" si="38"/>
        <v>146969.55552312126</v>
      </c>
      <c r="W103" s="203">
        <f t="shared" si="38"/>
        <v>146969.55552312126</v>
      </c>
      <c r="X103" s="203">
        <f t="shared" si="38"/>
        <v>146969.55552312126</v>
      </c>
      <c r="Y103" s="203">
        <f t="shared" si="38"/>
        <v>146969.55552312126</v>
      </c>
      <c r="Z103" s="203">
        <f t="shared" si="38"/>
        <v>146969.55552312126</v>
      </c>
      <c r="AA103" s="203">
        <f t="shared" si="38"/>
        <v>146969.55552312126</v>
      </c>
      <c r="AB103" s="203">
        <f t="shared" si="38"/>
        <v>146969.55552312126</v>
      </c>
      <c r="AC103" s="203">
        <f t="shared" si="38"/>
        <v>146969.55552312126</v>
      </c>
      <c r="AD103" s="203">
        <f t="shared" si="38"/>
        <v>116292.01494427625</v>
      </c>
      <c r="AE103" s="203">
        <f t="shared" si="38"/>
        <v>88403.341690780915</v>
      </c>
      <c r="AF103" s="203">
        <f t="shared" si="38"/>
        <v>63050.00236942136</v>
      </c>
      <c r="AG103" s="203">
        <f t="shared" si="38"/>
        <v>40001.512077276391</v>
      </c>
      <c r="AH103" s="203">
        <f t="shared" si="38"/>
        <v>19048.339084417355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-1368055.5555555555</v>
      </c>
      <c r="D104" s="203">
        <f t="shared" si="39"/>
        <v>-1431245.2548907443</v>
      </c>
      <c r="E104" s="203">
        <f t="shared" si="39"/>
        <v>-1512937.313659939</v>
      </c>
      <c r="F104" s="203">
        <f t="shared" si="39"/>
        <v>-1611459.0239194022</v>
      </c>
      <c r="G104" s="203">
        <f t="shared" si="39"/>
        <v>-1669196.9331758022</v>
      </c>
      <c r="H104" s="203">
        <f t="shared" si="39"/>
        <v>-1684763.9312051728</v>
      </c>
      <c r="I104" s="203">
        <f t="shared" si="39"/>
        <v>-288841.16269308538</v>
      </c>
      <c r="J104" s="203">
        <f t="shared" si="39"/>
        <v>-60934.70414267038</v>
      </c>
      <c r="K104" s="203">
        <f t="shared" si="39"/>
        <v>223150.66587150499</v>
      </c>
      <c r="L104" s="203">
        <f t="shared" si="39"/>
        <v>507326.88541381259</v>
      </c>
      <c r="M104" s="203">
        <f t="shared" si="39"/>
        <v>735505.9479446779</v>
      </c>
      <c r="N104" s="203">
        <f t="shared" si="39"/>
        <v>895184.47911620722</v>
      </c>
      <c r="O104" s="203">
        <f t="shared" si="39"/>
        <v>977722.10321547533</v>
      </c>
      <c r="P104" s="203">
        <f t="shared" si="39"/>
        <v>1021096.8137505584</v>
      </c>
      <c r="Q104" s="203">
        <f t="shared" si="39"/>
        <v>1025311.117743463</v>
      </c>
      <c r="R104" s="203">
        <f t="shared" si="39"/>
        <v>1029630.7793361903</v>
      </c>
      <c r="S104" s="203">
        <f t="shared" si="39"/>
        <v>1034058.4324687358</v>
      </c>
      <c r="T104" s="203">
        <f t="shared" si="39"/>
        <v>1038596.7769295949</v>
      </c>
      <c r="U104" s="203">
        <f t="shared" si="39"/>
        <v>1043248.5800019754</v>
      </c>
      <c r="V104" s="203">
        <f t="shared" si="39"/>
        <v>1048016.6781511656</v>
      </c>
      <c r="W104" s="203">
        <f t="shared" si="39"/>
        <v>1052903.9787540855</v>
      </c>
      <c r="X104" s="203">
        <f t="shared" si="39"/>
        <v>1057913.4618720782</v>
      </c>
      <c r="Y104" s="203">
        <f t="shared" si="39"/>
        <v>1063048.1820680208</v>
      </c>
      <c r="Z104" s="203">
        <f t="shared" si="39"/>
        <v>1068311.2702688621</v>
      </c>
      <c r="AA104" s="203">
        <f t="shared" si="39"/>
        <v>1073705.9356747244</v>
      </c>
      <c r="AB104" s="203">
        <f t="shared" si="39"/>
        <v>1079235.4677157332</v>
      </c>
      <c r="AC104" s="203">
        <f t="shared" si="39"/>
        <v>852524.65403437149</v>
      </c>
      <c r="AD104" s="203">
        <f t="shared" si="39"/>
        <v>674573.78811853379</v>
      </c>
      <c r="AE104" s="203">
        <f t="shared" si="39"/>
        <v>512800.27364959067</v>
      </c>
      <c r="AF104" s="203">
        <f t="shared" si="39"/>
        <v>365733.44231418765</v>
      </c>
      <c r="AG104" s="203">
        <f t="shared" si="39"/>
        <v>232036.32291836682</v>
      </c>
      <c r="AH104" s="203">
        <f t="shared" si="39"/>
        <v>110493.48710398425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0.15626614702607677</v>
      </c>
      <c r="E108" s="215">
        <f t="shared" ref="E108:G108" si="40">(E102+E71+E70)/(E70+E71)</f>
        <v>0.1491631403430731</v>
      </c>
      <c r="F108" s="215">
        <f t="shared" si="40"/>
        <v>0.35292236887344158</v>
      </c>
      <c r="G108" s="215">
        <f t="shared" si="40"/>
        <v>0.43401167922448547</v>
      </c>
      <c r="H108" s="215">
        <f>(H102+H71+H70)/(H70+H71)</f>
        <v>0.48840200094422492</v>
      </c>
      <c r="I108" s="215">
        <f>(I102+I71+I70)/(I70+I71)</f>
        <v>0.53445669668396167</v>
      </c>
      <c r="J108" s="215">
        <f t="shared" ref="J108:N108" si="41">(J102+J71+J70)/(J70+J71)</f>
        <v>0.63377513565065247</v>
      </c>
      <c r="K108" s="215">
        <f t="shared" si="41"/>
        <v>0.7142233726837075</v>
      </c>
      <c r="L108" s="215">
        <f t="shared" si="41"/>
        <v>0.7879923527968492</v>
      </c>
      <c r="M108" s="215">
        <f t="shared" si="41"/>
        <v>0.89062736038320045</v>
      </c>
      <c r="N108" s="215">
        <f t="shared" si="41"/>
        <v>1.0407830264224309</v>
      </c>
      <c r="O108" s="215">
        <f>(O102+O71+O70)/(O70+O71)</f>
        <v>1.3266785179208767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0.62577514991274841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0.15626614702607677</v>
      </c>
      <c r="E110" s="215">
        <f t="shared" si="43"/>
        <v>0.1491631403430731</v>
      </c>
      <c r="F110" s="215">
        <f t="shared" si="43"/>
        <v>0.35292236887344158</v>
      </c>
      <c r="G110" s="215">
        <f t="shared" si="43"/>
        <v>0.43401167922448547</v>
      </c>
      <c r="H110" s="215">
        <f t="shared" si="43"/>
        <v>0.48840200094422492</v>
      </c>
      <c r="I110" s="215">
        <f t="shared" si="43"/>
        <v>0.53445669668396167</v>
      </c>
      <c r="J110" s="215">
        <f t="shared" si="43"/>
        <v>0.63377513565065247</v>
      </c>
      <c r="K110" s="215">
        <f t="shared" si="43"/>
        <v>0.7142233726837075</v>
      </c>
      <c r="L110" s="215">
        <f t="shared" si="43"/>
        <v>0.7879923527968492</v>
      </c>
      <c r="M110" s="215">
        <f t="shared" si="43"/>
        <v>0.89062736038320045</v>
      </c>
      <c r="N110" s="215">
        <f t="shared" si="43"/>
        <v>1.0407830264224309</v>
      </c>
      <c r="O110" s="215">
        <f t="shared" si="43"/>
        <v>1.3266785179208767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0.62577514991274841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0.15626614702607677</v>
      </c>
      <c r="E112" s="215">
        <f t="shared" si="44"/>
        <v>0.1491631403430731</v>
      </c>
      <c r="F112" s="215">
        <f t="shared" si="44"/>
        <v>0.35292236887344158</v>
      </c>
      <c r="G112" s="215">
        <f t="shared" si="44"/>
        <v>0.43401167922448547</v>
      </c>
      <c r="H112" s="215">
        <f t="shared" si="44"/>
        <v>0.48840200094422492</v>
      </c>
      <c r="I112" s="215">
        <f t="shared" si="44"/>
        <v>0.53445669668396167</v>
      </c>
      <c r="J112" s="215">
        <f t="shared" si="44"/>
        <v>0.63377513565065247</v>
      </c>
      <c r="K112" s="215">
        <f t="shared" si="44"/>
        <v>0.7142233726837075</v>
      </c>
      <c r="L112" s="215">
        <f t="shared" si="44"/>
        <v>0.7879923527968492</v>
      </c>
      <c r="M112" s="215">
        <f t="shared" si="44"/>
        <v>0.89062736038320045</v>
      </c>
      <c r="N112" s="215">
        <f t="shared" si="44"/>
        <v>1.0407830264224309</v>
      </c>
      <c r="O112" s="215">
        <f t="shared" si="44"/>
        <v>1.3266785179208767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0.62577514991274841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F6C4-30B0-4813-B48A-0F36BAB570F0}">
  <dimension ref="A1:BV114"/>
  <sheetViews>
    <sheetView topLeftCell="A44" zoomScale="50" zoomScaleNormal="50" workbookViewId="0">
      <selection activeCell="C64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5">
        <v>0.1</v>
      </c>
      <c r="C3" s="266">
        <f>(((49250000/1800)*300))/6</f>
        <v>1368055.5555555555</v>
      </c>
      <c r="D3" s="13"/>
      <c r="E3" s="13">
        <f>C3/(Interventions!E6+Interventions!E7)</f>
        <v>45.454730042281668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0.875</v>
      </c>
      <c r="E8" s="49">
        <f t="shared" ref="E8:AH8" si="0">1*((1-$B$6)^E7)</f>
        <v>0.765625</v>
      </c>
      <c r="F8" s="49">
        <f t="shared" si="0"/>
        <v>0.669921875</v>
      </c>
      <c r="G8" s="49">
        <f t="shared" si="0"/>
        <v>0.586181640625</v>
      </c>
      <c r="H8" s="49">
        <f t="shared" si="0"/>
        <v>0.512908935546875</v>
      </c>
      <c r="I8" s="49">
        <f t="shared" si="0"/>
        <v>0.44879531860351563</v>
      </c>
      <c r="J8" s="49">
        <f t="shared" si="0"/>
        <v>0.39269590377807617</v>
      </c>
      <c r="K8" s="49">
        <f t="shared" si="0"/>
        <v>0.34360891580581665</v>
      </c>
      <c r="L8" s="49">
        <f t="shared" si="0"/>
        <v>0.30065780133008957</v>
      </c>
      <c r="M8" s="49">
        <f t="shared" si="0"/>
        <v>0.26307557616382837</v>
      </c>
      <c r="N8" s="49">
        <f t="shared" si="0"/>
        <v>0.23019112914334983</v>
      </c>
      <c r="O8" s="49">
        <f t="shared" si="0"/>
        <v>0.2014172380004311</v>
      </c>
      <c r="P8" s="49">
        <f t="shared" si="0"/>
        <v>0.17624008325037721</v>
      </c>
      <c r="Q8" s="49">
        <f t="shared" si="0"/>
        <v>0.15421007284408006</v>
      </c>
      <c r="R8" s="49">
        <f t="shared" si="0"/>
        <v>0.13493381373857005</v>
      </c>
      <c r="S8" s="49">
        <f t="shared" si="0"/>
        <v>0.1180670870212488</v>
      </c>
      <c r="T8" s="49">
        <f t="shared" si="0"/>
        <v>0.1033087011435927</v>
      </c>
      <c r="U8" s="49">
        <f t="shared" si="0"/>
        <v>9.0395113500643609E-2</v>
      </c>
      <c r="V8" s="49">
        <f t="shared" si="0"/>
        <v>7.9095724313063165E-2</v>
      </c>
      <c r="W8" s="49">
        <f t="shared" si="0"/>
        <v>6.9208758773930262E-2</v>
      </c>
      <c r="X8" s="49">
        <f t="shared" si="0"/>
        <v>6.0557663927188983E-2</v>
      </c>
      <c r="Y8" s="49">
        <f t="shared" si="0"/>
        <v>5.2987955936290361E-2</v>
      </c>
      <c r="Z8" s="49">
        <f t="shared" si="0"/>
        <v>4.636446144425406E-2</v>
      </c>
      <c r="AA8" s="49">
        <f t="shared" si="0"/>
        <v>4.0568903763722304E-2</v>
      </c>
      <c r="AB8" s="49">
        <f t="shared" si="0"/>
        <v>3.5497790793257017E-2</v>
      </c>
      <c r="AC8" s="49">
        <f t="shared" si="0"/>
        <v>3.106056694409989E-2</v>
      </c>
      <c r="AD8" s="49">
        <f t="shared" si="0"/>
        <v>2.7177996076087403E-2</v>
      </c>
      <c r="AE8" s="49">
        <f t="shared" si="0"/>
        <v>2.3780746566576479E-2</v>
      </c>
      <c r="AF8" s="49">
        <f t="shared" si="0"/>
        <v>2.080815324575442E-2</v>
      </c>
      <c r="AG8" s="49">
        <f t="shared" si="0"/>
        <v>1.8207134090035115E-2</v>
      </c>
      <c r="AH8" s="49">
        <f t="shared" si="0"/>
        <v>1.5931242328780727E-2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0.125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0.125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0.125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70">
        <v>0.6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1368055.5555555555</v>
      </c>
      <c r="D23" s="136">
        <v>1368055.5555555555</v>
      </c>
      <c r="E23" s="136">
        <v>1368055.5555555555</v>
      </c>
      <c r="F23" s="136">
        <v>1368055.5555555555</v>
      </c>
      <c r="G23" s="136">
        <v>1368055.5555555555</v>
      </c>
      <c r="H23" s="136">
        <v>1368055.5555555555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1368055.5555555555</v>
      </c>
      <c r="D24" s="139">
        <f>SUM(D25:D26)</f>
        <v>1368055.5555555555</v>
      </c>
      <c r="E24" s="139">
        <f t="shared" ref="E24:H24" si="2">SUM(E25:E26)</f>
        <v>1368055.5555555555</v>
      </c>
      <c r="F24" s="139">
        <f t="shared" si="2"/>
        <v>1368055.5555555555</v>
      </c>
      <c r="G24" s="139">
        <f t="shared" si="2"/>
        <v>1368055.5555555555</v>
      </c>
      <c r="H24" s="139">
        <f t="shared" si="2"/>
        <v>1368055.5555555555</v>
      </c>
      <c r="I24" s="139">
        <f>I26</f>
        <v>595823.85957920738</v>
      </c>
      <c r="J24" s="139">
        <f t="shared" ref="J24:AH24" si="3">J26</f>
        <v>595823.85957920738</v>
      </c>
      <c r="K24" s="139">
        <f t="shared" si="3"/>
        <v>595823.85957920738</v>
      </c>
      <c r="L24" s="139">
        <f t="shared" si="3"/>
        <v>595823.85957920738</v>
      </c>
      <c r="M24" s="139">
        <f t="shared" si="3"/>
        <v>595823.85957920738</v>
      </c>
      <c r="N24" s="139">
        <f t="shared" si="3"/>
        <v>595823.85957920738</v>
      </c>
      <c r="O24" s="139">
        <f t="shared" si="3"/>
        <v>595823.85957920738</v>
      </c>
      <c r="P24" s="139">
        <f t="shared" si="3"/>
        <v>595823.85957920738</v>
      </c>
      <c r="Q24" s="139">
        <f t="shared" si="3"/>
        <v>595823.85957920738</v>
      </c>
      <c r="R24" s="139">
        <f t="shared" si="3"/>
        <v>595823.85957920738</v>
      </c>
      <c r="S24" s="139">
        <f t="shared" si="3"/>
        <v>595823.85957920738</v>
      </c>
      <c r="T24" s="139">
        <f t="shared" si="3"/>
        <v>595823.85957920738</v>
      </c>
      <c r="U24" s="139">
        <f t="shared" si="3"/>
        <v>595823.85957920738</v>
      </c>
      <c r="V24" s="139">
        <f t="shared" si="3"/>
        <v>595823.85957920738</v>
      </c>
      <c r="W24" s="139">
        <f t="shared" si="3"/>
        <v>595823.85957920738</v>
      </c>
      <c r="X24" s="139">
        <f t="shared" si="3"/>
        <v>595823.85957920738</v>
      </c>
      <c r="Y24" s="139">
        <f t="shared" si="3"/>
        <v>595823.85957920738</v>
      </c>
      <c r="Z24" s="139">
        <f t="shared" si="3"/>
        <v>595823.85957920738</v>
      </c>
      <c r="AA24" s="139">
        <f t="shared" si="3"/>
        <v>595823.85957920738</v>
      </c>
      <c r="AB24" s="139">
        <f t="shared" si="3"/>
        <v>595823.85957920738</v>
      </c>
      <c r="AC24" s="139">
        <f t="shared" si="3"/>
        <v>595823.85957920738</v>
      </c>
      <c r="AD24" s="139">
        <f t="shared" si="3"/>
        <v>471455.17271052051</v>
      </c>
      <c r="AE24" s="139">
        <f t="shared" si="3"/>
        <v>358392.73010262335</v>
      </c>
      <c r="AF24" s="139">
        <f t="shared" si="3"/>
        <v>255608.69136817136</v>
      </c>
      <c r="AG24" s="139">
        <f t="shared" si="3"/>
        <v>162168.65615503321</v>
      </c>
      <c r="AH24" s="139">
        <f t="shared" si="3"/>
        <v>77223.169597634886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1368055.5555555555</v>
      </c>
      <c r="D25" s="24">
        <f>D23-D26</f>
        <v>1243686.8686868686</v>
      </c>
      <c r="E25" s="24">
        <f t="shared" ref="E25:H25" si="4">E23-E26</f>
        <v>1130624.4260789715</v>
      </c>
      <c r="F25" s="24">
        <f t="shared" si="4"/>
        <v>1027840.3873445195</v>
      </c>
      <c r="G25" s="24">
        <f t="shared" si="4"/>
        <v>934400.3521313814</v>
      </c>
      <c r="H25" s="24">
        <f t="shared" si="4"/>
        <v>849454.86557398294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C28*(Interventions!$G$7)</f>
        <v>124368.68686868688</v>
      </c>
      <c r="E26" s="27">
        <f>D28*(Interventions!$G$7)</f>
        <v>237431.12947658403</v>
      </c>
      <c r="F26" s="27">
        <f>E28*(Interventions!$G$7)</f>
        <v>340215.16821103601</v>
      </c>
      <c r="G26" s="27">
        <f>F28*(Interventions!$G$7)</f>
        <v>433655.20342417416</v>
      </c>
      <c r="H26" s="27">
        <f>G28*(Interventions!$G$7)</f>
        <v>518600.6899815725</v>
      </c>
      <c r="I26" s="27">
        <f>H28*(Interventions!$G$7)</f>
        <v>595823.85957920738</v>
      </c>
      <c r="J26" s="27">
        <f>I28*(Interventions!$G$7)</f>
        <v>595823.85957920738</v>
      </c>
      <c r="K26" s="27">
        <f>J28*(Interventions!$G$7)</f>
        <v>595823.85957920738</v>
      </c>
      <c r="L26" s="27">
        <f>K28*(Interventions!$G$7)</f>
        <v>595823.85957920738</v>
      </c>
      <c r="M26" s="27">
        <f>L28*(Interventions!$G$7)</f>
        <v>595823.85957920738</v>
      </c>
      <c r="N26" s="27">
        <f>M28*(Interventions!$G$7)</f>
        <v>595823.85957920738</v>
      </c>
      <c r="O26" s="27">
        <f>N28*(Interventions!$G$7)</f>
        <v>595823.85957920738</v>
      </c>
      <c r="P26" s="27">
        <f>O28*(Interventions!$G$7)</f>
        <v>595823.85957920738</v>
      </c>
      <c r="Q26" s="27">
        <f>P28*(Interventions!$G$7)</f>
        <v>595823.85957920738</v>
      </c>
      <c r="R26" s="27">
        <f>Q28*(Interventions!$G$7)</f>
        <v>595823.85957920738</v>
      </c>
      <c r="S26" s="27">
        <f>R28*(Interventions!$G$7)</f>
        <v>595823.85957920738</v>
      </c>
      <c r="T26" s="27">
        <f>S28*(Interventions!$G$7)</f>
        <v>595823.85957920738</v>
      </c>
      <c r="U26" s="27">
        <f>T28*(Interventions!$G$7)</f>
        <v>595823.85957920738</v>
      </c>
      <c r="V26" s="27">
        <f>U28*(Interventions!$G$7)</f>
        <v>595823.85957920738</v>
      </c>
      <c r="W26" s="27">
        <f>V28*(Interventions!$G$7)</f>
        <v>595823.85957920738</v>
      </c>
      <c r="X26" s="27">
        <f>W28*(Interventions!$G$7)</f>
        <v>595823.85957920738</v>
      </c>
      <c r="Y26" s="27">
        <f>X28*(Interventions!$G$7)</f>
        <v>595823.85957920738</v>
      </c>
      <c r="Z26" s="27">
        <f>Y28*(Interventions!$G$7)</f>
        <v>595823.85957920738</v>
      </c>
      <c r="AA26" s="27">
        <f>Z28*(Interventions!$G$7)</f>
        <v>595823.85957920738</v>
      </c>
      <c r="AB26" s="27">
        <f>AA28*(Interventions!$G$7)</f>
        <v>595823.85957920738</v>
      </c>
      <c r="AC26" s="27">
        <f>AB28*(Interventions!$G$7)</f>
        <v>595823.85957920738</v>
      </c>
      <c r="AD26" s="27">
        <f>AC28*(Interventions!$G$7)</f>
        <v>471455.17271052051</v>
      </c>
      <c r="AE26" s="27">
        <f>AD28*(Interventions!$G$7)</f>
        <v>358392.73010262335</v>
      </c>
      <c r="AF26" s="27">
        <f>AE28*(Interventions!$G$7)</f>
        <v>255608.69136817136</v>
      </c>
      <c r="AG26" s="27">
        <f>AF28*(Interventions!$G$7)</f>
        <v>162168.65615503321</v>
      </c>
      <c r="AH26" s="27">
        <f>AG28*(Interventions!$G$7)</f>
        <v>77223.169597634886</v>
      </c>
    </row>
    <row r="27" spans="1:34" x14ac:dyDescent="0.25">
      <c r="A27" s="41" t="s">
        <v>147</v>
      </c>
      <c r="B27" s="10" t="s">
        <v>135</v>
      </c>
      <c r="C27" s="45">
        <f>E3</f>
        <v>45.454730042281668</v>
      </c>
      <c r="D27" s="45">
        <f>D25/(Interventions!$G$6+Interventions!$G$7)</f>
        <v>41.322481856619696</v>
      </c>
      <c r="E27" s="45">
        <f>E25/(Interventions!$G$6+Interventions!$G$7)</f>
        <v>37.565892596927</v>
      </c>
      <c r="F27" s="45">
        <f>F25/(Interventions!$G$6+Interventions!$G$7)</f>
        <v>34.150811451751814</v>
      </c>
      <c r="G27" s="45">
        <f>G25/(Interventions!$G$6+Interventions!$G$7)</f>
        <v>31.046192228865287</v>
      </c>
      <c r="H27" s="45">
        <f>H25/(Interventions!$G$6+Interventions!$G$7)</f>
        <v>28.223811117150255</v>
      </c>
      <c r="I27" s="45">
        <f>I25/(Interventions!$G$6+Interventions!$G$7)</f>
        <v>0</v>
      </c>
      <c r="J27" s="45">
        <f>J25/(Interventions!$G$6+Interventions!$G$7)</f>
        <v>0</v>
      </c>
      <c r="K27" s="45">
        <f>K25/(Interventions!$G$6+Interventions!$G$7)</f>
        <v>0</v>
      </c>
      <c r="L27" s="45">
        <f>L25/(Interventions!$G$6+Interventions!$G$7)</f>
        <v>0</v>
      </c>
      <c r="M27" s="45">
        <f>M25/(Interventions!$G$6+Interventions!$G$7)</f>
        <v>0</v>
      </c>
      <c r="N27" s="45">
        <f>N25/(Interventions!$G$6+Interventions!$G$7)</f>
        <v>0</v>
      </c>
      <c r="O27" s="45">
        <f>O25/(Interventions!$G$6+Interventions!$G$7)</f>
        <v>0</v>
      </c>
      <c r="P27" s="45">
        <f>P25/(Interventions!$G$6+Interventions!$G$7)</f>
        <v>0</v>
      </c>
      <c r="Q27" s="45">
        <f>Q25/(Interventions!$G$6+Interventions!$G$7)</f>
        <v>0</v>
      </c>
      <c r="R27" s="45">
        <f>R25/(Interventions!$G$6+Interventions!$G$7)</f>
        <v>0</v>
      </c>
      <c r="S27" s="45">
        <f>S25/(Interventions!$G$6+Interventions!$G$7)</f>
        <v>0</v>
      </c>
      <c r="T27" s="45">
        <f>T25/(Interventions!$G$6+Interventions!$G$7)</f>
        <v>0</v>
      </c>
      <c r="U27" s="45">
        <f>U25/(Interventions!$G$6+Interventions!$G$7)</f>
        <v>0</v>
      </c>
      <c r="V27" s="45">
        <f>V25/(Interventions!$G$6+Interventions!$G$7)</f>
        <v>0</v>
      </c>
      <c r="W27" s="45">
        <f>W25/(Interventions!$G$6+Interventions!$G$7)</f>
        <v>0</v>
      </c>
      <c r="X27" s="45">
        <f>X25/(Interventions!$G$6+Interventions!$G$7)</f>
        <v>0</v>
      </c>
      <c r="Y27" s="45">
        <f>Y25/(Interventions!$G$6+Interventions!$G$7)</f>
        <v>0</v>
      </c>
      <c r="Z27" s="45">
        <f>Z25/(Interventions!$G$6+Interventions!$G$7)</f>
        <v>0</v>
      </c>
      <c r="AA27" s="45">
        <f>AA25/(Interventions!$G$6+Interventions!$G$7)</f>
        <v>0</v>
      </c>
      <c r="AB27" s="45">
        <f>AB25/(Interventions!$G$6+Interventions!$G$7)</f>
        <v>0</v>
      </c>
      <c r="AC27" s="45">
        <f>AC25/(Interventions!$G$6+Interventions!$G$7)</f>
        <v>0</v>
      </c>
      <c r="AD27" s="45">
        <f>AD25/(Interventions!$G$6+Interventions!$G$7)</f>
        <v>0</v>
      </c>
      <c r="AE27" s="45">
        <f>AE25/(Interventions!$G$6+Interventions!$G$7)</f>
        <v>0</v>
      </c>
      <c r="AF27" s="45">
        <f>AF25/(Interventions!$G$6+Interventions!$G$7)</f>
        <v>0</v>
      </c>
      <c r="AG27" s="45">
        <f>AG25/(Interventions!$G$6+Interventions!$G$7)</f>
        <v>0</v>
      </c>
      <c r="AH27" s="45">
        <f>AH25/(Interventions!$G$6+Interventions!$G$7)</f>
        <v>0</v>
      </c>
    </row>
    <row r="28" spans="1:34" x14ac:dyDescent="0.25">
      <c r="A28" s="43" t="s">
        <v>148</v>
      </c>
      <c r="B28" s="10" t="s">
        <v>135</v>
      </c>
      <c r="C28" s="42">
        <f>C27</f>
        <v>45.454730042281668</v>
      </c>
      <c r="D28" s="42">
        <f>C28+D27</f>
        <v>86.777211898901356</v>
      </c>
      <c r="E28" s="42">
        <f t="shared" ref="E28:AB28" si="5">D28+E27</f>
        <v>124.34310449582836</v>
      </c>
      <c r="F28" s="42">
        <f t="shared" si="5"/>
        <v>158.49391594758018</v>
      </c>
      <c r="G28" s="42">
        <f t="shared" si="5"/>
        <v>189.54010817644547</v>
      </c>
      <c r="H28" s="42">
        <f t="shared" si="5"/>
        <v>217.76391929359573</v>
      </c>
      <c r="I28" s="42">
        <f t="shared" si="5"/>
        <v>217.76391929359573</v>
      </c>
      <c r="J28" s="42">
        <f t="shared" si="5"/>
        <v>217.76391929359573</v>
      </c>
      <c r="K28" s="42">
        <f t="shared" si="5"/>
        <v>217.76391929359573</v>
      </c>
      <c r="L28" s="42">
        <f t="shared" si="5"/>
        <v>217.76391929359573</v>
      </c>
      <c r="M28" s="42">
        <f t="shared" si="5"/>
        <v>217.76391929359573</v>
      </c>
      <c r="N28" s="42">
        <f t="shared" si="5"/>
        <v>217.76391929359573</v>
      </c>
      <c r="O28" s="42">
        <f t="shared" si="5"/>
        <v>217.76391929359573</v>
      </c>
      <c r="P28" s="42">
        <f t="shared" si="5"/>
        <v>217.76391929359573</v>
      </c>
      <c r="Q28" s="42">
        <f t="shared" si="5"/>
        <v>217.76391929359573</v>
      </c>
      <c r="R28" s="42">
        <f t="shared" si="5"/>
        <v>217.76391929359573</v>
      </c>
      <c r="S28" s="42">
        <f t="shared" si="5"/>
        <v>217.76391929359573</v>
      </c>
      <c r="T28" s="42">
        <f t="shared" si="5"/>
        <v>217.76391929359573</v>
      </c>
      <c r="U28" s="42">
        <f t="shared" si="5"/>
        <v>217.76391929359573</v>
      </c>
      <c r="V28" s="42">
        <f t="shared" si="5"/>
        <v>217.76391929359573</v>
      </c>
      <c r="W28" s="42">
        <f t="shared" si="5"/>
        <v>217.76391929359573</v>
      </c>
      <c r="X28" s="42">
        <f t="shared" si="5"/>
        <v>217.76391929359573</v>
      </c>
      <c r="Y28" s="42">
        <f t="shared" si="5"/>
        <v>217.76391929359573</v>
      </c>
      <c r="Z28" s="42">
        <f t="shared" si="5"/>
        <v>217.76391929359573</v>
      </c>
      <c r="AA28" s="42">
        <f t="shared" si="5"/>
        <v>217.76391929359573</v>
      </c>
      <c r="AB28" s="42">
        <f t="shared" si="5"/>
        <v>217.76391929359573</v>
      </c>
      <c r="AC28" s="42">
        <f>AB28-C27</f>
        <v>172.30918925131408</v>
      </c>
      <c r="AD28" s="42">
        <f t="shared" ref="AD28:AH28" si="6">AC28-D27</f>
        <v>130.98670739469438</v>
      </c>
      <c r="AE28" s="42">
        <f t="shared" si="6"/>
        <v>93.420814797767378</v>
      </c>
      <c r="AF28" s="42">
        <f t="shared" si="6"/>
        <v>59.270003346015564</v>
      </c>
      <c r="AG28" s="42">
        <f t="shared" si="6"/>
        <v>28.223811117150277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173436.63158392152</v>
      </c>
      <c r="E30" s="116">
        <f t="shared" ref="E30:AH30" si="7">E31+E32</f>
        <v>332354.99991290813</v>
      </c>
      <c r="F30" s="116">
        <f t="shared" si="7"/>
        <v>478065.62236896303</v>
      </c>
      <c r="G30" s="116">
        <f t="shared" si="7"/>
        <v>611762.40952060977</v>
      </c>
      <c r="H30" s="116">
        <f t="shared" si="7"/>
        <v>734533.14054905972</v>
      </c>
      <c r="I30" s="116">
        <f t="shared" si="7"/>
        <v>847368.9960834079</v>
      </c>
      <c r="J30" s="116">
        <f t="shared" si="7"/>
        <v>850914.34352271189</v>
      </c>
      <c r="K30" s="116">
        <f t="shared" si="7"/>
        <v>854548.32464799844</v>
      </c>
      <c r="L30" s="116">
        <f t="shared" si="7"/>
        <v>858273.15530141711</v>
      </c>
      <c r="M30" s="116">
        <f t="shared" si="7"/>
        <v>862091.10672117118</v>
      </c>
      <c r="N30" s="116">
        <f t="shared" si="7"/>
        <v>866004.50692641921</v>
      </c>
      <c r="O30" s="116">
        <f t="shared" si="7"/>
        <v>870015.74213679845</v>
      </c>
      <c r="P30" s="116">
        <f t="shared" si="7"/>
        <v>874127.25822743715</v>
      </c>
      <c r="Q30" s="116">
        <f t="shared" si="7"/>
        <v>878341.56222034176</v>
      </c>
      <c r="R30" s="116">
        <f t="shared" si="7"/>
        <v>882661.22381306905</v>
      </c>
      <c r="S30" s="116">
        <f t="shared" si="7"/>
        <v>887088.87694561458</v>
      </c>
      <c r="T30" s="116">
        <f t="shared" si="7"/>
        <v>891627.22140647366</v>
      </c>
      <c r="U30" s="116">
        <f t="shared" si="7"/>
        <v>896279.02447885415</v>
      </c>
      <c r="V30" s="116">
        <f t="shared" si="7"/>
        <v>901047.12262804434</v>
      </c>
      <c r="W30" s="116">
        <f t="shared" si="7"/>
        <v>905934.42323096411</v>
      </c>
      <c r="X30" s="116">
        <f t="shared" si="7"/>
        <v>910943.90634895698</v>
      </c>
      <c r="Y30" s="116">
        <f t="shared" si="7"/>
        <v>916078.62654489954</v>
      </c>
      <c r="Z30" s="116">
        <f t="shared" si="7"/>
        <v>921341.71474574087</v>
      </c>
      <c r="AA30" s="116">
        <f t="shared" si="7"/>
        <v>926736.38015160314</v>
      </c>
      <c r="AB30" s="116">
        <f t="shared" si="7"/>
        <v>932265.91219261184</v>
      </c>
      <c r="AC30" s="116">
        <f t="shared" si="7"/>
        <v>705555.09851125022</v>
      </c>
      <c r="AD30" s="116">
        <f t="shared" si="7"/>
        <v>558281.7731742576</v>
      </c>
      <c r="AE30" s="116">
        <f t="shared" si="7"/>
        <v>424396.93195880979</v>
      </c>
      <c r="AF30" s="116">
        <f t="shared" si="7"/>
        <v>302683.43994476629</v>
      </c>
      <c r="AG30" s="116">
        <f t="shared" si="7"/>
        <v>192034.81084109042</v>
      </c>
      <c r="AH30" s="116">
        <f t="shared" si="7"/>
        <v>91445.148019566899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26163.306246928925</v>
      </c>
      <c r="E31" s="42">
        <f>D28*'Carbon avoided'!F12</f>
        <v>51196.833360467732</v>
      </c>
      <c r="F31" s="42">
        <f>E28*'Carbon avoided'!G12</f>
        <v>75193.963802479164</v>
      </c>
      <c r="G31" s="42">
        <f>F28*'Carbon avoided'!H12</f>
        <v>98242.121850450014</v>
      </c>
      <c r="H31" s="42">
        <f>G28*'Carbon avoided'!I12</f>
        <v>120423.19005737634</v>
      </c>
      <c r="I31" s="42">
        <f>H28*'Carbon avoided'!J12</f>
        <v>141813.89757215773</v>
      </c>
      <c r="J31" s="42">
        <f>I28*'Carbon avoided'!K12</f>
        <v>145359.24501146164</v>
      </c>
      <c r="K31" s="42">
        <f>J28*'Carbon avoided'!L12</f>
        <v>148993.22613674816</v>
      </c>
      <c r="L31" s="42">
        <f>K28*'Carbon avoided'!M12</f>
        <v>152718.05679016685</v>
      </c>
      <c r="M31" s="42">
        <f>L28*'Carbon avoided'!N12</f>
        <v>156536.00820992101</v>
      </c>
      <c r="N31" s="42">
        <f>M28*'Carbon avoided'!O12</f>
        <v>160449.40841516902</v>
      </c>
      <c r="O31" s="42">
        <f>N28*'Carbon avoided'!P12</f>
        <v>164460.64362554823</v>
      </c>
      <c r="P31" s="42">
        <f>O28*'Carbon avoided'!Q12</f>
        <v>168572.15971618693</v>
      </c>
      <c r="Q31" s="42">
        <f>P28*'Carbon avoided'!R12</f>
        <v>172786.46370909156</v>
      </c>
      <c r="R31" s="42">
        <f>Q28*'Carbon avoided'!S12</f>
        <v>177106.12530181883</v>
      </c>
      <c r="S31" s="42">
        <f>R28*'Carbon avoided'!T12</f>
        <v>181533.7784343643</v>
      </c>
      <c r="T31" s="42">
        <f>S28*'Carbon avoided'!U12</f>
        <v>186072.12289522341</v>
      </c>
      <c r="U31" s="42">
        <f>T28*'Carbon avoided'!V12</f>
        <v>190723.92596760398</v>
      </c>
      <c r="V31" s="42">
        <f>U28*'Carbon avoided'!W12</f>
        <v>195492.02411679405</v>
      </c>
      <c r="W31" s="42">
        <f>V28*'Carbon avoided'!X12</f>
        <v>200379.32471971388</v>
      </c>
      <c r="X31" s="42">
        <f>W28*'Carbon avoided'!Y12</f>
        <v>205388.80783770673</v>
      </c>
      <c r="Y31" s="42">
        <f>X28*'Carbon avoided'!Z12</f>
        <v>210523.52803364937</v>
      </c>
      <c r="Z31" s="42">
        <f>Y28*'Carbon avoided'!AA12</f>
        <v>215786.61623449062</v>
      </c>
      <c r="AA31" s="42">
        <f>Z28*'Carbon avoided'!AB12</f>
        <v>221181.28164035286</v>
      </c>
      <c r="AB31" s="42">
        <f>AA28*'Carbon avoided'!AC12</f>
        <v>226710.81368136164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C28*Interventions!$G$10</f>
        <v>147273.3253369926</v>
      </c>
      <c r="E32" s="42">
        <f>D28*Interventions!$G$10</f>
        <v>281158.16655244038</v>
      </c>
      <c r="F32" s="42">
        <f>E28*Interventions!$G$10</f>
        <v>402871.65856648388</v>
      </c>
      <c r="G32" s="42">
        <f>F28*Interventions!$G$10</f>
        <v>513520.28767015977</v>
      </c>
      <c r="H32" s="42">
        <f>G28*Interventions!$G$10</f>
        <v>614109.95049168332</v>
      </c>
      <c r="I32" s="42">
        <f>H28*Interventions!$G$10</f>
        <v>705555.09851125022</v>
      </c>
      <c r="J32" s="42">
        <f>I28*Interventions!$G$10</f>
        <v>705555.09851125022</v>
      </c>
      <c r="K32" s="42">
        <f>J28*Interventions!$G$10</f>
        <v>705555.09851125022</v>
      </c>
      <c r="L32" s="42">
        <f>K28*Interventions!$G$10</f>
        <v>705555.09851125022</v>
      </c>
      <c r="M32" s="42">
        <f>L28*Interventions!$G$10</f>
        <v>705555.09851125022</v>
      </c>
      <c r="N32" s="42">
        <f>M28*Interventions!$G$10</f>
        <v>705555.09851125022</v>
      </c>
      <c r="O32" s="42">
        <f>N28*Interventions!$G$10</f>
        <v>705555.09851125022</v>
      </c>
      <c r="P32" s="42">
        <f>O28*Interventions!$G$10</f>
        <v>705555.09851125022</v>
      </c>
      <c r="Q32" s="42">
        <f>P28*Interventions!$G$10</f>
        <v>705555.09851125022</v>
      </c>
      <c r="R32" s="42">
        <f>Q28*Interventions!$G$10</f>
        <v>705555.09851125022</v>
      </c>
      <c r="S32" s="42">
        <f>R28*Interventions!$G$10</f>
        <v>705555.09851125022</v>
      </c>
      <c r="T32" s="42">
        <f>S28*Interventions!$G$10</f>
        <v>705555.09851125022</v>
      </c>
      <c r="U32" s="42">
        <f>T28*Interventions!$G$10</f>
        <v>705555.09851125022</v>
      </c>
      <c r="V32" s="42">
        <f>U28*Interventions!$G$10</f>
        <v>705555.09851125022</v>
      </c>
      <c r="W32" s="42">
        <f>V28*Interventions!$G$10</f>
        <v>705555.09851125022</v>
      </c>
      <c r="X32" s="42">
        <f>W28*Interventions!$G$10</f>
        <v>705555.09851125022</v>
      </c>
      <c r="Y32" s="42">
        <f>X28*Interventions!$G$10</f>
        <v>705555.09851125022</v>
      </c>
      <c r="Z32" s="42">
        <f>Y28*Interventions!$G$10</f>
        <v>705555.09851125022</v>
      </c>
      <c r="AA32" s="42">
        <f>Z28*Interventions!$G$10</f>
        <v>705555.09851125022</v>
      </c>
      <c r="AB32" s="42">
        <f>AA28*Interventions!$G$10</f>
        <v>705555.09851125022</v>
      </c>
      <c r="AC32" s="42">
        <f>AB28*Interventions!$G$10</f>
        <v>705555.09851125022</v>
      </c>
      <c r="AD32" s="42">
        <f>AC28*Interventions!$G$10</f>
        <v>558281.7731742576</v>
      </c>
      <c r="AE32" s="42">
        <f>AD28*Interventions!$G$10</f>
        <v>424396.93195880979</v>
      </c>
      <c r="AF32" s="42">
        <f>AE28*Interventions!$G$10</f>
        <v>302683.43994476629</v>
      </c>
      <c r="AG32" s="42">
        <f>AF28*Interventions!$G$10</f>
        <v>192034.81084109042</v>
      </c>
      <c r="AH32" s="42">
        <f>AG28*Interventions!$G$10</f>
        <v>91445.148019566899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D37-D38</f>
        <v>219795.66348031317</v>
      </c>
      <c r="E34" s="116">
        <f t="shared" ref="E34:AH34" si="9">E37-E38</f>
        <v>419609.90300787054</v>
      </c>
      <c r="F34" s="116">
        <f t="shared" si="9"/>
        <v>601259.21166928648</v>
      </c>
      <c r="G34" s="116">
        <f t="shared" si="9"/>
        <v>766394.9468160281</v>
      </c>
      <c r="H34" s="116">
        <f t="shared" si="9"/>
        <v>916518.34240397508</v>
      </c>
      <c r="I34" s="116">
        <f t="shared" si="9"/>
        <v>1052994.156574836</v>
      </c>
      <c r="J34" s="116">
        <f t="shared" si="9"/>
        <v>1052994.156574836</v>
      </c>
      <c r="K34" s="116">
        <f t="shared" si="9"/>
        <v>1052994.156574836</v>
      </c>
      <c r="L34" s="116">
        <f t="shared" si="9"/>
        <v>1052994.156574836</v>
      </c>
      <c r="M34" s="116">
        <f t="shared" si="9"/>
        <v>1052994.156574836</v>
      </c>
      <c r="N34" s="116">
        <f t="shared" si="9"/>
        <v>1052994.156574836</v>
      </c>
      <c r="O34" s="116">
        <f t="shared" si="9"/>
        <v>1052994.156574836</v>
      </c>
      <c r="P34" s="116">
        <f t="shared" si="9"/>
        <v>1052994.156574836</v>
      </c>
      <c r="Q34" s="116">
        <f t="shared" si="9"/>
        <v>1052994.156574836</v>
      </c>
      <c r="R34" s="116">
        <f t="shared" si="9"/>
        <v>1052994.156574836</v>
      </c>
      <c r="S34" s="116">
        <f t="shared" si="9"/>
        <v>1052994.156574836</v>
      </c>
      <c r="T34" s="116">
        <f t="shared" si="9"/>
        <v>1052994.156574836</v>
      </c>
      <c r="U34" s="116">
        <f t="shared" si="9"/>
        <v>1052994.156574836</v>
      </c>
      <c r="V34" s="116">
        <f t="shared" si="9"/>
        <v>1052994.156574836</v>
      </c>
      <c r="W34" s="116">
        <f t="shared" si="9"/>
        <v>1052994.156574836</v>
      </c>
      <c r="X34" s="116">
        <f t="shared" si="9"/>
        <v>1052994.156574836</v>
      </c>
      <c r="Y34" s="116">
        <f t="shared" si="9"/>
        <v>1052994.156574836</v>
      </c>
      <c r="Z34" s="116">
        <f t="shared" si="9"/>
        <v>1052994.156574836</v>
      </c>
      <c r="AA34" s="116">
        <f t="shared" si="9"/>
        <v>1052994.156574836</v>
      </c>
      <c r="AB34" s="116">
        <f t="shared" si="9"/>
        <v>1052994.156574836</v>
      </c>
      <c r="AC34" s="116">
        <f t="shared" si="9"/>
        <v>1052994.156574836</v>
      </c>
      <c r="AD34" s="116">
        <f t="shared" si="9"/>
        <v>833198.49309452274</v>
      </c>
      <c r="AE34" s="116">
        <f t="shared" si="9"/>
        <v>633384.25356696546</v>
      </c>
      <c r="AF34" s="116">
        <f t="shared" si="9"/>
        <v>451734.94490554958</v>
      </c>
      <c r="AG34" s="116">
        <f t="shared" si="9"/>
        <v>286599.20975880791</v>
      </c>
      <c r="AH34" s="116">
        <f t="shared" si="9"/>
        <v>136475.81417086098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C28*Interventions!$G$13</f>
        <v>424728.99751507991</v>
      </c>
      <c r="E37" s="42">
        <f>D28*Interventions!$G$13</f>
        <v>810846.26798333426</v>
      </c>
      <c r="F37" s="42">
        <f>E28*Interventions!$G$13</f>
        <v>1161861.9684090202</v>
      </c>
      <c r="G37" s="42">
        <f>F28*Interventions!$G$13</f>
        <v>1480967.1506141892</v>
      </c>
      <c r="H37" s="42">
        <f>G28*Interventions!$G$13</f>
        <v>1771062.7708007065</v>
      </c>
      <c r="I37" s="42">
        <f>H28*Interventions!$G$13</f>
        <v>2034786.0618793585</v>
      </c>
      <c r="J37" s="42">
        <f>I28*Interventions!$G$13</f>
        <v>2034786.0618793585</v>
      </c>
      <c r="K37" s="42">
        <f>J28*Interventions!$G$13</f>
        <v>2034786.0618793585</v>
      </c>
      <c r="L37" s="42">
        <f>K28*Interventions!$G$13</f>
        <v>2034786.0618793585</v>
      </c>
      <c r="M37" s="42">
        <f>L28*Interventions!$G$13</f>
        <v>2034786.0618793585</v>
      </c>
      <c r="N37" s="42">
        <f>M28*Interventions!$G$13</f>
        <v>2034786.0618793585</v>
      </c>
      <c r="O37" s="42">
        <f>N28*Interventions!$G$13</f>
        <v>2034786.0618793585</v>
      </c>
      <c r="P37" s="42">
        <f>O28*Interventions!$G$13</f>
        <v>2034786.0618793585</v>
      </c>
      <c r="Q37" s="42">
        <f>P28*Interventions!$G$13</f>
        <v>2034786.0618793585</v>
      </c>
      <c r="R37" s="42">
        <f>Q28*Interventions!$G$13</f>
        <v>2034786.0618793585</v>
      </c>
      <c r="S37" s="42">
        <f>R28*Interventions!$G$13</f>
        <v>2034786.0618793585</v>
      </c>
      <c r="T37" s="42">
        <f>S28*Interventions!$G$13</f>
        <v>2034786.0618793585</v>
      </c>
      <c r="U37" s="42">
        <f>T28*Interventions!$G$13</f>
        <v>2034786.0618793585</v>
      </c>
      <c r="V37" s="42">
        <f>U28*Interventions!$G$13</f>
        <v>2034786.0618793585</v>
      </c>
      <c r="W37" s="42">
        <f>V28*Interventions!$G$13</f>
        <v>2034786.0618793585</v>
      </c>
      <c r="X37" s="42">
        <f>W28*Interventions!$G$13</f>
        <v>2034786.0618793585</v>
      </c>
      <c r="Y37" s="42">
        <f>X28*Interventions!$G$13</f>
        <v>2034786.0618793585</v>
      </c>
      <c r="Z37" s="42">
        <f>Y28*Interventions!$G$13</f>
        <v>2034786.0618793585</v>
      </c>
      <c r="AA37" s="42">
        <f>Z28*Interventions!$G$13</f>
        <v>2034786.0618793585</v>
      </c>
      <c r="AB37" s="42">
        <f>AA28*Interventions!$G$13</f>
        <v>2034786.0618793585</v>
      </c>
      <c r="AC37" s="42">
        <f>AB28*Interventions!$G$13</f>
        <v>2034786.0618793585</v>
      </c>
      <c r="AD37" s="42">
        <f>AC28*Interventions!$G$13</f>
        <v>1610057.0643642787</v>
      </c>
      <c r="AE37" s="42">
        <f>AD28*Interventions!$G$13</f>
        <v>1223939.7938960243</v>
      </c>
      <c r="AF37" s="42">
        <f>AE28*Interventions!$G$13</f>
        <v>872924.09347033838</v>
      </c>
      <c r="AG37" s="42">
        <f>AF28*Interventions!$G$13</f>
        <v>553818.91126516939</v>
      </c>
      <c r="AH37" s="42">
        <f>AG28*Interventions!$G$13</f>
        <v>263723.2910786522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C28*Interventions!$G$14</f>
        <v>204933.33403476674</v>
      </c>
      <c r="E38" s="42">
        <f>D28*Interventions!$G$14</f>
        <v>391236.36497546372</v>
      </c>
      <c r="F38" s="42">
        <f>E28*Interventions!$G$14</f>
        <v>560602.75673973374</v>
      </c>
      <c r="G38" s="42">
        <f>F28*Interventions!$G$14</f>
        <v>714572.20379816112</v>
      </c>
      <c r="H38" s="42">
        <f>G28*Interventions!$G$14</f>
        <v>854544.42839673138</v>
      </c>
      <c r="I38" s="42">
        <f>H28*Interventions!$G$14</f>
        <v>981791.9053045226</v>
      </c>
      <c r="J38" s="42">
        <f>I28*Interventions!$G$14</f>
        <v>981791.9053045226</v>
      </c>
      <c r="K38" s="42">
        <f>J28*Interventions!$G$14</f>
        <v>981791.9053045226</v>
      </c>
      <c r="L38" s="42">
        <f>K28*Interventions!$G$14</f>
        <v>981791.9053045226</v>
      </c>
      <c r="M38" s="42">
        <f>L28*Interventions!$G$14</f>
        <v>981791.9053045226</v>
      </c>
      <c r="N38" s="42">
        <f>M28*Interventions!$G$14</f>
        <v>981791.9053045226</v>
      </c>
      <c r="O38" s="42">
        <f>N28*Interventions!$G$14</f>
        <v>981791.9053045226</v>
      </c>
      <c r="P38" s="42">
        <f>O28*Interventions!$G$14</f>
        <v>981791.9053045226</v>
      </c>
      <c r="Q38" s="42">
        <f>P28*Interventions!$G$14</f>
        <v>981791.9053045226</v>
      </c>
      <c r="R38" s="42">
        <f>Q28*Interventions!$G$14</f>
        <v>981791.9053045226</v>
      </c>
      <c r="S38" s="42">
        <f>R28*Interventions!$G$14</f>
        <v>981791.9053045226</v>
      </c>
      <c r="T38" s="42">
        <f>S28*Interventions!$G$14</f>
        <v>981791.9053045226</v>
      </c>
      <c r="U38" s="42">
        <f>T28*Interventions!$G$14</f>
        <v>981791.9053045226</v>
      </c>
      <c r="V38" s="42">
        <f>U28*Interventions!$G$14</f>
        <v>981791.9053045226</v>
      </c>
      <c r="W38" s="42">
        <f>V28*Interventions!$G$14</f>
        <v>981791.9053045226</v>
      </c>
      <c r="X38" s="42">
        <f>W28*Interventions!$G$14</f>
        <v>981791.9053045226</v>
      </c>
      <c r="Y38" s="42">
        <f>X28*Interventions!$G$14</f>
        <v>981791.9053045226</v>
      </c>
      <c r="Z38" s="42">
        <f>Y28*Interventions!$G$14</f>
        <v>981791.9053045226</v>
      </c>
      <c r="AA38" s="42">
        <f>Z28*Interventions!$G$14</f>
        <v>981791.9053045226</v>
      </c>
      <c r="AB38" s="42">
        <f>AA28*Interventions!$G$14</f>
        <v>981791.9053045226</v>
      </c>
      <c r="AC38" s="42">
        <f>AB28*Interventions!$G$14</f>
        <v>981791.9053045226</v>
      </c>
      <c r="AD38" s="42">
        <f>AC28*Interventions!$G$14</f>
        <v>776858.57126975595</v>
      </c>
      <c r="AE38" s="42">
        <f>AD28*Interventions!$G$14</f>
        <v>590555.54032905889</v>
      </c>
      <c r="AF38" s="42">
        <f>AE28*Interventions!$G$14</f>
        <v>421189.1485647888</v>
      </c>
      <c r="AG38" s="42">
        <f>AF28*Interventions!$G$14</f>
        <v>267219.70150636148</v>
      </c>
      <c r="AH38" s="42">
        <f>AG28*Interventions!$G$14</f>
        <v>127247.47690779124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393232.2950642347</v>
      </c>
      <c r="E40" s="116">
        <f t="shared" si="10"/>
        <v>751964.90292077861</v>
      </c>
      <c r="F40" s="116">
        <f t="shared" si="10"/>
        <v>1079324.8340382494</v>
      </c>
      <c r="G40" s="116">
        <f t="shared" si="10"/>
        <v>1378157.3563366379</v>
      </c>
      <c r="H40" s="116">
        <f t="shared" si="10"/>
        <v>1651051.4829530348</v>
      </c>
      <c r="I40" s="116">
        <f t="shared" si="10"/>
        <v>1900363.1526582439</v>
      </c>
      <c r="J40" s="116">
        <f t="shared" si="10"/>
        <v>1903908.5000975479</v>
      </c>
      <c r="K40" s="116">
        <f t="shared" si="10"/>
        <v>1907542.4812228344</v>
      </c>
      <c r="L40" s="116">
        <f t="shared" si="10"/>
        <v>1911267.3118762532</v>
      </c>
      <c r="M40" s="116">
        <f t="shared" si="10"/>
        <v>1915085.2632960072</v>
      </c>
      <c r="N40" s="116">
        <f t="shared" si="10"/>
        <v>1918998.6635012552</v>
      </c>
      <c r="O40" s="116">
        <f t="shared" si="10"/>
        <v>1923009.8987116343</v>
      </c>
      <c r="P40" s="116">
        <f t="shared" si="10"/>
        <v>1927121.4148022733</v>
      </c>
      <c r="Q40" s="116">
        <f t="shared" si="10"/>
        <v>1931335.7187951778</v>
      </c>
      <c r="R40" s="116">
        <f t="shared" si="10"/>
        <v>1935655.3803879051</v>
      </c>
      <c r="S40" s="116">
        <f t="shared" si="10"/>
        <v>1940083.0335204506</v>
      </c>
      <c r="T40" s="116">
        <f t="shared" si="10"/>
        <v>1944621.3779813098</v>
      </c>
      <c r="U40" s="116">
        <f t="shared" si="10"/>
        <v>1949273.1810536901</v>
      </c>
      <c r="V40" s="116">
        <f t="shared" si="10"/>
        <v>1954041.2792028803</v>
      </c>
      <c r="W40" s="116">
        <f t="shared" si="10"/>
        <v>1958928.5798058002</v>
      </c>
      <c r="X40" s="116">
        <f t="shared" si="10"/>
        <v>1963938.062923793</v>
      </c>
      <c r="Y40" s="116">
        <f t="shared" si="10"/>
        <v>1969072.7831197355</v>
      </c>
      <c r="Z40" s="116">
        <f t="shared" si="10"/>
        <v>1974335.8713205769</v>
      </c>
      <c r="AA40" s="116">
        <f t="shared" si="10"/>
        <v>1979730.5367264391</v>
      </c>
      <c r="AB40" s="116">
        <f t="shared" si="10"/>
        <v>1985260.068767448</v>
      </c>
      <c r="AC40" s="116">
        <f t="shared" si="10"/>
        <v>1758549.2550860862</v>
      </c>
      <c r="AD40" s="116">
        <f t="shared" si="10"/>
        <v>1391480.2662687805</v>
      </c>
      <c r="AE40" s="116">
        <f t="shared" si="10"/>
        <v>1057781.1855257752</v>
      </c>
      <c r="AF40" s="116">
        <f t="shared" si="10"/>
        <v>754418.38485031587</v>
      </c>
      <c r="AG40" s="116">
        <f t="shared" si="10"/>
        <v>478634.0205998983</v>
      </c>
      <c r="AH40" s="116">
        <f t="shared" si="10"/>
        <v>227920.96219042788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-1368055.5555555555</v>
      </c>
      <c r="D42" s="31">
        <f t="shared" si="11"/>
        <v>-974823.26049132086</v>
      </c>
      <c r="E42" s="31">
        <f t="shared" si="11"/>
        <v>-616090.6526347769</v>
      </c>
      <c r="F42" s="31">
        <f t="shared" si="11"/>
        <v>-288730.72151730605</v>
      </c>
      <c r="G42" s="31">
        <f t="shared" si="11"/>
        <v>10101.800781082362</v>
      </c>
      <c r="H42" s="31">
        <f t="shared" si="11"/>
        <v>282995.9273974793</v>
      </c>
      <c r="I42" s="31">
        <f t="shared" si="11"/>
        <v>1304539.2930790365</v>
      </c>
      <c r="J42" s="31">
        <f t="shared" si="11"/>
        <v>1308084.6405183405</v>
      </c>
      <c r="K42" s="31">
        <f t="shared" si="11"/>
        <v>1311718.6216436271</v>
      </c>
      <c r="L42" s="31">
        <f t="shared" si="11"/>
        <v>1315443.4522970458</v>
      </c>
      <c r="M42" s="31">
        <f t="shared" si="11"/>
        <v>1319261.4037167998</v>
      </c>
      <c r="N42" s="31">
        <f t="shared" si="11"/>
        <v>1323174.8039220478</v>
      </c>
      <c r="O42" s="31">
        <f t="shared" si="11"/>
        <v>1327186.039132427</v>
      </c>
      <c r="P42" s="31">
        <f t="shared" si="11"/>
        <v>1331297.5552230659</v>
      </c>
      <c r="Q42" s="31">
        <f t="shared" si="11"/>
        <v>1335511.8592159704</v>
      </c>
      <c r="R42" s="31">
        <f t="shared" si="11"/>
        <v>1339831.5208086977</v>
      </c>
      <c r="S42" s="31">
        <f t="shared" si="11"/>
        <v>1344259.1739412432</v>
      </c>
      <c r="T42" s="31">
        <f t="shared" si="11"/>
        <v>1348797.5184021024</v>
      </c>
      <c r="U42" s="31">
        <f t="shared" si="11"/>
        <v>1353449.3214744828</v>
      </c>
      <c r="V42" s="31">
        <f t="shared" si="11"/>
        <v>1358217.419623673</v>
      </c>
      <c r="W42" s="31">
        <f t="shared" si="11"/>
        <v>1363104.7202265928</v>
      </c>
      <c r="X42" s="31">
        <f t="shared" si="11"/>
        <v>1368114.2033445856</v>
      </c>
      <c r="Y42" s="31">
        <f t="shared" si="11"/>
        <v>1373248.9235405282</v>
      </c>
      <c r="Z42" s="31">
        <f t="shared" si="11"/>
        <v>1378512.0117413695</v>
      </c>
      <c r="AA42" s="31">
        <f t="shared" si="11"/>
        <v>1383906.6771472318</v>
      </c>
      <c r="AB42" s="31">
        <f t="shared" si="11"/>
        <v>1389436.2091882406</v>
      </c>
      <c r="AC42" s="31">
        <f t="shared" si="11"/>
        <v>1162725.3955068788</v>
      </c>
      <c r="AD42" s="31">
        <f t="shared" si="11"/>
        <v>920025.09355826001</v>
      </c>
      <c r="AE42" s="31">
        <f t="shared" si="11"/>
        <v>699388.45542315184</v>
      </c>
      <c r="AF42" s="31">
        <f t="shared" si="11"/>
        <v>498809.6934821445</v>
      </c>
      <c r="AG42" s="31">
        <f t="shared" si="11"/>
        <v>316465.36444486509</v>
      </c>
      <c r="AH42" s="31">
        <f t="shared" si="11"/>
        <v>150697.792592793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-1368055.5555555555</v>
      </c>
      <c r="D43" s="31">
        <f t="shared" si="12"/>
        <v>-1148259.8920752422</v>
      </c>
      <c r="E43" s="31">
        <f t="shared" si="12"/>
        <v>-948445.65254768496</v>
      </c>
      <c r="F43" s="31">
        <f t="shared" si="12"/>
        <v>-766796.34388626902</v>
      </c>
      <c r="G43" s="31">
        <f t="shared" si="12"/>
        <v>-601660.60873952741</v>
      </c>
      <c r="H43" s="31">
        <f t="shared" si="12"/>
        <v>-451537.21315158042</v>
      </c>
      <c r="I43" s="31">
        <f t="shared" si="12"/>
        <v>457170.29699562863</v>
      </c>
      <c r="J43" s="31">
        <f t="shared" si="12"/>
        <v>457170.29699562863</v>
      </c>
      <c r="K43" s="31">
        <f t="shared" si="12"/>
        <v>457170.29699562863</v>
      </c>
      <c r="L43" s="31">
        <f t="shared" si="12"/>
        <v>457170.29699562863</v>
      </c>
      <c r="M43" s="31">
        <f t="shared" si="12"/>
        <v>457170.29699562863</v>
      </c>
      <c r="N43" s="31">
        <f t="shared" si="12"/>
        <v>457170.29699562863</v>
      </c>
      <c r="O43" s="31">
        <f t="shared" si="12"/>
        <v>457170.29699562863</v>
      </c>
      <c r="P43" s="31">
        <f t="shared" si="12"/>
        <v>457170.29699562863</v>
      </c>
      <c r="Q43" s="31">
        <f t="shared" si="12"/>
        <v>457170.29699562863</v>
      </c>
      <c r="R43" s="31">
        <f t="shared" si="12"/>
        <v>457170.29699562863</v>
      </c>
      <c r="S43" s="31">
        <f t="shared" si="12"/>
        <v>457170.29699562863</v>
      </c>
      <c r="T43" s="31">
        <f t="shared" si="12"/>
        <v>457170.29699562863</v>
      </c>
      <c r="U43" s="31">
        <f t="shared" si="12"/>
        <v>457170.29699562863</v>
      </c>
      <c r="V43" s="31">
        <f t="shared" si="12"/>
        <v>457170.29699562863</v>
      </c>
      <c r="W43" s="31">
        <f t="shared" si="12"/>
        <v>457170.29699562863</v>
      </c>
      <c r="X43" s="31">
        <f t="shared" si="12"/>
        <v>457170.29699562863</v>
      </c>
      <c r="Y43" s="31">
        <f t="shared" si="12"/>
        <v>457170.29699562863</v>
      </c>
      <c r="Z43" s="31">
        <f t="shared" si="12"/>
        <v>457170.29699562863</v>
      </c>
      <c r="AA43" s="31">
        <f t="shared" si="12"/>
        <v>457170.29699562863</v>
      </c>
      <c r="AB43" s="31">
        <f t="shared" si="12"/>
        <v>457170.29699562863</v>
      </c>
      <c r="AC43" s="31">
        <f t="shared" si="12"/>
        <v>457170.29699562863</v>
      </c>
      <c r="AD43" s="31">
        <f t="shared" si="12"/>
        <v>361743.32038400223</v>
      </c>
      <c r="AE43" s="31">
        <f t="shared" si="12"/>
        <v>274991.52346434211</v>
      </c>
      <c r="AF43" s="31">
        <f t="shared" si="12"/>
        <v>196126.25353737822</v>
      </c>
      <c r="AG43" s="31">
        <f t="shared" si="12"/>
        <v>124430.55360377469</v>
      </c>
      <c r="AH43" s="31">
        <f t="shared" si="12"/>
        <v>59252.644573226091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1368055.5555555555</v>
      </c>
      <c r="D45" s="31">
        <f t="shared" si="13"/>
        <v>1197048.611111111</v>
      </c>
      <c r="E45" s="31">
        <f t="shared" si="13"/>
        <v>1047417.5347222221</v>
      </c>
      <c r="F45" s="31">
        <f t="shared" si="13"/>
        <v>916490.34288194438</v>
      </c>
      <c r="G45" s="31">
        <f t="shared" si="13"/>
        <v>801929.05002170138</v>
      </c>
      <c r="H45" s="31">
        <f t="shared" si="13"/>
        <v>701687.91876898869</v>
      </c>
      <c r="I45" s="31">
        <f t="shared" si="13"/>
        <v>267402.95889142674</v>
      </c>
      <c r="J45" s="31">
        <f t="shared" si="13"/>
        <v>233977.5890299984</v>
      </c>
      <c r="K45" s="31">
        <f t="shared" si="13"/>
        <v>204730.39040124859</v>
      </c>
      <c r="L45" s="31">
        <f t="shared" si="13"/>
        <v>179139.09160109251</v>
      </c>
      <c r="M45" s="31">
        <f t="shared" si="13"/>
        <v>156746.70515095594</v>
      </c>
      <c r="N45" s="31">
        <f t="shared" si="13"/>
        <v>137153.36700708646</v>
      </c>
      <c r="O45" s="31">
        <f t="shared" si="13"/>
        <v>120009.19613120065</v>
      </c>
      <c r="P45" s="31">
        <f t="shared" si="13"/>
        <v>105008.04661480057</v>
      </c>
      <c r="Q45" s="31">
        <f t="shared" si="13"/>
        <v>91882.040787950493</v>
      </c>
      <c r="R45" s="31">
        <f t="shared" si="13"/>
        <v>80396.785689456679</v>
      </c>
      <c r="S45" s="31">
        <f t="shared" si="13"/>
        <v>70347.187478274602</v>
      </c>
      <c r="T45" s="31">
        <f t="shared" si="13"/>
        <v>61553.789043490273</v>
      </c>
      <c r="U45" s="31">
        <f t="shared" si="13"/>
        <v>53859.565413053992</v>
      </c>
      <c r="V45" s="31">
        <f t="shared" si="13"/>
        <v>47127.119736422246</v>
      </c>
      <c r="W45" s="31">
        <f t="shared" si="13"/>
        <v>41236.229769369464</v>
      </c>
      <c r="X45" s="31">
        <f t="shared" si="13"/>
        <v>36081.70104819828</v>
      </c>
      <c r="Y45" s="31">
        <f t="shared" si="13"/>
        <v>31571.488417173496</v>
      </c>
      <c r="Z45" s="31">
        <f t="shared" si="13"/>
        <v>27625.052365026804</v>
      </c>
      <c r="AA45" s="31">
        <f t="shared" si="13"/>
        <v>24171.920819398456</v>
      </c>
      <c r="AB45" s="31">
        <f t="shared" si="13"/>
        <v>21150.430716973649</v>
      </c>
      <c r="AC45" s="31">
        <f t="shared" si="13"/>
        <v>18506.626877351944</v>
      </c>
      <c r="AD45" s="31">
        <f t="shared" si="13"/>
        <v>12813.206833977636</v>
      </c>
      <c r="AE45" s="31">
        <f t="shared" si="13"/>
        <v>8522.8466858739303</v>
      </c>
      <c r="AF45" s="31">
        <f t="shared" si="13"/>
        <v>5318.7448209356544</v>
      </c>
      <c r="AG45" s="31">
        <f t="shared" si="13"/>
        <v>2952.626467815488</v>
      </c>
      <c r="AH45" s="31">
        <f t="shared" si="13"/>
        <v>1230.2610282564538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192321.20554527402</v>
      </c>
      <c r="E46" s="31">
        <f t="shared" si="14"/>
        <v>321263.83199040091</v>
      </c>
      <c r="F46" s="31">
        <f t="shared" si="14"/>
        <v>402796.69844251027</v>
      </c>
      <c r="G46" s="31">
        <f t="shared" si="14"/>
        <v>449246.64729132899</v>
      </c>
      <c r="H46" s="31">
        <f t="shared" si="14"/>
        <v>470090.44741160917</v>
      </c>
      <c r="I46" s="31">
        <f t="shared" si="14"/>
        <v>472578.84798764373</v>
      </c>
      <c r="J46" s="31">
        <f t="shared" si="14"/>
        <v>413506.49198918825</v>
      </c>
      <c r="K46" s="31">
        <f t="shared" si="14"/>
        <v>361818.18049053976</v>
      </c>
      <c r="L46" s="31">
        <f t="shared" si="14"/>
        <v>316590.90792922227</v>
      </c>
      <c r="M46" s="31">
        <f t="shared" si="14"/>
        <v>277017.04443806951</v>
      </c>
      <c r="N46" s="31">
        <f t="shared" si="14"/>
        <v>242389.9138833108</v>
      </c>
      <c r="O46" s="31">
        <f t="shared" si="14"/>
        <v>212091.17464789696</v>
      </c>
      <c r="P46" s="31">
        <f t="shared" si="14"/>
        <v>185579.77781690983</v>
      </c>
      <c r="Q46" s="31">
        <f t="shared" si="14"/>
        <v>162382.3055897961</v>
      </c>
      <c r="R46" s="31">
        <f t="shared" si="14"/>
        <v>142084.5173910716</v>
      </c>
      <c r="S46" s="31">
        <f t="shared" si="14"/>
        <v>124323.95271718764</v>
      </c>
      <c r="T46" s="31">
        <f t="shared" si="14"/>
        <v>108783.45862753919</v>
      </c>
      <c r="U46" s="31">
        <f t="shared" si="14"/>
        <v>95185.526299096789</v>
      </c>
      <c r="V46" s="31">
        <f t="shared" si="14"/>
        <v>83287.335511709694</v>
      </c>
      <c r="W46" s="31">
        <f t="shared" si="14"/>
        <v>72876.418572745984</v>
      </c>
      <c r="X46" s="31">
        <f t="shared" si="14"/>
        <v>63766.866251152736</v>
      </c>
      <c r="Y46" s="31">
        <f t="shared" si="14"/>
        <v>55796.007969758641</v>
      </c>
      <c r="Z46" s="31">
        <f t="shared" si="14"/>
        <v>48821.50697353881</v>
      </c>
      <c r="AA46" s="31">
        <f t="shared" si="14"/>
        <v>42718.818601846455</v>
      </c>
      <c r="AB46" s="31">
        <f t="shared" si="14"/>
        <v>37378.966276615654</v>
      </c>
      <c r="AC46" s="31">
        <f t="shared" si="14"/>
        <v>32706.595492038694</v>
      </c>
      <c r="AD46" s="31">
        <f t="shared" si="14"/>
        <v>22644.665375924877</v>
      </c>
      <c r="AE46" s="31">
        <f t="shared" si="14"/>
        <v>15062.35041333622</v>
      </c>
      <c r="AF46" s="31">
        <f t="shared" si="14"/>
        <v>9399.769960057105</v>
      </c>
      <c r="AG46" s="31">
        <f t="shared" si="14"/>
        <v>5218.1502421767163</v>
      </c>
      <c r="AH46" s="31">
        <f t="shared" si="14"/>
        <v>2174.229267573633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173436.63158392152</v>
      </c>
      <c r="E47" s="31">
        <f t="shared" si="15"/>
        <v>332354.99991290813</v>
      </c>
      <c r="F47" s="31">
        <f t="shared" si="15"/>
        <v>478065.62236896303</v>
      </c>
      <c r="G47" s="31">
        <f t="shared" si="15"/>
        <v>611762.40952060977</v>
      </c>
      <c r="H47" s="31">
        <f t="shared" si="15"/>
        <v>734533.14054905972</v>
      </c>
      <c r="I47" s="31">
        <f t="shared" si="15"/>
        <v>847368.9960834079</v>
      </c>
      <c r="J47" s="31">
        <f t="shared" si="15"/>
        <v>850914.34352271189</v>
      </c>
      <c r="K47" s="31">
        <f t="shared" si="15"/>
        <v>854548.32464799844</v>
      </c>
      <c r="L47" s="31">
        <f t="shared" si="15"/>
        <v>858273.15530141711</v>
      </c>
      <c r="M47" s="31">
        <f t="shared" si="15"/>
        <v>862091.10672117118</v>
      </c>
      <c r="N47" s="31">
        <f t="shared" si="15"/>
        <v>866004.50692641921</v>
      </c>
      <c r="O47" s="31">
        <f t="shared" si="15"/>
        <v>870015.74213679845</v>
      </c>
      <c r="P47" s="31">
        <f t="shared" si="15"/>
        <v>874127.25822743715</v>
      </c>
      <c r="Q47" s="31">
        <f t="shared" si="15"/>
        <v>878341.56222034176</v>
      </c>
      <c r="R47" s="31">
        <f t="shared" si="15"/>
        <v>882661.22381306905</v>
      </c>
      <c r="S47" s="31">
        <f t="shared" si="15"/>
        <v>887088.87694561458</v>
      </c>
      <c r="T47" s="31">
        <f t="shared" si="15"/>
        <v>891627.22140647366</v>
      </c>
      <c r="U47" s="31">
        <f t="shared" si="15"/>
        <v>896279.02447885415</v>
      </c>
      <c r="V47" s="31">
        <f t="shared" si="15"/>
        <v>901047.12262804434</v>
      </c>
      <c r="W47" s="31">
        <f t="shared" si="15"/>
        <v>905934.42323096411</v>
      </c>
      <c r="X47" s="31">
        <f t="shared" si="15"/>
        <v>910943.90634895698</v>
      </c>
      <c r="Y47" s="31">
        <f t="shared" si="15"/>
        <v>916078.62654489954</v>
      </c>
      <c r="Z47" s="31">
        <f t="shared" si="15"/>
        <v>921341.71474574087</v>
      </c>
      <c r="AA47" s="31">
        <f t="shared" si="15"/>
        <v>926736.38015160314</v>
      </c>
      <c r="AB47" s="31">
        <f t="shared" si="15"/>
        <v>932265.91219261184</v>
      </c>
      <c r="AC47" s="31">
        <f t="shared" si="15"/>
        <v>705555.09851125022</v>
      </c>
      <c r="AD47" s="31">
        <f t="shared" si="15"/>
        <v>558281.7731742576</v>
      </c>
      <c r="AE47" s="31">
        <f t="shared" si="15"/>
        <v>424396.93195880979</v>
      </c>
      <c r="AF47" s="31">
        <f t="shared" si="15"/>
        <v>302683.43994476629</v>
      </c>
      <c r="AG47" s="31">
        <f t="shared" si="15"/>
        <v>192034.81084109042</v>
      </c>
      <c r="AH47" s="31">
        <f t="shared" si="15"/>
        <v>91445.148019566899</v>
      </c>
    </row>
    <row r="48" spans="1:34" x14ac:dyDescent="0.25">
      <c r="A48" s="119" t="s">
        <v>42</v>
      </c>
      <c r="B48" s="28" t="s">
        <v>37</v>
      </c>
      <c r="C48" s="31">
        <f>C47+C46-C45</f>
        <v>-1368055.5555555555</v>
      </c>
      <c r="D48" s="31">
        <f>D47+D46-D45</f>
        <v>-831290.77398191544</v>
      </c>
      <c r="E48" s="31">
        <f>E47+E46-E45</f>
        <v>-393798.70281891304</v>
      </c>
      <c r="F48" s="31">
        <f t="shared" ref="F48:AH48" si="16">F47+F46-F45</f>
        <v>-35628.022070471081</v>
      </c>
      <c r="G48" s="31">
        <f t="shared" si="16"/>
        <v>259080.00679023738</v>
      </c>
      <c r="H48" s="31">
        <f t="shared" si="16"/>
        <v>502935.66919168015</v>
      </c>
      <c r="I48" s="31">
        <f t="shared" si="16"/>
        <v>1052544.8851796249</v>
      </c>
      <c r="J48" s="31">
        <f t="shared" si="16"/>
        <v>1030443.2464819016</v>
      </c>
      <c r="K48" s="31">
        <f t="shared" si="16"/>
        <v>1011636.1147372897</v>
      </c>
      <c r="L48" s="31">
        <f t="shared" si="16"/>
        <v>995724.97162954684</v>
      </c>
      <c r="M48" s="31">
        <f t="shared" si="16"/>
        <v>982361.44600828469</v>
      </c>
      <c r="N48" s="31">
        <f t="shared" si="16"/>
        <v>971241.05380264344</v>
      </c>
      <c r="O48" s="31">
        <f t="shared" si="16"/>
        <v>962097.7206534947</v>
      </c>
      <c r="P48" s="31">
        <f t="shared" si="16"/>
        <v>954698.98942954652</v>
      </c>
      <c r="Q48" s="31">
        <f t="shared" si="16"/>
        <v>948841.8270221873</v>
      </c>
      <c r="R48" s="31">
        <f t="shared" si="16"/>
        <v>944348.95551468409</v>
      </c>
      <c r="S48" s="31">
        <f t="shared" si="16"/>
        <v>941065.64218452759</v>
      </c>
      <c r="T48" s="31">
        <f t="shared" si="16"/>
        <v>938856.89099052257</v>
      </c>
      <c r="U48" s="31">
        <f t="shared" si="16"/>
        <v>937604.98536489694</v>
      </c>
      <c r="V48" s="31">
        <f t="shared" si="16"/>
        <v>937207.33840333181</v>
      </c>
      <c r="W48" s="31">
        <f t="shared" si="16"/>
        <v>937574.61203434062</v>
      </c>
      <c r="X48" s="31">
        <f t="shared" si="16"/>
        <v>938629.07155191142</v>
      </c>
      <c r="Y48" s="31">
        <f t="shared" si="16"/>
        <v>940303.14609748463</v>
      </c>
      <c r="Z48" s="31">
        <f t="shared" si="16"/>
        <v>942538.16935425287</v>
      </c>
      <c r="AA48" s="31">
        <f t="shared" si="16"/>
        <v>945283.27793405112</v>
      </c>
      <c r="AB48" s="31">
        <f t="shared" si="16"/>
        <v>948494.44775225385</v>
      </c>
      <c r="AC48" s="31">
        <f t="shared" si="16"/>
        <v>719755.06712593697</v>
      </c>
      <c r="AD48" s="31">
        <f t="shared" si="16"/>
        <v>568113.2317162049</v>
      </c>
      <c r="AE48" s="31">
        <f t="shared" si="16"/>
        <v>430936.4356862721</v>
      </c>
      <c r="AF48" s="31">
        <f t="shared" si="16"/>
        <v>306764.46508388774</v>
      </c>
      <c r="AG48" s="31">
        <f t="shared" si="16"/>
        <v>194300.33461545166</v>
      </c>
      <c r="AH48" s="31">
        <f t="shared" si="16"/>
        <v>92389.116258884082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2719429.0301729585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-2408981.330937319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0.28743883497081119</v>
      </c>
      <c r="E53" s="32">
        <f t="shared" si="17"/>
        <v>0.54965962447001082</v>
      </c>
      <c r="F53" s="32">
        <f t="shared" si="17"/>
        <v>0.78894810203811128</v>
      </c>
      <c r="G53" s="32">
        <f t="shared" si="17"/>
        <v>1.0073840574237354</v>
      </c>
      <c r="H53" s="32">
        <f t="shared" si="17"/>
        <v>1.2068599672347058</v>
      </c>
      <c r="I53" s="32">
        <f t="shared" si="17"/>
        <v>3.1894713884072217</v>
      </c>
      <c r="J53" s="32">
        <f t="shared" si="17"/>
        <v>3.1954217164820453</v>
      </c>
      <c r="K53" s="32">
        <f t="shared" si="17"/>
        <v>3.2015208027587394</v>
      </c>
      <c r="L53" s="32">
        <f t="shared" si="17"/>
        <v>3.207772366192351</v>
      </c>
      <c r="M53" s="32">
        <f t="shared" si="17"/>
        <v>3.2141802187118027</v>
      </c>
      <c r="N53" s="32">
        <f t="shared" si="17"/>
        <v>3.2207482675442409</v>
      </c>
      <c r="O53" s="32">
        <f t="shared" si="17"/>
        <v>3.2274805175974897</v>
      </c>
      <c r="P53" s="32">
        <f t="shared" si="17"/>
        <v>3.2343810739020706</v>
      </c>
      <c r="Q53" s="32">
        <f t="shared" si="17"/>
        <v>3.241454144114265</v>
      </c>
      <c r="R53" s="32">
        <f t="shared" si="17"/>
        <v>3.2487040410817651</v>
      </c>
      <c r="S53" s="32">
        <f t="shared" si="17"/>
        <v>3.2561351854734522</v>
      </c>
      <c r="T53" s="32">
        <f t="shared" si="17"/>
        <v>3.2637521084749319</v>
      </c>
      <c r="U53" s="32">
        <f t="shared" si="17"/>
        <v>3.2715594545514479</v>
      </c>
      <c r="V53" s="32">
        <f t="shared" si="17"/>
        <v>3.2795619842798773</v>
      </c>
      <c r="W53" s="32">
        <f t="shared" si="17"/>
        <v>3.2877645772515174</v>
      </c>
      <c r="X53" s="32">
        <f t="shared" si="17"/>
        <v>3.2961722350474485</v>
      </c>
      <c r="Y53" s="32">
        <f t="shared" si="17"/>
        <v>3.3047900842882774</v>
      </c>
      <c r="Z53" s="32">
        <f t="shared" si="17"/>
        <v>3.3136233797601276</v>
      </c>
      <c r="AA53" s="32">
        <f t="shared" si="17"/>
        <v>3.3226775076187738</v>
      </c>
      <c r="AB53" s="32">
        <f t="shared" si="17"/>
        <v>3.3319579886738864</v>
      </c>
      <c r="AC53" s="32">
        <f t="shared" si="17"/>
        <v>2.9514582654142756</v>
      </c>
      <c r="AD53" s="32">
        <f t="shared" si="17"/>
        <v>2.9514582654142751</v>
      </c>
      <c r="AE53" s="32">
        <f t="shared" si="17"/>
        <v>2.9514582654142751</v>
      </c>
      <c r="AF53" s="32">
        <f t="shared" si="17"/>
        <v>2.9514582654142751</v>
      </c>
      <c r="AG53" s="32">
        <f t="shared" si="17"/>
        <v>2.9514582654142747</v>
      </c>
      <c r="AH53" s="32">
        <f t="shared" si="17"/>
        <v>2.9514582654142756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1.2499890840584784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0.30554969425151074</v>
      </c>
      <c r="E55" s="32">
        <f t="shared" si="18"/>
        <v>0.62402891897036128</v>
      </c>
      <c r="F55" s="32">
        <f t="shared" si="18"/>
        <v>0.96112558921413493</v>
      </c>
      <c r="G55" s="32">
        <f t="shared" si="18"/>
        <v>1.3230709833784251</v>
      </c>
      <c r="H55" s="32">
        <f t="shared" si="18"/>
        <v>1.7167512162301568</v>
      </c>
      <c r="I55" s="32">
        <f>(XNPV($B$14,I47,I$22)+XNPV($B$14,I46,I$22))/(XNPV($B$14,I45,I$22))</f>
        <v>4.9361751625455579</v>
      </c>
      <c r="J55" s="32">
        <f t="shared" si="18"/>
        <v>5.4040254058254611</v>
      </c>
      <c r="K55" s="32">
        <f t="shared" si="18"/>
        <v>5.9413089710550375</v>
      </c>
      <c r="L55" s="32">
        <f t="shared" si="18"/>
        <v>6.5583902024401812</v>
      </c>
      <c r="M55" s="32">
        <f t="shared" si="18"/>
        <v>7.2671904016241688</v>
      </c>
      <c r="N55" s="32">
        <f t="shared" si="18"/>
        <v>8.0814233364935273</v>
      </c>
      <c r="O55" s="32">
        <f t="shared" si="18"/>
        <v>9.0168666374673201</v>
      </c>
      <c r="P55" s="32">
        <f t="shared" si="18"/>
        <v>10.091674592630548</v>
      </c>
      <c r="Q55" s="32">
        <f t="shared" si="18"/>
        <v>11.326738706337261</v>
      </c>
      <c r="R55" s="32">
        <f t="shared" si="18"/>
        <v>12.746103372370607</v>
      </c>
      <c r="S55" s="32">
        <f t="shared" si="18"/>
        <v>14.377445153371028</v>
      </c>
      <c r="T55" s="32">
        <f t="shared" si="18"/>
        <v>16.252625477323285</v>
      </c>
      <c r="U55" s="32">
        <f t="shared" si="18"/>
        <v>18.408328087579569</v>
      </c>
      <c r="V55" s="32">
        <f t="shared" si="18"/>
        <v>20.886794347820285</v>
      </c>
      <c r="W55" s="32">
        <f t="shared" si="18"/>
        <v>23.736671545340382</v>
      </c>
      <c r="X55" s="32">
        <f t="shared" si="18"/>
        <v>27.013991698952378</v>
      </c>
      <c r="Y55" s="32">
        <f t="shared" si="18"/>
        <v>30.783301112468337</v>
      </c>
      <c r="Z55" s="32">
        <f t="shared" si="18"/>
        <v>35.118964080136983</v>
      </c>
      <c r="AA55" s="32">
        <f t="shared" si="18"/>
        <v>40.106667814973235</v>
      </c>
      <c r="AB55" s="32">
        <f t="shared" si="18"/>
        <v>45.845159913980751</v>
      </c>
      <c r="AC55" s="32">
        <f t="shared" si="18"/>
        <v>39.891747907165048</v>
      </c>
      <c r="AD55" s="32">
        <f t="shared" si="18"/>
        <v>45.338098891036481</v>
      </c>
      <c r="AE55" s="32">
        <f t="shared" si="18"/>
        <v>51.562500015460969</v>
      </c>
      <c r="AF55" s="32">
        <f t="shared" si="18"/>
        <v>58.676101300517523</v>
      </c>
      <c r="AG55" s="32">
        <f t="shared" si="18"/>
        <v>66.805931340582177</v>
      </c>
      <c r="AH55" s="32">
        <f t="shared" si="18"/>
        <v>76.097165672084614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1.3784710669162159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0.1606628200059142</v>
      </c>
      <c r="E57" s="32">
        <f t="shared" si="19"/>
        <v>0.30671992910219986</v>
      </c>
      <c r="F57" s="32">
        <f t="shared" si="19"/>
        <v>0.43949911918973228</v>
      </c>
      <c r="G57" s="32">
        <f t="shared" si="19"/>
        <v>0.56020747381476166</v>
      </c>
      <c r="H57" s="32">
        <f t="shared" si="19"/>
        <v>0.66994234165569755</v>
      </c>
      <c r="I57" s="32">
        <f t="shared" si="19"/>
        <v>1.7672910200650558</v>
      </c>
      <c r="J57" s="32">
        <f t="shared" si="19"/>
        <v>1.7672910200650556</v>
      </c>
      <c r="K57" s="32">
        <f t="shared" si="19"/>
        <v>1.767291020065056</v>
      </c>
      <c r="L57" s="32">
        <f t="shared" si="19"/>
        <v>1.7672910200650558</v>
      </c>
      <c r="M57" s="32">
        <f t="shared" si="19"/>
        <v>1.7672910200650562</v>
      </c>
      <c r="N57" s="32">
        <f t="shared" si="19"/>
        <v>1.7672910200650558</v>
      </c>
      <c r="O57" s="32">
        <f t="shared" si="19"/>
        <v>1.767291020065056</v>
      </c>
      <c r="P57" s="32">
        <f t="shared" si="19"/>
        <v>1.767291020065056</v>
      </c>
      <c r="Q57" s="32">
        <f t="shared" si="19"/>
        <v>1.767291020065056</v>
      </c>
      <c r="R57" s="32">
        <f t="shared" si="19"/>
        <v>1.767291020065056</v>
      </c>
      <c r="S57" s="32">
        <f t="shared" si="19"/>
        <v>1.7672910200650558</v>
      </c>
      <c r="T57" s="32">
        <f t="shared" si="19"/>
        <v>1.767291020065056</v>
      </c>
      <c r="U57" s="32">
        <f t="shared" si="19"/>
        <v>1.7672910200650558</v>
      </c>
      <c r="V57" s="32">
        <f t="shared" si="19"/>
        <v>1.7672910200650558</v>
      </c>
      <c r="W57" s="32">
        <f t="shared" si="19"/>
        <v>1.767291020065056</v>
      </c>
      <c r="X57" s="32">
        <f t="shared" si="19"/>
        <v>1.767291020065056</v>
      </c>
      <c r="Y57" s="32">
        <f t="shared" si="19"/>
        <v>1.7672910200650558</v>
      </c>
      <c r="Z57" s="32">
        <f t="shared" si="19"/>
        <v>1.767291020065056</v>
      </c>
      <c r="AA57" s="32">
        <f t="shared" si="19"/>
        <v>1.7672910200650558</v>
      </c>
      <c r="AB57" s="32">
        <f t="shared" si="19"/>
        <v>1.767291020065056</v>
      </c>
      <c r="AC57" s="32">
        <f t="shared" si="19"/>
        <v>1.7672910200650558</v>
      </c>
      <c r="AD57" s="32">
        <f t="shared" si="19"/>
        <v>1.7672910200650556</v>
      </c>
      <c r="AE57" s="32">
        <f t="shared" si="19"/>
        <v>1.767291020065056</v>
      </c>
      <c r="AF57" s="32">
        <f t="shared" si="19"/>
        <v>1.7672910200650558</v>
      </c>
      <c r="AG57" s="32">
        <f t="shared" si="19"/>
        <v>1.7672910200650558</v>
      </c>
      <c r="AH57" s="32">
        <f t="shared" si="19"/>
        <v>1.7672910200650562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0.42601538768296687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0.19788004398345943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5.022995471954346E-2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IF(G65,$H$21-$D$21)+1</f>
        <v>5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0.28743883497081119</v>
      </c>
      <c r="D65" s="121">
        <f>(SUM($D$34:F34)+SUM($D$30:F30))/SUM($C$25:E25)</f>
        <v>0.59441581250438358</v>
      </c>
      <c r="E65" s="121">
        <f>(SUM($D$34:G34)+SUM($D$30:G30))/SUM($C$25:F25)</f>
        <v>0.75524588531770132</v>
      </c>
      <c r="F65" s="121">
        <f>(SUM($D$34:H34)+SUM($D$30:H30))/SUM($C$25:G25)</f>
        <v>0.92096271103892302</v>
      </c>
      <c r="G65" s="121">
        <f>(SUM($D$34:I34)+SUM($D$30:I30))/SUM($C$25:H25)</f>
        <v>1.0915510910501247</v>
      </c>
      <c r="H65" s="121">
        <f>(SUM($D$34:J34)+SUM($D$30:J30))/SUM($C$25:I25)</f>
        <v>1.3820439743666746</v>
      </c>
      <c r="I65" s="121">
        <f>(SUM($D$34:K34)+SUM($D$30:K30))/SUM($C$25:J25)</f>
        <v>1.6730913200720146</v>
      </c>
      <c r="J65" s="121"/>
      <c r="K65" s="121"/>
      <c r="L65" s="121"/>
      <c r="M65" s="121"/>
      <c r="N65" s="121"/>
      <c r="O65" s="121"/>
      <c r="P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IF(J67,$K$21-$D$21)+1</f>
        <v>8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E34/D25</f>
        <v>0.3373919220124198</v>
      </c>
      <c r="D67" s="32">
        <f>SUM($D$34:F34)/SUM($C$25:E25)</f>
        <v>0.33151874943818554</v>
      </c>
      <c r="E67" s="32">
        <f>SUM($D$34:G34)/SUM($C$25:F25)</f>
        <v>0.42074895805901341</v>
      </c>
      <c r="F67" s="32">
        <f>SUM($D$34:H34)/SUM($C$25:G25)</f>
        <v>0.5124941586878472</v>
      </c>
      <c r="G67" s="32">
        <f>SUM($D$34:I34)/SUM($C$25:H25)</f>
        <v>0.60673395333506042</v>
      </c>
      <c r="H67" s="32">
        <f>SUM($D$34:J34)/SUM($C$25:I25)</f>
        <v>0.76739677334097467</v>
      </c>
      <c r="I67" s="32">
        <f>SUM($D$34:K34)/SUM($C$25:J25)</f>
        <v>0.92805959334688881</v>
      </c>
      <c r="J67" s="32">
        <f>SUM($D$34:L34)/SUM($C$25:K25)</f>
        <v>1.0887224133528031</v>
      </c>
      <c r="K67" s="32">
        <f>SUM($D$34:M34)/SUM($C$25:L25)</f>
        <v>1.2493852333587172</v>
      </c>
      <c r="L67" s="32">
        <f>SUM($D$34:N34)/SUM($C$25:M25)</f>
        <v>1.4100480533646316</v>
      </c>
      <c r="M67" s="32">
        <f>SUM($D$34:O34)/SUM($C$25:N25)</f>
        <v>1.5707108733705459</v>
      </c>
      <c r="N67" s="32">
        <f>SUM($D$34:P34)/SUM($C$25:O25)</f>
        <v>1.7313736933764601</v>
      </c>
      <c r="O67" s="32">
        <f>SUM($D$34:Q34)/SUM($C$25:P25)</f>
        <v>1.8920365133823742</v>
      </c>
      <c r="P67" s="32">
        <f>SUM($D$34:R34)/SUM($C$25:Q25)</f>
        <v>2.0526993333882886</v>
      </c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273611.11111111112</v>
      </c>
      <c r="G70" s="155">
        <f>G76+G79+G82+G85+G88+G91</f>
        <v>547222.22222222225</v>
      </c>
      <c r="H70" s="155">
        <f t="shared" si="20"/>
        <v>820833.33333333337</v>
      </c>
      <c r="I70" s="155">
        <f t="shared" si="20"/>
        <v>1094444.4444444445</v>
      </c>
      <c r="J70" s="155">
        <f t="shared" si="20"/>
        <v>1368055.5555555555</v>
      </c>
      <c r="K70" s="155">
        <f t="shared" si="20"/>
        <v>1368055.5555555555</v>
      </c>
      <c r="L70" s="155">
        <f t="shared" si="20"/>
        <v>1094444.4444444445</v>
      </c>
      <c r="M70" s="155">
        <f t="shared" si="20"/>
        <v>820833.33333333337</v>
      </c>
      <c r="N70" s="155">
        <f t="shared" si="20"/>
        <v>547222.22222222225</v>
      </c>
      <c r="O70" s="155">
        <f t="shared" si="20"/>
        <v>273611.11111111112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171006.94444444444</v>
      </c>
      <c r="E71" s="159">
        <f t="shared" si="20"/>
        <v>342013.88888888888</v>
      </c>
      <c r="F71" s="159">
        <f t="shared" si="20"/>
        <v>513020.83333333331</v>
      </c>
      <c r="G71" s="159">
        <f t="shared" si="20"/>
        <v>649826.38888888888</v>
      </c>
      <c r="H71" s="159">
        <f t="shared" si="20"/>
        <v>752430.5555555555</v>
      </c>
      <c r="I71" s="159">
        <f t="shared" si="20"/>
        <v>820833.33333333326</v>
      </c>
      <c r="J71" s="159">
        <f t="shared" si="20"/>
        <v>684027.77777777775</v>
      </c>
      <c r="K71" s="159">
        <f t="shared" si="20"/>
        <v>513020.83333333331</v>
      </c>
      <c r="L71" s="159">
        <f t="shared" si="20"/>
        <v>342013.88888888888</v>
      </c>
      <c r="M71" s="159">
        <f t="shared" si="20"/>
        <v>205208.33333333331</v>
      </c>
      <c r="N71" s="159">
        <f t="shared" si="20"/>
        <v>102604.16666666664</v>
      </c>
      <c r="O71" s="159">
        <f t="shared" si="20"/>
        <v>34201.388888888876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1368055.5555555555</v>
      </c>
      <c r="D72" s="37">
        <f t="shared" si="21"/>
        <v>1368055.5555555555</v>
      </c>
      <c r="E72" s="37">
        <f t="shared" si="21"/>
        <v>1368055.5555555555</v>
      </c>
      <c r="F72" s="37">
        <f t="shared" si="21"/>
        <v>1368055.5555555555</v>
      </c>
      <c r="G72" s="37">
        <f t="shared" si="21"/>
        <v>1368055.5555555555</v>
      </c>
      <c r="H72" s="37">
        <f t="shared" si="21"/>
        <v>1368055.5555555555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273611.11111111112</v>
      </c>
      <c r="G76" s="176">
        <f>IF($B$13&gt;G75,0,IF($C$72-(SUM($C$76:F76)+1)&gt;0,IF($B$12&gt;0,$C$72/$B$12,0),0))</f>
        <v>273611.11111111112</v>
      </c>
      <c r="H76" s="176">
        <f>IF($B$13&gt;H75,0,IF($C$72-(SUM($C$76:G76)+1)&gt;0,IF($B$12&gt;0,$C$72/$B$12,0),0))</f>
        <v>273611.11111111112</v>
      </c>
      <c r="I76" s="176">
        <f>IF($B$13&gt;I75,0,IF($C$72-(SUM($C$76:H76)+1)&gt;0,IF($B$12&gt;0,$C$72/$B$12,0),0))</f>
        <v>273611.11111111112</v>
      </c>
      <c r="J76" s="176">
        <f>IF($B$13&gt;J75,0,IF($C$72-(SUM($C$76:I76)+1)&gt;0,IF($B$12&gt;0,$C$72/$B$12,0),0))</f>
        <v>273611.11111111112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171006.94444444444</v>
      </c>
      <c r="E77" s="181">
        <f>($C$72-SUM($C$76:D76))*$B$14</f>
        <v>171006.94444444444</v>
      </c>
      <c r="F77" s="181">
        <f>($C$72-SUM($C$76:E76))*$B$14</f>
        <v>171006.94444444444</v>
      </c>
      <c r="G77" s="181">
        <f>($C$72-SUM($C$76:F76))*$B$14</f>
        <v>136805.55555555556</v>
      </c>
      <c r="H77" s="181">
        <f>($C$72-SUM($C$76:G76))*$B$14</f>
        <v>102604.16666666666</v>
      </c>
      <c r="I77" s="181">
        <f>($C$72-SUM($C$76:H76))*$B$14</f>
        <v>68402.777777777766</v>
      </c>
      <c r="J77" s="181">
        <f>($C$72-SUM($C$76:I76))*$B$14</f>
        <v>34201.388888888876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273611.11111111112</v>
      </c>
      <c r="H79" s="176">
        <f>IF($B$13&gt;H78,0,IF($D$72-(SUM($C$79:G79)+1)&gt;0,IF($B$12&gt;0,$D$72/$B$12,0),0))</f>
        <v>273611.11111111112</v>
      </c>
      <c r="I79" s="176">
        <f>IF($B$13&gt;I78,0,IF($D$72-(SUM($C$79:H79)+1)&gt;0,IF($B$12&gt;0,$D$72/$B$12,0),0))</f>
        <v>273611.11111111112</v>
      </c>
      <c r="J79" s="176">
        <f>IF($B$13&gt;J78,0,IF($D$72-(SUM($C$79:I79)+1)&gt;0,IF($B$12&gt;0,$D$72/$B$12,0),0))</f>
        <v>273611.11111111112</v>
      </c>
      <c r="K79" s="176">
        <f>IF($B$13&gt;K78,0,IF($D$72-(SUM($C$79:J79)+1)&gt;0,IF($B$12&gt;0,$D$72/$B$12,0),0))</f>
        <v>273611.11111111112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171006.94444444444</v>
      </c>
      <c r="F80" s="181">
        <f>($D$72-SUM($C$79:E79))*$B$14</f>
        <v>171006.94444444444</v>
      </c>
      <c r="G80" s="181">
        <f>($D$72-SUM($C$79:F79))*$B$14</f>
        <v>171006.94444444444</v>
      </c>
      <c r="H80" s="181">
        <f>($D$72-SUM($C$79:G79))*$B$14</f>
        <v>136805.55555555556</v>
      </c>
      <c r="I80" s="181">
        <f>($D$72-SUM($C$79:H79))*$B$14</f>
        <v>102604.16666666666</v>
      </c>
      <c r="J80" s="181">
        <f>($D$72-SUM($C$79:I79))*$B$14</f>
        <v>68402.777777777766</v>
      </c>
      <c r="K80" s="181">
        <f>($D$72-SUM($C$79:J79))*$B$14</f>
        <v>34201.388888888876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273611.11111111112</v>
      </c>
      <c r="I82" s="176">
        <f>IF($B$13&gt;I81,0,IF($E$72-(SUM($C$82:H82)+1)&gt;0,IF($B$12&gt;0,$E$72/$B$12,0),0))</f>
        <v>273611.11111111112</v>
      </c>
      <c r="J82" s="176">
        <f>IF($B$13&gt;J81,0,IF($E$72-(SUM($C$82:I82)+1)&gt;0,IF($B$12&gt;0,$E$72/$B$12,0),0))</f>
        <v>273611.11111111112</v>
      </c>
      <c r="K82" s="176">
        <f>IF($B$13&gt;K81,0,IF($E$72-(SUM($C$82:J82)+1)&gt;0,IF($B$12&gt;0,$E$72/$B$12,0),0))</f>
        <v>273611.11111111112</v>
      </c>
      <c r="L82" s="176">
        <f>IF($B$13&gt;L81,0,IF($E$72-(SUM($C$82:K82)+1)&gt;0,IF($B$12&gt;0,$E$72/$B$12,0),0))</f>
        <v>273611.11111111112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171006.94444444444</v>
      </c>
      <c r="G83" s="181">
        <f>($E$72-SUM($C$82:F82))*$B$14</f>
        <v>171006.94444444444</v>
      </c>
      <c r="H83" s="181">
        <f>($E$72-SUM($C$82:G82))*$B$14</f>
        <v>171006.94444444444</v>
      </c>
      <c r="I83" s="181">
        <f>($E$72-SUM($C$82:H82))*$B$14</f>
        <v>136805.55555555556</v>
      </c>
      <c r="J83" s="181">
        <f>($E$72-SUM($C$82:I82))*$B$14</f>
        <v>102604.16666666666</v>
      </c>
      <c r="K83" s="181">
        <f>($E$72-SUM($C$82:J82))*$B$14</f>
        <v>68402.777777777766</v>
      </c>
      <c r="L83" s="181">
        <f>($E$72-SUM($C$82:K82))*$B$14</f>
        <v>34201.388888888876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273611.11111111112</v>
      </c>
      <c r="J85" s="176">
        <f>IF($B$13&gt;J84,0,IF($F$72-(SUM($C$85:I85)+1)&gt;0,IF($B$12&gt;0,$F$72/$B$12,0),0))</f>
        <v>273611.11111111112</v>
      </c>
      <c r="K85" s="176">
        <f>IF($B$13&gt;K84,0,IF($F$72-(SUM($C$85:J85)+1)&gt;0,IF($B$12&gt;0,$F$72/$B$12,0),0))</f>
        <v>273611.11111111112</v>
      </c>
      <c r="L85" s="176">
        <f>IF($B$13&gt;L84,0,IF($F$72-(SUM($C$85:K85)+1)&gt;0,IF($B$12&gt;0,$F$72/$B$12,0),0))</f>
        <v>273611.11111111112</v>
      </c>
      <c r="M85" s="176">
        <f>IF($B$13&gt;M84,0,IF($F$72-(SUM($C$85:L85)+1)&gt;0,IF($B$12&gt;0,$F$72/$B$12,0),0))</f>
        <v>273611.11111111112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171006.94444444444</v>
      </c>
      <c r="H86" s="181">
        <f>($F$72-SUM($C$85:G85))*$B$14</f>
        <v>171006.94444444444</v>
      </c>
      <c r="I86" s="181">
        <f>($F$72-SUM($C$85:H85))*$B$14</f>
        <v>171006.94444444444</v>
      </c>
      <c r="J86" s="181">
        <f>($F$72-SUM($C$85:I85))*$B$14</f>
        <v>136805.55555555556</v>
      </c>
      <c r="K86" s="181">
        <f>($F$72-SUM($C$85:J85))*$B$14</f>
        <v>102604.16666666666</v>
      </c>
      <c r="L86" s="181">
        <f>($F$72-SUM($C$85:K85))*$B$14</f>
        <v>68402.777777777766</v>
      </c>
      <c r="M86" s="181">
        <f>($F$72-SUM($C$85:L85))*$B$14</f>
        <v>34201.388888888876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273611.11111111112</v>
      </c>
      <c r="K88" s="176">
        <f>IF($B$13&gt;K87,0,IF($G$72-(SUM($C$88:J88)+1)&gt;0,IF($B$12&gt;0,$G$72/$B$12,0),0))</f>
        <v>273611.11111111112</v>
      </c>
      <c r="L88" s="176">
        <f>IF($B$13&gt;L87,0,IF($G$72-(SUM($C$88:K88)+1)&gt;0,IF($B$12&gt;0,$G$72/$B$12,0),0))</f>
        <v>273611.11111111112</v>
      </c>
      <c r="M88" s="176">
        <f>IF($B$13&gt;M87,0,IF($G$72-(SUM($C$88:L88)+1)&gt;0,IF($B$12&gt;0,$G$72/$B$12,0),0))</f>
        <v>273611.11111111112</v>
      </c>
      <c r="N88" s="176">
        <f>IF($B$13&gt;N87,0,IF($G$72-(SUM($C$88:M88)+1)&gt;0,IF($B$12&gt;0,$G$72/$B$12,0),0))</f>
        <v>273611.11111111112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171006.94444444444</v>
      </c>
      <c r="I89" s="181">
        <f>($G$72-SUM($C$88:H88))*$B$14</f>
        <v>171006.94444444444</v>
      </c>
      <c r="J89" s="181">
        <f>($G$72-SUM($C$88:I88))*$B$14</f>
        <v>171006.94444444444</v>
      </c>
      <c r="K89" s="181">
        <f>($G$72-SUM($C$88:J88))*$B$14</f>
        <v>136805.55555555556</v>
      </c>
      <c r="L89" s="181">
        <f>($G$72-SUM($C$88:K88))*$B$14</f>
        <v>102604.16666666666</v>
      </c>
      <c r="M89" s="181">
        <f>($G$72-SUM($C$88:L88))*$B$14</f>
        <v>68402.777777777766</v>
      </c>
      <c r="N89" s="181">
        <f>($G$72-SUM($C$88:M88))*$B$14</f>
        <v>34201.388888888876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273611.11111111112</v>
      </c>
      <c r="L91" s="176">
        <f>IF($B$13&gt;L90,0,IF($H$72-(SUM($C$91:K91)+1)&gt;0,IF($B$12&gt;0,$H$72/$B$12,0),0))</f>
        <v>273611.11111111112</v>
      </c>
      <c r="M91" s="176">
        <f>IF($B$13&gt;M90,0,IF($H$72-(SUM($C$91:L91)+1)&gt;0,IF($B$12&gt;0,$H$72/$B$12,0),0))</f>
        <v>273611.11111111112</v>
      </c>
      <c r="N91" s="176">
        <f>IF($B$13&gt;N90,0,IF($H$72-(SUM($C$91:M91)+1)&gt;0,IF($B$12&gt;0,$H$72/$B$12,0),0))</f>
        <v>273611.11111111112</v>
      </c>
      <c r="O91" s="176">
        <f>IF($B$13&gt;O90,0,IF($H$72-(SUM($C$91:N91)+1)&gt;0,IF($B$12&gt;0,$H$72/$B$12,0),0))</f>
        <v>273611.11111111112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171006.94444444444</v>
      </c>
      <c r="J92" s="181">
        <f>($H$72-SUM($C$91:I91))*$B$14</f>
        <v>171006.94444444444</v>
      </c>
      <c r="K92" s="181">
        <f>($H$72-SUM($C$91:J91))*$B$14</f>
        <v>171006.94444444444</v>
      </c>
      <c r="L92" s="181">
        <f>($H$72-SUM($C$91:K91))*$B$14</f>
        <v>136805.55555555556</v>
      </c>
      <c r="M92" s="181">
        <f>($H$72-SUM($C$91:L91))*$B$14</f>
        <v>102604.16666666666</v>
      </c>
      <c r="N92" s="181">
        <f>($H$72-SUM($C$91:M91))*$B$14</f>
        <v>68402.777777777766</v>
      </c>
      <c r="O92" s="181">
        <f>($H$72-SUM($C$91:N91))*$B$14</f>
        <v>34201.388888888876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219795.66348031317</v>
      </c>
      <c r="E94" s="203">
        <f t="shared" si="29"/>
        <v>419609.90300787054</v>
      </c>
      <c r="F94" s="203">
        <f t="shared" si="29"/>
        <v>601259.21166928648</v>
      </c>
      <c r="G94" s="203">
        <f t="shared" si="29"/>
        <v>766394.9468160281</v>
      </c>
      <c r="H94" s="203">
        <f t="shared" si="29"/>
        <v>916518.34240397508</v>
      </c>
      <c r="I94" s="203">
        <f t="shared" si="29"/>
        <v>1052994.156574836</v>
      </c>
      <c r="J94" s="203">
        <f t="shared" si="29"/>
        <v>1052994.156574836</v>
      </c>
      <c r="K94" s="203">
        <f t="shared" si="29"/>
        <v>1052994.156574836</v>
      </c>
      <c r="L94" s="203">
        <f t="shared" si="29"/>
        <v>1052994.156574836</v>
      </c>
      <c r="M94" s="203">
        <f t="shared" si="29"/>
        <v>1052994.156574836</v>
      </c>
      <c r="N94" s="203">
        <f t="shared" si="29"/>
        <v>1052994.156574836</v>
      </c>
      <c r="O94" s="203">
        <f t="shared" si="29"/>
        <v>1052994.156574836</v>
      </c>
      <c r="P94" s="203">
        <f t="shared" si="29"/>
        <v>1052994.156574836</v>
      </c>
      <c r="Q94" s="203">
        <f t="shared" si="29"/>
        <v>1052994.156574836</v>
      </c>
      <c r="R94" s="203">
        <f t="shared" si="29"/>
        <v>1052994.156574836</v>
      </c>
      <c r="S94" s="203">
        <f t="shared" si="29"/>
        <v>1052994.156574836</v>
      </c>
      <c r="T94" s="203">
        <f t="shared" si="29"/>
        <v>1052994.156574836</v>
      </c>
      <c r="U94" s="203">
        <f t="shared" si="29"/>
        <v>1052994.156574836</v>
      </c>
      <c r="V94" s="203">
        <f t="shared" si="29"/>
        <v>1052994.156574836</v>
      </c>
      <c r="W94" s="203">
        <f t="shared" si="29"/>
        <v>1052994.156574836</v>
      </c>
      <c r="X94" s="203">
        <f t="shared" si="29"/>
        <v>1052994.156574836</v>
      </c>
      <c r="Y94" s="203">
        <f t="shared" si="29"/>
        <v>1052994.156574836</v>
      </c>
      <c r="Z94" s="203">
        <f t="shared" si="29"/>
        <v>1052994.156574836</v>
      </c>
      <c r="AA94" s="203">
        <f t="shared" si="29"/>
        <v>1052994.156574836</v>
      </c>
      <c r="AB94" s="203">
        <f t="shared" si="29"/>
        <v>1052994.156574836</v>
      </c>
      <c r="AC94" s="203">
        <f t="shared" si="29"/>
        <v>1052994.156574836</v>
      </c>
      <c r="AD94" s="203">
        <f t="shared" si="29"/>
        <v>833198.49309452274</v>
      </c>
      <c r="AE94" s="203">
        <f t="shared" si="29"/>
        <v>633384.25356696546</v>
      </c>
      <c r="AF94" s="203">
        <f t="shared" si="29"/>
        <v>451734.94490554958</v>
      </c>
      <c r="AG94" s="203">
        <f t="shared" si="29"/>
        <v>286599.20975880791</v>
      </c>
      <c r="AH94" s="203">
        <f t="shared" si="29"/>
        <v>136475.81417086098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124368.68686868688</v>
      </c>
      <c r="E95" s="203">
        <f t="shared" si="30"/>
        <v>237431.12947658403</v>
      </c>
      <c r="F95" s="203">
        <f t="shared" si="30"/>
        <v>340215.16821103601</v>
      </c>
      <c r="G95" s="203">
        <f t="shared" si="30"/>
        <v>433655.20342417416</v>
      </c>
      <c r="H95" s="203">
        <f t="shared" si="30"/>
        <v>518600.6899815725</v>
      </c>
      <c r="I95" s="203">
        <f t="shared" si="30"/>
        <v>595823.85957920738</v>
      </c>
      <c r="J95" s="203">
        <f t="shared" si="30"/>
        <v>595823.85957920738</v>
      </c>
      <c r="K95" s="203">
        <f t="shared" si="30"/>
        <v>595823.85957920738</v>
      </c>
      <c r="L95" s="203">
        <f t="shared" si="30"/>
        <v>595823.85957920738</v>
      </c>
      <c r="M95" s="203">
        <f t="shared" si="30"/>
        <v>595823.85957920738</v>
      </c>
      <c r="N95" s="203">
        <f t="shared" si="30"/>
        <v>595823.85957920738</v>
      </c>
      <c r="O95" s="203">
        <f t="shared" si="30"/>
        <v>595823.85957920738</v>
      </c>
      <c r="P95" s="203">
        <f t="shared" si="30"/>
        <v>595823.85957920738</v>
      </c>
      <c r="Q95" s="203">
        <f t="shared" si="30"/>
        <v>595823.85957920738</v>
      </c>
      <c r="R95" s="203">
        <f t="shared" si="30"/>
        <v>595823.85957920738</v>
      </c>
      <c r="S95" s="203">
        <f t="shared" si="30"/>
        <v>595823.85957920738</v>
      </c>
      <c r="T95" s="203">
        <f t="shared" si="30"/>
        <v>595823.85957920738</v>
      </c>
      <c r="U95" s="203">
        <f t="shared" si="30"/>
        <v>595823.85957920738</v>
      </c>
      <c r="V95" s="203">
        <f t="shared" si="30"/>
        <v>595823.85957920738</v>
      </c>
      <c r="W95" s="203">
        <f t="shared" si="30"/>
        <v>595823.85957920738</v>
      </c>
      <c r="X95" s="203">
        <f t="shared" si="30"/>
        <v>595823.85957920738</v>
      </c>
      <c r="Y95" s="203">
        <f t="shared" si="30"/>
        <v>595823.85957920738</v>
      </c>
      <c r="Z95" s="203">
        <f t="shared" si="30"/>
        <v>595823.85957920738</v>
      </c>
      <c r="AA95" s="203">
        <f t="shared" si="30"/>
        <v>595823.85957920738</v>
      </c>
      <c r="AB95" s="203">
        <f t="shared" si="30"/>
        <v>595823.85957920738</v>
      </c>
      <c r="AC95" s="203">
        <f t="shared" si="30"/>
        <v>595823.85957920738</v>
      </c>
      <c r="AD95" s="203">
        <f t="shared" si="30"/>
        <v>471455.17271052051</v>
      </c>
      <c r="AE95" s="203">
        <f t="shared" si="30"/>
        <v>358392.73010262335</v>
      </c>
      <c r="AF95" s="203">
        <f t="shared" si="30"/>
        <v>255608.69136817136</v>
      </c>
      <c r="AG95" s="203">
        <f t="shared" si="30"/>
        <v>162168.65615503321</v>
      </c>
      <c r="AH95" s="203">
        <f t="shared" si="30"/>
        <v>77223.169597634886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95426.976611626291</v>
      </c>
      <c r="E96" s="203">
        <f t="shared" ref="E96:AH96" si="32">E94-E95</f>
        <v>182178.77353128651</v>
      </c>
      <c r="F96" s="203">
        <f t="shared" si="32"/>
        <v>261044.04345825047</v>
      </c>
      <c r="G96" s="203">
        <f t="shared" si="32"/>
        <v>332739.74339185393</v>
      </c>
      <c r="H96" s="203">
        <f t="shared" si="32"/>
        <v>397917.65242240258</v>
      </c>
      <c r="I96" s="203">
        <f t="shared" si="32"/>
        <v>457170.29699562863</v>
      </c>
      <c r="J96" s="203">
        <f t="shared" si="32"/>
        <v>457170.29699562863</v>
      </c>
      <c r="K96" s="203">
        <f t="shared" si="32"/>
        <v>457170.29699562863</v>
      </c>
      <c r="L96" s="203">
        <f t="shared" si="32"/>
        <v>457170.29699562863</v>
      </c>
      <c r="M96" s="203">
        <f t="shared" si="32"/>
        <v>457170.29699562863</v>
      </c>
      <c r="N96" s="203">
        <f t="shared" si="32"/>
        <v>457170.29699562863</v>
      </c>
      <c r="O96" s="203">
        <f t="shared" si="32"/>
        <v>457170.29699562863</v>
      </c>
      <c r="P96" s="203">
        <f t="shared" si="32"/>
        <v>457170.29699562863</v>
      </c>
      <c r="Q96" s="203">
        <f t="shared" si="32"/>
        <v>457170.29699562863</v>
      </c>
      <c r="R96" s="203">
        <f t="shared" si="32"/>
        <v>457170.29699562863</v>
      </c>
      <c r="S96" s="203">
        <f t="shared" si="32"/>
        <v>457170.29699562863</v>
      </c>
      <c r="T96" s="203">
        <f t="shared" si="32"/>
        <v>457170.29699562863</v>
      </c>
      <c r="U96" s="203">
        <f t="shared" si="32"/>
        <v>457170.29699562863</v>
      </c>
      <c r="V96" s="203">
        <f t="shared" si="32"/>
        <v>457170.29699562863</v>
      </c>
      <c r="W96" s="203">
        <f t="shared" si="32"/>
        <v>457170.29699562863</v>
      </c>
      <c r="X96" s="203">
        <f t="shared" si="32"/>
        <v>457170.29699562863</v>
      </c>
      <c r="Y96" s="203">
        <f t="shared" si="32"/>
        <v>457170.29699562863</v>
      </c>
      <c r="Z96" s="203">
        <f t="shared" si="32"/>
        <v>457170.29699562863</v>
      </c>
      <c r="AA96" s="203">
        <f t="shared" si="32"/>
        <v>457170.29699562863</v>
      </c>
      <c r="AB96" s="203">
        <f t="shared" si="32"/>
        <v>457170.29699562863</v>
      </c>
      <c r="AC96" s="203">
        <f t="shared" si="32"/>
        <v>457170.29699562863</v>
      </c>
      <c r="AD96" s="203">
        <f t="shared" si="32"/>
        <v>361743.32038400223</v>
      </c>
      <c r="AE96" s="203">
        <f t="shared" si="32"/>
        <v>274991.52346434211</v>
      </c>
      <c r="AF96" s="203">
        <f t="shared" si="32"/>
        <v>196126.25353737822</v>
      </c>
      <c r="AG96" s="203">
        <f t="shared" si="32"/>
        <v>124430.55360377469</v>
      </c>
      <c r="AH96" s="203">
        <f t="shared" si="32"/>
        <v>59252.644573226091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171006.94444444444</v>
      </c>
      <c r="E97" s="203">
        <f t="shared" si="33"/>
        <v>342013.88888888888</v>
      </c>
      <c r="F97" s="203">
        <f t="shared" si="33"/>
        <v>513020.83333333331</v>
      </c>
      <c r="G97" s="203">
        <f t="shared" si="33"/>
        <v>649826.38888888888</v>
      </c>
      <c r="H97" s="203">
        <f t="shared" si="33"/>
        <v>752430.5555555555</v>
      </c>
      <c r="I97" s="203">
        <f t="shared" si="33"/>
        <v>820833.33333333326</v>
      </c>
      <c r="J97" s="203">
        <f t="shared" si="33"/>
        <v>684027.77777777775</v>
      </c>
      <c r="K97" s="203">
        <f t="shared" si="33"/>
        <v>513020.83333333331</v>
      </c>
      <c r="L97" s="203">
        <f t="shared" si="33"/>
        <v>342013.88888888888</v>
      </c>
      <c r="M97" s="203">
        <f t="shared" si="33"/>
        <v>205208.33333333331</v>
      </c>
      <c r="N97" s="203">
        <f t="shared" si="33"/>
        <v>102604.16666666664</v>
      </c>
      <c r="O97" s="203">
        <f t="shared" si="33"/>
        <v>34201.388888888876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-75579.967832818147</v>
      </c>
      <c r="E98" s="203">
        <f t="shared" ref="E98:AH98" si="34">E96-E97</f>
        <v>-159835.11535760236</v>
      </c>
      <c r="F98" s="203">
        <f t="shared" si="34"/>
        <v>-251976.78987508285</v>
      </c>
      <c r="G98" s="203">
        <f t="shared" si="34"/>
        <v>-317086.64549703494</v>
      </c>
      <c r="H98" s="203">
        <f t="shared" si="34"/>
        <v>-354512.90313315293</v>
      </c>
      <c r="I98" s="203">
        <f t="shared" si="34"/>
        <v>-363663.03633770463</v>
      </c>
      <c r="J98" s="203">
        <f t="shared" si="34"/>
        <v>-226857.48078214913</v>
      </c>
      <c r="K98" s="203">
        <f t="shared" si="34"/>
        <v>-55850.536337704689</v>
      </c>
      <c r="L98" s="203">
        <f t="shared" si="34"/>
        <v>115156.40810673975</v>
      </c>
      <c r="M98" s="203">
        <f t="shared" si="34"/>
        <v>251961.96366229531</v>
      </c>
      <c r="N98" s="203">
        <f t="shared" si="34"/>
        <v>354566.130328962</v>
      </c>
      <c r="O98" s="203">
        <f t="shared" si="34"/>
        <v>422968.90810673975</v>
      </c>
      <c r="P98" s="203">
        <f t="shared" si="34"/>
        <v>457170.29699562863</v>
      </c>
      <c r="Q98" s="203">
        <f t="shared" si="34"/>
        <v>457170.29699562863</v>
      </c>
      <c r="R98" s="203">
        <f t="shared" si="34"/>
        <v>457170.29699562863</v>
      </c>
      <c r="S98" s="203">
        <f t="shared" si="34"/>
        <v>457170.29699562863</v>
      </c>
      <c r="T98" s="203">
        <f t="shared" si="34"/>
        <v>457170.29699562863</v>
      </c>
      <c r="U98" s="203">
        <f t="shared" si="34"/>
        <v>457170.29699562863</v>
      </c>
      <c r="V98" s="203">
        <f t="shared" si="34"/>
        <v>457170.29699562863</v>
      </c>
      <c r="W98" s="203">
        <f t="shared" si="34"/>
        <v>457170.29699562863</v>
      </c>
      <c r="X98" s="203">
        <f t="shared" si="34"/>
        <v>457170.29699562863</v>
      </c>
      <c r="Y98" s="203">
        <f t="shared" si="34"/>
        <v>457170.29699562863</v>
      </c>
      <c r="Z98" s="203">
        <f t="shared" si="34"/>
        <v>457170.29699562863</v>
      </c>
      <c r="AA98" s="203">
        <f t="shared" si="34"/>
        <v>457170.29699562863</v>
      </c>
      <c r="AB98" s="203">
        <f t="shared" si="34"/>
        <v>457170.29699562863</v>
      </c>
      <c r="AC98" s="203">
        <f t="shared" si="34"/>
        <v>457170.29699562863</v>
      </c>
      <c r="AD98" s="203">
        <f t="shared" si="34"/>
        <v>361743.32038400223</v>
      </c>
      <c r="AE98" s="203">
        <f t="shared" si="34"/>
        <v>274991.52346434211</v>
      </c>
      <c r="AF98" s="203">
        <f t="shared" si="34"/>
        <v>196126.25353737822</v>
      </c>
      <c r="AG98" s="203">
        <f t="shared" si="34"/>
        <v>124430.55360377469</v>
      </c>
      <c r="AH98" s="203">
        <f t="shared" si="34"/>
        <v>59252.644573226091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-75579.967832818147</v>
      </c>
      <c r="E100" s="203">
        <f t="shared" ref="E100:AH100" si="35">E98+E99</f>
        <v>-159835.11535760236</v>
      </c>
      <c r="F100" s="203">
        <f t="shared" si="35"/>
        <v>-251976.78987508285</v>
      </c>
      <c r="G100" s="203">
        <f t="shared" si="35"/>
        <v>-317086.64549703494</v>
      </c>
      <c r="H100" s="203">
        <f t="shared" si="35"/>
        <v>-354512.90313315293</v>
      </c>
      <c r="I100" s="203">
        <f t="shared" si="35"/>
        <v>-363663.03633770463</v>
      </c>
      <c r="J100" s="203">
        <f t="shared" si="35"/>
        <v>-226857.48078214913</v>
      </c>
      <c r="K100" s="203">
        <f t="shared" si="35"/>
        <v>-55850.536337704689</v>
      </c>
      <c r="L100" s="203">
        <f t="shared" si="35"/>
        <v>115156.40810673975</v>
      </c>
      <c r="M100" s="203">
        <f t="shared" si="35"/>
        <v>251961.96366229531</v>
      </c>
      <c r="N100" s="203">
        <f t="shared" si="35"/>
        <v>354566.130328962</v>
      </c>
      <c r="O100" s="203">
        <f t="shared" si="35"/>
        <v>422968.90810673975</v>
      </c>
      <c r="P100" s="203">
        <f t="shared" si="35"/>
        <v>457170.29699562863</v>
      </c>
      <c r="Q100" s="203">
        <f t="shared" si="35"/>
        <v>457170.29699562863</v>
      </c>
      <c r="R100" s="203">
        <f t="shared" si="35"/>
        <v>457170.29699562863</v>
      </c>
      <c r="S100" s="203">
        <f t="shared" si="35"/>
        <v>457170.29699562863</v>
      </c>
      <c r="T100" s="203">
        <f t="shared" si="35"/>
        <v>457170.29699562863</v>
      </c>
      <c r="U100" s="203">
        <f t="shared" si="35"/>
        <v>457170.29699562863</v>
      </c>
      <c r="V100" s="203">
        <f t="shared" si="35"/>
        <v>457170.29699562863</v>
      </c>
      <c r="W100" s="203">
        <f t="shared" si="35"/>
        <v>457170.29699562863</v>
      </c>
      <c r="X100" s="203">
        <f t="shared" si="35"/>
        <v>457170.29699562863</v>
      </c>
      <c r="Y100" s="203">
        <f t="shared" si="35"/>
        <v>457170.29699562863</v>
      </c>
      <c r="Z100" s="203">
        <f t="shared" si="35"/>
        <v>457170.29699562863</v>
      </c>
      <c r="AA100" s="203">
        <f t="shared" si="35"/>
        <v>457170.29699562863</v>
      </c>
      <c r="AB100" s="203">
        <f t="shared" si="35"/>
        <v>457170.29699562863</v>
      </c>
      <c r="AC100" s="203">
        <f t="shared" si="35"/>
        <v>457170.29699562863</v>
      </c>
      <c r="AD100" s="203">
        <f t="shared" si="35"/>
        <v>361743.32038400223</v>
      </c>
      <c r="AE100" s="203">
        <f t="shared" si="35"/>
        <v>274991.52346434211</v>
      </c>
      <c r="AF100" s="203">
        <f t="shared" si="35"/>
        <v>196126.25353737822</v>
      </c>
      <c r="AG100" s="203">
        <f t="shared" si="35"/>
        <v>124430.55360377469</v>
      </c>
      <c r="AH100" s="203">
        <f t="shared" si="35"/>
        <v>59252.644573226091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69093.844864043844</v>
      </c>
      <c r="M101" s="203">
        <f t="shared" si="36"/>
        <v>151177.17819737719</v>
      </c>
      <c r="N101" s="203">
        <f t="shared" si="36"/>
        <v>212739.67819737719</v>
      </c>
      <c r="O101" s="203">
        <f t="shared" si="36"/>
        <v>253781.34486404384</v>
      </c>
      <c r="P101" s="203">
        <f t="shared" si="36"/>
        <v>274302.17819737719</v>
      </c>
      <c r="Q101" s="203">
        <f t="shared" si="36"/>
        <v>274302.17819737719</v>
      </c>
      <c r="R101" s="203">
        <f t="shared" si="36"/>
        <v>274302.17819737719</v>
      </c>
      <c r="S101" s="203">
        <f t="shared" si="36"/>
        <v>274302.17819737719</v>
      </c>
      <c r="T101" s="203">
        <f t="shared" si="36"/>
        <v>274302.17819737719</v>
      </c>
      <c r="U101" s="203">
        <f t="shared" si="36"/>
        <v>274302.17819737719</v>
      </c>
      <c r="V101" s="203">
        <f t="shared" si="36"/>
        <v>274302.17819737719</v>
      </c>
      <c r="W101" s="203">
        <f t="shared" si="36"/>
        <v>274302.17819737719</v>
      </c>
      <c r="X101" s="203">
        <f t="shared" si="36"/>
        <v>274302.17819737719</v>
      </c>
      <c r="Y101" s="203">
        <f t="shared" si="36"/>
        <v>274302.17819737719</v>
      </c>
      <c r="Z101" s="203">
        <f t="shared" si="36"/>
        <v>274302.17819737719</v>
      </c>
      <c r="AA101" s="203">
        <f t="shared" si="36"/>
        <v>274302.17819737719</v>
      </c>
      <c r="AB101" s="203">
        <f t="shared" si="36"/>
        <v>274302.17819737719</v>
      </c>
      <c r="AC101" s="203">
        <f t="shared" si="36"/>
        <v>274302.17819737719</v>
      </c>
      <c r="AD101" s="203">
        <f t="shared" si="36"/>
        <v>217045.99223040135</v>
      </c>
      <c r="AE101" s="203">
        <f t="shared" si="36"/>
        <v>164994.91407860527</v>
      </c>
      <c r="AF101" s="203">
        <f t="shared" si="36"/>
        <v>117675.75212242693</v>
      </c>
      <c r="AG101" s="203">
        <f t="shared" si="36"/>
        <v>74658.332162264807</v>
      </c>
      <c r="AH101" s="203">
        <f t="shared" si="36"/>
        <v>35551.586743935652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-75579.967832818147</v>
      </c>
      <c r="E102" s="203">
        <f t="shared" ref="E102:AH102" si="37">E100-E101</f>
        <v>-159835.11535760236</v>
      </c>
      <c r="F102" s="203">
        <f t="shared" si="37"/>
        <v>-251976.78987508285</v>
      </c>
      <c r="G102" s="203">
        <f t="shared" si="37"/>
        <v>-317086.64549703494</v>
      </c>
      <c r="H102" s="203">
        <f t="shared" si="37"/>
        <v>-354512.90313315293</v>
      </c>
      <c r="I102" s="203">
        <f t="shared" si="37"/>
        <v>-363663.03633770463</v>
      </c>
      <c r="J102" s="203">
        <f t="shared" si="37"/>
        <v>-226857.48078214913</v>
      </c>
      <c r="K102" s="203">
        <f t="shared" si="37"/>
        <v>-55850.536337704689</v>
      </c>
      <c r="L102" s="203">
        <f t="shared" si="37"/>
        <v>46062.563242695906</v>
      </c>
      <c r="M102" s="203">
        <f t="shared" si="37"/>
        <v>100784.78546491812</v>
      </c>
      <c r="N102" s="203">
        <f t="shared" si="37"/>
        <v>141826.45213158481</v>
      </c>
      <c r="O102" s="203">
        <f t="shared" si="37"/>
        <v>169187.56324269591</v>
      </c>
      <c r="P102" s="203">
        <f t="shared" si="37"/>
        <v>182868.11879825144</v>
      </c>
      <c r="Q102" s="203">
        <f t="shared" si="37"/>
        <v>182868.11879825144</v>
      </c>
      <c r="R102" s="203">
        <f t="shared" si="37"/>
        <v>182868.11879825144</v>
      </c>
      <c r="S102" s="203">
        <f t="shared" si="37"/>
        <v>182868.11879825144</v>
      </c>
      <c r="T102" s="203">
        <f t="shared" si="37"/>
        <v>182868.11879825144</v>
      </c>
      <c r="U102" s="203">
        <f t="shared" si="37"/>
        <v>182868.11879825144</v>
      </c>
      <c r="V102" s="203">
        <f t="shared" si="37"/>
        <v>182868.11879825144</v>
      </c>
      <c r="W102" s="203">
        <f t="shared" si="37"/>
        <v>182868.11879825144</v>
      </c>
      <c r="X102" s="203">
        <f t="shared" si="37"/>
        <v>182868.11879825144</v>
      </c>
      <c r="Y102" s="203">
        <f t="shared" si="37"/>
        <v>182868.11879825144</v>
      </c>
      <c r="Z102" s="203">
        <f t="shared" si="37"/>
        <v>182868.11879825144</v>
      </c>
      <c r="AA102" s="203">
        <f t="shared" si="37"/>
        <v>182868.11879825144</v>
      </c>
      <c r="AB102" s="203">
        <f t="shared" si="37"/>
        <v>182868.11879825144</v>
      </c>
      <c r="AC102" s="203">
        <f t="shared" si="37"/>
        <v>182868.11879825144</v>
      </c>
      <c r="AD102" s="203">
        <f t="shared" si="37"/>
        <v>144697.32815360089</v>
      </c>
      <c r="AE102" s="203">
        <f t="shared" si="37"/>
        <v>109996.60938573684</v>
      </c>
      <c r="AF102" s="203">
        <f t="shared" si="37"/>
        <v>78450.501414951286</v>
      </c>
      <c r="AG102" s="203">
        <f t="shared" si="37"/>
        <v>49772.221441509886</v>
      </c>
      <c r="AH102" s="203">
        <f t="shared" si="37"/>
        <v>23701.057829290439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-1368055.5555555555</v>
      </c>
      <c r="D103" s="203">
        <f t="shared" ref="D103:AH103" si="38">D102-D72</f>
        <v>-1443635.5233883737</v>
      </c>
      <c r="E103" s="203">
        <f t="shared" si="38"/>
        <v>-1527890.670913158</v>
      </c>
      <c r="F103" s="203">
        <f t="shared" si="38"/>
        <v>-1620032.3454306384</v>
      </c>
      <c r="G103" s="203">
        <f t="shared" si="38"/>
        <v>-1685142.2010525905</v>
      </c>
      <c r="H103" s="203">
        <f t="shared" si="38"/>
        <v>-1722568.4586887085</v>
      </c>
      <c r="I103" s="203">
        <f t="shared" si="38"/>
        <v>-363663.03633770463</v>
      </c>
      <c r="J103" s="203">
        <f t="shared" si="38"/>
        <v>-226857.48078214913</v>
      </c>
      <c r="K103" s="203">
        <f t="shared" si="38"/>
        <v>-55850.536337704689</v>
      </c>
      <c r="L103" s="203">
        <f t="shared" si="38"/>
        <v>46062.563242695906</v>
      </c>
      <c r="M103" s="203">
        <f t="shared" si="38"/>
        <v>100784.78546491812</v>
      </c>
      <c r="N103" s="203">
        <f t="shared" si="38"/>
        <v>141826.45213158481</v>
      </c>
      <c r="O103" s="203">
        <f t="shared" si="38"/>
        <v>169187.56324269591</v>
      </c>
      <c r="P103" s="203">
        <f t="shared" si="38"/>
        <v>182868.11879825144</v>
      </c>
      <c r="Q103" s="203">
        <f t="shared" si="38"/>
        <v>182868.11879825144</v>
      </c>
      <c r="R103" s="203">
        <f t="shared" si="38"/>
        <v>182868.11879825144</v>
      </c>
      <c r="S103" s="203">
        <f t="shared" si="38"/>
        <v>182868.11879825144</v>
      </c>
      <c r="T103" s="203">
        <f t="shared" si="38"/>
        <v>182868.11879825144</v>
      </c>
      <c r="U103" s="203">
        <f t="shared" si="38"/>
        <v>182868.11879825144</v>
      </c>
      <c r="V103" s="203">
        <f t="shared" si="38"/>
        <v>182868.11879825144</v>
      </c>
      <c r="W103" s="203">
        <f t="shared" si="38"/>
        <v>182868.11879825144</v>
      </c>
      <c r="X103" s="203">
        <f t="shared" si="38"/>
        <v>182868.11879825144</v>
      </c>
      <c r="Y103" s="203">
        <f t="shared" si="38"/>
        <v>182868.11879825144</v>
      </c>
      <c r="Z103" s="203">
        <f t="shared" si="38"/>
        <v>182868.11879825144</v>
      </c>
      <c r="AA103" s="203">
        <f t="shared" si="38"/>
        <v>182868.11879825144</v>
      </c>
      <c r="AB103" s="203">
        <f t="shared" si="38"/>
        <v>182868.11879825144</v>
      </c>
      <c r="AC103" s="203">
        <f t="shared" si="38"/>
        <v>182868.11879825144</v>
      </c>
      <c r="AD103" s="203">
        <f t="shared" si="38"/>
        <v>144697.32815360089</v>
      </c>
      <c r="AE103" s="203">
        <f t="shared" si="38"/>
        <v>109996.60938573684</v>
      </c>
      <c r="AF103" s="203">
        <f t="shared" si="38"/>
        <v>78450.501414951286</v>
      </c>
      <c r="AG103" s="203">
        <f t="shared" si="38"/>
        <v>49772.221441509886</v>
      </c>
      <c r="AH103" s="203">
        <f t="shared" si="38"/>
        <v>23701.057829290439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-1368055.5555555555</v>
      </c>
      <c r="D104" s="203">
        <f t="shared" si="39"/>
        <v>-1270198.8918044523</v>
      </c>
      <c r="E104" s="203">
        <f t="shared" si="39"/>
        <v>-1195535.6710002497</v>
      </c>
      <c r="F104" s="203">
        <f t="shared" si="39"/>
        <v>-1141966.7230616752</v>
      </c>
      <c r="G104" s="203">
        <f t="shared" si="39"/>
        <v>-1073379.7915319807</v>
      </c>
      <c r="H104" s="203">
        <f t="shared" si="39"/>
        <v>-988035.31813964876</v>
      </c>
      <c r="I104" s="203">
        <f t="shared" si="39"/>
        <v>483705.95974570332</v>
      </c>
      <c r="J104" s="203">
        <f t="shared" si="39"/>
        <v>624056.86274056276</v>
      </c>
      <c r="K104" s="203">
        <f t="shared" si="39"/>
        <v>798697.78831029369</v>
      </c>
      <c r="L104" s="203">
        <f t="shared" si="39"/>
        <v>904335.71854411298</v>
      </c>
      <c r="M104" s="203">
        <f t="shared" si="39"/>
        <v>962875.89218608942</v>
      </c>
      <c r="N104" s="203">
        <f t="shared" si="39"/>
        <v>1007830.9590580041</v>
      </c>
      <c r="O104" s="203">
        <f t="shared" si="39"/>
        <v>1039203.3053794943</v>
      </c>
      <c r="P104" s="203">
        <f t="shared" si="39"/>
        <v>1056995.3770256885</v>
      </c>
      <c r="Q104" s="203">
        <f t="shared" si="39"/>
        <v>1061209.6810185933</v>
      </c>
      <c r="R104" s="203">
        <f t="shared" si="39"/>
        <v>1065529.3426113205</v>
      </c>
      <c r="S104" s="203">
        <f t="shared" si="39"/>
        <v>1069956.9957438661</v>
      </c>
      <c r="T104" s="203">
        <f t="shared" si="39"/>
        <v>1074495.340204725</v>
      </c>
      <c r="U104" s="203">
        <f t="shared" si="39"/>
        <v>1079147.1432771056</v>
      </c>
      <c r="V104" s="203">
        <f t="shared" si="39"/>
        <v>1083915.2414262956</v>
      </c>
      <c r="W104" s="203">
        <f t="shared" si="39"/>
        <v>1088802.5420292155</v>
      </c>
      <c r="X104" s="203">
        <f t="shared" si="39"/>
        <v>1093812.0251472085</v>
      </c>
      <c r="Y104" s="203">
        <f t="shared" si="39"/>
        <v>1098946.745343151</v>
      </c>
      <c r="Z104" s="203">
        <f t="shared" si="39"/>
        <v>1104209.8335439921</v>
      </c>
      <c r="AA104" s="203">
        <f t="shared" si="39"/>
        <v>1109604.4989498546</v>
      </c>
      <c r="AB104" s="203">
        <f t="shared" si="39"/>
        <v>1115134.0309908632</v>
      </c>
      <c r="AC104" s="203">
        <f t="shared" si="39"/>
        <v>888423.21730950172</v>
      </c>
      <c r="AD104" s="203">
        <f t="shared" si="39"/>
        <v>702979.10132785852</v>
      </c>
      <c r="AE104" s="203">
        <f t="shared" si="39"/>
        <v>534393.5413445466</v>
      </c>
      <c r="AF104" s="203">
        <f t="shared" si="39"/>
        <v>381133.94135971757</v>
      </c>
      <c r="AG104" s="203">
        <f t="shared" si="39"/>
        <v>241807.0322826003</v>
      </c>
      <c r="AH104" s="203">
        <f t="shared" si="39"/>
        <v>115146.20584885734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8208333.333333334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0.55802983277458629</v>
      </c>
      <c r="E108" s="215">
        <f t="shared" ref="E108:G108" si="40">(E102+E71+E70)/(E70+E71)</f>
        <v>0.53266484037574124</v>
      </c>
      <c r="F108" s="215">
        <f t="shared" si="40"/>
        <v>0.67967638276749565</v>
      </c>
      <c r="G108" s="215">
        <f t="shared" si="40"/>
        <v>0.73510963334837998</v>
      </c>
      <c r="H108" s="215">
        <f>(H102+H71+H70)/(H70+H71)</f>
        <v>0.77466405627378487</v>
      </c>
      <c r="I108" s="215">
        <f>(I102+I71+I70)/(I70+I71)</f>
        <v>0.81012517319568722</v>
      </c>
      <c r="J108" s="215">
        <f t="shared" ref="J108:N108" si="41">(J102+J71+J70)/(J70+J71)</f>
        <v>0.88945016164930801</v>
      </c>
      <c r="K108" s="215">
        <f t="shared" si="41"/>
        <v>0.97030926725379063</v>
      </c>
      <c r="L108" s="215">
        <f t="shared" si="41"/>
        <v>1.0320667590376997</v>
      </c>
      <c r="M108" s="215">
        <f t="shared" si="41"/>
        <v>1.0982267959861129</v>
      </c>
      <c r="N108" s="215">
        <f t="shared" si="41"/>
        <v>1.2182528357675471</v>
      </c>
      <c r="O108" s="215">
        <f>(O102+O71+O70)/(O70+O71)</f>
        <v>1.5496448755092658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0.90401838449494998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0.55802983277458629</v>
      </c>
      <c r="E110" s="215">
        <f t="shared" si="43"/>
        <v>0.53266484037574124</v>
      </c>
      <c r="F110" s="215">
        <f t="shared" si="43"/>
        <v>0.67967638276749565</v>
      </c>
      <c r="G110" s="215">
        <f t="shared" si="43"/>
        <v>0.73510963334837998</v>
      </c>
      <c r="H110" s="215">
        <f t="shared" si="43"/>
        <v>0.77466405627378487</v>
      </c>
      <c r="I110" s="215">
        <f t="shared" si="43"/>
        <v>0.81012517319568722</v>
      </c>
      <c r="J110" s="215">
        <f t="shared" si="43"/>
        <v>0.88945016164930801</v>
      </c>
      <c r="K110" s="215">
        <f t="shared" si="43"/>
        <v>0.97030926725379063</v>
      </c>
      <c r="L110" s="215">
        <f t="shared" si="43"/>
        <v>1.0320667590376997</v>
      </c>
      <c r="M110" s="215">
        <f t="shared" si="43"/>
        <v>1.0982267959861129</v>
      </c>
      <c r="N110" s="215">
        <f t="shared" si="43"/>
        <v>1.2182528357675471</v>
      </c>
      <c r="O110" s="215">
        <f t="shared" si="43"/>
        <v>1.5496448755092658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0.90401838449494998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0.55802983277458629</v>
      </c>
      <c r="E112" s="215">
        <f t="shared" si="44"/>
        <v>0.53266484037574124</v>
      </c>
      <c r="F112" s="215">
        <f t="shared" si="44"/>
        <v>0.67967638276749565</v>
      </c>
      <c r="G112" s="215">
        <f t="shared" si="44"/>
        <v>0.73510963334837998</v>
      </c>
      <c r="H112" s="215">
        <f t="shared" si="44"/>
        <v>0.77466405627378487</v>
      </c>
      <c r="I112" s="215">
        <f t="shared" si="44"/>
        <v>0.81012517319568722</v>
      </c>
      <c r="J112" s="215">
        <f t="shared" si="44"/>
        <v>0.88945016164930801</v>
      </c>
      <c r="K112" s="215">
        <f t="shared" si="44"/>
        <v>0.97030926725379063</v>
      </c>
      <c r="L112" s="215">
        <f t="shared" si="44"/>
        <v>1.0320667590376997</v>
      </c>
      <c r="M112" s="215">
        <f t="shared" si="44"/>
        <v>1.0982267959861129</v>
      </c>
      <c r="N112" s="215">
        <f t="shared" si="44"/>
        <v>1.2182528357675471</v>
      </c>
      <c r="O112" s="215">
        <f t="shared" si="44"/>
        <v>1.5496448755092658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0.90401838449494998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9609-9CFC-4169-BAA3-D7A2ED5892E2}">
  <dimension ref="A1:BV114"/>
  <sheetViews>
    <sheetView topLeftCell="A41" zoomScale="51" zoomScaleNormal="51" workbookViewId="0">
      <selection activeCell="C66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5">
        <v>0.1</v>
      </c>
      <c r="C3" s="266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8.6300000000000002E-2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0.91369999999999996</v>
      </c>
      <c r="E8" s="49">
        <f t="shared" ref="E8:AH8" si="0">1*((1-$B$6)^E7)</f>
        <v>0.83484768999999992</v>
      </c>
      <c r="F8" s="49">
        <f t="shared" si="0"/>
        <v>0.76280033435299988</v>
      </c>
      <c r="G8" s="49">
        <f t="shared" si="0"/>
        <v>0.69697066549833597</v>
      </c>
      <c r="H8" s="49">
        <f t="shared" si="0"/>
        <v>0.6368220970658296</v>
      </c>
      <c r="I8" s="49">
        <f t="shared" si="0"/>
        <v>0.58186435008904847</v>
      </c>
      <c r="J8" s="49">
        <f t="shared" si="0"/>
        <v>0.53164945667636354</v>
      </c>
      <c r="K8" s="49">
        <f t="shared" si="0"/>
        <v>0.48576810856519331</v>
      </c>
      <c r="L8" s="49">
        <f t="shared" si="0"/>
        <v>0.4438463207960171</v>
      </c>
      <c r="M8" s="49">
        <f t="shared" si="0"/>
        <v>0.40554238331132081</v>
      </c>
      <c r="N8" s="49">
        <f t="shared" si="0"/>
        <v>0.37054407563155378</v>
      </c>
      <c r="O8" s="49">
        <f t="shared" si="0"/>
        <v>0.33856612190455071</v>
      </c>
      <c r="P8" s="49">
        <f t="shared" si="0"/>
        <v>0.30934786558418798</v>
      </c>
      <c r="Q8" s="49">
        <f t="shared" si="0"/>
        <v>0.28265114478427256</v>
      </c>
      <c r="R8" s="49">
        <f t="shared" si="0"/>
        <v>0.25825835098938982</v>
      </c>
      <c r="S8" s="49">
        <f t="shared" si="0"/>
        <v>0.23597065529900543</v>
      </c>
      <c r="T8" s="49">
        <f t="shared" si="0"/>
        <v>0.21560638774670127</v>
      </c>
      <c r="U8" s="49">
        <f t="shared" si="0"/>
        <v>0.19699955648416093</v>
      </c>
      <c r="V8" s="49">
        <f t="shared" si="0"/>
        <v>0.17999849475957783</v>
      </c>
      <c r="W8" s="49">
        <f t="shared" si="0"/>
        <v>0.16446462466182626</v>
      </c>
      <c r="X8" s="49">
        <f t="shared" si="0"/>
        <v>0.15027132755351066</v>
      </c>
      <c r="Y8" s="49">
        <f t="shared" si="0"/>
        <v>0.13730291198564268</v>
      </c>
      <c r="Z8" s="49">
        <f t="shared" si="0"/>
        <v>0.12545367068128171</v>
      </c>
      <c r="AA8" s="49">
        <f t="shared" si="0"/>
        <v>0.11462701890148708</v>
      </c>
      <c r="AB8" s="49">
        <f t="shared" si="0"/>
        <v>0.10473470717028874</v>
      </c>
      <c r="AC8" s="49">
        <f t="shared" si="0"/>
        <v>9.569610194149282E-2</v>
      </c>
      <c r="AD8" s="49">
        <f t="shared" si="0"/>
        <v>8.7437528343941973E-2</v>
      </c>
      <c r="AE8" s="49">
        <f t="shared" si="0"/>
        <v>7.9891669647859792E-2</v>
      </c>
      <c r="AF8" s="49">
        <f t="shared" si="0"/>
        <v>7.2997018557249493E-2</v>
      </c>
      <c r="AG8" s="49">
        <f t="shared" si="0"/>
        <v>6.6697375855758856E-2</v>
      </c>
      <c r="AH8" s="49">
        <f t="shared" si="0"/>
        <v>6.0941392319406866E-2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8.6300000000000002E-2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8.6300000000000002E-2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8.6300000000000002E-2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2">
        <v>0.03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C28*(Interventions!$H$7)</f>
        <v>165824.91582491584</v>
      </c>
      <c r="E26" s="27">
        <f>D28*(Interventions!$H$7)</f>
        <v>316574.83930211206</v>
      </c>
      <c r="F26" s="27">
        <f>E28*(Interventions!$H$7)</f>
        <v>453620.22428138135</v>
      </c>
      <c r="G26" s="27">
        <f>F28*(Interventions!$H$7)</f>
        <v>578206.93789889885</v>
      </c>
      <c r="H26" s="27">
        <f>G28*(Interventions!$H$7)</f>
        <v>691467.58664209663</v>
      </c>
      <c r="I26" s="27">
        <f>H28*(Interventions!$H$7)</f>
        <v>794431.81277227646</v>
      </c>
      <c r="J26" s="27">
        <f>I28*(Interventions!$H$7)</f>
        <v>794431.81277227646</v>
      </c>
      <c r="K26" s="27">
        <f>J28*(Interventions!$H$7)</f>
        <v>794431.81277227646</v>
      </c>
      <c r="L26" s="27">
        <f>K28*(Interventions!$H$7)</f>
        <v>794431.81277227646</v>
      </c>
      <c r="M26" s="27">
        <f>L28*(Interventions!$H$7)</f>
        <v>794431.81277227646</v>
      </c>
      <c r="N26" s="27">
        <f>M28*(Interventions!$H$7)</f>
        <v>794431.81277227646</v>
      </c>
      <c r="O26" s="27">
        <f>N28*(Interventions!$H$7)</f>
        <v>794431.81277227646</v>
      </c>
      <c r="P26" s="27">
        <f>O28*(Interventions!$H$7)</f>
        <v>794431.81277227646</v>
      </c>
      <c r="Q26" s="27">
        <f>P28*(Interventions!$H$7)</f>
        <v>794431.81277227646</v>
      </c>
      <c r="R26" s="27">
        <f>Q28*(Interventions!$H$7)</f>
        <v>794431.81277227646</v>
      </c>
      <c r="S26" s="27">
        <f>R28*(Interventions!$H$7)</f>
        <v>794431.81277227646</v>
      </c>
      <c r="T26" s="27">
        <f>S28*(Interventions!$H$7)</f>
        <v>794431.81277227646</v>
      </c>
      <c r="U26" s="27">
        <f>T28*(Interventions!$H$7)</f>
        <v>794431.81277227646</v>
      </c>
      <c r="V26" s="27">
        <f>U28*(Interventions!$H$7)</f>
        <v>794431.81277227646</v>
      </c>
      <c r="W26" s="27">
        <f>V28*(Interventions!$H$7)</f>
        <v>794431.81277227646</v>
      </c>
      <c r="X26" s="27">
        <f>W28*(Interventions!$H$7)</f>
        <v>794431.81277227646</v>
      </c>
      <c r="Y26" s="27">
        <f>X28*(Interventions!$H$7)</f>
        <v>794431.81277227646</v>
      </c>
      <c r="Z26" s="27">
        <f>Y28*(Interventions!$H$7)</f>
        <v>794431.81277227646</v>
      </c>
      <c r="AA26" s="27">
        <f>Z28*(Interventions!$H$7)</f>
        <v>794431.81277227646</v>
      </c>
      <c r="AB26" s="27">
        <f>AA28*(Interventions!$H$7)</f>
        <v>794431.81277227646</v>
      </c>
      <c r="AC26" s="27">
        <f>AB28*(Interventions!$H$7)</f>
        <v>794431.81277227646</v>
      </c>
      <c r="AD26" s="27">
        <f>AC28*(Interventions!$H$7)</f>
        <v>628606.8969473606</v>
      </c>
      <c r="AE26" s="27">
        <f>AD28*(Interventions!$H$7)</f>
        <v>477856.9734701644</v>
      </c>
      <c r="AF26" s="27">
        <f>AE28*(Interventions!$H$7)</f>
        <v>340811.58849089511</v>
      </c>
      <c r="AG26" s="27">
        <f>AF28*(Interventions!$H$7)</f>
        <v>216224.87487337762</v>
      </c>
      <c r="AH26" s="27">
        <f>AG28*(Interventions!$H$7)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D25/(Interventions!$H$6+Interventions!$H$7)</f>
        <v>55.096642475492928</v>
      </c>
      <c r="E27" s="45">
        <f>E25/(Interventions!$H$6+Interventions!$H$7)</f>
        <v>50.08785679590266</v>
      </c>
      <c r="F27" s="45">
        <f>F25/(Interventions!$H$6+Interventions!$H$7)</f>
        <v>45.534415269002416</v>
      </c>
      <c r="G27" s="45">
        <f>G25/(Interventions!$H$6+Interventions!$H$7)</f>
        <v>41.394922971820385</v>
      </c>
      <c r="H27" s="45">
        <f>H25/(Interventions!$H$6+Interventions!$H$7)</f>
        <v>37.631748156200345</v>
      </c>
      <c r="I27" s="45">
        <f>I25/(Interventions!$H$6+Interventions!$H$7)</f>
        <v>0</v>
      </c>
      <c r="J27" s="45">
        <f>J25/(Interventions!$H$6+Interventions!$H$7)</f>
        <v>0</v>
      </c>
      <c r="K27" s="45">
        <f>K25/(Interventions!$H$6+Interventions!$H$7)</f>
        <v>0</v>
      </c>
      <c r="L27" s="45">
        <f>L25/(Interventions!$H$6+Interventions!$H$7)</f>
        <v>0</v>
      </c>
      <c r="M27" s="45">
        <f>M25/(Interventions!$H$6+Interventions!$H$7)</f>
        <v>0</v>
      </c>
      <c r="N27" s="45">
        <f>N25/(Interventions!$H$6+Interventions!$H$7)</f>
        <v>0</v>
      </c>
      <c r="O27" s="45">
        <f>O25/(Interventions!$H$6+Interventions!$H$7)</f>
        <v>0</v>
      </c>
      <c r="P27" s="45">
        <f>P25/(Interventions!$H$6+Interventions!$H$7)</f>
        <v>0</v>
      </c>
      <c r="Q27" s="45">
        <f>Q25/(Interventions!$H$6+Interventions!$H$7)</f>
        <v>0</v>
      </c>
      <c r="R27" s="45">
        <f>R25/(Interventions!$H$6+Interventions!$H$7)</f>
        <v>0</v>
      </c>
      <c r="S27" s="45">
        <f>S25/(Interventions!$H$6+Interventions!$H$7)</f>
        <v>0</v>
      </c>
      <c r="T27" s="45">
        <f>T25/(Interventions!$H$6+Interventions!$H$7)</f>
        <v>0</v>
      </c>
      <c r="U27" s="45">
        <f>U25/(Interventions!$H$6+Interventions!$H$7)</f>
        <v>0</v>
      </c>
      <c r="V27" s="45">
        <f>V25/(Interventions!$H$6+Interventions!$H$7)</f>
        <v>0</v>
      </c>
      <c r="W27" s="45">
        <f>W25/(Interventions!$H$6+Interventions!$H$7)</f>
        <v>0</v>
      </c>
      <c r="X27" s="45">
        <f>X25/(Interventions!$H$6+Interventions!$H$7)</f>
        <v>0</v>
      </c>
      <c r="Y27" s="45">
        <f>Y25/(Interventions!$H$6+Interventions!$H$7)</f>
        <v>0</v>
      </c>
      <c r="Z27" s="45">
        <f>Z25/(Interventions!$H$6+Interventions!$H$7)</f>
        <v>0</v>
      </c>
      <c r="AA27" s="45">
        <f>AA25/(Interventions!$H$6+Interventions!$H$7)</f>
        <v>0</v>
      </c>
      <c r="AB27" s="45">
        <f>AB25/(Interventions!$H$6+Interventions!$H$7)</f>
        <v>0</v>
      </c>
      <c r="AC27" s="45">
        <f>AC25/(Interventions!$H$6+Interventions!$H$7)</f>
        <v>0</v>
      </c>
      <c r="AD27" s="45">
        <f>AD25/(Interventions!$H$6+Interventions!$H$7)</f>
        <v>0</v>
      </c>
      <c r="AE27" s="45">
        <f>AE25/(Interventions!$H$6+Interventions!$H$7)</f>
        <v>0</v>
      </c>
      <c r="AF27" s="45">
        <f>AF25/(Interventions!$H$6+Interventions!$H$7)</f>
        <v>0</v>
      </c>
      <c r="AG27" s="45">
        <f>AG25/(Interventions!$H$6+Interventions!$H$7)</f>
        <v>0</v>
      </c>
      <c r="AH27" s="45">
        <f>AH25/(Interventions!$H$6+Interventions!$H$7)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C28*Interventions!$H$10</f>
        <v>196364.43378265679</v>
      </c>
      <c r="E32" s="42">
        <f>D28*Interventions!$H$10</f>
        <v>374877.55540325388</v>
      </c>
      <c r="F32" s="42">
        <f>E28*Interventions!$H$10</f>
        <v>537162.21142197854</v>
      </c>
      <c r="G32" s="42">
        <f>F28*Interventions!$H$10</f>
        <v>684693.71689354628</v>
      </c>
      <c r="H32" s="42">
        <f>G28*Interventions!$H$10</f>
        <v>818813.26732224436</v>
      </c>
      <c r="I32" s="42">
        <f>H28*Interventions!$H$10</f>
        <v>940740.13134833355</v>
      </c>
      <c r="J32" s="42">
        <f>I28*Interventions!$H$10</f>
        <v>940740.13134833355</v>
      </c>
      <c r="K32" s="42">
        <f>J28*Interventions!$H$10</f>
        <v>940740.13134833355</v>
      </c>
      <c r="L32" s="42">
        <f>K28*Interventions!$H$10</f>
        <v>940740.13134833355</v>
      </c>
      <c r="M32" s="42">
        <f>L28*Interventions!$H$10</f>
        <v>940740.13134833355</v>
      </c>
      <c r="N32" s="42">
        <f>M28*Interventions!$H$10</f>
        <v>940740.13134833355</v>
      </c>
      <c r="O32" s="42">
        <f>N28*Interventions!$H$10</f>
        <v>940740.13134833355</v>
      </c>
      <c r="P32" s="42">
        <f>O28*Interventions!$H$10</f>
        <v>940740.13134833355</v>
      </c>
      <c r="Q32" s="42">
        <f>P28*Interventions!$H$10</f>
        <v>940740.13134833355</v>
      </c>
      <c r="R32" s="42">
        <f>Q28*Interventions!$H$10</f>
        <v>940740.13134833355</v>
      </c>
      <c r="S32" s="42">
        <f>R28*Interventions!$H$10</f>
        <v>940740.13134833355</v>
      </c>
      <c r="T32" s="42">
        <f>S28*Interventions!$H$10</f>
        <v>940740.13134833355</v>
      </c>
      <c r="U32" s="42">
        <f>T28*Interventions!$H$10</f>
        <v>940740.13134833355</v>
      </c>
      <c r="V32" s="42">
        <f>U28*Interventions!$H$10</f>
        <v>940740.13134833355</v>
      </c>
      <c r="W32" s="42">
        <f>V28*Interventions!$H$10</f>
        <v>940740.13134833355</v>
      </c>
      <c r="X32" s="42">
        <f>W28*Interventions!$H$10</f>
        <v>940740.13134833355</v>
      </c>
      <c r="Y32" s="42">
        <f>X28*Interventions!$H$10</f>
        <v>940740.13134833355</v>
      </c>
      <c r="Z32" s="42">
        <f>Y28*Interventions!$H$10</f>
        <v>940740.13134833355</v>
      </c>
      <c r="AA32" s="42">
        <f>Z28*Interventions!$H$10</f>
        <v>940740.13134833355</v>
      </c>
      <c r="AB32" s="42">
        <f>AA28*Interventions!$H$10</f>
        <v>940740.13134833355</v>
      </c>
      <c r="AC32" s="42">
        <f>AB28*Interventions!$H$10</f>
        <v>940740.13134833355</v>
      </c>
      <c r="AD32" s="42">
        <f>AC28*Interventions!$H$10</f>
        <v>744375.69756567676</v>
      </c>
      <c r="AE32" s="42">
        <f>AD28*Interventions!$H$10</f>
        <v>565862.57594507968</v>
      </c>
      <c r="AF32" s="42">
        <f>AE28*Interventions!$H$10</f>
        <v>403577.91992635507</v>
      </c>
      <c r="AG32" s="42">
        <f>AF28*Interventions!$H$10</f>
        <v>256046.41445478724</v>
      </c>
      <c r="AH32" s="42">
        <f>AG28*Interventions!$H$10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D37-D38</f>
        <v>293060.88464041753</v>
      </c>
      <c r="E34" s="116">
        <f t="shared" ref="E34:AH34" si="9">E37-E38</f>
        <v>559479.87067716056</v>
      </c>
      <c r="F34" s="116">
        <f t="shared" si="9"/>
        <v>801678.94889238186</v>
      </c>
      <c r="G34" s="116">
        <f t="shared" si="9"/>
        <v>1021859.9290880372</v>
      </c>
      <c r="H34" s="116">
        <f t="shared" si="9"/>
        <v>1222024.4565386337</v>
      </c>
      <c r="I34" s="116">
        <f t="shared" si="9"/>
        <v>1403992.2087664481</v>
      </c>
      <c r="J34" s="116">
        <f t="shared" si="9"/>
        <v>1403992.2087664481</v>
      </c>
      <c r="K34" s="116">
        <f t="shared" si="9"/>
        <v>1403992.2087664481</v>
      </c>
      <c r="L34" s="116">
        <f t="shared" si="9"/>
        <v>1403992.2087664481</v>
      </c>
      <c r="M34" s="116">
        <f t="shared" si="9"/>
        <v>1403992.2087664481</v>
      </c>
      <c r="N34" s="116">
        <f t="shared" si="9"/>
        <v>1403992.2087664481</v>
      </c>
      <c r="O34" s="116">
        <f t="shared" si="9"/>
        <v>1403992.2087664481</v>
      </c>
      <c r="P34" s="116">
        <f t="shared" si="9"/>
        <v>1403992.2087664481</v>
      </c>
      <c r="Q34" s="116">
        <f t="shared" si="9"/>
        <v>1403992.2087664481</v>
      </c>
      <c r="R34" s="116">
        <f t="shared" si="9"/>
        <v>1403992.2087664481</v>
      </c>
      <c r="S34" s="116">
        <f t="shared" si="9"/>
        <v>1403992.2087664481</v>
      </c>
      <c r="T34" s="116">
        <f t="shared" si="9"/>
        <v>1403992.2087664481</v>
      </c>
      <c r="U34" s="116">
        <f t="shared" si="9"/>
        <v>1403992.2087664481</v>
      </c>
      <c r="V34" s="116">
        <f t="shared" si="9"/>
        <v>1403992.2087664481</v>
      </c>
      <c r="W34" s="116">
        <f t="shared" si="9"/>
        <v>1403992.2087664481</v>
      </c>
      <c r="X34" s="116">
        <f t="shared" si="9"/>
        <v>1403992.2087664481</v>
      </c>
      <c r="Y34" s="116">
        <f t="shared" si="9"/>
        <v>1403992.2087664481</v>
      </c>
      <c r="Z34" s="116">
        <f t="shared" si="9"/>
        <v>1403992.2087664481</v>
      </c>
      <c r="AA34" s="116">
        <f t="shared" si="9"/>
        <v>1403992.2087664481</v>
      </c>
      <c r="AB34" s="116">
        <f t="shared" si="9"/>
        <v>1403992.2087664481</v>
      </c>
      <c r="AC34" s="116">
        <f t="shared" si="9"/>
        <v>1403992.2087664481</v>
      </c>
      <c r="AD34" s="116">
        <f t="shared" si="9"/>
        <v>1110931.3241260308</v>
      </c>
      <c r="AE34" s="116">
        <f t="shared" si="9"/>
        <v>844512.33808928716</v>
      </c>
      <c r="AF34" s="116">
        <f t="shared" si="9"/>
        <v>602313.25987406611</v>
      </c>
      <c r="AG34" s="116">
        <f t="shared" si="9"/>
        <v>382132.2796784105</v>
      </c>
      <c r="AH34" s="116">
        <f t="shared" si="9"/>
        <v>181967.75222781458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C28*Interventions!$H$13</f>
        <v>566305.33002010651</v>
      </c>
      <c r="E37" s="42">
        <f>D28*Interventions!$H$13</f>
        <v>1081128.3573111123</v>
      </c>
      <c r="F37" s="42">
        <f>E28*Interventions!$H$13</f>
        <v>1549149.291212027</v>
      </c>
      <c r="G37" s="42">
        <f>F28*Interventions!$H$13</f>
        <v>1974622.8674855854</v>
      </c>
      <c r="H37" s="42">
        <f>G28*Interventions!$H$13</f>
        <v>2361417.0277342754</v>
      </c>
      <c r="I37" s="42">
        <f>H28*Interventions!$H$13</f>
        <v>2713048.0825058115</v>
      </c>
      <c r="J37" s="42">
        <f>I28*Interventions!$H$13</f>
        <v>2713048.0825058115</v>
      </c>
      <c r="K37" s="42">
        <f>J28*Interventions!$H$13</f>
        <v>2713048.0825058115</v>
      </c>
      <c r="L37" s="42">
        <f>K28*Interventions!$H$13</f>
        <v>2713048.0825058115</v>
      </c>
      <c r="M37" s="42">
        <f>L28*Interventions!$H$13</f>
        <v>2713048.0825058115</v>
      </c>
      <c r="N37" s="42">
        <f>M28*Interventions!$H$13</f>
        <v>2713048.0825058115</v>
      </c>
      <c r="O37" s="42">
        <f>N28*Interventions!$H$13</f>
        <v>2713048.0825058115</v>
      </c>
      <c r="P37" s="42">
        <f>O28*Interventions!$H$13</f>
        <v>2713048.0825058115</v>
      </c>
      <c r="Q37" s="42">
        <f>P28*Interventions!$H$13</f>
        <v>2713048.0825058115</v>
      </c>
      <c r="R37" s="42">
        <f>Q28*Interventions!$H$13</f>
        <v>2713048.0825058115</v>
      </c>
      <c r="S37" s="42">
        <f>R28*Interventions!$H$13</f>
        <v>2713048.0825058115</v>
      </c>
      <c r="T37" s="42">
        <f>S28*Interventions!$H$13</f>
        <v>2713048.0825058115</v>
      </c>
      <c r="U37" s="42">
        <f>T28*Interventions!$H$13</f>
        <v>2713048.0825058115</v>
      </c>
      <c r="V37" s="42">
        <f>U28*Interventions!$H$13</f>
        <v>2713048.0825058115</v>
      </c>
      <c r="W37" s="42">
        <f>V28*Interventions!$H$13</f>
        <v>2713048.0825058115</v>
      </c>
      <c r="X37" s="42">
        <f>W28*Interventions!$H$13</f>
        <v>2713048.0825058115</v>
      </c>
      <c r="Y37" s="42">
        <f>X28*Interventions!$H$13</f>
        <v>2713048.0825058115</v>
      </c>
      <c r="Z37" s="42">
        <f>Y28*Interventions!$H$13</f>
        <v>2713048.0825058115</v>
      </c>
      <c r="AA37" s="42">
        <f>Z28*Interventions!$H$13</f>
        <v>2713048.0825058115</v>
      </c>
      <c r="AB37" s="42">
        <f>AA28*Interventions!$H$13</f>
        <v>2713048.0825058115</v>
      </c>
      <c r="AC37" s="42">
        <f>AB28*Interventions!$H$13</f>
        <v>2713048.0825058115</v>
      </c>
      <c r="AD37" s="42">
        <f>AC28*Interventions!$H$13</f>
        <v>2146742.7524857051</v>
      </c>
      <c r="AE37" s="42">
        <f>AD28*Interventions!$H$13</f>
        <v>1631919.7251946989</v>
      </c>
      <c r="AF37" s="42">
        <f>AE28*Interventions!$H$13</f>
        <v>1163898.7912937845</v>
      </c>
      <c r="AG37" s="42">
        <f>AF28*Interventions!$H$13</f>
        <v>738425.21502022585</v>
      </c>
      <c r="AH37" s="42">
        <f>AG28*Interventions!$H$13</f>
        <v>351631.0547715362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C28*Interventions!$H$14</f>
        <v>273244.44537968899</v>
      </c>
      <c r="E38" s="42">
        <f>D28*Interventions!$H$14</f>
        <v>521648.48663395172</v>
      </c>
      <c r="F38" s="42">
        <f>E28*Interventions!$H$14</f>
        <v>747470.3423196451</v>
      </c>
      <c r="G38" s="42">
        <f>F28*Interventions!$H$14</f>
        <v>952762.93839754816</v>
      </c>
      <c r="H38" s="42">
        <f>G28*Interventions!$H$14</f>
        <v>1139392.5711956418</v>
      </c>
      <c r="I38" s="42">
        <f>H28*Interventions!$H$14</f>
        <v>1309055.8737393634</v>
      </c>
      <c r="J38" s="42">
        <f>I28*Interventions!$H$14</f>
        <v>1309055.8737393634</v>
      </c>
      <c r="K38" s="42">
        <f>J28*Interventions!$H$14</f>
        <v>1309055.8737393634</v>
      </c>
      <c r="L38" s="42">
        <f>K28*Interventions!$H$14</f>
        <v>1309055.8737393634</v>
      </c>
      <c r="M38" s="42">
        <f>L28*Interventions!$H$14</f>
        <v>1309055.8737393634</v>
      </c>
      <c r="N38" s="42">
        <f>M28*Interventions!$H$14</f>
        <v>1309055.8737393634</v>
      </c>
      <c r="O38" s="42">
        <f>N28*Interventions!$H$14</f>
        <v>1309055.8737393634</v>
      </c>
      <c r="P38" s="42">
        <f>O28*Interventions!$H$14</f>
        <v>1309055.8737393634</v>
      </c>
      <c r="Q38" s="42">
        <f>P28*Interventions!$H$14</f>
        <v>1309055.8737393634</v>
      </c>
      <c r="R38" s="42">
        <f>Q28*Interventions!$H$14</f>
        <v>1309055.8737393634</v>
      </c>
      <c r="S38" s="42">
        <f>R28*Interventions!$H$14</f>
        <v>1309055.8737393634</v>
      </c>
      <c r="T38" s="42">
        <f>S28*Interventions!$H$14</f>
        <v>1309055.8737393634</v>
      </c>
      <c r="U38" s="42">
        <f>T28*Interventions!$H$14</f>
        <v>1309055.8737393634</v>
      </c>
      <c r="V38" s="42">
        <f>U28*Interventions!$H$14</f>
        <v>1309055.8737393634</v>
      </c>
      <c r="W38" s="42">
        <f>V28*Interventions!$H$14</f>
        <v>1309055.8737393634</v>
      </c>
      <c r="X38" s="42">
        <f>W28*Interventions!$H$14</f>
        <v>1309055.8737393634</v>
      </c>
      <c r="Y38" s="42">
        <f>X28*Interventions!$H$14</f>
        <v>1309055.8737393634</v>
      </c>
      <c r="Z38" s="42">
        <f>Y28*Interventions!$H$14</f>
        <v>1309055.8737393634</v>
      </c>
      <c r="AA38" s="42">
        <f>Z28*Interventions!$H$14</f>
        <v>1309055.8737393634</v>
      </c>
      <c r="AB38" s="42">
        <f>AA28*Interventions!$H$14</f>
        <v>1309055.8737393634</v>
      </c>
      <c r="AC38" s="42">
        <f>AB28*Interventions!$H$14</f>
        <v>1309055.8737393634</v>
      </c>
      <c r="AD38" s="42">
        <f>AC28*Interventions!$H$14</f>
        <v>1035811.4283596744</v>
      </c>
      <c r="AE38" s="42">
        <f>AD28*Interventions!$H$14</f>
        <v>787407.38710541173</v>
      </c>
      <c r="AF38" s="42">
        <f>AE28*Interventions!$H$14</f>
        <v>561585.53141971841</v>
      </c>
      <c r="AG38" s="42">
        <f>AF28*Interventions!$H$14</f>
        <v>356292.93534181535</v>
      </c>
      <c r="AH38" s="42">
        <f>AG28*Interventions!$H$14</f>
        <v>169663.30254372163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524309.72675231285</v>
      </c>
      <c r="E40" s="116">
        <f t="shared" si="10"/>
        <v>1002619.8705610381</v>
      </c>
      <c r="F40" s="116">
        <f t="shared" si="10"/>
        <v>1439099.7787176659</v>
      </c>
      <c r="G40" s="116">
        <f t="shared" si="10"/>
        <v>1837543.1417821837</v>
      </c>
      <c r="H40" s="116">
        <f t="shared" si="10"/>
        <v>2201401.9772707131</v>
      </c>
      <c r="I40" s="116">
        <f t="shared" si="10"/>
        <v>2533817.5368776587</v>
      </c>
      <c r="J40" s="116">
        <f t="shared" si="10"/>
        <v>2538544.6667967308</v>
      </c>
      <c r="K40" s="116">
        <f t="shared" si="10"/>
        <v>2543389.9749637791</v>
      </c>
      <c r="L40" s="116">
        <f t="shared" si="10"/>
        <v>2548356.4158350043</v>
      </c>
      <c r="M40" s="116">
        <f t="shared" si="10"/>
        <v>2553447.0177280097</v>
      </c>
      <c r="N40" s="116">
        <f t="shared" si="10"/>
        <v>2558664.88466834</v>
      </c>
      <c r="O40" s="116">
        <f t="shared" si="10"/>
        <v>2564013.1982821794</v>
      </c>
      <c r="P40" s="116">
        <f t="shared" si="10"/>
        <v>2569495.2197363642</v>
      </c>
      <c r="Q40" s="116">
        <f t="shared" si="10"/>
        <v>2575114.291726904</v>
      </c>
      <c r="R40" s="116">
        <f t="shared" si="10"/>
        <v>2580873.840517207</v>
      </c>
      <c r="S40" s="116">
        <f t="shared" si="10"/>
        <v>2586777.3780272673</v>
      </c>
      <c r="T40" s="116">
        <f t="shared" si="10"/>
        <v>2592828.5039750794</v>
      </c>
      <c r="U40" s="116">
        <f t="shared" si="10"/>
        <v>2599030.9080715869</v>
      </c>
      <c r="V40" s="116">
        <f t="shared" si="10"/>
        <v>2605388.3722705068</v>
      </c>
      <c r="W40" s="116">
        <f t="shared" si="10"/>
        <v>2611904.7730744001</v>
      </c>
      <c r="X40" s="116">
        <f t="shared" si="10"/>
        <v>2618584.0838983906</v>
      </c>
      <c r="Y40" s="116">
        <f t="shared" si="10"/>
        <v>2625430.377492981</v>
      </c>
      <c r="Z40" s="116">
        <f t="shared" si="10"/>
        <v>2632447.8284274358</v>
      </c>
      <c r="AA40" s="116">
        <f t="shared" si="10"/>
        <v>2639640.7156352522</v>
      </c>
      <c r="AB40" s="116">
        <f t="shared" si="10"/>
        <v>2647013.4250232638</v>
      </c>
      <c r="AC40" s="116">
        <f t="shared" si="10"/>
        <v>2344732.3401147816</v>
      </c>
      <c r="AD40" s="116">
        <f t="shared" si="10"/>
        <v>1855307.0216917074</v>
      </c>
      <c r="AE40" s="116">
        <f t="shared" si="10"/>
        <v>1410374.9140343668</v>
      </c>
      <c r="AF40" s="116">
        <f t="shared" si="10"/>
        <v>1005891.1798004212</v>
      </c>
      <c r="AG40" s="116">
        <f t="shared" si="10"/>
        <v>638178.69413319777</v>
      </c>
      <c r="AH40" s="116">
        <f t="shared" si="10"/>
        <v>303894.61625390378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-1299764.3473217611</v>
      </c>
      <c r="E42" s="31">
        <f t="shared" si="11"/>
        <v>-821454.20351303578</v>
      </c>
      <c r="F42" s="31">
        <f t="shared" si="11"/>
        <v>-384974.29535640799</v>
      </c>
      <c r="G42" s="31">
        <f t="shared" si="11"/>
        <v>13469.067708109505</v>
      </c>
      <c r="H42" s="31">
        <f t="shared" si="11"/>
        <v>377327.90319663892</v>
      </c>
      <c r="I42" s="31">
        <f t="shared" si="11"/>
        <v>1739385.7241053823</v>
      </c>
      <c r="J42" s="31">
        <f t="shared" si="11"/>
        <v>1744112.8540244545</v>
      </c>
      <c r="K42" s="31">
        <f t="shared" si="11"/>
        <v>1748958.1621915027</v>
      </c>
      <c r="L42" s="31">
        <f t="shared" si="11"/>
        <v>1753924.603062728</v>
      </c>
      <c r="M42" s="31">
        <f t="shared" si="11"/>
        <v>1759015.2049557334</v>
      </c>
      <c r="N42" s="31">
        <f t="shared" si="11"/>
        <v>1764233.0718960636</v>
      </c>
      <c r="O42" s="31">
        <f t="shared" si="11"/>
        <v>1769581.3855099031</v>
      </c>
      <c r="P42" s="31">
        <f t="shared" si="11"/>
        <v>1775063.4069640879</v>
      </c>
      <c r="Q42" s="31">
        <f t="shared" si="11"/>
        <v>1780682.4789546276</v>
      </c>
      <c r="R42" s="31">
        <f t="shared" si="11"/>
        <v>1786442.0277449307</v>
      </c>
      <c r="S42" s="31">
        <f t="shared" si="11"/>
        <v>1792345.5652549909</v>
      </c>
      <c r="T42" s="31">
        <f t="shared" si="11"/>
        <v>1798396.691202803</v>
      </c>
      <c r="U42" s="31">
        <f t="shared" si="11"/>
        <v>1804599.0952993105</v>
      </c>
      <c r="V42" s="31">
        <f t="shared" si="11"/>
        <v>1810956.5594982305</v>
      </c>
      <c r="W42" s="31">
        <f t="shared" si="11"/>
        <v>1817472.9603021238</v>
      </c>
      <c r="X42" s="31">
        <f t="shared" si="11"/>
        <v>1824152.2711261143</v>
      </c>
      <c r="Y42" s="31">
        <f t="shared" si="11"/>
        <v>1830998.5647207047</v>
      </c>
      <c r="Z42" s="31">
        <f t="shared" si="11"/>
        <v>1838016.0156551595</v>
      </c>
      <c r="AA42" s="31">
        <f t="shared" si="11"/>
        <v>1845208.9028629758</v>
      </c>
      <c r="AB42" s="31">
        <f t="shared" si="11"/>
        <v>1852581.6122509874</v>
      </c>
      <c r="AC42" s="31">
        <f t="shared" si="11"/>
        <v>1550300.5273425053</v>
      </c>
      <c r="AD42" s="31">
        <f t="shared" si="11"/>
        <v>1226700.1247443468</v>
      </c>
      <c r="AE42" s="31">
        <f t="shared" si="11"/>
        <v>932517.94056420238</v>
      </c>
      <c r="AF42" s="31">
        <f t="shared" si="11"/>
        <v>665079.59130952612</v>
      </c>
      <c r="AG42" s="31">
        <f t="shared" si="11"/>
        <v>421953.81925982016</v>
      </c>
      <c r="AH42" s="31">
        <f t="shared" si="11"/>
        <v>200930.39012372395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-1531013.1894336564</v>
      </c>
      <c r="E43" s="31">
        <f t="shared" si="12"/>
        <v>-1264594.2033969134</v>
      </c>
      <c r="F43" s="31">
        <f t="shared" si="12"/>
        <v>-1022395.1251816921</v>
      </c>
      <c r="G43" s="31">
        <f t="shared" si="12"/>
        <v>-802214.14498603693</v>
      </c>
      <c r="H43" s="31">
        <f t="shared" si="12"/>
        <v>-602049.61753544048</v>
      </c>
      <c r="I43" s="31">
        <f t="shared" si="12"/>
        <v>609560.39599417162</v>
      </c>
      <c r="J43" s="31">
        <f t="shared" si="12"/>
        <v>609560.39599417162</v>
      </c>
      <c r="K43" s="31">
        <f t="shared" si="12"/>
        <v>609560.39599417162</v>
      </c>
      <c r="L43" s="31">
        <f t="shared" si="12"/>
        <v>609560.39599417162</v>
      </c>
      <c r="M43" s="31">
        <f t="shared" si="12"/>
        <v>609560.39599417162</v>
      </c>
      <c r="N43" s="31">
        <f t="shared" si="12"/>
        <v>609560.39599417162</v>
      </c>
      <c r="O43" s="31">
        <f t="shared" si="12"/>
        <v>609560.39599417162</v>
      </c>
      <c r="P43" s="31">
        <f t="shared" si="12"/>
        <v>609560.39599417162</v>
      </c>
      <c r="Q43" s="31">
        <f t="shared" si="12"/>
        <v>609560.39599417162</v>
      </c>
      <c r="R43" s="31">
        <f t="shared" si="12"/>
        <v>609560.39599417162</v>
      </c>
      <c r="S43" s="31">
        <f t="shared" si="12"/>
        <v>609560.39599417162</v>
      </c>
      <c r="T43" s="31">
        <f t="shared" si="12"/>
        <v>609560.39599417162</v>
      </c>
      <c r="U43" s="31">
        <f t="shared" si="12"/>
        <v>609560.39599417162</v>
      </c>
      <c r="V43" s="31">
        <f t="shared" si="12"/>
        <v>609560.39599417162</v>
      </c>
      <c r="W43" s="31">
        <f t="shared" si="12"/>
        <v>609560.39599417162</v>
      </c>
      <c r="X43" s="31">
        <f t="shared" si="12"/>
        <v>609560.39599417162</v>
      </c>
      <c r="Y43" s="31">
        <f t="shared" si="12"/>
        <v>609560.39599417162</v>
      </c>
      <c r="Z43" s="31">
        <f t="shared" si="12"/>
        <v>609560.39599417162</v>
      </c>
      <c r="AA43" s="31">
        <f t="shared" si="12"/>
        <v>609560.39599417162</v>
      </c>
      <c r="AB43" s="31">
        <f t="shared" si="12"/>
        <v>609560.39599417162</v>
      </c>
      <c r="AC43" s="31">
        <f t="shared" si="12"/>
        <v>609560.39599417162</v>
      </c>
      <c r="AD43" s="31">
        <f t="shared" si="12"/>
        <v>482324.42717867019</v>
      </c>
      <c r="AE43" s="31">
        <f t="shared" si="12"/>
        <v>366655.36461912276</v>
      </c>
      <c r="AF43" s="31">
        <f t="shared" si="12"/>
        <v>261501.67138317099</v>
      </c>
      <c r="AG43" s="31">
        <f t="shared" si="12"/>
        <v>165907.40480503289</v>
      </c>
      <c r="AH43" s="31">
        <f t="shared" si="12"/>
        <v>79003.526097634734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1666656.4814814813</v>
      </c>
      <c r="E45" s="31">
        <f t="shared" si="13"/>
        <v>1522824.0271296294</v>
      </c>
      <c r="F45" s="31">
        <f t="shared" si="13"/>
        <v>1391404.3135883422</v>
      </c>
      <c r="G45" s="31">
        <f t="shared" si="13"/>
        <v>1271326.1213256684</v>
      </c>
      <c r="H45" s="31">
        <f t="shared" si="13"/>
        <v>1161610.6770552632</v>
      </c>
      <c r="I45" s="31">
        <f t="shared" si="13"/>
        <v>462251.55042880529</v>
      </c>
      <c r="J45" s="31">
        <f t="shared" si="13"/>
        <v>422359.24162679934</v>
      </c>
      <c r="K45" s="31">
        <f t="shared" si="13"/>
        <v>385909.63907440653</v>
      </c>
      <c r="L45" s="31">
        <f t="shared" si="13"/>
        <v>352605.63722228521</v>
      </c>
      <c r="M45" s="31">
        <f t="shared" si="13"/>
        <v>322175.77073000197</v>
      </c>
      <c r="N45" s="31">
        <f t="shared" si="13"/>
        <v>294372.00171600276</v>
      </c>
      <c r="O45" s="31">
        <f t="shared" si="13"/>
        <v>268967.69796791178</v>
      </c>
      <c r="P45" s="31">
        <f t="shared" si="13"/>
        <v>245755.78563328096</v>
      </c>
      <c r="Q45" s="31">
        <f t="shared" si="13"/>
        <v>224547.06133312883</v>
      </c>
      <c r="R45" s="31">
        <f t="shared" si="13"/>
        <v>205168.64994007981</v>
      </c>
      <c r="S45" s="31">
        <f t="shared" si="13"/>
        <v>187462.59545025087</v>
      </c>
      <c r="T45" s="31">
        <f t="shared" si="13"/>
        <v>171284.57346289422</v>
      </c>
      <c r="U45" s="31">
        <f t="shared" si="13"/>
        <v>156502.71477304643</v>
      </c>
      <c r="V45" s="31">
        <f t="shared" si="13"/>
        <v>142996.53048813253</v>
      </c>
      <c r="W45" s="31">
        <f t="shared" si="13"/>
        <v>130655.92990700669</v>
      </c>
      <c r="X45" s="31">
        <f t="shared" si="13"/>
        <v>119380.32315603201</v>
      </c>
      <c r="Y45" s="31">
        <f t="shared" si="13"/>
        <v>109077.80126766644</v>
      </c>
      <c r="Z45" s="31">
        <f t="shared" si="13"/>
        <v>99664.387018266818</v>
      </c>
      <c r="AA45" s="31">
        <f t="shared" si="13"/>
        <v>91063.350418590373</v>
      </c>
      <c r="AB45" s="31">
        <f t="shared" si="13"/>
        <v>83204.583277466023</v>
      </c>
      <c r="AC45" s="31">
        <f t="shared" si="13"/>
        <v>76024.027740620702</v>
      </c>
      <c r="AD45" s="31">
        <f t="shared" si="13"/>
        <v>54963.833369032254</v>
      </c>
      <c r="AE45" s="31">
        <f t="shared" si="13"/>
        <v>38176.791463404472</v>
      </c>
      <c r="AF45" s="31">
        <f t="shared" si="13"/>
        <v>24878.229849595547</v>
      </c>
      <c r="AG45" s="31">
        <f t="shared" si="13"/>
        <v>14421.631748794096</v>
      </c>
      <c r="AH45" s="31">
        <f t="shared" si="13"/>
        <v>6274.7832994634136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267769.7302959495</v>
      </c>
      <c r="E46" s="31">
        <f t="shared" si="14"/>
        <v>467080.47763632616</v>
      </c>
      <c r="F46" s="31">
        <f t="shared" si="14"/>
        <v>611520.97025887039</v>
      </c>
      <c r="G46" s="31">
        <f t="shared" si="14"/>
        <v>712206.39482257166</v>
      </c>
      <c r="H46" s="31">
        <f t="shared" si="14"/>
        <v>778212.17707866349</v>
      </c>
      <c r="I46" s="31">
        <f t="shared" si="14"/>
        <v>816933.01408397697</v>
      </c>
      <c r="J46" s="31">
        <f t="shared" si="14"/>
        <v>746431.69496852974</v>
      </c>
      <c r="K46" s="31">
        <f t="shared" si="14"/>
        <v>682014.63969274552</v>
      </c>
      <c r="L46" s="31">
        <f t="shared" si="14"/>
        <v>623156.77628726151</v>
      </c>
      <c r="M46" s="31">
        <f t="shared" si="14"/>
        <v>569378.34649367083</v>
      </c>
      <c r="N46" s="31">
        <f t="shared" si="14"/>
        <v>520240.99519126699</v>
      </c>
      <c r="O46" s="31">
        <f t="shared" si="14"/>
        <v>475344.19730626064</v>
      </c>
      <c r="P46" s="31">
        <f t="shared" si="14"/>
        <v>434321.99307873036</v>
      </c>
      <c r="Q46" s="31">
        <f t="shared" si="14"/>
        <v>396840.00507603592</v>
      </c>
      <c r="R46" s="31">
        <f t="shared" si="14"/>
        <v>362592.71263797401</v>
      </c>
      <c r="S46" s="31">
        <f t="shared" si="14"/>
        <v>331300.96153731679</v>
      </c>
      <c r="T46" s="31">
        <f t="shared" si="14"/>
        <v>302709.68855664635</v>
      </c>
      <c r="U46" s="31">
        <f t="shared" si="14"/>
        <v>276585.84243420773</v>
      </c>
      <c r="V46" s="31">
        <f t="shared" si="14"/>
        <v>252716.48423213561</v>
      </c>
      <c r="W46" s="31">
        <f t="shared" si="14"/>
        <v>230907.05164290231</v>
      </c>
      <c r="X46" s="31">
        <f t="shared" si="14"/>
        <v>210979.77308611985</v>
      </c>
      <c r="Y46" s="31">
        <f t="shared" si="14"/>
        <v>192772.21866878768</v>
      </c>
      <c r="Z46" s="31">
        <f t="shared" si="14"/>
        <v>176135.97619767129</v>
      </c>
      <c r="AA46" s="31">
        <f t="shared" si="14"/>
        <v>160935.44145181222</v>
      </c>
      <c r="AB46" s="31">
        <f t="shared" si="14"/>
        <v>147046.71285452083</v>
      </c>
      <c r="AC46" s="31">
        <f t="shared" si="14"/>
        <v>134356.58153517568</v>
      </c>
      <c r="AD46" s="31">
        <f t="shared" si="14"/>
        <v>97137.089141442804</v>
      </c>
      <c r="AE46" s="31">
        <f t="shared" si="14"/>
        <v>67469.500728171013</v>
      </c>
      <c r="AF46" s="31">
        <f t="shared" si="14"/>
        <v>43967.072208304642</v>
      </c>
      <c r="AG46" s="31">
        <f t="shared" si="14"/>
        <v>25487.220284328909</v>
      </c>
      <c r="AH46" s="31">
        <f t="shared" si="14"/>
        <v>11089.368177995872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-1167637.9090736364</v>
      </c>
      <c r="E48" s="31">
        <f>E47+E46-E45</f>
        <v>-612603.54960942571</v>
      </c>
      <c r="F48" s="31">
        <f t="shared" ref="F48:AH48" si="16">F47+F46-F45</f>
        <v>-142462.51350418758</v>
      </c>
      <c r="G48" s="31">
        <f t="shared" si="16"/>
        <v>256563.48619104968</v>
      </c>
      <c r="H48" s="31">
        <f t="shared" si="16"/>
        <v>595979.02075547981</v>
      </c>
      <c r="I48" s="31">
        <f t="shared" si="16"/>
        <v>1484506.7917663823</v>
      </c>
      <c r="J48" s="31">
        <f t="shared" si="16"/>
        <v>1458624.9113720129</v>
      </c>
      <c r="K48" s="31">
        <f t="shared" si="16"/>
        <v>1435502.7668156698</v>
      </c>
      <c r="L48" s="31">
        <f t="shared" si="16"/>
        <v>1414915.3461335322</v>
      </c>
      <c r="M48" s="31">
        <f t="shared" si="16"/>
        <v>1396657.3847252307</v>
      </c>
      <c r="N48" s="31">
        <f t="shared" si="16"/>
        <v>1380541.6693771563</v>
      </c>
      <c r="O48" s="31">
        <f t="shared" si="16"/>
        <v>1366397.48885408</v>
      </c>
      <c r="P48" s="31">
        <f t="shared" si="16"/>
        <v>1354069.2184153656</v>
      </c>
      <c r="Q48" s="31">
        <f t="shared" si="16"/>
        <v>1343415.0267033628</v>
      </c>
      <c r="R48" s="31">
        <f t="shared" si="16"/>
        <v>1334305.6944486529</v>
      </c>
      <c r="S48" s="31">
        <f t="shared" si="16"/>
        <v>1326623.535347885</v>
      </c>
      <c r="T48" s="31">
        <f t="shared" si="16"/>
        <v>1320261.4103023838</v>
      </c>
      <c r="U48" s="31">
        <f t="shared" si="16"/>
        <v>1315121.8269663001</v>
      </c>
      <c r="V48" s="31">
        <f t="shared" si="16"/>
        <v>1311116.117248062</v>
      </c>
      <c r="W48" s="31">
        <f t="shared" si="16"/>
        <v>1308163.6860438478</v>
      </c>
      <c r="X48" s="31">
        <f t="shared" si="16"/>
        <v>1306191.3250620305</v>
      </c>
      <c r="Y48" s="31">
        <f t="shared" si="16"/>
        <v>1305132.586127654</v>
      </c>
      <c r="Z48" s="31">
        <f t="shared" si="16"/>
        <v>1304927.2088403923</v>
      </c>
      <c r="AA48" s="31">
        <f t="shared" si="16"/>
        <v>1305520.5979020258</v>
      </c>
      <c r="AB48" s="31">
        <f t="shared" si="16"/>
        <v>1306863.3458338706</v>
      </c>
      <c r="AC48" s="31">
        <f t="shared" si="16"/>
        <v>999072.68514288857</v>
      </c>
      <c r="AD48" s="31">
        <f t="shared" si="16"/>
        <v>786548.9533380873</v>
      </c>
      <c r="AE48" s="31">
        <f t="shared" si="16"/>
        <v>595155.28520984622</v>
      </c>
      <c r="AF48" s="31">
        <f t="shared" si="16"/>
        <v>422666.76228506421</v>
      </c>
      <c r="AG48" s="31">
        <f t="shared" si="16"/>
        <v>267112.00299032201</v>
      </c>
      <c r="AH48" s="31">
        <f t="shared" si="16"/>
        <v>126741.44890462163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7756930.1714407029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-2099496.6148471669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0.28743883497081113</v>
      </c>
      <c r="E53" s="32">
        <f t="shared" si="17"/>
        <v>0.54965962447001082</v>
      </c>
      <c r="F53" s="32">
        <f t="shared" si="17"/>
        <v>0.78894810203811139</v>
      </c>
      <c r="G53" s="32">
        <f t="shared" si="17"/>
        <v>1.0073840574237352</v>
      </c>
      <c r="H53" s="32">
        <f t="shared" si="17"/>
        <v>1.2068599672347056</v>
      </c>
      <c r="I53" s="32">
        <f t="shared" si="17"/>
        <v>3.1894713884072217</v>
      </c>
      <c r="J53" s="32">
        <f t="shared" si="17"/>
        <v>3.1954217164820458</v>
      </c>
      <c r="K53" s="32">
        <f t="shared" si="17"/>
        <v>3.2015208027587394</v>
      </c>
      <c r="L53" s="32">
        <f t="shared" si="17"/>
        <v>3.2077723661923514</v>
      </c>
      <c r="M53" s="32">
        <f t="shared" si="17"/>
        <v>3.2141802187118031</v>
      </c>
      <c r="N53" s="32">
        <f t="shared" si="17"/>
        <v>3.2207482675442405</v>
      </c>
      <c r="O53" s="32">
        <f t="shared" si="17"/>
        <v>3.2274805175974906</v>
      </c>
      <c r="P53" s="32">
        <f t="shared" si="17"/>
        <v>3.2343810739020706</v>
      </c>
      <c r="Q53" s="32">
        <f t="shared" si="17"/>
        <v>3.2414541441142659</v>
      </c>
      <c r="R53" s="32">
        <f t="shared" si="17"/>
        <v>3.2487040410817656</v>
      </c>
      <c r="S53" s="32">
        <f t="shared" si="17"/>
        <v>3.2561351854734522</v>
      </c>
      <c r="T53" s="32">
        <f t="shared" si="17"/>
        <v>3.2637521084749315</v>
      </c>
      <c r="U53" s="32">
        <f t="shared" si="17"/>
        <v>3.2715594545514479</v>
      </c>
      <c r="V53" s="32">
        <f t="shared" si="17"/>
        <v>3.2795619842798769</v>
      </c>
      <c r="W53" s="32">
        <f t="shared" si="17"/>
        <v>3.2877645772515174</v>
      </c>
      <c r="X53" s="32">
        <f t="shared" si="17"/>
        <v>3.2961722350474485</v>
      </c>
      <c r="Y53" s="32">
        <f t="shared" si="17"/>
        <v>3.3047900842882778</v>
      </c>
      <c r="Z53" s="32">
        <f t="shared" si="17"/>
        <v>3.313623379760128</v>
      </c>
      <c r="AA53" s="32">
        <f t="shared" si="17"/>
        <v>3.3226775076187742</v>
      </c>
      <c r="AB53" s="32">
        <f t="shared" si="17"/>
        <v>3.3319579886738864</v>
      </c>
      <c r="AC53" s="32">
        <f t="shared" si="17"/>
        <v>2.9514582654142756</v>
      </c>
      <c r="AD53" s="32">
        <f t="shared" si="17"/>
        <v>2.951458265414276</v>
      </c>
      <c r="AE53" s="32">
        <f t="shared" si="17"/>
        <v>2.9514582654142756</v>
      </c>
      <c r="AF53" s="32">
        <f t="shared" si="17"/>
        <v>2.9514582654142756</v>
      </c>
      <c r="AG53" s="32">
        <f t="shared" si="17"/>
        <v>2.9514582654142751</v>
      </c>
      <c r="AH53" s="32">
        <f t="shared" si="17"/>
        <v>2.9514582654142751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1.4407439397770727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0.29941297319065419</v>
      </c>
      <c r="E55" s="32">
        <f t="shared" si="18"/>
        <v>0.59771875233402905</v>
      </c>
      <c r="F55" s="32">
        <f t="shared" si="18"/>
        <v>0.89761242500622562</v>
      </c>
      <c r="G55" s="32">
        <f t="shared" si="18"/>
        <v>1.2018077674070911</v>
      </c>
      <c r="H55" s="32">
        <f t="shared" si="18"/>
        <v>1.5130626228972983</v>
      </c>
      <c r="I55" s="32">
        <f>(XNPV($B$14,I47,I$22)+XNPV($B$14,I46,I$22))/(XNPV($B$14,I45,I$22))</f>
        <v>4.2114695783914344</v>
      </c>
      <c r="J55" s="32">
        <f t="shared" si="18"/>
        <v>4.4535172138150294</v>
      </c>
      <c r="K55" s="32">
        <f t="shared" si="18"/>
        <v>4.7197898716877953</v>
      </c>
      <c r="L55" s="32">
        <f t="shared" si="18"/>
        <v>5.012741705662406</v>
      </c>
      <c r="M55" s="32">
        <f t="shared" si="18"/>
        <v>5.3350788967172003</v>
      </c>
      <c r="N55" s="32">
        <f t="shared" si="18"/>
        <v>5.6897859216551536</v>
      </c>
      <c r="O55" s="32">
        <f t="shared" si="18"/>
        <v>6.0801546028664495</v>
      </c>
      <c r="P55" s="32">
        <f t="shared" si="18"/>
        <v>6.5098162386130758</v>
      </c>
      <c r="Q55" s="32">
        <f t="shared" si="18"/>
        <v>6.9827771458132206</v>
      </c>
      <c r="R55" s="32">
        <f t="shared" si="18"/>
        <v>7.5034579836555988</v>
      </c>
      <c r="S55" s="32">
        <f t="shared" si="18"/>
        <v>8.0767372667682213</v>
      </c>
      <c r="T55" s="32">
        <f t="shared" si="18"/>
        <v>8.7079995215587545</v>
      </c>
      <c r="U55" s="32">
        <f t="shared" si="18"/>
        <v>9.4031885892422604</v>
      </c>
      <c r="V55" s="32">
        <f t="shared" si="18"/>
        <v>10.16886663454309</v>
      </c>
      <c r="W55" s="32">
        <f t="shared" si="18"/>
        <v>11.012279480731742</v>
      </c>
      <c r="X55" s="32">
        <f t="shared" si="18"/>
        <v>11.941428960238424</v>
      </c>
      <c r="Y55" s="32">
        <f t="shared" si="18"/>
        <v>12.965153046356189</v>
      </c>
      <c r="Z55" s="32">
        <f t="shared" si="18"/>
        <v>14.09321461638269</v>
      </c>
      <c r="AA55" s="32">
        <f t="shared" si="18"/>
        <v>15.336399790925185</v>
      </c>
      <c r="AB55" s="32">
        <f t="shared" si="18"/>
        <v>16.706626899095394</v>
      </c>
      <c r="AC55" s="32">
        <f t="shared" si="18"/>
        <v>14.141538469278839</v>
      </c>
      <c r="AD55" s="32">
        <f t="shared" si="18"/>
        <v>15.31030015787154</v>
      </c>
      <c r="AE55" s="32">
        <f t="shared" si="18"/>
        <v>16.58945271187471</v>
      </c>
      <c r="AF55" s="32">
        <f t="shared" si="18"/>
        <v>17.989422673572395</v>
      </c>
      <c r="AG55" s="32">
        <f t="shared" si="18"/>
        <v>19.521621383978086</v>
      </c>
      <c r="AH55" s="32">
        <f t="shared" si="18"/>
        <v>21.198537998190293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1.6468094728949554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0.1606628200059142</v>
      </c>
      <c r="E57" s="32">
        <f t="shared" si="19"/>
        <v>0.3067199291021997</v>
      </c>
      <c r="F57" s="32">
        <f t="shared" si="19"/>
        <v>0.43949911918973228</v>
      </c>
      <c r="G57" s="32">
        <f t="shared" si="19"/>
        <v>0.56020747381476144</v>
      </c>
      <c r="H57" s="32">
        <f t="shared" si="19"/>
        <v>0.66994234165569777</v>
      </c>
      <c r="I57" s="32">
        <f t="shared" si="19"/>
        <v>1.767291020065056</v>
      </c>
      <c r="J57" s="32">
        <f t="shared" si="19"/>
        <v>1.7672910200650562</v>
      </c>
      <c r="K57" s="32">
        <f t="shared" si="19"/>
        <v>1.767291020065056</v>
      </c>
      <c r="L57" s="32">
        <f t="shared" si="19"/>
        <v>1.767291020065056</v>
      </c>
      <c r="M57" s="32">
        <f t="shared" si="19"/>
        <v>1.7672910200650562</v>
      </c>
      <c r="N57" s="32">
        <f t="shared" si="19"/>
        <v>1.7672910200650562</v>
      </c>
      <c r="O57" s="32">
        <f t="shared" si="19"/>
        <v>1.7672910200650558</v>
      </c>
      <c r="P57" s="32">
        <f t="shared" si="19"/>
        <v>1.767291020065056</v>
      </c>
      <c r="Q57" s="32">
        <f t="shared" si="19"/>
        <v>1.7672910200650558</v>
      </c>
      <c r="R57" s="32">
        <f t="shared" si="19"/>
        <v>1.7672910200650558</v>
      </c>
      <c r="S57" s="32">
        <f t="shared" si="19"/>
        <v>1.767291020065056</v>
      </c>
      <c r="T57" s="32">
        <f t="shared" si="19"/>
        <v>1.767291020065056</v>
      </c>
      <c r="U57" s="32">
        <f t="shared" si="19"/>
        <v>1.767291020065056</v>
      </c>
      <c r="V57" s="32">
        <f t="shared" si="19"/>
        <v>1.767291020065056</v>
      </c>
      <c r="W57" s="32">
        <f t="shared" si="19"/>
        <v>1.767291020065056</v>
      </c>
      <c r="X57" s="32">
        <f t="shared" si="19"/>
        <v>1.767291020065056</v>
      </c>
      <c r="Y57" s="32">
        <f t="shared" si="19"/>
        <v>1.767291020065056</v>
      </c>
      <c r="Z57" s="32">
        <f t="shared" si="19"/>
        <v>1.767291020065056</v>
      </c>
      <c r="AA57" s="32">
        <f t="shared" si="19"/>
        <v>1.767291020065056</v>
      </c>
      <c r="AB57" s="32">
        <f t="shared" si="19"/>
        <v>1.767291020065056</v>
      </c>
      <c r="AC57" s="32">
        <f t="shared" si="19"/>
        <v>1.767291020065056</v>
      </c>
      <c r="AD57" s="32">
        <f t="shared" si="19"/>
        <v>1.7672910200650565</v>
      </c>
      <c r="AE57" s="32">
        <f t="shared" si="19"/>
        <v>1.767291020065056</v>
      </c>
      <c r="AF57" s="32">
        <f t="shared" si="19"/>
        <v>1.767291020065056</v>
      </c>
      <c r="AG57" s="32">
        <f t="shared" si="19"/>
        <v>1.7672910200650556</v>
      </c>
      <c r="AH57" s="32">
        <f t="shared" si="19"/>
        <v>1.7672910200650556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0.56973497382925897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0.19788004398345943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5.022995471954346E-2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0.28743883497081113</v>
      </c>
      <c r="D65" s="121">
        <f>(SUM($D$34:E34)+SUM($D$30:E30))/SUM($C$25:D25)</f>
        <v>0.43848014542138292</v>
      </c>
      <c r="E65" s="121">
        <f>(SUM($D$34:F34)+SUM($D$30:F30))/SUM($C$25:E25)</f>
        <v>0.59441581250438336</v>
      </c>
      <c r="F65" s="121">
        <f>(SUM($D$34:G34)+SUM($D$30:G30))/SUM($C$25:F25)</f>
        <v>0.7552458853177012</v>
      </c>
      <c r="G65" s="121">
        <f>(SUM($D$34:H34)+SUM($D$30:H30))/SUM($C$25:G25)</f>
        <v>0.92096271103892302</v>
      </c>
      <c r="H65" s="121">
        <f>(SUM($D$34:I34)+SUM($D$30:I30))/SUM($C$25:H25)</f>
        <v>1.0915510910501245</v>
      </c>
      <c r="I65" s="121">
        <f>(SUM($D$34:J34)+SUM($D$30:J30))/SUM($C$25:I25)</f>
        <v>1.3820439743666744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D34/C25</f>
        <v>0.1606628200059142</v>
      </c>
      <c r="D67" s="32">
        <f>SUM($D$34:E34)/SUM($C$25:D25)</f>
        <v>0.24481953524710728</v>
      </c>
      <c r="E67" s="32">
        <f>SUM($D$34:F34)/SUM($C$25:E25)</f>
        <v>0.33151874943818543</v>
      </c>
      <c r="F67" s="32">
        <f>SUM($D$34:G34)/SUM($C$25:F25)</f>
        <v>0.42074895805901336</v>
      </c>
      <c r="G67" s="32">
        <f>SUM($D$34:H34)/SUM($C$25:G25)</f>
        <v>0.5124941586878472</v>
      </c>
      <c r="H67" s="32">
        <f>SUM($D$34:I34)/SUM($C$25:H25)</f>
        <v>0.60673395333506042</v>
      </c>
      <c r="I67" s="32">
        <f>SUM($D$34:J34)/SUM($C$25:I25)</f>
        <v>0.76739677334097456</v>
      </c>
      <c r="J67" s="32">
        <f>SUM($D$34:K34)/SUM($C$25:J25)</f>
        <v>0.92805959334688881</v>
      </c>
      <c r="K67" s="32">
        <f>SUM($D$34:L34)/SUM($C$25:K25)</f>
        <v>1.0887224133528031</v>
      </c>
      <c r="L67" s="32">
        <f>SUM($D$34:M34)/SUM($C$25:L25)</f>
        <v>1.2493852333587172</v>
      </c>
      <c r="M67" s="32">
        <f>SUM($D$34:N34)/SUM($C$25:M25)</f>
        <v>1.4100480533646313</v>
      </c>
      <c r="N67" s="32">
        <f>SUM($D$34:O34)/SUM($C$25:N25)</f>
        <v>1.5707108733705455</v>
      </c>
      <c r="O67" s="32">
        <f>SUM($D$34:P34)/SUM($C$25:O25)</f>
        <v>1.7313736933764594</v>
      </c>
      <c r="P67" s="32">
        <f>SUM($D$34:Q34)/SUM($C$25:P25)</f>
        <v>1.8920365133823736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364814.81481481477</v>
      </c>
      <c r="G70" s="155">
        <f>G76+G79+G82+G85+G88+G91</f>
        <v>729629.62962962955</v>
      </c>
      <c r="H70" s="155">
        <f t="shared" si="20"/>
        <v>1094444.4444444443</v>
      </c>
      <c r="I70" s="155">
        <f t="shared" si="20"/>
        <v>1459259.2592592591</v>
      </c>
      <c r="J70" s="155">
        <f t="shared" si="20"/>
        <v>1824074.0740740739</v>
      </c>
      <c r="K70" s="155">
        <f t="shared" si="20"/>
        <v>1824074.0740740739</v>
      </c>
      <c r="L70" s="155">
        <f t="shared" si="20"/>
        <v>1459259.2592592593</v>
      </c>
      <c r="M70" s="155">
        <f t="shared" si="20"/>
        <v>1094444.4444444445</v>
      </c>
      <c r="N70" s="155">
        <f t="shared" si="20"/>
        <v>729629.62962962966</v>
      </c>
      <c r="O70" s="155">
        <f t="shared" si="20"/>
        <v>364814.81481481483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157417.59259259258</v>
      </c>
      <c r="E71" s="159">
        <f t="shared" si="20"/>
        <v>314835.18518518517</v>
      </c>
      <c r="F71" s="159">
        <f t="shared" si="20"/>
        <v>472252.77777777775</v>
      </c>
      <c r="G71" s="159">
        <f t="shared" si="20"/>
        <v>598186.8518518518</v>
      </c>
      <c r="H71" s="159">
        <f t="shared" si="20"/>
        <v>692637.40740740742</v>
      </c>
      <c r="I71" s="159">
        <f t="shared" si="20"/>
        <v>755604.4444444445</v>
      </c>
      <c r="J71" s="159">
        <f t="shared" si="20"/>
        <v>629670.37037037034</v>
      </c>
      <c r="K71" s="159">
        <f t="shared" si="20"/>
        <v>472252.77777777787</v>
      </c>
      <c r="L71" s="159">
        <f t="shared" si="20"/>
        <v>314835.18518518523</v>
      </c>
      <c r="M71" s="159">
        <f t="shared" si="20"/>
        <v>188901.11111111112</v>
      </c>
      <c r="N71" s="159">
        <f t="shared" si="20"/>
        <v>94450.555555555562</v>
      </c>
      <c r="O71" s="159">
        <f t="shared" si="20"/>
        <v>31483.518518518522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157417.59259259258</v>
      </c>
      <c r="E77" s="181">
        <f>($C$72-SUM($C$76:D76))*$B$14</f>
        <v>157417.59259259258</v>
      </c>
      <c r="F77" s="181">
        <f>($C$72-SUM($C$76:E76))*$B$14</f>
        <v>157417.59259259258</v>
      </c>
      <c r="G77" s="181">
        <f>($C$72-SUM($C$76:F76))*$B$14</f>
        <v>125934.07407407406</v>
      </c>
      <c r="H77" s="181">
        <f>($C$72-SUM($C$76:G76))*$B$14</f>
        <v>94450.555555555562</v>
      </c>
      <c r="I77" s="181">
        <f>($C$72-SUM($C$76:H76))*$B$14</f>
        <v>62967.037037037044</v>
      </c>
      <c r="J77" s="181">
        <f>($C$72-SUM($C$76:I76))*$B$14</f>
        <v>31483.518518518522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157417.59259259258</v>
      </c>
      <c r="F80" s="181">
        <f>($D$72-SUM($C$79:E79))*$B$14</f>
        <v>157417.59259259258</v>
      </c>
      <c r="G80" s="181">
        <f>($D$72-SUM($C$79:F79))*$B$14</f>
        <v>157417.59259259258</v>
      </c>
      <c r="H80" s="181">
        <f>($D$72-SUM($C$79:G79))*$B$14</f>
        <v>125934.07407407406</v>
      </c>
      <c r="I80" s="181">
        <f>($D$72-SUM($C$79:H79))*$B$14</f>
        <v>94450.555555555562</v>
      </c>
      <c r="J80" s="181">
        <f>($D$72-SUM($C$79:I79))*$B$14</f>
        <v>62967.037037037044</v>
      </c>
      <c r="K80" s="181">
        <f>($D$72-SUM($C$79:J79))*$B$14</f>
        <v>31483.518518518522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157417.59259259258</v>
      </c>
      <c r="G83" s="181">
        <f>($E$72-SUM($C$82:F82))*$B$14</f>
        <v>157417.59259259258</v>
      </c>
      <c r="H83" s="181">
        <f>($E$72-SUM($C$82:G82))*$B$14</f>
        <v>157417.59259259258</v>
      </c>
      <c r="I83" s="181">
        <f>($E$72-SUM($C$82:H82))*$B$14</f>
        <v>125934.07407407406</v>
      </c>
      <c r="J83" s="181">
        <f>($E$72-SUM($C$82:I82))*$B$14</f>
        <v>94450.555555555562</v>
      </c>
      <c r="K83" s="181">
        <f>($E$72-SUM($C$82:J82))*$B$14</f>
        <v>62967.037037037044</v>
      </c>
      <c r="L83" s="181">
        <f>($E$72-SUM($C$82:K82))*$B$14</f>
        <v>31483.518518518522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157417.59259259258</v>
      </c>
      <c r="H86" s="181">
        <f>($F$72-SUM($C$85:G85))*$B$14</f>
        <v>157417.59259259258</v>
      </c>
      <c r="I86" s="181">
        <f>($F$72-SUM($C$85:H85))*$B$14</f>
        <v>157417.59259259258</v>
      </c>
      <c r="J86" s="181">
        <f>($F$72-SUM($C$85:I85))*$B$14</f>
        <v>125934.07407407406</v>
      </c>
      <c r="K86" s="181">
        <f>($F$72-SUM($C$85:J85))*$B$14</f>
        <v>94450.555555555562</v>
      </c>
      <c r="L86" s="181">
        <f>($F$72-SUM($C$85:K85))*$B$14</f>
        <v>62967.037037037044</v>
      </c>
      <c r="M86" s="181">
        <f>($F$72-SUM($C$85:L85))*$B$14</f>
        <v>31483.518518518522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157417.59259259261</v>
      </c>
      <c r="I89" s="181">
        <f>($G$72-SUM($C$88:H88))*$B$14</f>
        <v>157417.59259259261</v>
      </c>
      <c r="J89" s="181">
        <f>($G$72-SUM($C$88:I88))*$B$14</f>
        <v>157417.59259259261</v>
      </c>
      <c r="K89" s="181">
        <f>($G$72-SUM($C$88:J88))*$B$14</f>
        <v>125934.07407407409</v>
      </c>
      <c r="L89" s="181">
        <f>($G$72-SUM($C$88:K88))*$B$14</f>
        <v>94450.555555555562</v>
      </c>
      <c r="M89" s="181">
        <f>($G$72-SUM($C$88:L88))*$B$14</f>
        <v>62967.037037037044</v>
      </c>
      <c r="N89" s="181">
        <f>($G$72-SUM($C$88:M88))*$B$14</f>
        <v>31483.518518518522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157417.59259259261</v>
      </c>
      <c r="J92" s="181">
        <f>($H$72-SUM($C$91:I91))*$B$14</f>
        <v>157417.59259259261</v>
      </c>
      <c r="K92" s="181">
        <f>($H$72-SUM($C$91:J91))*$B$14</f>
        <v>157417.59259259261</v>
      </c>
      <c r="L92" s="181">
        <f>($H$72-SUM($C$91:K91))*$B$14</f>
        <v>125934.07407407409</v>
      </c>
      <c r="M92" s="181">
        <f>($H$72-SUM($C$91:L91))*$B$14</f>
        <v>94450.555555555562</v>
      </c>
      <c r="N92" s="181">
        <f>($H$72-SUM($C$91:M91))*$B$14</f>
        <v>62967.037037037044</v>
      </c>
      <c r="O92" s="181">
        <f>($H$72-SUM($C$91:N91))*$B$14</f>
        <v>31483.518518518522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293060.88464041753</v>
      </c>
      <c r="E94" s="203">
        <f t="shared" si="29"/>
        <v>559479.87067716056</v>
      </c>
      <c r="F94" s="203">
        <f t="shared" si="29"/>
        <v>801678.94889238186</v>
      </c>
      <c r="G94" s="203">
        <f t="shared" si="29"/>
        <v>1021859.9290880372</v>
      </c>
      <c r="H94" s="203">
        <f t="shared" si="29"/>
        <v>1222024.4565386337</v>
      </c>
      <c r="I94" s="203">
        <f t="shared" si="29"/>
        <v>1403992.2087664481</v>
      </c>
      <c r="J94" s="203">
        <f t="shared" si="29"/>
        <v>1403992.2087664481</v>
      </c>
      <c r="K94" s="203">
        <f t="shared" si="29"/>
        <v>1403992.2087664481</v>
      </c>
      <c r="L94" s="203">
        <f t="shared" si="29"/>
        <v>1403992.2087664481</v>
      </c>
      <c r="M94" s="203">
        <f t="shared" si="29"/>
        <v>1403992.2087664481</v>
      </c>
      <c r="N94" s="203">
        <f t="shared" si="29"/>
        <v>1403992.2087664481</v>
      </c>
      <c r="O94" s="203">
        <f t="shared" si="29"/>
        <v>1403992.2087664481</v>
      </c>
      <c r="P94" s="203">
        <f t="shared" si="29"/>
        <v>1403992.2087664481</v>
      </c>
      <c r="Q94" s="203">
        <f t="shared" si="29"/>
        <v>1403992.2087664481</v>
      </c>
      <c r="R94" s="203">
        <f t="shared" si="29"/>
        <v>1403992.2087664481</v>
      </c>
      <c r="S94" s="203">
        <f t="shared" si="29"/>
        <v>1403992.2087664481</v>
      </c>
      <c r="T94" s="203">
        <f t="shared" si="29"/>
        <v>1403992.2087664481</v>
      </c>
      <c r="U94" s="203">
        <f t="shared" si="29"/>
        <v>1403992.2087664481</v>
      </c>
      <c r="V94" s="203">
        <f t="shared" si="29"/>
        <v>1403992.2087664481</v>
      </c>
      <c r="W94" s="203">
        <f t="shared" si="29"/>
        <v>1403992.2087664481</v>
      </c>
      <c r="X94" s="203">
        <f t="shared" si="29"/>
        <v>1403992.2087664481</v>
      </c>
      <c r="Y94" s="203">
        <f t="shared" si="29"/>
        <v>1403992.2087664481</v>
      </c>
      <c r="Z94" s="203">
        <f t="shared" si="29"/>
        <v>1403992.2087664481</v>
      </c>
      <c r="AA94" s="203">
        <f t="shared" si="29"/>
        <v>1403992.2087664481</v>
      </c>
      <c r="AB94" s="203">
        <f t="shared" si="29"/>
        <v>1403992.2087664481</v>
      </c>
      <c r="AC94" s="203">
        <f t="shared" si="29"/>
        <v>1403992.2087664481</v>
      </c>
      <c r="AD94" s="203">
        <f t="shared" si="29"/>
        <v>1110931.3241260308</v>
      </c>
      <c r="AE94" s="203">
        <f t="shared" si="29"/>
        <v>844512.33808928716</v>
      </c>
      <c r="AF94" s="203">
        <f t="shared" si="29"/>
        <v>602313.25987406611</v>
      </c>
      <c r="AG94" s="203">
        <f t="shared" si="29"/>
        <v>382132.2796784105</v>
      </c>
      <c r="AH94" s="203">
        <f t="shared" si="29"/>
        <v>181967.75222781458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165824.91582491584</v>
      </c>
      <c r="E95" s="203">
        <f t="shared" si="30"/>
        <v>316574.83930211206</v>
      </c>
      <c r="F95" s="203">
        <f t="shared" si="30"/>
        <v>453620.22428138135</v>
      </c>
      <c r="G95" s="203">
        <f t="shared" si="30"/>
        <v>578206.93789889885</v>
      </c>
      <c r="H95" s="203">
        <f t="shared" si="30"/>
        <v>691467.58664209663</v>
      </c>
      <c r="I95" s="203">
        <f t="shared" si="30"/>
        <v>794431.81277227646</v>
      </c>
      <c r="J95" s="203">
        <f t="shared" si="30"/>
        <v>794431.81277227646</v>
      </c>
      <c r="K95" s="203">
        <f t="shared" si="30"/>
        <v>794431.81277227646</v>
      </c>
      <c r="L95" s="203">
        <f t="shared" si="30"/>
        <v>794431.81277227646</v>
      </c>
      <c r="M95" s="203">
        <f t="shared" si="30"/>
        <v>794431.81277227646</v>
      </c>
      <c r="N95" s="203">
        <f t="shared" si="30"/>
        <v>794431.81277227646</v>
      </c>
      <c r="O95" s="203">
        <f t="shared" si="30"/>
        <v>794431.81277227646</v>
      </c>
      <c r="P95" s="203">
        <f t="shared" si="30"/>
        <v>794431.81277227646</v>
      </c>
      <c r="Q95" s="203">
        <f t="shared" si="30"/>
        <v>794431.81277227646</v>
      </c>
      <c r="R95" s="203">
        <f t="shared" si="30"/>
        <v>794431.81277227646</v>
      </c>
      <c r="S95" s="203">
        <f t="shared" si="30"/>
        <v>794431.81277227646</v>
      </c>
      <c r="T95" s="203">
        <f t="shared" si="30"/>
        <v>794431.81277227646</v>
      </c>
      <c r="U95" s="203">
        <f t="shared" si="30"/>
        <v>794431.81277227646</v>
      </c>
      <c r="V95" s="203">
        <f t="shared" si="30"/>
        <v>794431.81277227646</v>
      </c>
      <c r="W95" s="203">
        <f t="shared" si="30"/>
        <v>794431.81277227646</v>
      </c>
      <c r="X95" s="203">
        <f t="shared" si="30"/>
        <v>794431.81277227646</v>
      </c>
      <c r="Y95" s="203">
        <f t="shared" si="30"/>
        <v>794431.81277227646</v>
      </c>
      <c r="Z95" s="203">
        <f t="shared" si="30"/>
        <v>794431.81277227646</v>
      </c>
      <c r="AA95" s="203">
        <f t="shared" si="30"/>
        <v>794431.81277227646</v>
      </c>
      <c r="AB95" s="203">
        <f t="shared" si="30"/>
        <v>794431.81277227646</v>
      </c>
      <c r="AC95" s="203">
        <f t="shared" si="30"/>
        <v>794431.81277227646</v>
      </c>
      <c r="AD95" s="203">
        <f t="shared" si="30"/>
        <v>628606.8969473606</v>
      </c>
      <c r="AE95" s="203">
        <f t="shared" si="30"/>
        <v>477856.9734701644</v>
      </c>
      <c r="AF95" s="203">
        <f t="shared" si="30"/>
        <v>340811.58849089511</v>
      </c>
      <c r="AG95" s="203">
        <f t="shared" si="30"/>
        <v>216224.87487337762</v>
      </c>
      <c r="AH95" s="203">
        <f t="shared" si="3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127235.96881550169</v>
      </c>
      <c r="E96" s="203">
        <f t="shared" ref="E96:AH96" si="32">E94-E95</f>
        <v>242905.03137504851</v>
      </c>
      <c r="F96" s="203">
        <f t="shared" si="32"/>
        <v>348058.72461100051</v>
      </c>
      <c r="G96" s="203">
        <f t="shared" si="32"/>
        <v>443652.99118913838</v>
      </c>
      <c r="H96" s="203">
        <f t="shared" si="32"/>
        <v>530556.86989653704</v>
      </c>
      <c r="I96" s="203">
        <f t="shared" si="32"/>
        <v>609560.39599417162</v>
      </c>
      <c r="J96" s="203">
        <f t="shared" si="32"/>
        <v>609560.39599417162</v>
      </c>
      <c r="K96" s="203">
        <f t="shared" si="32"/>
        <v>609560.39599417162</v>
      </c>
      <c r="L96" s="203">
        <f t="shared" si="32"/>
        <v>609560.39599417162</v>
      </c>
      <c r="M96" s="203">
        <f t="shared" si="32"/>
        <v>609560.39599417162</v>
      </c>
      <c r="N96" s="203">
        <f t="shared" si="32"/>
        <v>609560.39599417162</v>
      </c>
      <c r="O96" s="203">
        <f t="shared" si="32"/>
        <v>609560.39599417162</v>
      </c>
      <c r="P96" s="203">
        <f t="shared" si="32"/>
        <v>609560.39599417162</v>
      </c>
      <c r="Q96" s="203">
        <f t="shared" si="32"/>
        <v>609560.39599417162</v>
      </c>
      <c r="R96" s="203">
        <f t="shared" si="32"/>
        <v>609560.39599417162</v>
      </c>
      <c r="S96" s="203">
        <f t="shared" si="32"/>
        <v>609560.39599417162</v>
      </c>
      <c r="T96" s="203">
        <f t="shared" si="32"/>
        <v>609560.39599417162</v>
      </c>
      <c r="U96" s="203">
        <f t="shared" si="32"/>
        <v>609560.39599417162</v>
      </c>
      <c r="V96" s="203">
        <f t="shared" si="32"/>
        <v>609560.39599417162</v>
      </c>
      <c r="W96" s="203">
        <f t="shared" si="32"/>
        <v>609560.39599417162</v>
      </c>
      <c r="X96" s="203">
        <f t="shared" si="32"/>
        <v>609560.39599417162</v>
      </c>
      <c r="Y96" s="203">
        <f t="shared" si="32"/>
        <v>609560.39599417162</v>
      </c>
      <c r="Z96" s="203">
        <f t="shared" si="32"/>
        <v>609560.39599417162</v>
      </c>
      <c r="AA96" s="203">
        <f t="shared" si="32"/>
        <v>609560.39599417162</v>
      </c>
      <c r="AB96" s="203">
        <f t="shared" si="32"/>
        <v>609560.39599417162</v>
      </c>
      <c r="AC96" s="203">
        <f t="shared" si="32"/>
        <v>609560.39599417162</v>
      </c>
      <c r="AD96" s="203">
        <f t="shared" si="32"/>
        <v>482324.42717867019</v>
      </c>
      <c r="AE96" s="203">
        <f t="shared" si="32"/>
        <v>366655.36461912276</v>
      </c>
      <c r="AF96" s="203">
        <f t="shared" si="32"/>
        <v>261501.67138317099</v>
      </c>
      <c r="AG96" s="203">
        <f t="shared" si="32"/>
        <v>165907.40480503289</v>
      </c>
      <c r="AH96" s="203">
        <f t="shared" si="32"/>
        <v>79003.526097634734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157417.59259259258</v>
      </c>
      <c r="E97" s="203">
        <f t="shared" si="33"/>
        <v>314835.18518518517</v>
      </c>
      <c r="F97" s="203">
        <f t="shared" si="33"/>
        <v>472252.77777777775</v>
      </c>
      <c r="G97" s="203">
        <f t="shared" si="33"/>
        <v>598186.8518518518</v>
      </c>
      <c r="H97" s="203">
        <f t="shared" si="33"/>
        <v>692637.40740740742</v>
      </c>
      <c r="I97" s="203">
        <f t="shared" si="33"/>
        <v>755604.4444444445</v>
      </c>
      <c r="J97" s="203">
        <f t="shared" si="33"/>
        <v>629670.37037037034</v>
      </c>
      <c r="K97" s="203">
        <f t="shared" si="33"/>
        <v>472252.77777777787</v>
      </c>
      <c r="L97" s="203">
        <f t="shared" si="33"/>
        <v>314835.18518518523</v>
      </c>
      <c r="M97" s="203">
        <f t="shared" si="33"/>
        <v>188901.11111111112</v>
      </c>
      <c r="N97" s="203">
        <f t="shared" si="33"/>
        <v>94450.555555555562</v>
      </c>
      <c r="O97" s="203">
        <f t="shared" si="33"/>
        <v>31483.518518518522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-30181.623777090892</v>
      </c>
      <c r="E98" s="203">
        <f t="shared" ref="E98:AH98" si="34">E96-E97</f>
        <v>-71930.15381013666</v>
      </c>
      <c r="F98" s="203">
        <f t="shared" si="34"/>
        <v>-124194.05316677724</v>
      </c>
      <c r="G98" s="203">
        <f t="shared" si="34"/>
        <v>-154533.86066271341</v>
      </c>
      <c r="H98" s="203">
        <f t="shared" si="34"/>
        <v>-162080.53751087037</v>
      </c>
      <c r="I98" s="203">
        <f t="shared" si="34"/>
        <v>-146044.04845027288</v>
      </c>
      <c r="J98" s="203">
        <f t="shared" si="34"/>
        <v>-20109.974376198719</v>
      </c>
      <c r="K98" s="203">
        <f t="shared" si="34"/>
        <v>137307.61821639375</v>
      </c>
      <c r="L98" s="203">
        <f t="shared" si="34"/>
        <v>294725.21080898639</v>
      </c>
      <c r="M98" s="203">
        <f t="shared" si="34"/>
        <v>420659.28488306049</v>
      </c>
      <c r="N98" s="203">
        <f t="shared" si="34"/>
        <v>515109.84043861605</v>
      </c>
      <c r="O98" s="203">
        <f t="shared" si="34"/>
        <v>578076.87747565308</v>
      </c>
      <c r="P98" s="203">
        <f t="shared" si="34"/>
        <v>609560.39599417162</v>
      </c>
      <c r="Q98" s="203">
        <f t="shared" si="34"/>
        <v>609560.39599417162</v>
      </c>
      <c r="R98" s="203">
        <f t="shared" si="34"/>
        <v>609560.39599417162</v>
      </c>
      <c r="S98" s="203">
        <f t="shared" si="34"/>
        <v>609560.39599417162</v>
      </c>
      <c r="T98" s="203">
        <f t="shared" si="34"/>
        <v>609560.39599417162</v>
      </c>
      <c r="U98" s="203">
        <f t="shared" si="34"/>
        <v>609560.39599417162</v>
      </c>
      <c r="V98" s="203">
        <f t="shared" si="34"/>
        <v>609560.39599417162</v>
      </c>
      <c r="W98" s="203">
        <f t="shared" si="34"/>
        <v>609560.39599417162</v>
      </c>
      <c r="X98" s="203">
        <f t="shared" si="34"/>
        <v>609560.39599417162</v>
      </c>
      <c r="Y98" s="203">
        <f t="shared" si="34"/>
        <v>609560.39599417162</v>
      </c>
      <c r="Z98" s="203">
        <f t="shared" si="34"/>
        <v>609560.39599417162</v>
      </c>
      <c r="AA98" s="203">
        <f t="shared" si="34"/>
        <v>609560.39599417162</v>
      </c>
      <c r="AB98" s="203">
        <f t="shared" si="34"/>
        <v>609560.39599417162</v>
      </c>
      <c r="AC98" s="203">
        <f t="shared" si="34"/>
        <v>609560.39599417162</v>
      </c>
      <c r="AD98" s="203">
        <f t="shared" si="34"/>
        <v>482324.42717867019</v>
      </c>
      <c r="AE98" s="203">
        <f t="shared" si="34"/>
        <v>366655.36461912276</v>
      </c>
      <c r="AF98" s="203">
        <f t="shared" si="34"/>
        <v>261501.67138317099</v>
      </c>
      <c r="AG98" s="203">
        <f t="shared" si="34"/>
        <v>165907.40480503289</v>
      </c>
      <c r="AH98" s="203">
        <f t="shared" si="34"/>
        <v>79003.526097634734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-30181.623777090892</v>
      </c>
      <c r="E100" s="203">
        <f t="shared" ref="E100:AH100" si="35">E98+E99</f>
        <v>-71930.15381013666</v>
      </c>
      <c r="F100" s="203">
        <f t="shared" si="35"/>
        <v>-124194.05316677724</v>
      </c>
      <c r="G100" s="203">
        <f t="shared" si="35"/>
        <v>-154533.86066271341</v>
      </c>
      <c r="H100" s="203">
        <f t="shared" si="35"/>
        <v>-162080.53751087037</v>
      </c>
      <c r="I100" s="203">
        <f t="shared" si="35"/>
        <v>-146044.04845027288</v>
      </c>
      <c r="J100" s="203">
        <f t="shared" si="35"/>
        <v>-20109.974376198719</v>
      </c>
      <c r="K100" s="203">
        <f t="shared" si="35"/>
        <v>137307.61821639375</v>
      </c>
      <c r="L100" s="203">
        <f t="shared" si="35"/>
        <v>294725.21080898639</v>
      </c>
      <c r="M100" s="203">
        <f t="shared" si="35"/>
        <v>420659.28488306049</v>
      </c>
      <c r="N100" s="203">
        <f t="shared" si="35"/>
        <v>515109.84043861605</v>
      </c>
      <c r="O100" s="203">
        <f t="shared" si="35"/>
        <v>578076.87747565308</v>
      </c>
      <c r="P100" s="203">
        <f t="shared" si="35"/>
        <v>609560.39599417162</v>
      </c>
      <c r="Q100" s="203">
        <f t="shared" si="35"/>
        <v>609560.39599417162</v>
      </c>
      <c r="R100" s="203">
        <f t="shared" si="35"/>
        <v>609560.39599417162</v>
      </c>
      <c r="S100" s="203">
        <f t="shared" si="35"/>
        <v>609560.39599417162</v>
      </c>
      <c r="T100" s="203">
        <f t="shared" si="35"/>
        <v>609560.39599417162</v>
      </c>
      <c r="U100" s="203">
        <f t="shared" si="35"/>
        <v>609560.39599417162</v>
      </c>
      <c r="V100" s="203">
        <f t="shared" si="35"/>
        <v>609560.39599417162</v>
      </c>
      <c r="W100" s="203">
        <f t="shared" si="35"/>
        <v>609560.39599417162</v>
      </c>
      <c r="X100" s="203">
        <f t="shared" si="35"/>
        <v>609560.39599417162</v>
      </c>
      <c r="Y100" s="203">
        <f t="shared" si="35"/>
        <v>609560.39599417162</v>
      </c>
      <c r="Z100" s="203">
        <f t="shared" si="35"/>
        <v>609560.39599417162</v>
      </c>
      <c r="AA100" s="203">
        <f t="shared" si="35"/>
        <v>609560.39599417162</v>
      </c>
      <c r="AB100" s="203">
        <f t="shared" si="35"/>
        <v>609560.39599417162</v>
      </c>
      <c r="AC100" s="203">
        <f t="shared" si="35"/>
        <v>609560.39599417162</v>
      </c>
      <c r="AD100" s="203">
        <f t="shared" si="35"/>
        <v>482324.42717867019</v>
      </c>
      <c r="AE100" s="203">
        <f t="shared" si="35"/>
        <v>366655.36461912276</v>
      </c>
      <c r="AF100" s="203">
        <f t="shared" si="35"/>
        <v>261501.67138317099</v>
      </c>
      <c r="AG100" s="203">
        <f t="shared" si="35"/>
        <v>165907.40480503289</v>
      </c>
      <c r="AH100" s="203">
        <f t="shared" si="35"/>
        <v>79003.526097634734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4119.2285464918123</v>
      </c>
      <c r="L101" s="203">
        <f t="shared" si="36"/>
        <v>8841.7563242695906</v>
      </c>
      <c r="M101" s="203">
        <f t="shared" si="36"/>
        <v>12619.778546491814</v>
      </c>
      <c r="N101" s="203">
        <f t="shared" si="36"/>
        <v>15453.295213158481</v>
      </c>
      <c r="O101" s="203">
        <f t="shared" si="36"/>
        <v>17342.306324269593</v>
      </c>
      <c r="P101" s="203">
        <f t="shared" si="36"/>
        <v>18286.811879825149</v>
      </c>
      <c r="Q101" s="203">
        <f t="shared" si="36"/>
        <v>18286.811879825149</v>
      </c>
      <c r="R101" s="203">
        <f t="shared" si="36"/>
        <v>18286.811879825149</v>
      </c>
      <c r="S101" s="203">
        <f t="shared" si="36"/>
        <v>18286.811879825149</v>
      </c>
      <c r="T101" s="203">
        <f t="shared" si="36"/>
        <v>18286.811879825149</v>
      </c>
      <c r="U101" s="203">
        <f t="shared" si="36"/>
        <v>18286.811879825149</v>
      </c>
      <c r="V101" s="203">
        <f t="shared" si="36"/>
        <v>18286.811879825149</v>
      </c>
      <c r="W101" s="203">
        <f t="shared" si="36"/>
        <v>18286.811879825149</v>
      </c>
      <c r="X101" s="203">
        <f t="shared" si="36"/>
        <v>18286.811879825149</v>
      </c>
      <c r="Y101" s="203">
        <f t="shared" si="36"/>
        <v>18286.811879825149</v>
      </c>
      <c r="Z101" s="203">
        <f t="shared" si="36"/>
        <v>18286.811879825149</v>
      </c>
      <c r="AA101" s="203">
        <f t="shared" si="36"/>
        <v>18286.811879825149</v>
      </c>
      <c r="AB101" s="203">
        <f t="shared" si="36"/>
        <v>18286.811879825149</v>
      </c>
      <c r="AC101" s="203">
        <f t="shared" si="36"/>
        <v>18286.811879825149</v>
      </c>
      <c r="AD101" s="203">
        <f t="shared" si="36"/>
        <v>14469.732815360105</v>
      </c>
      <c r="AE101" s="203">
        <f t="shared" si="36"/>
        <v>10999.660938573683</v>
      </c>
      <c r="AF101" s="203">
        <f t="shared" si="36"/>
        <v>7845.0501414951295</v>
      </c>
      <c r="AG101" s="203">
        <f t="shared" si="36"/>
        <v>4977.2221441509864</v>
      </c>
      <c r="AH101" s="203">
        <f t="shared" si="36"/>
        <v>2370.1057829290421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-30181.623777090892</v>
      </c>
      <c r="E102" s="203">
        <f t="shared" ref="E102:AH102" si="37">E100-E101</f>
        <v>-71930.15381013666</v>
      </c>
      <c r="F102" s="203">
        <f t="shared" si="37"/>
        <v>-124194.05316677724</v>
      </c>
      <c r="G102" s="203">
        <f t="shared" si="37"/>
        <v>-154533.86066271341</v>
      </c>
      <c r="H102" s="203">
        <f t="shared" si="37"/>
        <v>-162080.53751087037</v>
      </c>
      <c r="I102" s="203">
        <f t="shared" si="37"/>
        <v>-146044.04845027288</v>
      </c>
      <c r="J102" s="203">
        <f t="shared" si="37"/>
        <v>-20109.974376198719</v>
      </c>
      <c r="K102" s="203">
        <f t="shared" si="37"/>
        <v>133188.38966990192</v>
      </c>
      <c r="L102" s="203">
        <f t="shared" si="37"/>
        <v>285883.45448471681</v>
      </c>
      <c r="M102" s="203">
        <f t="shared" si="37"/>
        <v>408039.50633656868</v>
      </c>
      <c r="N102" s="203">
        <f t="shared" si="37"/>
        <v>499656.54522545758</v>
      </c>
      <c r="O102" s="203">
        <f t="shared" si="37"/>
        <v>560734.57115138345</v>
      </c>
      <c r="P102" s="203">
        <f t="shared" si="37"/>
        <v>591273.58411434642</v>
      </c>
      <c r="Q102" s="203">
        <f t="shared" si="37"/>
        <v>591273.58411434642</v>
      </c>
      <c r="R102" s="203">
        <f t="shared" si="37"/>
        <v>591273.58411434642</v>
      </c>
      <c r="S102" s="203">
        <f t="shared" si="37"/>
        <v>591273.58411434642</v>
      </c>
      <c r="T102" s="203">
        <f t="shared" si="37"/>
        <v>591273.58411434642</v>
      </c>
      <c r="U102" s="203">
        <f t="shared" si="37"/>
        <v>591273.58411434642</v>
      </c>
      <c r="V102" s="203">
        <f t="shared" si="37"/>
        <v>591273.58411434642</v>
      </c>
      <c r="W102" s="203">
        <f t="shared" si="37"/>
        <v>591273.58411434642</v>
      </c>
      <c r="X102" s="203">
        <f t="shared" si="37"/>
        <v>591273.58411434642</v>
      </c>
      <c r="Y102" s="203">
        <f t="shared" si="37"/>
        <v>591273.58411434642</v>
      </c>
      <c r="Z102" s="203">
        <f t="shared" si="37"/>
        <v>591273.58411434642</v>
      </c>
      <c r="AA102" s="203">
        <f t="shared" si="37"/>
        <v>591273.58411434642</v>
      </c>
      <c r="AB102" s="203">
        <f t="shared" si="37"/>
        <v>591273.58411434642</v>
      </c>
      <c r="AC102" s="203">
        <f t="shared" si="37"/>
        <v>591273.58411434642</v>
      </c>
      <c r="AD102" s="203">
        <f t="shared" si="37"/>
        <v>467854.69436331006</v>
      </c>
      <c r="AE102" s="203">
        <f t="shared" si="37"/>
        <v>355655.70368054905</v>
      </c>
      <c r="AF102" s="203">
        <f t="shared" si="37"/>
        <v>253656.62124167586</v>
      </c>
      <c r="AG102" s="203">
        <f t="shared" si="37"/>
        <v>160930.1826608819</v>
      </c>
      <c r="AH102" s="203">
        <f t="shared" si="37"/>
        <v>76633.420314705698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H103" si="38">D102-D72</f>
        <v>-1854255.6978511647</v>
      </c>
      <c r="E103" s="203">
        <f t="shared" si="38"/>
        <v>-1896004.2278842106</v>
      </c>
      <c r="F103" s="203">
        <f t="shared" si="38"/>
        <v>-1948268.1272408511</v>
      </c>
      <c r="G103" s="203">
        <f t="shared" si="38"/>
        <v>-1978607.9347367876</v>
      </c>
      <c r="H103" s="203">
        <f t="shared" si="38"/>
        <v>-1986154.6115849447</v>
      </c>
      <c r="I103" s="203">
        <f t="shared" si="38"/>
        <v>-146044.04845027288</v>
      </c>
      <c r="J103" s="203">
        <f t="shared" si="38"/>
        <v>-20109.974376198719</v>
      </c>
      <c r="K103" s="203">
        <f t="shared" si="38"/>
        <v>133188.38966990192</v>
      </c>
      <c r="L103" s="203">
        <f t="shared" si="38"/>
        <v>285883.45448471681</v>
      </c>
      <c r="M103" s="203">
        <f t="shared" si="38"/>
        <v>408039.50633656868</v>
      </c>
      <c r="N103" s="203">
        <f t="shared" si="38"/>
        <v>499656.54522545758</v>
      </c>
      <c r="O103" s="203">
        <f t="shared" si="38"/>
        <v>560734.57115138345</v>
      </c>
      <c r="P103" s="203">
        <f t="shared" si="38"/>
        <v>591273.58411434642</v>
      </c>
      <c r="Q103" s="203">
        <f t="shared" si="38"/>
        <v>591273.58411434642</v>
      </c>
      <c r="R103" s="203">
        <f t="shared" si="38"/>
        <v>591273.58411434642</v>
      </c>
      <c r="S103" s="203">
        <f t="shared" si="38"/>
        <v>591273.58411434642</v>
      </c>
      <c r="T103" s="203">
        <f t="shared" si="38"/>
        <v>591273.58411434642</v>
      </c>
      <c r="U103" s="203">
        <f t="shared" si="38"/>
        <v>591273.58411434642</v>
      </c>
      <c r="V103" s="203">
        <f t="shared" si="38"/>
        <v>591273.58411434642</v>
      </c>
      <c r="W103" s="203">
        <f t="shared" si="38"/>
        <v>591273.58411434642</v>
      </c>
      <c r="X103" s="203">
        <f t="shared" si="38"/>
        <v>591273.58411434642</v>
      </c>
      <c r="Y103" s="203">
        <f t="shared" si="38"/>
        <v>591273.58411434642</v>
      </c>
      <c r="Z103" s="203">
        <f t="shared" si="38"/>
        <v>591273.58411434642</v>
      </c>
      <c r="AA103" s="203">
        <f t="shared" si="38"/>
        <v>591273.58411434642</v>
      </c>
      <c r="AB103" s="203">
        <f t="shared" si="38"/>
        <v>591273.58411434642</v>
      </c>
      <c r="AC103" s="203">
        <f t="shared" si="38"/>
        <v>591273.58411434642</v>
      </c>
      <c r="AD103" s="203">
        <f t="shared" si="38"/>
        <v>467854.69436331006</v>
      </c>
      <c r="AE103" s="203">
        <f t="shared" si="38"/>
        <v>355655.70368054905</v>
      </c>
      <c r="AF103" s="203">
        <f t="shared" si="38"/>
        <v>253656.62124167586</v>
      </c>
      <c r="AG103" s="203">
        <f t="shared" si="38"/>
        <v>160930.1826608819</v>
      </c>
      <c r="AH103" s="203">
        <f t="shared" si="38"/>
        <v>76633.420314705698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-1824074.0740740739</v>
      </c>
      <c r="D104" s="203">
        <f t="shared" si="39"/>
        <v>-1623006.8557392694</v>
      </c>
      <c r="E104" s="203">
        <f t="shared" si="39"/>
        <v>-1452864.2280003331</v>
      </c>
      <c r="F104" s="203">
        <f t="shared" si="39"/>
        <v>-1310847.2974155671</v>
      </c>
      <c r="G104" s="203">
        <f t="shared" si="39"/>
        <v>-1162924.7220426414</v>
      </c>
      <c r="H104" s="203">
        <f t="shared" si="39"/>
        <v>-1006777.0908528653</v>
      </c>
      <c r="I104" s="203">
        <f t="shared" si="39"/>
        <v>983781.27966093761</v>
      </c>
      <c r="J104" s="203">
        <f t="shared" si="39"/>
        <v>1114442.4836540837</v>
      </c>
      <c r="K104" s="203">
        <f t="shared" si="39"/>
        <v>1272586.1558672329</v>
      </c>
      <c r="L104" s="203">
        <f t="shared" si="39"/>
        <v>1430247.661553273</v>
      </c>
      <c r="M104" s="203">
        <f t="shared" si="39"/>
        <v>1557494.3152981303</v>
      </c>
      <c r="N104" s="203">
        <f t="shared" si="39"/>
        <v>1654329.2211273499</v>
      </c>
      <c r="O104" s="203">
        <f t="shared" si="39"/>
        <v>1720755.5606671148</v>
      </c>
      <c r="P104" s="203">
        <f t="shared" si="39"/>
        <v>1756776.5950842625</v>
      </c>
      <c r="Q104" s="203">
        <f t="shared" si="39"/>
        <v>1762395.6670748021</v>
      </c>
      <c r="R104" s="203">
        <f t="shared" si="39"/>
        <v>1768155.2158651052</v>
      </c>
      <c r="S104" s="203">
        <f t="shared" si="39"/>
        <v>1774058.7533751656</v>
      </c>
      <c r="T104" s="203">
        <f t="shared" si="39"/>
        <v>1780109.8793229777</v>
      </c>
      <c r="U104" s="203">
        <f t="shared" si="39"/>
        <v>1786312.2834194852</v>
      </c>
      <c r="V104" s="203">
        <f t="shared" si="39"/>
        <v>1792669.7476184054</v>
      </c>
      <c r="W104" s="203">
        <f t="shared" si="39"/>
        <v>1799186.1484222985</v>
      </c>
      <c r="X104" s="203">
        <f t="shared" si="39"/>
        <v>1805865.459246289</v>
      </c>
      <c r="Y104" s="203">
        <f t="shared" si="39"/>
        <v>1812711.7528408791</v>
      </c>
      <c r="Z104" s="203">
        <f t="shared" si="39"/>
        <v>1819729.2037753342</v>
      </c>
      <c r="AA104" s="203">
        <f t="shared" si="39"/>
        <v>1826922.0909831505</v>
      </c>
      <c r="AB104" s="203">
        <f t="shared" si="39"/>
        <v>1834294.8003711621</v>
      </c>
      <c r="AC104" s="203">
        <f t="shared" si="39"/>
        <v>1532013.71546268</v>
      </c>
      <c r="AD104" s="203">
        <f t="shared" si="39"/>
        <v>1212230.3919289869</v>
      </c>
      <c r="AE104" s="203">
        <f t="shared" si="39"/>
        <v>921518.27962562873</v>
      </c>
      <c r="AF104" s="203">
        <f t="shared" si="39"/>
        <v>657234.54116803093</v>
      </c>
      <c r="AG104" s="203">
        <f t="shared" si="39"/>
        <v>416976.59711566917</v>
      </c>
      <c r="AH104" s="203">
        <f t="shared" si="39"/>
        <v>198560.2843407949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0.80827032557153267</v>
      </c>
      <c r="E108" s="215">
        <f t="shared" ref="E108:G108" si="40">(E102+E71+E70)/(E70+E71)</f>
        <v>0.77153076531828058</v>
      </c>
      <c r="F108" s="215">
        <f t="shared" si="40"/>
        <v>0.85163198973918042</v>
      </c>
      <c r="G108" s="215">
        <f t="shared" si="40"/>
        <v>0.88361805805400473</v>
      </c>
      <c r="H108" s="215">
        <f>(H102+H71+H70)/(H70+H71)</f>
        <v>0.90930435707636137</v>
      </c>
      <c r="I108" s="215">
        <f>(I102+I71+I70)/(I70+I71)</f>
        <v>0.93406183495352013</v>
      </c>
      <c r="J108" s="215">
        <f t="shared" ref="J108:N108" si="41">(J102+J71+J70)/(J70+J71)</f>
        <v>0.99180437293633827</v>
      </c>
      <c r="K108" s="215">
        <f t="shared" si="41"/>
        <v>1.0580006237189159</v>
      </c>
      <c r="L108" s="215">
        <f t="shared" si="41"/>
        <v>1.1611433119470937</v>
      </c>
      <c r="M108" s="215">
        <f t="shared" si="41"/>
        <v>1.3179498339867863</v>
      </c>
      <c r="N108" s="215">
        <f t="shared" si="41"/>
        <v>1.6063203001455206</v>
      </c>
      <c r="O108" s="215">
        <f>(O102+O71+O70)/(O70+O71)</f>
        <v>2.4149304298984773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1.142380516945501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0.80827032557153267</v>
      </c>
      <c r="E110" s="215">
        <f t="shared" si="43"/>
        <v>0.77153076531828058</v>
      </c>
      <c r="F110" s="215">
        <f t="shared" si="43"/>
        <v>0.85163198973918042</v>
      </c>
      <c r="G110" s="215">
        <f t="shared" si="43"/>
        <v>0.88361805805400473</v>
      </c>
      <c r="H110" s="215">
        <f t="shared" si="43"/>
        <v>0.90930435707636137</v>
      </c>
      <c r="I110" s="215">
        <f t="shared" si="43"/>
        <v>0.93406183495352013</v>
      </c>
      <c r="J110" s="215">
        <f t="shared" si="43"/>
        <v>0.99180437293633827</v>
      </c>
      <c r="K110" s="215">
        <f t="shared" si="43"/>
        <v>1.0580006237189159</v>
      </c>
      <c r="L110" s="215">
        <f t="shared" si="43"/>
        <v>1.1611433119470937</v>
      </c>
      <c r="M110" s="215">
        <f t="shared" si="43"/>
        <v>1.3179498339867863</v>
      </c>
      <c r="N110" s="215">
        <f t="shared" si="43"/>
        <v>1.6063203001455206</v>
      </c>
      <c r="O110" s="215">
        <f t="shared" si="43"/>
        <v>2.4149304298984773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1.142380516945501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0.80827032557153267</v>
      </c>
      <c r="E112" s="215">
        <f t="shared" si="44"/>
        <v>0.77153076531828058</v>
      </c>
      <c r="F112" s="215">
        <f t="shared" si="44"/>
        <v>0.85163198973918042</v>
      </c>
      <c r="G112" s="215">
        <f t="shared" si="44"/>
        <v>0.88361805805400473</v>
      </c>
      <c r="H112" s="215">
        <f t="shared" si="44"/>
        <v>0.90930435707636137</v>
      </c>
      <c r="I112" s="215">
        <f t="shared" si="44"/>
        <v>0.93406183495352013</v>
      </c>
      <c r="J112" s="215">
        <f t="shared" si="44"/>
        <v>0.99180437293633827</v>
      </c>
      <c r="K112" s="215">
        <f t="shared" si="44"/>
        <v>1.0580006237189159</v>
      </c>
      <c r="L112" s="215">
        <f t="shared" si="44"/>
        <v>1.1611433119470937</v>
      </c>
      <c r="M112" s="215">
        <f t="shared" si="44"/>
        <v>1.3179498339867863</v>
      </c>
      <c r="N112" s="215">
        <f t="shared" si="44"/>
        <v>1.6063203001455206</v>
      </c>
      <c r="O112" s="215">
        <f t="shared" si="44"/>
        <v>2.4149304298984773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1.142380516945501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1134-E1AE-4218-BBEB-459B517E6DC6}">
  <dimension ref="A1:BV114"/>
  <sheetViews>
    <sheetView topLeftCell="B42" zoomScale="53" zoomScaleNormal="53" workbookViewId="0">
      <selection activeCell="C66" sqref="C64:C66"/>
    </sheetView>
  </sheetViews>
  <sheetFormatPr defaultColWidth="9.140625" defaultRowHeight="15" x14ac:dyDescent="0.25"/>
  <cols>
    <col min="1" max="1" width="72.85546875" style="11" customWidth="1"/>
    <col min="2" max="2" width="21.28515625" style="11" customWidth="1"/>
    <col min="3" max="3" width="19.85546875" style="11" customWidth="1"/>
    <col min="4" max="4" width="20.7109375" style="11" customWidth="1"/>
    <col min="5" max="34" width="15.7109375" style="11" customWidth="1"/>
    <col min="35" max="16384" width="9.140625" style="11"/>
  </cols>
  <sheetData>
    <row r="1" spans="1:34" x14ac:dyDescent="0.25">
      <c r="A1" s="46" t="s">
        <v>41</v>
      </c>
      <c r="B1" s="46"/>
      <c r="C1" s="46"/>
      <c r="D1" s="46"/>
      <c r="E1" s="46" t="s">
        <v>2</v>
      </c>
      <c r="F1" s="263" t="s">
        <v>3</v>
      </c>
      <c r="G1" s="263" t="s">
        <v>4</v>
      </c>
      <c r="H1" s="263" t="s">
        <v>5</v>
      </c>
      <c r="I1" s="263" t="s">
        <v>6</v>
      </c>
      <c r="J1" s="48" t="s">
        <v>7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23</v>
      </c>
      <c r="S1" s="48" t="s">
        <v>24</v>
      </c>
      <c r="T1" s="48" t="s">
        <v>25</v>
      </c>
      <c r="U1" s="48" t="s">
        <v>26</v>
      </c>
      <c r="V1" s="48" t="s">
        <v>27</v>
      </c>
      <c r="W1" s="48" t="s">
        <v>28</v>
      </c>
      <c r="X1" s="48" t="s">
        <v>29</v>
      </c>
      <c r="Y1" s="48" t="s">
        <v>30</v>
      </c>
      <c r="Z1" s="48" t="s">
        <v>31</v>
      </c>
      <c r="AA1" s="48" t="s">
        <v>32</v>
      </c>
      <c r="AB1" s="48" t="s">
        <v>33</v>
      </c>
      <c r="AC1" s="48" t="s">
        <v>34</v>
      </c>
      <c r="AD1" s="48" t="s">
        <v>35</v>
      </c>
      <c r="AE1" s="48" t="s">
        <v>143</v>
      </c>
      <c r="AF1" s="48" t="s">
        <v>144</v>
      </c>
      <c r="AG1" s="48" t="s">
        <v>145</v>
      </c>
      <c r="AH1" s="48" t="s">
        <v>146</v>
      </c>
    </row>
    <row r="2" spans="1:34" ht="49.5" customHeight="1" x14ac:dyDescent="0.25">
      <c r="A2" s="9" t="s">
        <v>38</v>
      </c>
      <c r="C2" s="152" t="s">
        <v>75</v>
      </c>
      <c r="D2" s="14"/>
      <c r="E2" s="4" t="s">
        <v>74</v>
      </c>
    </row>
    <row r="3" spans="1:34" x14ac:dyDescent="0.25">
      <c r="A3" s="11" t="s">
        <v>131</v>
      </c>
      <c r="B3" s="265">
        <v>0.1</v>
      </c>
      <c r="C3" s="266">
        <f>(((49250000/1800)*400))/6</f>
        <v>1824074.0740740739</v>
      </c>
      <c r="D3" s="13"/>
      <c r="E3" s="13">
        <f>C3/(Interventions!E6+Interventions!E7)</f>
        <v>60.606306723042223</v>
      </c>
    </row>
    <row r="5" spans="1:34" x14ac:dyDescent="0.25">
      <c r="A5" s="9" t="s">
        <v>39</v>
      </c>
      <c r="C5" s="55"/>
      <c r="D5" s="55"/>
    </row>
    <row r="6" spans="1:34" x14ac:dyDescent="0.25">
      <c r="A6" s="11" t="s">
        <v>43</v>
      </c>
      <c r="B6" s="217">
        <v>0.125</v>
      </c>
    </row>
    <row r="7" spans="1:34" x14ac:dyDescent="0.25">
      <c r="A7" s="11" t="s">
        <v>40</v>
      </c>
      <c r="B7"/>
      <c r="C7" s="15">
        <v>0</v>
      </c>
      <c r="D7" s="15">
        <v>1</v>
      </c>
      <c r="E7" s="15">
        <v>2</v>
      </c>
      <c r="F7" s="15">
        <v>3</v>
      </c>
      <c r="G7" s="15">
        <v>4</v>
      </c>
      <c r="H7" s="15">
        <v>5</v>
      </c>
      <c r="I7" s="15">
        <v>6</v>
      </c>
      <c r="J7" s="15">
        <v>7</v>
      </c>
      <c r="K7" s="15">
        <v>8</v>
      </c>
      <c r="L7" s="15">
        <v>9</v>
      </c>
      <c r="M7" s="15">
        <v>10</v>
      </c>
      <c r="N7" s="15">
        <v>11</v>
      </c>
      <c r="O7" s="15">
        <v>12</v>
      </c>
      <c r="P7" s="15">
        <v>13</v>
      </c>
      <c r="Q7" s="15">
        <v>14</v>
      </c>
      <c r="R7" s="15">
        <v>15</v>
      </c>
      <c r="S7" s="15">
        <v>16</v>
      </c>
      <c r="T7" s="15">
        <v>17</v>
      </c>
      <c r="U7" s="15">
        <v>18</v>
      </c>
      <c r="V7" s="15">
        <v>19</v>
      </c>
      <c r="W7" s="15">
        <v>20</v>
      </c>
      <c r="X7" s="15">
        <v>21</v>
      </c>
      <c r="Y7" s="15">
        <v>22</v>
      </c>
      <c r="Z7" s="15">
        <v>23</v>
      </c>
      <c r="AA7" s="15">
        <v>24</v>
      </c>
      <c r="AB7" s="15">
        <v>25</v>
      </c>
      <c r="AC7" s="15">
        <v>26</v>
      </c>
      <c r="AD7" s="15">
        <v>27</v>
      </c>
      <c r="AE7" s="15">
        <v>28</v>
      </c>
      <c r="AF7" s="15">
        <v>29</v>
      </c>
      <c r="AG7" s="15">
        <v>30</v>
      </c>
      <c r="AH7" s="15">
        <v>31</v>
      </c>
    </row>
    <row r="8" spans="1:34" x14ac:dyDescent="0.25">
      <c r="A8" s="11" t="s">
        <v>45</v>
      </c>
      <c r="B8"/>
      <c r="C8" s="49">
        <f>1/((1+$B$6)^C7)</f>
        <v>1</v>
      </c>
      <c r="D8" s="49">
        <f>1*((1-$B$6)^D7)</f>
        <v>0.875</v>
      </c>
      <c r="E8" s="49">
        <f t="shared" ref="E8:AH8" si="0">1*((1-$B$6)^E7)</f>
        <v>0.765625</v>
      </c>
      <c r="F8" s="49">
        <f t="shared" si="0"/>
        <v>0.669921875</v>
      </c>
      <c r="G8" s="49">
        <f t="shared" si="0"/>
        <v>0.586181640625</v>
      </c>
      <c r="H8" s="49">
        <f t="shared" si="0"/>
        <v>0.512908935546875</v>
      </c>
      <c r="I8" s="49">
        <f t="shared" si="0"/>
        <v>0.44879531860351563</v>
      </c>
      <c r="J8" s="49">
        <f t="shared" si="0"/>
        <v>0.39269590377807617</v>
      </c>
      <c r="K8" s="49">
        <f t="shared" si="0"/>
        <v>0.34360891580581665</v>
      </c>
      <c r="L8" s="49">
        <f t="shared" si="0"/>
        <v>0.30065780133008957</v>
      </c>
      <c r="M8" s="49">
        <f t="shared" si="0"/>
        <v>0.26307557616382837</v>
      </c>
      <c r="N8" s="49">
        <f t="shared" si="0"/>
        <v>0.23019112914334983</v>
      </c>
      <c r="O8" s="49">
        <f t="shared" si="0"/>
        <v>0.2014172380004311</v>
      </c>
      <c r="P8" s="49">
        <f t="shared" si="0"/>
        <v>0.17624008325037721</v>
      </c>
      <c r="Q8" s="49">
        <f t="shared" si="0"/>
        <v>0.15421007284408006</v>
      </c>
      <c r="R8" s="49">
        <f t="shared" si="0"/>
        <v>0.13493381373857005</v>
      </c>
      <c r="S8" s="49">
        <f t="shared" si="0"/>
        <v>0.1180670870212488</v>
      </c>
      <c r="T8" s="49">
        <f t="shared" si="0"/>
        <v>0.1033087011435927</v>
      </c>
      <c r="U8" s="49">
        <f t="shared" si="0"/>
        <v>9.0395113500643609E-2</v>
      </c>
      <c r="V8" s="49">
        <f t="shared" si="0"/>
        <v>7.9095724313063165E-2</v>
      </c>
      <c r="W8" s="49">
        <f t="shared" si="0"/>
        <v>6.9208758773930262E-2</v>
      </c>
      <c r="X8" s="49">
        <f t="shared" si="0"/>
        <v>6.0557663927188983E-2</v>
      </c>
      <c r="Y8" s="49">
        <f t="shared" si="0"/>
        <v>5.2987955936290361E-2</v>
      </c>
      <c r="Z8" s="49">
        <f t="shared" si="0"/>
        <v>4.636446144425406E-2</v>
      </c>
      <c r="AA8" s="49">
        <f t="shared" si="0"/>
        <v>4.0568903763722304E-2</v>
      </c>
      <c r="AB8" s="49">
        <f t="shared" si="0"/>
        <v>3.5497790793257017E-2</v>
      </c>
      <c r="AC8" s="49">
        <f t="shared" si="0"/>
        <v>3.106056694409989E-2</v>
      </c>
      <c r="AD8" s="49">
        <f t="shared" si="0"/>
        <v>2.7177996076087403E-2</v>
      </c>
      <c r="AE8" s="49">
        <f t="shared" si="0"/>
        <v>2.3780746566576479E-2</v>
      </c>
      <c r="AF8" s="49">
        <f t="shared" si="0"/>
        <v>2.080815324575442E-2</v>
      </c>
      <c r="AG8" s="49">
        <f t="shared" si="0"/>
        <v>1.8207134090035115E-2</v>
      </c>
      <c r="AH8" s="49">
        <f t="shared" si="0"/>
        <v>1.5931242328780727E-2</v>
      </c>
    </row>
    <row r="9" spans="1:34" x14ac:dyDescent="0.25">
      <c r="A9" s="11" t="s">
        <v>44</v>
      </c>
      <c r="B9" s="217">
        <v>0</v>
      </c>
    </row>
    <row r="10" spans="1:34" x14ac:dyDescent="0.25">
      <c r="A10" s="11" t="s">
        <v>46</v>
      </c>
      <c r="B10"/>
      <c r="C10" s="49">
        <f>1/((1+$B$6)^C9)</f>
        <v>1</v>
      </c>
      <c r="D10" s="49">
        <f>1*((1-$B$9)^D7)</f>
        <v>1</v>
      </c>
      <c r="E10" s="49">
        <f>1*((1-$B$9)^E7)</f>
        <v>1</v>
      </c>
      <c r="F10" s="49">
        <f t="shared" ref="F10:AH10" si="1">1*((1-$B$9)^F7)</f>
        <v>1</v>
      </c>
      <c r="G10" s="49">
        <f t="shared" si="1"/>
        <v>1</v>
      </c>
      <c r="H10" s="49">
        <f t="shared" si="1"/>
        <v>1</v>
      </c>
      <c r="I10" s="49">
        <f t="shared" si="1"/>
        <v>1</v>
      </c>
      <c r="J10" s="49">
        <f t="shared" si="1"/>
        <v>1</v>
      </c>
      <c r="K10" s="49">
        <f t="shared" si="1"/>
        <v>1</v>
      </c>
      <c r="L10" s="49">
        <f t="shared" si="1"/>
        <v>1</v>
      </c>
      <c r="M10" s="49">
        <f t="shared" si="1"/>
        <v>1</v>
      </c>
      <c r="N10" s="49">
        <f t="shared" si="1"/>
        <v>1</v>
      </c>
      <c r="O10" s="49">
        <f t="shared" si="1"/>
        <v>1</v>
      </c>
      <c r="P10" s="49">
        <f t="shared" si="1"/>
        <v>1</v>
      </c>
      <c r="Q10" s="49">
        <f t="shared" si="1"/>
        <v>1</v>
      </c>
      <c r="R10" s="49">
        <f t="shared" si="1"/>
        <v>1</v>
      </c>
      <c r="S10" s="49">
        <f t="shared" si="1"/>
        <v>1</v>
      </c>
      <c r="T10" s="49">
        <f t="shared" si="1"/>
        <v>1</v>
      </c>
      <c r="U10" s="49">
        <f t="shared" si="1"/>
        <v>1</v>
      </c>
      <c r="V10" s="49">
        <f t="shared" si="1"/>
        <v>1</v>
      </c>
      <c r="W10" s="49">
        <f t="shared" si="1"/>
        <v>1</v>
      </c>
      <c r="X10" s="49">
        <f t="shared" si="1"/>
        <v>1</v>
      </c>
      <c r="Y10" s="49">
        <f t="shared" si="1"/>
        <v>1</v>
      </c>
      <c r="Z10" s="49">
        <f t="shared" si="1"/>
        <v>1</v>
      </c>
      <c r="AA10" s="49">
        <f t="shared" si="1"/>
        <v>1</v>
      </c>
      <c r="AB10" s="49">
        <f t="shared" si="1"/>
        <v>1</v>
      </c>
      <c r="AC10" s="49">
        <f t="shared" si="1"/>
        <v>1</v>
      </c>
      <c r="AD10" s="49">
        <f t="shared" si="1"/>
        <v>1</v>
      </c>
      <c r="AE10" s="49">
        <f t="shared" si="1"/>
        <v>1</v>
      </c>
      <c r="AF10" s="49">
        <f t="shared" si="1"/>
        <v>1</v>
      </c>
      <c r="AG10" s="49">
        <f t="shared" si="1"/>
        <v>1</v>
      </c>
      <c r="AH10" s="49">
        <f t="shared" si="1"/>
        <v>1</v>
      </c>
    </row>
    <row r="11" spans="1:34" x14ac:dyDescent="0.25">
      <c r="B1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4" x14ac:dyDescent="0.25">
      <c r="A12" s="148" t="s">
        <v>52</v>
      </c>
      <c r="B12" s="269">
        <v>5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4" x14ac:dyDescent="0.25">
      <c r="A13" s="148" t="s">
        <v>53</v>
      </c>
      <c r="B13" s="269">
        <v>3</v>
      </c>
      <c r="D13" s="124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x14ac:dyDescent="0.25">
      <c r="A14" s="148" t="s">
        <v>110</v>
      </c>
      <c r="B14" s="271">
        <v>0.125</v>
      </c>
      <c r="D14" s="124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x14ac:dyDescent="0.25">
      <c r="A15" s="148" t="s">
        <v>111</v>
      </c>
      <c r="B15" s="271">
        <v>0.125</v>
      </c>
      <c r="C15" s="214">
        <f>B15/B14</f>
        <v>1</v>
      </c>
      <c r="D15" s="124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x14ac:dyDescent="0.25">
      <c r="A16" s="148" t="s">
        <v>112</v>
      </c>
      <c r="B16" s="271">
        <v>0.125</v>
      </c>
      <c r="C16" s="214">
        <f>B16/B14</f>
        <v>1</v>
      </c>
      <c r="D16" s="124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x14ac:dyDescent="0.25">
      <c r="A17" s="147" t="s">
        <v>106</v>
      </c>
      <c r="B17" s="262">
        <v>0.25</v>
      </c>
      <c r="D17" s="100"/>
      <c r="E17" s="100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x14ac:dyDescent="0.25">
      <c r="D18" s="12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spans="1:34" ht="15.75" thickBot="1" x14ac:dyDescent="0.3"/>
    <row r="20" spans="1:34" x14ac:dyDescent="0.25">
      <c r="B20" s="298" t="s">
        <v>13</v>
      </c>
      <c r="C20" s="110"/>
      <c r="D20" s="299" t="s">
        <v>1</v>
      </c>
      <c r="E20" s="300"/>
      <c r="F20" s="300"/>
      <c r="G20" s="300"/>
      <c r="H20" s="300"/>
      <c r="I20" s="301"/>
      <c r="J20" s="50"/>
    </row>
    <row r="21" spans="1:34" x14ac:dyDescent="0.25">
      <c r="B21" s="298"/>
      <c r="C21" s="111"/>
      <c r="D21" s="46">
        <v>1</v>
      </c>
      <c r="E21" s="263">
        <v>2</v>
      </c>
      <c r="F21" s="46">
        <v>3</v>
      </c>
      <c r="G21" s="263">
        <v>4</v>
      </c>
      <c r="H21" s="46">
        <v>5</v>
      </c>
      <c r="I21" s="263">
        <v>6</v>
      </c>
      <c r="J21" s="46">
        <v>7</v>
      </c>
      <c r="K21" s="263">
        <v>8</v>
      </c>
      <c r="L21" s="46">
        <v>9</v>
      </c>
      <c r="M21" s="263">
        <v>10</v>
      </c>
      <c r="N21" s="46">
        <v>11</v>
      </c>
      <c r="O21" s="263">
        <v>12</v>
      </c>
      <c r="P21" s="46">
        <v>13</v>
      </c>
      <c r="Q21" s="263">
        <v>14</v>
      </c>
      <c r="R21" s="46">
        <v>15</v>
      </c>
      <c r="S21" s="263">
        <v>16</v>
      </c>
      <c r="T21" s="46">
        <v>17</v>
      </c>
      <c r="U21" s="263">
        <v>18</v>
      </c>
      <c r="V21" s="46">
        <v>19</v>
      </c>
      <c r="W21" s="263">
        <v>20</v>
      </c>
      <c r="X21" s="46">
        <v>21</v>
      </c>
      <c r="Y21" s="263">
        <v>22</v>
      </c>
      <c r="Z21" s="46">
        <v>23</v>
      </c>
      <c r="AA21" s="263">
        <v>24</v>
      </c>
      <c r="AB21" s="46">
        <v>25</v>
      </c>
      <c r="AC21" s="46">
        <v>26</v>
      </c>
      <c r="AD21" s="46">
        <v>27</v>
      </c>
      <c r="AE21" s="46">
        <v>28</v>
      </c>
      <c r="AF21" s="46">
        <v>29</v>
      </c>
      <c r="AG21" s="46">
        <v>30</v>
      </c>
      <c r="AH21" s="46">
        <v>31</v>
      </c>
    </row>
    <row r="22" spans="1:34" x14ac:dyDescent="0.25">
      <c r="B22" s="149"/>
      <c r="C22" s="99">
        <v>44197</v>
      </c>
      <c r="D22" s="99">
        <v>44562</v>
      </c>
      <c r="E22" s="99">
        <v>44927</v>
      </c>
      <c r="F22" s="99">
        <v>45292</v>
      </c>
      <c r="G22" s="99">
        <v>45658</v>
      </c>
      <c r="H22" s="99">
        <v>46023</v>
      </c>
      <c r="I22" s="99">
        <v>46388</v>
      </c>
      <c r="J22" s="99">
        <v>46753</v>
      </c>
      <c r="K22" s="99">
        <v>47119</v>
      </c>
      <c r="L22" s="99">
        <v>47484</v>
      </c>
      <c r="M22" s="99">
        <v>47849</v>
      </c>
      <c r="N22" s="99">
        <v>48214</v>
      </c>
      <c r="O22" s="99">
        <v>48580</v>
      </c>
      <c r="P22" s="99">
        <v>48945</v>
      </c>
      <c r="Q22" s="99">
        <v>49310</v>
      </c>
      <c r="R22" s="99">
        <v>49675</v>
      </c>
      <c r="S22" s="99">
        <v>50041</v>
      </c>
      <c r="T22" s="99">
        <v>50406</v>
      </c>
      <c r="U22" s="99">
        <v>50771</v>
      </c>
      <c r="V22" s="99">
        <v>51136</v>
      </c>
      <c r="W22" s="99">
        <v>51502</v>
      </c>
      <c r="X22" s="99">
        <v>51867</v>
      </c>
      <c r="Y22" s="99">
        <v>52232</v>
      </c>
      <c r="Z22" s="99">
        <v>52597</v>
      </c>
      <c r="AA22" s="99">
        <v>52963</v>
      </c>
      <c r="AB22" s="99">
        <v>53328</v>
      </c>
      <c r="AC22" s="99">
        <v>53693</v>
      </c>
      <c r="AD22" s="99">
        <v>54058</v>
      </c>
      <c r="AE22" s="99">
        <v>54424</v>
      </c>
      <c r="AF22" s="99">
        <v>54789</v>
      </c>
      <c r="AG22" s="99">
        <v>55154</v>
      </c>
      <c r="AH22" s="99">
        <v>55519</v>
      </c>
    </row>
    <row r="23" spans="1:34" x14ac:dyDescent="0.25">
      <c r="A23" s="140" t="s">
        <v>98</v>
      </c>
      <c r="B23" s="136" t="s">
        <v>12</v>
      </c>
      <c r="C23" s="136">
        <v>1824074.0740740739</v>
      </c>
      <c r="D23" s="136">
        <v>1824074.0740740739</v>
      </c>
      <c r="E23" s="136">
        <v>1824074.0740740739</v>
      </c>
      <c r="F23" s="136">
        <v>1824074.0740740739</v>
      </c>
      <c r="G23" s="136">
        <v>1824074.0740740739</v>
      </c>
      <c r="H23" s="136">
        <v>1824074.0740740739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</row>
    <row r="24" spans="1:34" x14ac:dyDescent="0.25">
      <c r="A24" s="137" t="s">
        <v>10</v>
      </c>
      <c r="B24" s="138" t="s">
        <v>12</v>
      </c>
      <c r="C24" s="139">
        <f>SUM(C25:C26)</f>
        <v>1824074.0740740739</v>
      </c>
      <c r="D24" s="139">
        <f>SUM(D25:D26)</f>
        <v>1824074.0740740739</v>
      </c>
      <c r="E24" s="139">
        <f t="shared" ref="E24:H24" si="2">SUM(E25:E26)</f>
        <v>1824074.0740740739</v>
      </c>
      <c r="F24" s="139">
        <f t="shared" si="2"/>
        <v>1824074.0740740739</v>
      </c>
      <c r="G24" s="139">
        <f t="shared" si="2"/>
        <v>1824074.0740740742</v>
      </c>
      <c r="H24" s="139">
        <f t="shared" si="2"/>
        <v>1824074.0740740742</v>
      </c>
      <c r="I24" s="139">
        <f>I26</f>
        <v>794431.81277227646</v>
      </c>
      <c r="J24" s="139">
        <f t="shared" ref="J24:AH24" si="3">J26</f>
        <v>794431.81277227646</v>
      </c>
      <c r="K24" s="139">
        <f t="shared" si="3"/>
        <v>794431.81277227646</v>
      </c>
      <c r="L24" s="139">
        <f t="shared" si="3"/>
        <v>794431.81277227646</v>
      </c>
      <c r="M24" s="139">
        <f t="shared" si="3"/>
        <v>794431.81277227646</v>
      </c>
      <c r="N24" s="139">
        <f t="shared" si="3"/>
        <v>794431.81277227646</v>
      </c>
      <c r="O24" s="139">
        <f t="shared" si="3"/>
        <v>794431.81277227646</v>
      </c>
      <c r="P24" s="139">
        <f t="shared" si="3"/>
        <v>794431.81277227646</v>
      </c>
      <c r="Q24" s="139">
        <f t="shared" si="3"/>
        <v>794431.81277227646</v>
      </c>
      <c r="R24" s="139">
        <f t="shared" si="3"/>
        <v>794431.81277227646</v>
      </c>
      <c r="S24" s="139">
        <f t="shared" si="3"/>
        <v>794431.81277227646</v>
      </c>
      <c r="T24" s="139">
        <f t="shared" si="3"/>
        <v>794431.81277227646</v>
      </c>
      <c r="U24" s="139">
        <f t="shared" si="3"/>
        <v>794431.81277227646</v>
      </c>
      <c r="V24" s="139">
        <f t="shared" si="3"/>
        <v>794431.81277227646</v>
      </c>
      <c r="W24" s="139">
        <f t="shared" si="3"/>
        <v>794431.81277227646</v>
      </c>
      <c r="X24" s="139">
        <f t="shared" si="3"/>
        <v>794431.81277227646</v>
      </c>
      <c r="Y24" s="139">
        <f t="shared" si="3"/>
        <v>794431.81277227646</v>
      </c>
      <c r="Z24" s="139">
        <f t="shared" si="3"/>
        <v>794431.81277227646</v>
      </c>
      <c r="AA24" s="139">
        <f t="shared" si="3"/>
        <v>794431.81277227646</v>
      </c>
      <c r="AB24" s="139">
        <f t="shared" si="3"/>
        <v>794431.81277227646</v>
      </c>
      <c r="AC24" s="139">
        <f t="shared" si="3"/>
        <v>794431.81277227646</v>
      </c>
      <c r="AD24" s="139">
        <f t="shared" si="3"/>
        <v>628606.8969473606</v>
      </c>
      <c r="AE24" s="139">
        <f t="shared" si="3"/>
        <v>477856.9734701644</v>
      </c>
      <c r="AF24" s="139">
        <f t="shared" si="3"/>
        <v>340811.58849089511</v>
      </c>
      <c r="AG24" s="139">
        <f t="shared" si="3"/>
        <v>216224.87487337762</v>
      </c>
      <c r="AH24" s="139">
        <f t="shared" si="3"/>
        <v>102964.22613017984</v>
      </c>
    </row>
    <row r="25" spans="1:34" ht="14.45" customHeight="1" x14ac:dyDescent="0.25">
      <c r="A25" s="22" t="s">
        <v>136</v>
      </c>
      <c r="B25" s="23" t="s">
        <v>12</v>
      </c>
      <c r="C25" s="24">
        <f>C23</f>
        <v>1824074.0740740739</v>
      </c>
      <c r="D25" s="24">
        <f>D23-D26</f>
        <v>1658249.1582491582</v>
      </c>
      <c r="E25" s="24">
        <f t="shared" ref="E25:H25" si="4">E23-E26</f>
        <v>1507499.2347719618</v>
      </c>
      <c r="F25" s="24">
        <f t="shared" si="4"/>
        <v>1370453.8497926926</v>
      </c>
      <c r="G25" s="24">
        <f t="shared" si="4"/>
        <v>1245867.1361751752</v>
      </c>
      <c r="H25" s="24">
        <f t="shared" si="4"/>
        <v>1132606.4874319774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</row>
    <row r="26" spans="1:34" x14ac:dyDescent="0.25">
      <c r="A26" s="25" t="s">
        <v>15</v>
      </c>
      <c r="B26" s="26" t="s">
        <v>12</v>
      </c>
      <c r="C26" s="112"/>
      <c r="D26" s="27">
        <f>C28*(Interventions!$I$7)</f>
        <v>165824.91582491584</v>
      </c>
      <c r="E26" s="27">
        <f>D28*(Interventions!$I$7)</f>
        <v>316574.83930211206</v>
      </c>
      <c r="F26" s="27">
        <f>E28*(Interventions!$I$7)</f>
        <v>453620.22428138135</v>
      </c>
      <c r="G26" s="27">
        <f>F28*(Interventions!$I$7)</f>
        <v>578206.93789889885</v>
      </c>
      <c r="H26" s="27">
        <f>G28*(Interventions!$I$7)</f>
        <v>691467.58664209663</v>
      </c>
      <c r="I26" s="27">
        <f>H28*(Interventions!$I$7)</f>
        <v>794431.81277227646</v>
      </c>
      <c r="J26" s="27">
        <f>I28*(Interventions!$I$7)</f>
        <v>794431.81277227646</v>
      </c>
      <c r="K26" s="27">
        <f>J28*(Interventions!$I$7)</f>
        <v>794431.81277227646</v>
      </c>
      <c r="L26" s="27">
        <f>K28*(Interventions!$I$7)</f>
        <v>794431.81277227646</v>
      </c>
      <c r="M26" s="27">
        <f>L28*(Interventions!$I$7)</f>
        <v>794431.81277227646</v>
      </c>
      <c r="N26" s="27">
        <f>M28*(Interventions!$I$7)</f>
        <v>794431.81277227646</v>
      </c>
      <c r="O26" s="27">
        <f>N28*(Interventions!$I$7)</f>
        <v>794431.81277227646</v>
      </c>
      <c r="P26" s="27">
        <f>O28*(Interventions!$I$7)</f>
        <v>794431.81277227646</v>
      </c>
      <c r="Q26" s="27">
        <f>P28*(Interventions!$I$7)</f>
        <v>794431.81277227646</v>
      </c>
      <c r="R26" s="27">
        <f>Q28*(Interventions!$I$7)</f>
        <v>794431.81277227646</v>
      </c>
      <c r="S26" s="27">
        <f>R28*(Interventions!$I$7)</f>
        <v>794431.81277227646</v>
      </c>
      <c r="T26" s="27">
        <f>S28*(Interventions!$I$7)</f>
        <v>794431.81277227646</v>
      </c>
      <c r="U26" s="27">
        <f>T28*(Interventions!$I$7)</f>
        <v>794431.81277227646</v>
      </c>
      <c r="V26" s="27">
        <f>U28*(Interventions!$I$7)</f>
        <v>794431.81277227646</v>
      </c>
      <c r="W26" s="27">
        <f>V28*(Interventions!$I$7)</f>
        <v>794431.81277227646</v>
      </c>
      <c r="X26" s="27">
        <f>W28*(Interventions!$I$7)</f>
        <v>794431.81277227646</v>
      </c>
      <c r="Y26" s="27">
        <f>X28*(Interventions!$I$7)</f>
        <v>794431.81277227646</v>
      </c>
      <c r="Z26" s="27">
        <f>Y28*(Interventions!$I$7)</f>
        <v>794431.81277227646</v>
      </c>
      <c r="AA26" s="27">
        <f>Z28*(Interventions!$I$7)</f>
        <v>794431.81277227646</v>
      </c>
      <c r="AB26" s="27">
        <f>AA28*(Interventions!$I$7)</f>
        <v>794431.81277227646</v>
      </c>
      <c r="AC26" s="27">
        <f>AB28*(Interventions!$I$7)</f>
        <v>794431.81277227646</v>
      </c>
      <c r="AD26" s="27">
        <f>AC28*(Interventions!$I$7)</f>
        <v>628606.8969473606</v>
      </c>
      <c r="AE26" s="27">
        <f>AD28*(Interventions!$I$7)</f>
        <v>477856.9734701644</v>
      </c>
      <c r="AF26" s="27">
        <f>AE28*(Interventions!$I$7)</f>
        <v>340811.58849089511</v>
      </c>
      <c r="AG26" s="27">
        <f>AF28*(Interventions!$I$7)</f>
        <v>216224.87487337762</v>
      </c>
      <c r="AH26" s="27">
        <f>AG28*(Interventions!$I$7)</f>
        <v>102964.22613017984</v>
      </c>
    </row>
    <row r="27" spans="1:34" x14ac:dyDescent="0.25">
      <c r="A27" s="41" t="s">
        <v>147</v>
      </c>
      <c r="B27" s="10" t="s">
        <v>135</v>
      </c>
      <c r="C27" s="45">
        <f>E3</f>
        <v>60.606306723042223</v>
      </c>
      <c r="D27" s="45">
        <f>D25/(Interventions!$I$6+Interventions!$I$7)</f>
        <v>55.096642475492928</v>
      </c>
      <c r="E27" s="45">
        <f>E25/(Interventions!$I$6+Interventions!$I$7)</f>
        <v>50.08785679590266</v>
      </c>
      <c r="F27" s="45">
        <f>F25/(Interventions!$I$6+Interventions!$I$7)</f>
        <v>45.534415269002416</v>
      </c>
      <c r="G27" s="45">
        <f>G25/(Interventions!$I$6+Interventions!$I$7)</f>
        <v>41.394922971820385</v>
      </c>
      <c r="H27" s="45">
        <f>H25/(Interventions!$I$6+Interventions!$I$7)</f>
        <v>37.631748156200345</v>
      </c>
      <c r="I27" s="45">
        <f>I25/(Interventions!$I$6+Interventions!$I$7)</f>
        <v>0</v>
      </c>
      <c r="J27" s="45">
        <f>J25/(Interventions!$I$6+Interventions!$I$7)</f>
        <v>0</v>
      </c>
      <c r="K27" s="45">
        <f>K25/(Interventions!$I$6+Interventions!$I$7)</f>
        <v>0</v>
      </c>
      <c r="L27" s="45">
        <f>L25/(Interventions!$I$6+Interventions!$I$7)</f>
        <v>0</v>
      </c>
      <c r="M27" s="45">
        <f>M25/(Interventions!$I$6+Interventions!$I$7)</f>
        <v>0</v>
      </c>
      <c r="N27" s="45">
        <f>N25/(Interventions!$I$6+Interventions!$I$7)</f>
        <v>0</v>
      </c>
      <c r="O27" s="45">
        <f>O25/(Interventions!$I$6+Interventions!$I$7)</f>
        <v>0</v>
      </c>
      <c r="P27" s="45">
        <f>P25/(Interventions!$I$6+Interventions!$I$7)</f>
        <v>0</v>
      </c>
      <c r="Q27" s="45">
        <f>Q25/(Interventions!$I$6+Interventions!$I$7)</f>
        <v>0</v>
      </c>
      <c r="R27" s="45">
        <f>R25/(Interventions!$I$6+Interventions!$I$7)</f>
        <v>0</v>
      </c>
      <c r="S27" s="45">
        <f>S25/(Interventions!$I$6+Interventions!$I$7)</f>
        <v>0</v>
      </c>
      <c r="T27" s="45">
        <f>T25/(Interventions!$I$6+Interventions!$I$7)</f>
        <v>0</v>
      </c>
      <c r="U27" s="45">
        <f>U25/(Interventions!$I$6+Interventions!$I$7)</f>
        <v>0</v>
      </c>
      <c r="V27" s="45">
        <f>V25/(Interventions!$I$6+Interventions!$I$7)</f>
        <v>0</v>
      </c>
      <c r="W27" s="45">
        <f>W25/(Interventions!$I$6+Interventions!$I$7)</f>
        <v>0</v>
      </c>
      <c r="X27" s="45">
        <f>X25/(Interventions!$I$6+Interventions!$I$7)</f>
        <v>0</v>
      </c>
      <c r="Y27" s="45">
        <f>Y25/(Interventions!$I$6+Interventions!$I$7)</f>
        <v>0</v>
      </c>
      <c r="Z27" s="45">
        <f>Z25/(Interventions!$I$6+Interventions!$I$7)</f>
        <v>0</v>
      </c>
      <c r="AA27" s="45">
        <f>AA25/(Interventions!$I$6+Interventions!$I$7)</f>
        <v>0</v>
      </c>
      <c r="AB27" s="45">
        <f>AB25/(Interventions!$I$6+Interventions!$I$7)</f>
        <v>0</v>
      </c>
      <c r="AC27" s="45">
        <f>AC25/(Interventions!$I$6+Interventions!$I$7)</f>
        <v>0</v>
      </c>
      <c r="AD27" s="45">
        <f>AD25/(Interventions!$I$6+Interventions!$I$7)</f>
        <v>0</v>
      </c>
      <c r="AE27" s="45">
        <f>AE25/(Interventions!$I$6+Interventions!$I$7)</f>
        <v>0</v>
      </c>
      <c r="AF27" s="45">
        <f>AF25/(Interventions!$I$6+Interventions!$I$7)</f>
        <v>0</v>
      </c>
      <c r="AG27" s="45">
        <f>AG25/(Interventions!$I$6+Interventions!$I$7)</f>
        <v>0</v>
      </c>
      <c r="AH27" s="45">
        <f>AH25/(Interventions!$I$6+Interventions!$I$7)</f>
        <v>0</v>
      </c>
    </row>
    <row r="28" spans="1:34" x14ac:dyDescent="0.25">
      <c r="A28" s="43" t="s">
        <v>148</v>
      </c>
      <c r="B28" s="10" t="s">
        <v>135</v>
      </c>
      <c r="C28" s="42">
        <f>C27</f>
        <v>60.606306723042223</v>
      </c>
      <c r="D28" s="42">
        <f>C28+D27</f>
        <v>115.70294919853515</v>
      </c>
      <c r="E28" s="42">
        <f t="shared" ref="E28:AB28" si="5">D28+E27</f>
        <v>165.79080599443782</v>
      </c>
      <c r="F28" s="42">
        <f t="shared" si="5"/>
        <v>211.32522126344023</v>
      </c>
      <c r="G28" s="42">
        <f t="shared" si="5"/>
        <v>252.72014423526062</v>
      </c>
      <c r="H28" s="42">
        <f t="shared" si="5"/>
        <v>290.35189239146098</v>
      </c>
      <c r="I28" s="42">
        <f t="shared" si="5"/>
        <v>290.35189239146098</v>
      </c>
      <c r="J28" s="42">
        <f t="shared" si="5"/>
        <v>290.35189239146098</v>
      </c>
      <c r="K28" s="42">
        <f t="shared" si="5"/>
        <v>290.35189239146098</v>
      </c>
      <c r="L28" s="42">
        <f t="shared" si="5"/>
        <v>290.35189239146098</v>
      </c>
      <c r="M28" s="42">
        <f t="shared" si="5"/>
        <v>290.35189239146098</v>
      </c>
      <c r="N28" s="42">
        <f t="shared" si="5"/>
        <v>290.35189239146098</v>
      </c>
      <c r="O28" s="42">
        <f t="shared" si="5"/>
        <v>290.35189239146098</v>
      </c>
      <c r="P28" s="42">
        <f t="shared" si="5"/>
        <v>290.35189239146098</v>
      </c>
      <c r="Q28" s="42">
        <f t="shared" si="5"/>
        <v>290.35189239146098</v>
      </c>
      <c r="R28" s="42">
        <f t="shared" si="5"/>
        <v>290.35189239146098</v>
      </c>
      <c r="S28" s="42">
        <f t="shared" si="5"/>
        <v>290.35189239146098</v>
      </c>
      <c r="T28" s="42">
        <f t="shared" si="5"/>
        <v>290.35189239146098</v>
      </c>
      <c r="U28" s="42">
        <f t="shared" si="5"/>
        <v>290.35189239146098</v>
      </c>
      <c r="V28" s="42">
        <f t="shared" si="5"/>
        <v>290.35189239146098</v>
      </c>
      <c r="W28" s="42">
        <f t="shared" si="5"/>
        <v>290.35189239146098</v>
      </c>
      <c r="X28" s="42">
        <f t="shared" si="5"/>
        <v>290.35189239146098</v>
      </c>
      <c r="Y28" s="42">
        <f t="shared" si="5"/>
        <v>290.35189239146098</v>
      </c>
      <c r="Z28" s="42">
        <f t="shared" si="5"/>
        <v>290.35189239146098</v>
      </c>
      <c r="AA28" s="42">
        <f t="shared" si="5"/>
        <v>290.35189239146098</v>
      </c>
      <c r="AB28" s="42">
        <f t="shared" si="5"/>
        <v>290.35189239146098</v>
      </c>
      <c r="AC28" s="42">
        <f>AB28-C27</f>
        <v>229.74558566841876</v>
      </c>
      <c r="AD28" s="42">
        <f t="shared" ref="AD28:AH28" si="6">AC28-D27</f>
        <v>174.64894319292583</v>
      </c>
      <c r="AE28" s="42">
        <f t="shared" si="6"/>
        <v>124.56108639702316</v>
      </c>
      <c r="AF28" s="42">
        <f t="shared" si="6"/>
        <v>79.026671128020752</v>
      </c>
      <c r="AG28" s="42">
        <f t="shared" si="6"/>
        <v>37.631748156200366</v>
      </c>
      <c r="AH28" s="42">
        <f t="shared" si="6"/>
        <v>0</v>
      </c>
    </row>
    <row r="29" spans="1:34" x14ac:dyDescent="0.25">
      <c r="A29" s="43"/>
      <c r="B29" s="10"/>
      <c r="C29" s="10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31"/>
      <c r="S29" s="31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5">
      <c r="A30" s="115" t="s">
        <v>152</v>
      </c>
      <c r="B30" s="122" t="s">
        <v>37</v>
      </c>
      <c r="C30" s="116">
        <f>C31+C32</f>
        <v>0</v>
      </c>
      <c r="D30" s="116">
        <f>D31+D32</f>
        <v>231248.84211189536</v>
      </c>
      <c r="E30" s="116">
        <f t="shared" ref="E30:AH30" si="7">E31+E32</f>
        <v>443139.99988387752</v>
      </c>
      <c r="F30" s="116">
        <f t="shared" si="7"/>
        <v>637420.82982528408</v>
      </c>
      <c r="G30" s="116">
        <f t="shared" si="7"/>
        <v>815683.21269414632</v>
      </c>
      <c r="H30" s="116">
        <f t="shared" si="7"/>
        <v>979377.5207320794</v>
      </c>
      <c r="I30" s="116">
        <f t="shared" si="7"/>
        <v>1129825.3281112106</v>
      </c>
      <c r="J30" s="116">
        <f t="shared" si="7"/>
        <v>1134552.4580302825</v>
      </c>
      <c r="K30" s="116">
        <f t="shared" si="7"/>
        <v>1139397.766197331</v>
      </c>
      <c r="L30" s="116">
        <f t="shared" si="7"/>
        <v>1144364.207068556</v>
      </c>
      <c r="M30" s="116">
        <f t="shared" si="7"/>
        <v>1149454.8089615616</v>
      </c>
      <c r="N30" s="116">
        <f t="shared" si="7"/>
        <v>1154672.6759018921</v>
      </c>
      <c r="O30" s="116">
        <f t="shared" si="7"/>
        <v>1160020.9895157311</v>
      </c>
      <c r="P30" s="116">
        <f t="shared" si="7"/>
        <v>1165503.0109699161</v>
      </c>
      <c r="Q30" s="116">
        <f t="shared" si="7"/>
        <v>1171122.0829604557</v>
      </c>
      <c r="R30" s="116">
        <f t="shared" si="7"/>
        <v>1176881.6317507587</v>
      </c>
      <c r="S30" s="116">
        <f t="shared" si="7"/>
        <v>1182785.1692608192</v>
      </c>
      <c r="T30" s="116">
        <f t="shared" si="7"/>
        <v>1188836.2952086315</v>
      </c>
      <c r="U30" s="116">
        <f t="shared" si="7"/>
        <v>1195038.6993051388</v>
      </c>
      <c r="V30" s="116">
        <f t="shared" si="7"/>
        <v>1201396.163504059</v>
      </c>
      <c r="W30" s="116">
        <f t="shared" si="7"/>
        <v>1207912.5643079521</v>
      </c>
      <c r="X30" s="116">
        <f t="shared" si="7"/>
        <v>1214591.8751319426</v>
      </c>
      <c r="Y30" s="116">
        <f t="shared" si="7"/>
        <v>1221438.1687265327</v>
      </c>
      <c r="Z30" s="116">
        <f t="shared" si="7"/>
        <v>1228455.6196609878</v>
      </c>
      <c r="AA30" s="116">
        <f t="shared" si="7"/>
        <v>1235648.5068688041</v>
      </c>
      <c r="AB30" s="116">
        <f t="shared" si="7"/>
        <v>1243021.2162568157</v>
      </c>
      <c r="AC30" s="116">
        <f t="shared" si="7"/>
        <v>940740.13134833355</v>
      </c>
      <c r="AD30" s="116">
        <f t="shared" si="7"/>
        <v>744375.69756567676</v>
      </c>
      <c r="AE30" s="116">
        <f t="shared" si="7"/>
        <v>565862.57594507968</v>
      </c>
      <c r="AF30" s="116">
        <f t="shared" si="7"/>
        <v>403577.91992635507</v>
      </c>
      <c r="AG30" s="116">
        <f t="shared" si="7"/>
        <v>256046.41445478724</v>
      </c>
      <c r="AH30" s="116">
        <f t="shared" si="7"/>
        <v>121926.86402608918</v>
      </c>
    </row>
    <row r="31" spans="1:34" x14ac:dyDescent="0.25">
      <c r="A31" s="41" t="s">
        <v>172</v>
      </c>
      <c r="B31" s="28" t="s">
        <v>37</v>
      </c>
      <c r="C31" s="28"/>
      <c r="D31" s="42">
        <f>C28*'Carbon avoided'!E12</f>
        <v>34884.408329238562</v>
      </c>
      <c r="E31" s="42">
        <f>D28*'Carbon avoided'!F12</f>
        <v>68262.444480623642</v>
      </c>
      <c r="F31" s="42">
        <f>E28*'Carbon avoided'!G12</f>
        <v>100258.61840330556</v>
      </c>
      <c r="G31" s="42">
        <f>F28*'Carbon avoided'!H12</f>
        <v>130989.49580060001</v>
      </c>
      <c r="H31" s="42">
        <f>G28*'Carbon avoided'!I12</f>
        <v>160564.2534098351</v>
      </c>
      <c r="I31" s="42">
        <f>H28*'Carbon avoided'!J12</f>
        <v>189085.19676287696</v>
      </c>
      <c r="J31" s="42">
        <f>I28*'Carbon avoided'!K12</f>
        <v>193812.32668194888</v>
      </c>
      <c r="K31" s="42">
        <f>J28*'Carbon avoided'!L12</f>
        <v>198657.63484899755</v>
      </c>
      <c r="L31" s="42">
        <f>K28*'Carbon avoided'!M12</f>
        <v>203624.07572022249</v>
      </c>
      <c r="M31" s="42">
        <f>L28*'Carbon avoided'!N12</f>
        <v>208714.67761322804</v>
      </c>
      <c r="N31" s="42">
        <f>M28*'Carbon avoided'!O12</f>
        <v>213932.54455355869</v>
      </c>
      <c r="O31" s="42">
        <f>N28*'Carbon avoided'!P12</f>
        <v>219280.85816739764</v>
      </c>
      <c r="P31" s="42">
        <f>O28*'Carbon avoided'!Q12</f>
        <v>224762.87962158254</v>
      </c>
      <c r="Q31" s="42">
        <f>P28*'Carbon avoided'!R12</f>
        <v>230381.95161212209</v>
      </c>
      <c r="R31" s="42">
        <f>Q28*'Carbon avoided'!S12</f>
        <v>236141.50040242512</v>
      </c>
      <c r="S31" s="42">
        <f>R28*'Carbon avoided'!T12</f>
        <v>242045.03791248574</v>
      </c>
      <c r="T31" s="42">
        <f>S28*'Carbon avoided'!U12</f>
        <v>248096.16386029788</v>
      </c>
      <c r="U31" s="42">
        <f>T28*'Carbon avoided'!V12</f>
        <v>254298.56795680529</v>
      </c>
      <c r="V31" s="42">
        <f>U28*'Carbon avoided'!W12</f>
        <v>260656.03215572538</v>
      </c>
      <c r="W31" s="42">
        <f>V28*'Carbon avoided'!X12</f>
        <v>267172.43295961851</v>
      </c>
      <c r="X31" s="42">
        <f>W28*'Carbon avoided'!Y12</f>
        <v>273851.74378360895</v>
      </c>
      <c r="Y31" s="42">
        <f>X28*'Carbon avoided'!Z12</f>
        <v>280698.03737819917</v>
      </c>
      <c r="Z31" s="42">
        <f>Y28*'Carbon avoided'!AA12</f>
        <v>287715.48831265414</v>
      </c>
      <c r="AA31" s="42">
        <f>Z28*'Carbon avoided'!AB12</f>
        <v>294908.37552047049</v>
      </c>
      <c r="AB31" s="42">
        <f>AA28*'Carbon avoided'!AC12</f>
        <v>302281.08490848221</v>
      </c>
      <c r="AC31" s="42">
        <f>AB28*'Carbon avoided'!AD12</f>
        <v>0</v>
      </c>
      <c r="AD31" s="42">
        <f>AC28*'Carbon avoided'!AE12</f>
        <v>0</v>
      </c>
      <c r="AE31" s="42">
        <f>AD28*'Carbon avoided'!AF12</f>
        <v>0</v>
      </c>
      <c r="AF31" s="42">
        <f>AE28*'Carbon avoided'!AG12</f>
        <v>0</v>
      </c>
      <c r="AG31" s="42">
        <f>AF28*'Carbon avoided'!AH12</f>
        <v>0</v>
      </c>
      <c r="AH31" s="42">
        <f>AG28*'Carbon avoided'!AI12</f>
        <v>0</v>
      </c>
    </row>
    <row r="32" spans="1:34" x14ac:dyDescent="0.25">
      <c r="A32" s="41" t="s">
        <v>175</v>
      </c>
      <c r="B32" s="28" t="s">
        <v>37</v>
      </c>
      <c r="C32" s="28"/>
      <c r="D32" s="42">
        <f>C28*Interventions!$I$10</f>
        <v>196364.43378265679</v>
      </c>
      <c r="E32" s="42">
        <f>D28*Interventions!$I$10</f>
        <v>374877.55540325388</v>
      </c>
      <c r="F32" s="42">
        <f>E28*Interventions!$I$10</f>
        <v>537162.21142197854</v>
      </c>
      <c r="G32" s="42">
        <f>F28*Interventions!$I$10</f>
        <v>684693.71689354628</v>
      </c>
      <c r="H32" s="42">
        <f>G28*Interventions!$I$10</f>
        <v>818813.26732224436</v>
      </c>
      <c r="I32" s="42">
        <f>H28*Interventions!$I$10</f>
        <v>940740.13134833355</v>
      </c>
      <c r="J32" s="42">
        <f>I28*Interventions!$I$10</f>
        <v>940740.13134833355</v>
      </c>
      <c r="K32" s="42">
        <f>J28*Interventions!$I$10</f>
        <v>940740.13134833355</v>
      </c>
      <c r="L32" s="42">
        <f>K28*Interventions!$I$10</f>
        <v>940740.13134833355</v>
      </c>
      <c r="M32" s="42">
        <f>L28*Interventions!$I$10</f>
        <v>940740.13134833355</v>
      </c>
      <c r="N32" s="42">
        <f>M28*Interventions!$I$10</f>
        <v>940740.13134833355</v>
      </c>
      <c r="O32" s="42">
        <f>N28*Interventions!$I$10</f>
        <v>940740.13134833355</v>
      </c>
      <c r="P32" s="42">
        <f>O28*Interventions!$I$10</f>
        <v>940740.13134833355</v>
      </c>
      <c r="Q32" s="42">
        <f>P28*Interventions!$I$10</f>
        <v>940740.13134833355</v>
      </c>
      <c r="R32" s="42">
        <f>Q28*Interventions!$I$10</f>
        <v>940740.13134833355</v>
      </c>
      <c r="S32" s="42">
        <f>R28*Interventions!$I$10</f>
        <v>940740.13134833355</v>
      </c>
      <c r="T32" s="42">
        <f>S28*Interventions!$I$10</f>
        <v>940740.13134833355</v>
      </c>
      <c r="U32" s="42">
        <f>T28*Interventions!$I$10</f>
        <v>940740.13134833355</v>
      </c>
      <c r="V32" s="42">
        <f>U28*Interventions!$I$10</f>
        <v>940740.13134833355</v>
      </c>
      <c r="W32" s="42">
        <f>V28*Interventions!$I$10</f>
        <v>940740.13134833355</v>
      </c>
      <c r="X32" s="42">
        <f>W28*Interventions!$I$10</f>
        <v>940740.13134833355</v>
      </c>
      <c r="Y32" s="42">
        <f>X28*Interventions!$I$10</f>
        <v>940740.13134833355</v>
      </c>
      <c r="Z32" s="42">
        <f>Y28*Interventions!$I$10</f>
        <v>940740.13134833355</v>
      </c>
      <c r="AA32" s="42">
        <f>Z28*Interventions!$I$10</f>
        <v>940740.13134833355</v>
      </c>
      <c r="AB32" s="42">
        <f>AA28*Interventions!$I$10</f>
        <v>940740.13134833355</v>
      </c>
      <c r="AC32" s="42">
        <f>AB28*Interventions!$I$10</f>
        <v>940740.13134833355</v>
      </c>
      <c r="AD32" s="42">
        <f>AC28*Interventions!$I$10</f>
        <v>744375.69756567676</v>
      </c>
      <c r="AE32" s="42">
        <f>AD28*Interventions!$I$10</f>
        <v>565862.57594507968</v>
      </c>
      <c r="AF32" s="42">
        <f>AE28*Interventions!$I$10</f>
        <v>403577.91992635507</v>
      </c>
      <c r="AG32" s="42">
        <f>AF28*Interventions!$I$10</f>
        <v>256046.41445478724</v>
      </c>
      <c r="AH32" s="42">
        <f>AG28*Interventions!$I$10</f>
        <v>121926.86402608918</v>
      </c>
    </row>
    <row r="33" spans="1:34" x14ac:dyDescent="0.25">
      <c r="A33" s="44"/>
      <c r="B33" s="10"/>
      <c r="C33" s="1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x14ac:dyDescent="0.25">
      <c r="A34" s="115" t="s">
        <v>150</v>
      </c>
      <c r="B34" s="122" t="s">
        <v>37</v>
      </c>
      <c r="C34" s="116">
        <f t="shared" ref="C34" si="8">SUM(C35:C37)</f>
        <v>0</v>
      </c>
      <c r="D34" s="116">
        <f>D37-D38</f>
        <v>293060.88464041753</v>
      </c>
      <c r="E34" s="116">
        <f t="shared" ref="E34:AH34" si="9">E37-E38</f>
        <v>559479.87067716056</v>
      </c>
      <c r="F34" s="116">
        <f t="shared" si="9"/>
        <v>801678.94889238186</v>
      </c>
      <c r="G34" s="116">
        <f t="shared" si="9"/>
        <v>1021859.9290880372</v>
      </c>
      <c r="H34" s="116">
        <f t="shared" si="9"/>
        <v>1222024.4565386337</v>
      </c>
      <c r="I34" s="116">
        <f t="shared" si="9"/>
        <v>1403992.2087664481</v>
      </c>
      <c r="J34" s="116">
        <f t="shared" si="9"/>
        <v>1403992.2087664481</v>
      </c>
      <c r="K34" s="116">
        <f t="shared" si="9"/>
        <v>1403992.2087664481</v>
      </c>
      <c r="L34" s="116">
        <f t="shared" si="9"/>
        <v>1403992.2087664481</v>
      </c>
      <c r="M34" s="116">
        <f t="shared" si="9"/>
        <v>1403992.2087664481</v>
      </c>
      <c r="N34" s="116">
        <f t="shared" si="9"/>
        <v>1403992.2087664481</v>
      </c>
      <c r="O34" s="116">
        <f t="shared" si="9"/>
        <v>1403992.2087664481</v>
      </c>
      <c r="P34" s="116">
        <f t="shared" si="9"/>
        <v>1403992.2087664481</v>
      </c>
      <c r="Q34" s="116">
        <f t="shared" si="9"/>
        <v>1403992.2087664481</v>
      </c>
      <c r="R34" s="116">
        <f t="shared" si="9"/>
        <v>1403992.2087664481</v>
      </c>
      <c r="S34" s="116">
        <f t="shared" si="9"/>
        <v>1403992.2087664481</v>
      </c>
      <c r="T34" s="116">
        <f t="shared" si="9"/>
        <v>1403992.2087664481</v>
      </c>
      <c r="U34" s="116">
        <f t="shared" si="9"/>
        <v>1403992.2087664481</v>
      </c>
      <c r="V34" s="116">
        <f t="shared" si="9"/>
        <v>1403992.2087664481</v>
      </c>
      <c r="W34" s="116">
        <f t="shared" si="9"/>
        <v>1403992.2087664481</v>
      </c>
      <c r="X34" s="116">
        <f t="shared" si="9"/>
        <v>1403992.2087664481</v>
      </c>
      <c r="Y34" s="116">
        <f t="shared" si="9"/>
        <v>1403992.2087664481</v>
      </c>
      <c r="Z34" s="116">
        <f t="shared" si="9"/>
        <v>1403992.2087664481</v>
      </c>
      <c r="AA34" s="116">
        <f t="shared" si="9"/>
        <v>1403992.2087664481</v>
      </c>
      <c r="AB34" s="116">
        <f t="shared" si="9"/>
        <v>1403992.2087664481</v>
      </c>
      <c r="AC34" s="116">
        <f t="shared" si="9"/>
        <v>1403992.2087664481</v>
      </c>
      <c r="AD34" s="116">
        <f t="shared" si="9"/>
        <v>1110931.3241260308</v>
      </c>
      <c r="AE34" s="116">
        <f t="shared" si="9"/>
        <v>844512.33808928716</v>
      </c>
      <c r="AF34" s="116">
        <f t="shared" si="9"/>
        <v>602313.25987406611</v>
      </c>
      <c r="AG34" s="116">
        <f t="shared" si="9"/>
        <v>382132.2796784105</v>
      </c>
      <c r="AH34" s="116">
        <f t="shared" si="9"/>
        <v>181967.75222781458</v>
      </c>
    </row>
    <row r="35" spans="1:34" x14ac:dyDescent="0.25">
      <c r="A35" s="41"/>
      <c r="B35" s="28"/>
      <c r="C35" s="28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x14ac:dyDescent="0.25">
      <c r="A36" s="41"/>
      <c r="B36" s="28"/>
      <c r="C36" s="28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</row>
    <row r="37" spans="1:34" x14ac:dyDescent="0.25">
      <c r="A37" s="41" t="s">
        <v>173</v>
      </c>
      <c r="B37" s="28" t="s">
        <v>179</v>
      </c>
      <c r="C37" s="28"/>
      <c r="D37" s="42">
        <f>C28*Interventions!$I$13</f>
        <v>566305.33002010651</v>
      </c>
      <c r="E37" s="42">
        <f>D28*Interventions!$I$13</f>
        <v>1081128.3573111123</v>
      </c>
      <c r="F37" s="42">
        <f>E28*Interventions!$I$13</f>
        <v>1549149.291212027</v>
      </c>
      <c r="G37" s="42">
        <f>F28*Interventions!$I$13</f>
        <v>1974622.8674855854</v>
      </c>
      <c r="H37" s="42">
        <f>G28*Interventions!$I$13</f>
        <v>2361417.0277342754</v>
      </c>
      <c r="I37" s="42">
        <f>H28*Interventions!$I$13</f>
        <v>2713048.0825058115</v>
      </c>
      <c r="J37" s="42">
        <f>I28*Interventions!$I$13</f>
        <v>2713048.0825058115</v>
      </c>
      <c r="K37" s="42">
        <f>J28*Interventions!$I$13</f>
        <v>2713048.0825058115</v>
      </c>
      <c r="L37" s="42">
        <f>K28*Interventions!$I$13</f>
        <v>2713048.0825058115</v>
      </c>
      <c r="M37" s="42">
        <f>L28*Interventions!$I$13</f>
        <v>2713048.0825058115</v>
      </c>
      <c r="N37" s="42">
        <f>M28*Interventions!$I$13</f>
        <v>2713048.0825058115</v>
      </c>
      <c r="O37" s="42">
        <f>N28*Interventions!$I$13</f>
        <v>2713048.0825058115</v>
      </c>
      <c r="P37" s="42">
        <f>O28*Interventions!$I$13</f>
        <v>2713048.0825058115</v>
      </c>
      <c r="Q37" s="42">
        <f>P28*Interventions!$I$13</f>
        <v>2713048.0825058115</v>
      </c>
      <c r="R37" s="42">
        <f>Q28*Interventions!$I$13</f>
        <v>2713048.0825058115</v>
      </c>
      <c r="S37" s="42">
        <f>R28*Interventions!$I$13</f>
        <v>2713048.0825058115</v>
      </c>
      <c r="T37" s="42">
        <f>S28*Interventions!$I$13</f>
        <v>2713048.0825058115</v>
      </c>
      <c r="U37" s="42">
        <f>T28*Interventions!$I$13</f>
        <v>2713048.0825058115</v>
      </c>
      <c r="V37" s="42">
        <f>U28*Interventions!$I$13</f>
        <v>2713048.0825058115</v>
      </c>
      <c r="W37" s="42">
        <f>V28*Interventions!$I$13</f>
        <v>2713048.0825058115</v>
      </c>
      <c r="X37" s="42">
        <f>W28*Interventions!$I$13</f>
        <v>2713048.0825058115</v>
      </c>
      <c r="Y37" s="42">
        <f>X28*Interventions!$I$13</f>
        <v>2713048.0825058115</v>
      </c>
      <c r="Z37" s="42">
        <f>Y28*Interventions!$I$13</f>
        <v>2713048.0825058115</v>
      </c>
      <c r="AA37" s="42">
        <f>Z28*Interventions!$I$13</f>
        <v>2713048.0825058115</v>
      </c>
      <c r="AB37" s="42">
        <f>AA28*Interventions!$I$13</f>
        <v>2713048.0825058115</v>
      </c>
      <c r="AC37" s="42">
        <f>AB28*Interventions!$I$13</f>
        <v>2713048.0825058115</v>
      </c>
      <c r="AD37" s="42">
        <f>AC28*Interventions!$I$13</f>
        <v>2146742.7524857051</v>
      </c>
      <c r="AE37" s="42">
        <f>AD28*Interventions!$I$13</f>
        <v>1631919.7251946989</v>
      </c>
      <c r="AF37" s="42">
        <f>AE28*Interventions!$I$13</f>
        <v>1163898.7912937845</v>
      </c>
      <c r="AG37" s="42">
        <f>AF28*Interventions!$I$13</f>
        <v>738425.21502022585</v>
      </c>
      <c r="AH37" s="42">
        <f>AG28*Interventions!$I$13</f>
        <v>351631.0547715362</v>
      </c>
    </row>
    <row r="38" spans="1:34" x14ac:dyDescent="0.25">
      <c r="A38" s="239" t="s">
        <v>36</v>
      </c>
      <c r="B38" s="28" t="s">
        <v>37</v>
      </c>
      <c r="C38" s="28"/>
      <c r="D38" s="42">
        <f>C28*Interventions!$I$14</f>
        <v>273244.44537968899</v>
      </c>
      <c r="E38" s="42">
        <f>D28*Interventions!$I$14</f>
        <v>521648.48663395172</v>
      </c>
      <c r="F38" s="42">
        <f>E28*Interventions!$I$14</f>
        <v>747470.3423196451</v>
      </c>
      <c r="G38" s="42">
        <f>F28*Interventions!$I$14</f>
        <v>952762.93839754816</v>
      </c>
      <c r="H38" s="42">
        <f>G28*Interventions!$I$14</f>
        <v>1139392.5711956418</v>
      </c>
      <c r="I38" s="42">
        <f>H28*Interventions!$I$14</f>
        <v>1309055.8737393634</v>
      </c>
      <c r="J38" s="42">
        <f>I28*Interventions!$I$14</f>
        <v>1309055.8737393634</v>
      </c>
      <c r="K38" s="42">
        <f>J28*Interventions!$I$14</f>
        <v>1309055.8737393634</v>
      </c>
      <c r="L38" s="42">
        <f>K28*Interventions!$I$14</f>
        <v>1309055.8737393634</v>
      </c>
      <c r="M38" s="42">
        <f>L28*Interventions!$I$14</f>
        <v>1309055.8737393634</v>
      </c>
      <c r="N38" s="42">
        <f>M28*Interventions!$I$14</f>
        <v>1309055.8737393634</v>
      </c>
      <c r="O38" s="42">
        <f>N28*Interventions!$I$14</f>
        <v>1309055.8737393634</v>
      </c>
      <c r="P38" s="42">
        <f>O28*Interventions!$I$14</f>
        <v>1309055.8737393634</v>
      </c>
      <c r="Q38" s="42">
        <f>P28*Interventions!$I$14</f>
        <v>1309055.8737393634</v>
      </c>
      <c r="R38" s="42">
        <f>Q28*Interventions!$I$14</f>
        <v>1309055.8737393634</v>
      </c>
      <c r="S38" s="42">
        <f>R28*Interventions!$I$14</f>
        <v>1309055.8737393634</v>
      </c>
      <c r="T38" s="42">
        <f>S28*Interventions!$I$14</f>
        <v>1309055.8737393634</v>
      </c>
      <c r="U38" s="42">
        <f>T28*Interventions!$I$14</f>
        <v>1309055.8737393634</v>
      </c>
      <c r="V38" s="42">
        <f>U28*Interventions!$I$14</f>
        <v>1309055.8737393634</v>
      </c>
      <c r="W38" s="42">
        <f>V28*Interventions!$I$14</f>
        <v>1309055.8737393634</v>
      </c>
      <c r="X38" s="42">
        <f>W28*Interventions!$I$14</f>
        <v>1309055.8737393634</v>
      </c>
      <c r="Y38" s="42">
        <f>X28*Interventions!$I$14</f>
        <v>1309055.8737393634</v>
      </c>
      <c r="Z38" s="42">
        <f>Y28*Interventions!$I$14</f>
        <v>1309055.8737393634</v>
      </c>
      <c r="AA38" s="42">
        <f>Z28*Interventions!$I$14</f>
        <v>1309055.8737393634</v>
      </c>
      <c r="AB38" s="42">
        <f>AA28*Interventions!$I$14</f>
        <v>1309055.8737393634</v>
      </c>
      <c r="AC38" s="42">
        <f>AB28*Interventions!$I$14</f>
        <v>1309055.8737393634</v>
      </c>
      <c r="AD38" s="42">
        <f>AC28*Interventions!$I$14</f>
        <v>1035811.4283596744</v>
      </c>
      <c r="AE38" s="42">
        <f>AD28*Interventions!$I$14</f>
        <v>787407.38710541173</v>
      </c>
      <c r="AF38" s="42">
        <f>AE28*Interventions!$I$14</f>
        <v>561585.53141971841</v>
      </c>
      <c r="AG38" s="42">
        <f>AF28*Interventions!$I$14</f>
        <v>356292.93534181535</v>
      </c>
      <c r="AH38" s="42">
        <f>AG28*Interventions!$I$14</f>
        <v>169663.30254372163</v>
      </c>
    </row>
    <row r="39" spans="1:34" x14ac:dyDescent="0.25">
      <c r="A39" s="117"/>
      <c r="B39" s="28"/>
      <c r="C39" s="28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x14ac:dyDescent="0.25">
      <c r="A40" s="118" t="s">
        <v>154</v>
      </c>
      <c r="B40" s="122" t="s">
        <v>37</v>
      </c>
      <c r="C40" s="116">
        <f t="shared" ref="C40:AH40" si="10">C30+C34</f>
        <v>0</v>
      </c>
      <c r="D40" s="116">
        <f t="shared" si="10"/>
        <v>524309.72675231285</v>
      </c>
      <c r="E40" s="116">
        <f t="shared" si="10"/>
        <v>1002619.8705610381</v>
      </c>
      <c r="F40" s="116">
        <f t="shared" si="10"/>
        <v>1439099.7787176659</v>
      </c>
      <c r="G40" s="116">
        <f t="shared" si="10"/>
        <v>1837543.1417821837</v>
      </c>
      <c r="H40" s="116">
        <f t="shared" si="10"/>
        <v>2201401.9772707131</v>
      </c>
      <c r="I40" s="116">
        <f t="shared" si="10"/>
        <v>2533817.5368776587</v>
      </c>
      <c r="J40" s="116">
        <f t="shared" si="10"/>
        <v>2538544.6667967308</v>
      </c>
      <c r="K40" s="116">
        <f t="shared" si="10"/>
        <v>2543389.9749637791</v>
      </c>
      <c r="L40" s="116">
        <f t="shared" si="10"/>
        <v>2548356.4158350043</v>
      </c>
      <c r="M40" s="116">
        <f t="shared" si="10"/>
        <v>2553447.0177280097</v>
      </c>
      <c r="N40" s="116">
        <f t="shared" si="10"/>
        <v>2558664.88466834</v>
      </c>
      <c r="O40" s="116">
        <f t="shared" si="10"/>
        <v>2564013.1982821794</v>
      </c>
      <c r="P40" s="116">
        <f t="shared" si="10"/>
        <v>2569495.2197363642</v>
      </c>
      <c r="Q40" s="116">
        <f t="shared" si="10"/>
        <v>2575114.291726904</v>
      </c>
      <c r="R40" s="116">
        <f t="shared" si="10"/>
        <v>2580873.840517207</v>
      </c>
      <c r="S40" s="116">
        <f t="shared" si="10"/>
        <v>2586777.3780272673</v>
      </c>
      <c r="T40" s="116">
        <f t="shared" si="10"/>
        <v>2592828.5039750794</v>
      </c>
      <c r="U40" s="116">
        <f t="shared" si="10"/>
        <v>2599030.9080715869</v>
      </c>
      <c r="V40" s="116">
        <f t="shared" si="10"/>
        <v>2605388.3722705068</v>
      </c>
      <c r="W40" s="116">
        <f t="shared" si="10"/>
        <v>2611904.7730744001</v>
      </c>
      <c r="X40" s="116">
        <f t="shared" si="10"/>
        <v>2618584.0838983906</v>
      </c>
      <c r="Y40" s="116">
        <f t="shared" si="10"/>
        <v>2625430.377492981</v>
      </c>
      <c r="Z40" s="116">
        <f t="shared" si="10"/>
        <v>2632447.8284274358</v>
      </c>
      <c r="AA40" s="116">
        <f t="shared" si="10"/>
        <v>2639640.7156352522</v>
      </c>
      <c r="AB40" s="116">
        <f t="shared" si="10"/>
        <v>2647013.4250232638</v>
      </c>
      <c r="AC40" s="116">
        <f t="shared" si="10"/>
        <v>2344732.3401147816</v>
      </c>
      <c r="AD40" s="116">
        <f t="shared" si="10"/>
        <v>1855307.0216917074</v>
      </c>
      <c r="AE40" s="116">
        <f t="shared" si="10"/>
        <v>1410374.9140343668</v>
      </c>
      <c r="AF40" s="116">
        <f t="shared" si="10"/>
        <v>1005891.1798004212</v>
      </c>
      <c r="AG40" s="116">
        <f t="shared" si="10"/>
        <v>638178.69413319777</v>
      </c>
      <c r="AH40" s="116">
        <f t="shared" si="10"/>
        <v>303894.61625390378</v>
      </c>
    </row>
    <row r="41" spans="1:34" s="21" customFormat="1" x14ac:dyDescent="0.25">
      <c r="A41" s="119"/>
      <c r="B41" s="123"/>
      <c r="C41" s="11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25">
      <c r="A42" s="119" t="s">
        <v>92</v>
      </c>
      <c r="B42" s="28" t="s">
        <v>37</v>
      </c>
      <c r="C42" s="31">
        <f t="shared" ref="C42:AH42" si="11">C40-C24</f>
        <v>-1824074.0740740739</v>
      </c>
      <c r="D42" s="31">
        <f t="shared" si="11"/>
        <v>-1299764.3473217611</v>
      </c>
      <c r="E42" s="31">
        <f t="shared" si="11"/>
        <v>-821454.20351303578</v>
      </c>
      <c r="F42" s="31">
        <f t="shared" si="11"/>
        <v>-384974.29535640799</v>
      </c>
      <c r="G42" s="31">
        <f t="shared" si="11"/>
        <v>13469.067708109505</v>
      </c>
      <c r="H42" s="31">
        <f t="shared" si="11"/>
        <v>377327.90319663892</v>
      </c>
      <c r="I42" s="31">
        <f t="shared" si="11"/>
        <v>1739385.7241053823</v>
      </c>
      <c r="J42" s="31">
        <f t="shared" si="11"/>
        <v>1744112.8540244545</v>
      </c>
      <c r="K42" s="31">
        <f t="shared" si="11"/>
        <v>1748958.1621915027</v>
      </c>
      <c r="L42" s="31">
        <f t="shared" si="11"/>
        <v>1753924.603062728</v>
      </c>
      <c r="M42" s="31">
        <f t="shared" si="11"/>
        <v>1759015.2049557334</v>
      </c>
      <c r="N42" s="31">
        <f t="shared" si="11"/>
        <v>1764233.0718960636</v>
      </c>
      <c r="O42" s="31">
        <f t="shared" si="11"/>
        <v>1769581.3855099031</v>
      </c>
      <c r="P42" s="31">
        <f t="shared" si="11"/>
        <v>1775063.4069640879</v>
      </c>
      <c r="Q42" s="31">
        <f t="shared" si="11"/>
        <v>1780682.4789546276</v>
      </c>
      <c r="R42" s="31">
        <f t="shared" si="11"/>
        <v>1786442.0277449307</v>
      </c>
      <c r="S42" s="31">
        <f t="shared" si="11"/>
        <v>1792345.5652549909</v>
      </c>
      <c r="T42" s="31">
        <f t="shared" si="11"/>
        <v>1798396.691202803</v>
      </c>
      <c r="U42" s="31">
        <f t="shared" si="11"/>
        <v>1804599.0952993105</v>
      </c>
      <c r="V42" s="31">
        <f t="shared" si="11"/>
        <v>1810956.5594982305</v>
      </c>
      <c r="W42" s="31">
        <f t="shared" si="11"/>
        <v>1817472.9603021238</v>
      </c>
      <c r="X42" s="31">
        <f t="shared" si="11"/>
        <v>1824152.2711261143</v>
      </c>
      <c r="Y42" s="31">
        <f t="shared" si="11"/>
        <v>1830998.5647207047</v>
      </c>
      <c r="Z42" s="31">
        <f t="shared" si="11"/>
        <v>1838016.0156551595</v>
      </c>
      <c r="AA42" s="31">
        <f t="shared" si="11"/>
        <v>1845208.9028629758</v>
      </c>
      <c r="AB42" s="31">
        <f t="shared" si="11"/>
        <v>1852581.6122509874</v>
      </c>
      <c r="AC42" s="31">
        <f t="shared" si="11"/>
        <v>1550300.5273425053</v>
      </c>
      <c r="AD42" s="31">
        <f t="shared" si="11"/>
        <v>1226700.1247443468</v>
      </c>
      <c r="AE42" s="31">
        <f t="shared" si="11"/>
        <v>932517.94056420238</v>
      </c>
      <c r="AF42" s="31">
        <f t="shared" si="11"/>
        <v>665079.59130952612</v>
      </c>
      <c r="AG42" s="31">
        <f t="shared" si="11"/>
        <v>421953.81925982016</v>
      </c>
      <c r="AH42" s="31">
        <f t="shared" si="11"/>
        <v>200930.39012372395</v>
      </c>
    </row>
    <row r="43" spans="1:34" x14ac:dyDescent="0.25">
      <c r="A43" s="119" t="s">
        <v>93</v>
      </c>
      <c r="B43" s="28" t="s">
        <v>37</v>
      </c>
      <c r="C43" s="31">
        <f t="shared" ref="C43:AH43" si="12">C34-C24</f>
        <v>-1824074.0740740739</v>
      </c>
      <c r="D43" s="31">
        <f t="shared" si="12"/>
        <v>-1531013.1894336564</v>
      </c>
      <c r="E43" s="31">
        <f t="shared" si="12"/>
        <v>-1264594.2033969134</v>
      </c>
      <c r="F43" s="31">
        <f t="shared" si="12"/>
        <v>-1022395.1251816921</v>
      </c>
      <c r="G43" s="31">
        <f t="shared" si="12"/>
        <v>-802214.14498603693</v>
      </c>
      <c r="H43" s="31">
        <f t="shared" si="12"/>
        <v>-602049.61753544048</v>
      </c>
      <c r="I43" s="31">
        <f t="shared" si="12"/>
        <v>609560.39599417162</v>
      </c>
      <c r="J43" s="31">
        <f t="shared" si="12"/>
        <v>609560.39599417162</v>
      </c>
      <c r="K43" s="31">
        <f t="shared" si="12"/>
        <v>609560.39599417162</v>
      </c>
      <c r="L43" s="31">
        <f t="shared" si="12"/>
        <v>609560.39599417162</v>
      </c>
      <c r="M43" s="31">
        <f t="shared" si="12"/>
        <v>609560.39599417162</v>
      </c>
      <c r="N43" s="31">
        <f t="shared" si="12"/>
        <v>609560.39599417162</v>
      </c>
      <c r="O43" s="31">
        <f t="shared" si="12"/>
        <v>609560.39599417162</v>
      </c>
      <c r="P43" s="31">
        <f t="shared" si="12"/>
        <v>609560.39599417162</v>
      </c>
      <c r="Q43" s="31">
        <f t="shared" si="12"/>
        <v>609560.39599417162</v>
      </c>
      <c r="R43" s="31">
        <f t="shared" si="12"/>
        <v>609560.39599417162</v>
      </c>
      <c r="S43" s="31">
        <f t="shared" si="12"/>
        <v>609560.39599417162</v>
      </c>
      <c r="T43" s="31">
        <f t="shared" si="12"/>
        <v>609560.39599417162</v>
      </c>
      <c r="U43" s="31">
        <f t="shared" si="12"/>
        <v>609560.39599417162</v>
      </c>
      <c r="V43" s="31">
        <f t="shared" si="12"/>
        <v>609560.39599417162</v>
      </c>
      <c r="W43" s="31">
        <f t="shared" si="12"/>
        <v>609560.39599417162</v>
      </c>
      <c r="X43" s="31">
        <f t="shared" si="12"/>
        <v>609560.39599417162</v>
      </c>
      <c r="Y43" s="31">
        <f t="shared" si="12"/>
        <v>609560.39599417162</v>
      </c>
      <c r="Z43" s="31">
        <f t="shared" si="12"/>
        <v>609560.39599417162</v>
      </c>
      <c r="AA43" s="31">
        <f t="shared" si="12"/>
        <v>609560.39599417162</v>
      </c>
      <c r="AB43" s="31">
        <f t="shared" si="12"/>
        <v>609560.39599417162</v>
      </c>
      <c r="AC43" s="31">
        <f t="shared" si="12"/>
        <v>609560.39599417162</v>
      </c>
      <c r="AD43" s="31">
        <f t="shared" si="12"/>
        <v>482324.42717867019</v>
      </c>
      <c r="AE43" s="31">
        <f t="shared" si="12"/>
        <v>366655.36461912276</v>
      </c>
      <c r="AF43" s="31">
        <f t="shared" si="12"/>
        <v>261501.67138317099</v>
      </c>
      <c r="AG43" s="31">
        <f t="shared" si="12"/>
        <v>165907.40480503289</v>
      </c>
      <c r="AH43" s="31">
        <f t="shared" si="12"/>
        <v>79003.526097634734</v>
      </c>
    </row>
    <row r="44" spans="1:34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4" x14ac:dyDescent="0.25">
      <c r="A45" s="51" t="s">
        <v>47</v>
      </c>
      <c r="B45" s="28" t="s">
        <v>37</v>
      </c>
      <c r="C45" s="31">
        <f t="shared" ref="C45:AH45" si="13">(C25+C26)*C$8</f>
        <v>1824074.0740740739</v>
      </c>
      <c r="D45" s="31">
        <f t="shared" si="13"/>
        <v>1596064.8148148146</v>
      </c>
      <c r="E45" s="31">
        <f t="shared" si="13"/>
        <v>1396556.7129629629</v>
      </c>
      <c r="F45" s="31">
        <f t="shared" si="13"/>
        <v>1221987.1238425926</v>
      </c>
      <c r="G45" s="31">
        <f t="shared" si="13"/>
        <v>1069238.7333622687</v>
      </c>
      <c r="H45" s="31">
        <f t="shared" si="13"/>
        <v>935583.89169198496</v>
      </c>
      <c r="I45" s="31">
        <f t="shared" si="13"/>
        <v>356537.27852190228</v>
      </c>
      <c r="J45" s="31">
        <f t="shared" si="13"/>
        <v>311970.11870666448</v>
      </c>
      <c r="K45" s="31">
        <f t="shared" si="13"/>
        <v>272973.85386833141</v>
      </c>
      <c r="L45" s="31">
        <f t="shared" si="13"/>
        <v>238852.12213479</v>
      </c>
      <c r="M45" s="31">
        <f t="shared" si="13"/>
        <v>208995.60686794127</v>
      </c>
      <c r="N45" s="31">
        <f t="shared" si="13"/>
        <v>182871.1560094486</v>
      </c>
      <c r="O45" s="31">
        <f t="shared" si="13"/>
        <v>160012.26150826752</v>
      </c>
      <c r="P45" s="31">
        <f t="shared" si="13"/>
        <v>140010.7288197341</v>
      </c>
      <c r="Q45" s="31">
        <f t="shared" si="13"/>
        <v>122509.38771726732</v>
      </c>
      <c r="R45" s="31">
        <f t="shared" si="13"/>
        <v>107195.71425260892</v>
      </c>
      <c r="S45" s="31">
        <f t="shared" si="13"/>
        <v>93796.249971032797</v>
      </c>
      <c r="T45" s="31">
        <f t="shared" si="13"/>
        <v>82071.718724653692</v>
      </c>
      <c r="U45" s="31">
        <f t="shared" si="13"/>
        <v>71812.753884071979</v>
      </c>
      <c r="V45" s="31">
        <f t="shared" si="13"/>
        <v>62836.159648562993</v>
      </c>
      <c r="W45" s="31">
        <f t="shared" si="13"/>
        <v>54981.639692492608</v>
      </c>
      <c r="X45" s="31">
        <f t="shared" si="13"/>
        <v>48108.93473093104</v>
      </c>
      <c r="Y45" s="31">
        <f t="shared" si="13"/>
        <v>42095.317889564656</v>
      </c>
      <c r="Z45" s="31">
        <f t="shared" si="13"/>
        <v>36833.403153369072</v>
      </c>
      <c r="AA45" s="31">
        <f t="shared" si="13"/>
        <v>32229.22775919794</v>
      </c>
      <c r="AB45" s="31">
        <f t="shared" si="13"/>
        <v>28200.574289298198</v>
      </c>
      <c r="AC45" s="31">
        <f t="shared" si="13"/>
        <v>24675.502503135922</v>
      </c>
      <c r="AD45" s="31">
        <f t="shared" si="13"/>
        <v>17084.275778636846</v>
      </c>
      <c r="AE45" s="31">
        <f t="shared" si="13"/>
        <v>11363.795581165239</v>
      </c>
      <c r="AF45" s="31">
        <f t="shared" si="13"/>
        <v>7091.6597612475389</v>
      </c>
      <c r="AG45" s="31">
        <f t="shared" si="13"/>
        <v>3936.8352904206508</v>
      </c>
      <c r="AH45" s="31">
        <f t="shared" si="13"/>
        <v>1640.3480376752716</v>
      </c>
    </row>
    <row r="46" spans="1:34" x14ac:dyDescent="0.25">
      <c r="A46" s="51" t="s">
        <v>70</v>
      </c>
      <c r="B46" s="28" t="s">
        <v>37</v>
      </c>
      <c r="C46" s="31">
        <f t="shared" ref="C46:AH46" si="14">C34*C$8</f>
        <v>0</v>
      </c>
      <c r="D46" s="31">
        <f t="shared" si="14"/>
        <v>256428.27406036534</v>
      </c>
      <c r="E46" s="31">
        <f t="shared" si="14"/>
        <v>428351.77598720108</v>
      </c>
      <c r="F46" s="31">
        <f t="shared" si="14"/>
        <v>537062.26459001366</v>
      </c>
      <c r="G46" s="31">
        <f t="shared" si="14"/>
        <v>598995.52972177183</v>
      </c>
      <c r="H46" s="31">
        <f t="shared" si="14"/>
        <v>626787.26321547898</v>
      </c>
      <c r="I46" s="31">
        <f t="shared" si="14"/>
        <v>630105.13065019168</v>
      </c>
      <c r="J46" s="31">
        <f t="shared" si="14"/>
        <v>551341.98931891774</v>
      </c>
      <c r="K46" s="31">
        <f t="shared" si="14"/>
        <v>482424.24065405299</v>
      </c>
      <c r="L46" s="31">
        <f t="shared" si="14"/>
        <v>422121.2105722964</v>
      </c>
      <c r="M46" s="31">
        <f t="shared" si="14"/>
        <v>369356.05925075931</v>
      </c>
      <c r="N46" s="31">
        <f t="shared" si="14"/>
        <v>323186.55184441444</v>
      </c>
      <c r="O46" s="31">
        <f t="shared" si="14"/>
        <v>282788.23286386259</v>
      </c>
      <c r="P46" s="31">
        <f t="shared" si="14"/>
        <v>247439.7037558798</v>
      </c>
      <c r="Q46" s="31">
        <f t="shared" si="14"/>
        <v>216509.7407863948</v>
      </c>
      <c r="R46" s="31">
        <f t="shared" si="14"/>
        <v>189446.02318809545</v>
      </c>
      <c r="S46" s="31">
        <f t="shared" si="14"/>
        <v>165765.27028958354</v>
      </c>
      <c r="T46" s="31">
        <f t="shared" si="14"/>
        <v>145044.61150338559</v>
      </c>
      <c r="U46" s="31">
        <f t="shared" si="14"/>
        <v>126914.03506546239</v>
      </c>
      <c r="V46" s="31">
        <f t="shared" si="14"/>
        <v>111049.7806822796</v>
      </c>
      <c r="W46" s="31">
        <f t="shared" si="14"/>
        <v>97168.558096994646</v>
      </c>
      <c r="X46" s="31">
        <f t="shared" si="14"/>
        <v>85022.488334870315</v>
      </c>
      <c r="Y46" s="31">
        <f t="shared" si="14"/>
        <v>74394.677293011526</v>
      </c>
      <c r="Z46" s="31">
        <f t="shared" si="14"/>
        <v>65095.34263138508</v>
      </c>
      <c r="AA46" s="31">
        <f t="shared" si="14"/>
        <v>56958.424802461945</v>
      </c>
      <c r="AB46" s="31">
        <f t="shared" si="14"/>
        <v>49838.621702154203</v>
      </c>
      <c r="AC46" s="31">
        <f t="shared" si="14"/>
        <v>43608.793989384925</v>
      </c>
      <c r="AD46" s="31">
        <f t="shared" si="14"/>
        <v>30192.887167899848</v>
      </c>
      <c r="AE46" s="31">
        <f t="shared" si="14"/>
        <v>20083.133884448289</v>
      </c>
      <c r="AF46" s="31">
        <f t="shared" si="14"/>
        <v>12533.026613409475</v>
      </c>
      <c r="AG46" s="31">
        <f t="shared" si="14"/>
        <v>6957.5336562356206</v>
      </c>
      <c r="AH46" s="31">
        <f t="shared" si="14"/>
        <v>2898.972356764843</v>
      </c>
    </row>
    <row r="47" spans="1:34" x14ac:dyDescent="0.25">
      <c r="A47" s="51" t="s">
        <v>153</v>
      </c>
      <c r="B47" s="28" t="s">
        <v>37</v>
      </c>
      <c r="C47" s="31">
        <f t="shared" ref="C47:AH47" si="15">C30*C$10</f>
        <v>0</v>
      </c>
      <c r="D47" s="31">
        <f t="shared" si="15"/>
        <v>231248.84211189536</v>
      </c>
      <c r="E47" s="31">
        <f t="shared" si="15"/>
        <v>443139.99988387752</v>
      </c>
      <c r="F47" s="31">
        <f t="shared" si="15"/>
        <v>637420.82982528408</v>
      </c>
      <c r="G47" s="31">
        <f t="shared" si="15"/>
        <v>815683.21269414632</v>
      </c>
      <c r="H47" s="31">
        <f t="shared" si="15"/>
        <v>979377.5207320794</v>
      </c>
      <c r="I47" s="31">
        <f t="shared" si="15"/>
        <v>1129825.3281112106</v>
      </c>
      <c r="J47" s="31">
        <f t="shared" si="15"/>
        <v>1134552.4580302825</v>
      </c>
      <c r="K47" s="31">
        <f t="shared" si="15"/>
        <v>1139397.766197331</v>
      </c>
      <c r="L47" s="31">
        <f t="shared" si="15"/>
        <v>1144364.207068556</v>
      </c>
      <c r="M47" s="31">
        <f t="shared" si="15"/>
        <v>1149454.8089615616</v>
      </c>
      <c r="N47" s="31">
        <f t="shared" si="15"/>
        <v>1154672.6759018921</v>
      </c>
      <c r="O47" s="31">
        <f t="shared" si="15"/>
        <v>1160020.9895157311</v>
      </c>
      <c r="P47" s="31">
        <f t="shared" si="15"/>
        <v>1165503.0109699161</v>
      </c>
      <c r="Q47" s="31">
        <f t="shared" si="15"/>
        <v>1171122.0829604557</v>
      </c>
      <c r="R47" s="31">
        <f t="shared" si="15"/>
        <v>1176881.6317507587</v>
      </c>
      <c r="S47" s="31">
        <f t="shared" si="15"/>
        <v>1182785.1692608192</v>
      </c>
      <c r="T47" s="31">
        <f t="shared" si="15"/>
        <v>1188836.2952086315</v>
      </c>
      <c r="U47" s="31">
        <f t="shared" si="15"/>
        <v>1195038.6993051388</v>
      </c>
      <c r="V47" s="31">
        <f t="shared" si="15"/>
        <v>1201396.163504059</v>
      </c>
      <c r="W47" s="31">
        <f t="shared" si="15"/>
        <v>1207912.5643079521</v>
      </c>
      <c r="X47" s="31">
        <f t="shared" si="15"/>
        <v>1214591.8751319426</v>
      </c>
      <c r="Y47" s="31">
        <f t="shared" si="15"/>
        <v>1221438.1687265327</v>
      </c>
      <c r="Z47" s="31">
        <f t="shared" si="15"/>
        <v>1228455.6196609878</v>
      </c>
      <c r="AA47" s="31">
        <f t="shared" si="15"/>
        <v>1235648.5068688041</v>
      </c>
      <c r="AB47" s="31">
        <f t="shared" si="15"/>
        <v>1243021.2162568157</v>
      </c>
      <c r="AC47" s="31">
        <f t="shared" si="15"/>
        <v>940740.13134833355</v>
      </c>
      <c r="AD47" s="31">
        <f t="shared" si="15"/>
        <v>744375.69756567676</v>
      </c>
      <c r="AE47" s="31">
        <f t="shared" si="15"/>
        <v>565862.57594507968</v>
      </c>
      <c r="AF47" s="31">
        <f t="shared" si="15"/>
        <v>403577.91992635507</v>
      </c>
      <c r="AG47" s="31">
        <f t="shared" si="15"/>
        <v>256046.41445478724</v>
      </c>
      <c r="AH47" s="31">
        <f t="shared" si="15"/>
        <v>121926.86402608918</v>
      </c>
    </row>
    <row r="48" spans="1:34" x14ac:dyDescent="0.25">
      <c r="A48" s="119" t="s">
        <v>42</v>
      </c>
      <c r="B48" s="28" t="s">
        <v>37</v>
      </c>
      <c r="C48" s="31">
        <f>C47+C46-C45</f>
        <v>-1824074.0740740739</v>
      </c>
      <c r="D48" s="31">
        <f>D47+D46-D45</f>
        <v>-1108387.6986425538</v>
      </c>
      <c r="E48" s="31">
        <f>E47+E46-E45</f>
        <v>-525064.93709188432</v>
      </c>
      <c r="F48" s="31">
        <f t="shared" ref="F48:AH48" si="16">F47+F46-F45</f>
        <v>-47504.029427294852</v>
      </c>
      <c r="G48" s="31">
        <f t="shared" si="16"/>
        <v>345440.00905364938</v>
      </c>
      <c r="H48" s="31">
        <f t="shared" si="16"/>
        <v>670580.89225557342</v>
      </c>
      <c r="I48" s="31">
        <f t="shared" si="16"/>
        <v>1403393.1802395</v>
      </c>
      <c r="J48" s="31">
        <f t="shared" si="16"/>
        <v>1373924.3286425357</v>
      </c>
      <c r="K48" s="31">
        <f t="shared" si="16"/>
        <v>1348848.1529830527</v>
      </c>
      <c r="L48" s="31">
        <f t="shared" si="16"/>
        <v>1327633.2955060622</v>
      </c>
      <c r="M48" s="31">
        <f t="shared" si="16"/>
        <v>1309815.2613443795</v>
      </c>
      <c r="N48" s="31">
        <f t="shared" si="16"/>
        <v>1294988.0717368578</v>
      </c>
      <c r="O48" s="31">
        <f t="shared" si="16"/>
        <v>1282796.960871326</v>
      </c>
      <c r="P48" s="31">
        <f t="shared" si="16"/>
        <v>1272931.9859060617</v>
      </c>
      <c r="Q48" s="31">
        <f t="shared" si="16"/>
        <v>1265122.4360295832</v>
      </c>
      <c r="R48" s="31">
        <f t="shared" si="16"/>
        <v>1259131.9406862454</v>
      </c>
      <c r="S48" s="31">
        <f t="shared" si="16"/>
        <v>1254754.18957937</v>
      </c>
      <c r="T48" s="31">
        <f t="shared" si="16"/>
        <v>1251809.1879873634</v>
      </c>
      <c r="U48" s="31">
        <f t="shared" si="16"/>
        <v>1250139.9804865292</v>
      </c>
      <c r="V48" s="31">
        <f t="shared" si="16"/>
        <v>1249609.7845377754</v>
      </c>
      <c r="W48" s="31">
        <f t="shared" si="16"/>
        <v>1250099.4827124542</v>
      </c>
      <c r="X48" s="31">
        <f t="shared" si="16"/>
        <v>1251505.4287358818</v>
      </c>
      <c r="Y48" s="31">
        <f t="shared" si="16"/>
        <v>1253737.5281299795</v>
      </c>
      <c r="Z48" s="31">
        <f t="shared" si="16"/>
        <v>1256717.5591390037</v>
      </c>
      <c r="AA48" s="31">
        <f t="shared" si="16"/>
        <v>1260377.7039120679</v>
      </c>
      <c r="AB48" s="31">
        <f t="shared" si="16"/>
        <v>1264659.2636696717</v>
      </c>
      <c r="AC48" s="31">
        <f t="shared" si="16"/>
        <v>959673.42283458251</v>
      </c>
      <c r="AD48" s="31">
        <f t="shared" si="16"/>
        <v>757484.30895493983</v>
      </c>
      <c r="AE48" s="31">
        <f t="shared" si="16"/>
        <v>574581.91424836277</v>
      </c>
      <c r="AF48" s="31">
        <f t="shared" si="16"/>
        <v>409019.28677851701</v>
      </c>
      <c r="AG48" s="31">
        <f t="shared" si="16"/>
        <v>259067.11282060223</v>
      </c>
      <c r="AH48" s="31">
        <f t="shared" si="16"/>
        <v>123185.48834517876</v>
      </c>
    </row>
    <row r="49" spans="1:34" x14ac:dyDescent="0.25">
      <c r="A49" s="51"/>
      <c r="B49" s="28"/>
      <c r="C49" s="28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4" x14ac:dyDescent="0.25">
      <c r="A50" s="141" t="s">
        <v>88</v>
      </c>
      <c r="B50" s="142" t="s">
        <v>37</v>
      </c>
      <c r="C50" s="143">
        <f>XNPV(B$6,C42:AH42,C$22:AH$22)</f>
        <v>3625905.3735639476</v>
      </c>
      <c r="D50" s="117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4" x14ac:dyDescent="0.25">
      <c r="A51" s="141" t="s">
        <v>84</v>
      </c>
      <c r="B51" s="142" t="s">
        <v>37</v>
      </c>
      <c r="C51" s="143">
        <f>XNPV(B$6,C43:AH43,C$22:AH$22)</f>
        <v>-3211975.1079164259</v>
      </c>
      <c r="D51" s="117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s="21" customFormat="1" x14ac:dyDescent="0.25">
      <c r="A52" s="126"/>
      <c r="B52" s="28"/>
      <c r="C52" s="28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4" x14ac:dyDescent="0.25">
      <c r="A53" s="120" t="s">
        <v>101</v>
      </c>
      <c r="B53" s="28" t="s">
        <v>67</v>
      </c>
      <c r="C53" s="32">
        <f>(XNPV($B$6,C30,C$22)+XNPV($B$6,C34,C$22))/(XNPV($B$6,C24,C$22))</f>
        <v>0</v>
      </c>
      <c r="D53" s="32">
        <f t="shared" ref="D53:AH53" si="17">(XNPV($B$6,D30,D$22)+XNPV($B$6,D34,D$22))/(XNPV($B$6,D24,D$22))</f>
        <v>0.28743883497081113</v>
      </c>
      <c r="E53" s="32">
        <f t="shared" si="17"/>
        <v>0.54965962447001082</v>
      </c>
      <c r="F53" s="32">
        <f t="shared" si="17"/>
        <v>0.78894810203811139</v>
      </c>
      <c r="G53" s="32">
        <f t="shared" si="17"/>
        <v>1.0073840574237352</v>
      </c>
      <c r="H53" s="32">
        <f t="shared" si="17"/>
        <v>1.2068599672347056</v>
      </c>
      <c r="I53" s="32">
        <f t="shared" si="17"/>
        <v>3.1894713884072217</v>
      </c>
      <c r="J53" s="32">
        <f t="shared" si="17"/>
        <v>3.1954217164820458</v>
      </c>
      <c r="K53" s="32">
        <f t="shared" si="17"/>
        <v>3.2015208027587394</v>
      </c>
      <c r="L53" s="32">
        <f t="shared" si="17"/>
        <v>3.2077723661923514</v>
      </c>
      <c r="M53" s="32">
        <f t="shared" si="17"/>
        <v>3.2141802187118031</v>
      </c>
      <c r="N53" s="32">
        <f t="shared" si="17"/>
        <v>3.2207482675442405</v>
      </c>
      <c r="O53" s="32">
        <f t="shared" si="17"/>
        <v>3.2274805175974906</v>
      </c>
      <c r="P53" s="32">
        <f t="shared" si="17"/>
        <v>3.2343810739020706</v>
      </c>
      <c r="Q53" s="32">
        <f t="shared" si="17"/>
        <v>3.2414541441142659</v>
      </c>
      <c r="R53" s="32">
        <f t="shared" si="17"/>
        <v>3.2487040410817656</v>
      </c>
      <c r="S53" s="32">
        <f t="shared" si="17"/>
        <v>3.2561351854734522</v>
      </c>
      <c r="T53" s="32">
        <f t="shared" si="17"/>
        <v>3.2637521084749315</v>
      </c>
      <c r="U53" s="32">
        <f t="shared" si="17"/>
        <v>3.2715594545514479</v>
      </c>
      <c r="V53" s="32">
        <f t="shared" si="17"/>
        <v>3.2795619842798769</v>
      </c>
      <c r="W53" s="32">
        <f t="shared" si="17"/>
        <v>3.2877645772515174</v>
      </c>
      <c r="X53" s="32">
        <f t="shared" si="17"/>
        <v>3.2961722350474485</v>
      </c>
      <c r="Y53" s="32">
        <f t="shared" si="17"/>
        <v>3.3047900842882778</v>
      </c>
      <c r="Z53" s="32">
        <f t="shared" si="17"/>
        <v>3.313623379760128</v>
      </c>
      <c r="AA53" s="32">
        <f t="shared" si="17"/>
        <v>3.3226775076187742</v>
      </c>
      <c r="AB53" s="32">
        <f t="shared" si="17"/>
        <v>3.3319579886738864</v>
      </c>
      <c r="AC53" s="32">
        <f t="shared" si="17"/>
        <v>2.9514582654142756</v>
      </c>
      <c r="AD53" s="32">
        <f t="shared" si="17"/>
        <v>2.951458265414276</v>
      </c>
      <c r="AE53" s="32">
        <f t="shared" si="17"/>
        <v>2.9514582654142756</v>
      </c>
      <c r="AF53" s="32">
        <f t="shared" si="17"/>
        <v>2.9514582654142756</v>
      </c>
      <c r="AG53" s="32">
        <f t="shared" si="17"/>
        <v>2.9514582654142751</v>
      </c>
      <c r="AH53" s="32">
        <f t="shared" si="17"/>
        <v>2.9514582654142751</v>
      </c>
    </row>
    <row r="54" spans="1:34" x14ac:dyDescent="0.25">
      <c r="A54" s="120" t="s">
        <v>99</v>
      </c>
      <c r="B54" s="28" t="s">
        <v>67</v>
      </c>
      <c r="C54" s="108">
        <f>(XNPV(B$6,C30:W30,C$22:W$22)+XNPV(B$6,C34:W34,C$22:W$22))/(XNPV(B$6,C24:W24,C$22:W$22))</f>
        <v>1.2499890840584789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117"/>
      <c r="AD54" s="31"/>
      <c r="AE54" s="117"/>
      <c r="AF54" s="31"/>
      <c r="AG54" s="117"/>
      <c r="AH54" s="31"/>
    </row>
    <row r="55" spans="1:34" x14ac:dyDescent="0.25">
      <c r="A55" s="126" t="s">
        <v>107</v>
      </c>
      <c r="B55" s="28" t="s">
        <v>67</v>
      </c>
      <c r="C55" s="32">
        <f>(XNPV($B$6,C47,C$22)+XNPV($B$6,C46,C$22))/(XNPV($B$6,C45,C$22))</f>
        <v>0</v>
      </c>
      <c r="D55" s="32">
        <f t="shared" ref="D55:AH55" si="18">(XNPV($B$14,D47,D$22)+XNPV($B$14,D46,D$22))/(XNPV($B$14,D45,D$22))</f>
        <v>0.30554969425151074</v>
      </c>
      <c r="E55" s="32">
        <f t="shared" si="18"/>
        <v>0.62402891897036106</v>
      </c>
      <c r="F55" s="32">
        <f t="shared" si="18"/>
        <v>0.96112558921413482</v>
      </c>
      <c r="G55" s="32">
        <f t="shared" si="18"/>
        <v>1.3230709833784247</v>
      </c>
      <c r="H55" s="32">
        <f t="shared" si="18"/>
        <v>1.7167512162301568</v>
      </c>
      <c r="I55" s="32">
        <f>(XNPV($B$14,I47,I$22)+XNPV($B$14,I46,I$22))/(XNPV($B$14,I45,I$22))</f>
        <v>4.9361751625455597</v>
      </c>
      <c r="J55" s="32">
        <f t="shared" si="18"/>
        <v>5.4040254058254629</v>
      </c>
      <c r="K55" s="32">
        <f t="shared" si="18"/>
        <v>5.9413089710550366</v>
      </c>
      <c r="L55" s="32">
        <f t="shared" si="18"/>
        <v>6.5583902024401812</v>
      </c>
      <c r="M55" s="32">
        <f t="shared" si="18"/>
        <v>7.267190401624168</v>
      </c>
      <c r="N55" s="32">
        <f t="shared" si="18"/>
        <v>8.0814233364935273</v>
      </c>
      <c r="O55" s="32">
        <f t="shared" si="18"/>
        <v>9.0168666374673201</v>
      </c>
      <c r="P55" s="32">
        <f t="shared" si="18"/>
        <v>10.091674592630545</v>
      </c>
      <c r="Q55" s="32">
        <f t="shared" si="18"/>
        <v>11.326738706337261</v>
      </c>
      <c r="R55" s="32">
        <f t="shared" si="18"/>
        <v>12.746103372370605</v>
      </c>
      <c r="S55" s="32">
        <f t="shared" si="18"/>
        <v>14.377445153371028</v>
      </c>
      <c r="T55" s="32">
        <f t="shared" si="18"/>
        <v>16.252625477323285</v>
      </c>
      <c r="U55" s="32">
        <f t="shared" si="18"/>
        <v>18.408328087579569</v>
      </c>
      <c r="V55" s="32">
        <f t="shared" si="18"/>
        <v>20.886794347820285</v>
      </c>
      <c r="W55" s="32">
        <f t="shared" si="18"/>
        <v>23.736671545340386</v>
      </c>
      <c r="X55" s="32">
        <f t="shared" si="18"/>
        <v>27.013991698952378</v>
      </c>
      <c r="Y55" s="32">
        <f t="shared" si="18"/>
        <v>30.78330111246834</v>
      </c>
      <c r="Z55" s="32">
        <f t="shared" si="18"/>
        <v>35.118964080136983</v>
      </c>
      <c r="AA55" s="32">
        <f t="shared" si="18"/>
        <v>40.106667814973235</v>
      </c>
      <c r="AB55" s="32">
        <f t="shared" si="18"/>
        <v>45.845159913980751</v>
      </c>
      <c r="AC55" s="32">
        <f t="shared" si="18"/>
        <v>39.891747907165055</v>
      </c>
      <c r="AD55" s="32">
        <f t="shared" si="18"/>
        <v>45.338098891036481</v>
      </c>
      <c r="AE55" s="32">
        <f t="shared" si="18"/>
        <v>51.562500015460976</v>
      </c>
      <c r="AF55" s="32">
        <f t="shared" si="18"/>
        <v>58.676101300517523</v>
      </c>
      <c r="AG55" s="32">
        <f t="shared" si="18"/>
        <v>66.805931340582177</v>
      </c>
      <c r="AH55" s="32">
        <f t="shared" si="18"/>
        <v>76.097165672084614</v>
      </c>
    </row>
    <row r="56" spans="1:34" x14ac:dyDescent="0.25">
      <c r="A56" s="141" t="s">
        <v>108</v>
      </c>
      <c r="B56" s="142" t="s">
        <v>67</v>
      </c>
      <c r="C56" s="144">
        <f>(XNPV(B$6,C47:AH47,C$22:AH$22)+XNPV(B$6,C46:AH46,C$22:AH$22))/(XNPV(B$6,C45:AH45,C$22:AH$22))</f>
        <v>1.3784710669162163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117"/>
      <c r="AD56" s="32"/>
      <c r="AE56" s="117"/>
      <c r="AF56" s="32"/>
      <c r="AG56" s="117"/>
      <c r="AH56" s="32"/>
    </row>
    <row r="57" spans="1:34" x14ac:dyDescent="0.25">
      <c r="A57" s="126" t="s">
        <v>100</v>
      </c>
      <c r="B57" s="28" t="s">
        <v>67</v>
      </c>
      <c r="C57" s="32">
        <f>(XNPV($B$6,C46,C$22))/(XNPV($B$6,C45,C$22))</f>
        <v>0</v>
      </c>
      <c r="D57" s="32">
        <f t="shared" ref="D57:AH57" si="19">(XNPV($B$6,D46,D$22))/(XNPV($B$6,D45,D$22))</f>
        <v>0.1606628200059142</v>
      </c>
      <c r="E57" s="32">
        <f t="shared" si="19"/>
        <v>0.30671992910219975</v>
      </c>
      <c r="F57" s="32">
        <f t="shared" si="19"/>
        <v>0.43949911918973222</v>
      </c>
      <c r="G57" s="32">
        <f t="shared" si="19"/>
        <v>0.56020747381476144</v>
      </c>
      <c r="H57" s="32">
        <f t="shared" si="19"/>
        <v>0.66994234165569766</v>
      </c>
      <c r="I57" s="32">
        <f t="shared" si="19"/>
        <v>1.767291020065056</v>
      </c>
      <c r="J57" s="32">
        <f t="shared" si="19"/>
        <v>1.7672910200650562</v>
      </c>
      <c r="K57" s="32">
        <f t="shared" si="19"/>
        <v>1.7672910200650562</v>
      </c>
      <c r="L57" s="32">
        <f t="shared" si="19"/>
        <v>1.7672910200650562</v>
      </c>
      <c r="M57" s="32">
        <f t="shared" si="19"/>
        <v>1.7672910200650558</v>
      </c>
      <c r="N57" s="32">
        <f t="shared" si="19"/>
        <v>1.767291020065056</v>
      </c>
      <c r="O57" s="32">
        <f t="shared" si="19"/>
        <v>1.767291020065056</v>
      </c>
      <c r="P57" s="32">
        <f t="shared" si="19"/>
        <v>1.767291020065056</v>
      </c>
      <c r="Q57" s="32">
        <f t="shared" si="19"/>
        <v>1.767291020065056</v>
      </c>
      <c r="R57" s="32">
        <f t="shared" si="19"/>
        <v>1.7672910200650558</v>
      </c>
      <c r="S57" s="32">
        <f t="shared" si="19"/>
        <v>1.767291020065056</v>
      </c>
      <c r="T57" s="32">
        <f t="shared" si="19"/>
        <v>1.767291020065056</v>
      </c>
      <c r="U57" s="32">
        <f t="shared" si="19"/>
        <v>1.7672910200650562</v>
      </c>
      <c r="V57" s="32">
        <f t="shared" si="19"/>
        <v>1.767291020065056</v>
      </c>
      <c r="W57" s="32">
        <f t="shared" si="19"/>
        <v>1.7672910200650562</v>
      </c>
      <c r="X57" s="32">
        <f t="shared" si="19"/>
        <v>1.767291020065056</v>
      </c>
      <c r="Y57" s="32">
        <f t="shared" si="19"/>
        <v>1.767291020065056</v>
      </c>
      <c r="Z57" s="32">
        <f t="shared" si="19"/>
        <v>1.767291020065056</v>
      </c>
      <c r="AA57" s="32">
        <f t="shared" si="19"/>
        <v>1.767291020065056</v>
      </c>
      <c r="AB57" s="32">
        <f t="shared" si="19"/>
        <v>1.767291020065056</v>
      </c>
      <c r="AC57" s="32">
        <f t="shared" si="19"/>
        <v>1.767291020065056</v>
      </c>
      <c r="AD57" s="32">
        <f t="shared" si="19"/>
        <v>1.7672910200650565</v>
      </c>
      <c r="AE57" s="32">
        <f t="shared" si="19"/>
        <v>1.7672910200650558</v>
      </c>
      <c r="AF57" s="32">
        <f t="shared" si="19"/>
        <v>1.767291020065056</v>
      </c>
      <c r="AG57" s="32">
        <f t="shared" si="19"/>
        <v>1.7672910200650553</v>
      </c>
      <c r="AH57" s="32">
        <f t="shared" si="19"/>
        <v>1.7672910200650556</v>
      </c>
    </row>
    <row r="58" spans="1:34" x14ac:dyDescent="0.25">
      <c r="A58" s="141" t="s">
        <v>102</v>
      </c>
      <c r="B58" s="142" t="s">
        <v>67</v>
      </c>
      <c r="C58" s="144">
        <f>(XNPV(B$6,C46:AH46,C$22:AH$22))/(XNPV(B$6,C45:AH45,C$22:AH$22))</f>
        <v>0.42601538768296682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117"/>
      <c r="AD58" s="32"/>
      <c r="AE58" s="117"/>
      <c r="AF58" s="32"/>
      <c r="AG58" s="117"/>
      <c r="AH58" s="32"/>
    </row>
    <row r="59" spans="1:34" s="21" customFormat="1" x14ac:dyDescent="0.25">
      <c r="A59" s="120"/>
      <c r="B59" s="127"/>
      <c r="C59" s="12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127"/>
      <c r="AD59" s="32"/>
      <c r="AE59" s="127"/>
      <c r="AF59" s="32"/>
      <c r="AG59" s="127"/>
      <c r="AH59" s="32"/>
    </row>
    <row r="60" spans="1:34" x14ac:dyDescent="0.25">
      <c r="A60" s="141" t="s">
        <v>95</v>
      </c>
      <c r="B60" s="145" t="s">
        <v>68</v>
      </c>
      <c r="C60" s="146">
        <f>XIRR(C42:AH42, C$22:AH$22, 0.01)</f>
        <v>0.19788004398345943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117"/>
      <c r="AD60" s="32"/>
      <c r="AE60" s="117"/>
      <c r="AF60" s="32"/>
      <c r="AG60" s="117"/>
      <c r="AH60" s="32"/>
    </row>
    <row r="61" spans="1:34" x14ac:dyDescent="0.25">
      <c r="A61" s="218" t="s">
        <v>103</v>
      </c>
      <c r="B61" s="219" t="s">
        <v>68</v>
      </c>
      <c r="C61" s="220">
        <f>XIRR(C42:H42, C$22:H$22, 0.01)</f>
        <v>4.7683715820312501E-9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117"/>
      <c r="AD61" s="32"/>
      <c r="AE61" s="117"/>
      <c r="AF61" s="32"/>
      <c r="AG61" s="117"/>
      <c r="AH61" s="32"/>
    </row>
    <row r="62" spans="1:34" x14ac:dyDescent="0.25">
      <c r="A62" s="141" t="s">
        <v>96</v>
      </c>
      <c r="B62" s="145" t="s">
        <v>68</v>
      </c>
      <c r="C62" s="267">
        <f>XIRR(C43:AH43, C$22:AH$22, 0.01)</f>
        <v>5.022995471954346E-2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117"/>
      <c r="AD62" s="32"/>
      <c r="AE62" s="117"/>
      <c r="AF62" s="32"/>
      <c r="AG62" s="117"/>
      <c r="AH62" s="32"/>
    </row>
    <row r="63" spans="1:34" x14ac:dyDescent="0.25">
      <c r="A63" s="218" t="s">
        <v>104</v>
      </c>
      <c r="B63" s="219" t="s">
        <v>68</v>
      </c>
      <c r="C63" s="221" t="e">
        <f>XIRR(C43:H43, C$22:H$22, 0.01)</f>
        <v>#NUM!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117"/>
      <c r="AD63" s="32"/>
      <c r="AE63" s="117"/>
      <c r="AF63" s="32"/>
      <c r="AG63" s="117"/>
      <c r="AH63" s="32"/>
    </row>
    <row r="64" spans="1:34" x14ac:dyDescent="0.25">
      <c r="A64" s="302" t="s">
        <v>89</v>
      </c>
      <c r="B64" s="145" t="s">
        <v>69</v>
      </c>
      <c r="C64" s="150">
        <f>IF(H65,$I$21-$D$21)+1</f>
        <v>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117"/>
      <c r="AD64" s="32"/>
      <c r="AE64" s="117"/>
      <c r="AF64" s="32"/>
      <c r="AG64" s="117"/>
      <c r="AH64" s="32"/>
    </row>
    <row r="65" spans="1:74" x14ac:dyDescent="0.25">
      <c r="A65" s="303"/>
      <c r="B65" s="129" t="s">
        <v>69</v>
      </c>
      <c r="C65" s="130">
        <f>(D34+D30)/C25</f>
        <v>0.28743883497081113</v>
      </c>
      <c r="D65" s="121">
        <f>(SUM($D$34:E34)+SUM($D$30:E30))/SUM($C$25:D25)</f>
        <v>0.43848014542138292</v>
      </c>
      <c r="E65" s="121">
        <f>(SUM($D$34:F34)+SUM($D$30:F30))/SUM($C$25:E25)</f>
        <v>0.59441581250438336</v>
      </c>
      <c r="F65" s="121">
        <f>(SUM($D$34:G34)+SUM($D$30:G30))/SUM($C$25:F25)</f>
        <v>0.7552458853177012</v>
      </c>
      <c r="G65" s="121">
        <f>(SUM($D$34:H34)+SUM($D$30:H30))/SUM($C$25:G25)</f>
        <v>0.92096271103892302</v>
      </c>
      <c r="H65" s="121">
        <f>(SUM($D$34:I34)+SUM($D$30:I30))/SUM($C$25:H25)</f>
        <v>1.0915510910501245</v>
      </c>
      <c r="I65" s="121">
        <f>(SUM($D$34:J34)+SUM($D$30:J30))/SUM($C$25:I25)</f>
        <v>1.3820439743666744</v>
      </c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17"/>
      <c r="AD65" s="121"/>
      <c r="AE65" s="117"/>
      <c r="AF65" s="121"/>
      <c r="AG65" s="117"/>
      <c r="AH65" s="121"/>
    </row>
    <row r="66" spans="1:74" x14ac:dyDescent="0.25">
      <c r="A66" s="304" t="s">
        <v>105</v>
      </c>
      <c r="B66" s="145" t="s">
        <v>69</v>
      </c>
      <c r="C66" s="151">
        <f>IF(K67,$L$21-$D$21)+1</f>
        <v>9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117"/>
      <c r="AD66" s="32"/>
      <c r="AE66" s="117"/>
      <c r="AF66" s="32"/>
      <c r="AG66" s="117"/>
      <c r="AH66" s="32"/>
    </row>
    <row r="67" spans="1:74" x14ac:dyDescent="0.25">
      <c r="A67" s="303"/>
      <c r="B67" s="28" t="s">
        <v>69</v>
      </c>
      <c r="C67" s="131">
        <f>D34/C25</f>
        <v>0.1606628200059142</v>
      </c>
      <c r="D67" s="32">
        <f>SUM($D$34:E34)/SUM($C$25:D25)</f>
        <v>0.24481953524710728</v>
      </c>
      <c r="E67" s="32">
        <f>SUM($D$34:F34)/SUM($C$25:E25)</f>
        <v>0.33151874943818543</v>
      </c>
      <c r="F67" s="32">
        <f>SUM($D$34:G34)/SUM($C$25:F25)</f>
        <v>0.42074895805901336</v>
      </c>
      <c r="G67" s="32">
        <f>SUM($D$34:H34)/SUM($C$25:G25)</f>
        <v>0.5124941586878472</v>
      </c>
      <c r="H67" s="32">
        <f>SUM($D$34:I34)/SUM($C$25:H25)</f>
        <v>0.60673395333506042</v>
      </c>
      <c r="I67" s="32">
        <f>SUM($D$34:J34)/SUM($C$25:I25)</f>
        <v>0.76739677334097456</v>
      </c>
      <c r="J67" s="32">
        <f>SUM($D$34:K34)/SUM($C$25:J25)</f>
        <v>0.92805959334688881</v>
      </c>
      <c r="K67" s="32">
        <f>SUM($D$34:L34)/SUM($C$25:K25)</f>
        <v>1.0887224133528031</v>
      </c>
      <c r="L67" s="32">
        <f>SUM($D$34:M34)/SUM($C$25:L25)</f>
        <v>1.2493852333587172</v>
      </c>
      <c r="M67" s="32">
        <f>SUM($D$34:N34)/SUM($C$25:M25)</f>
        <v>1.4100480533646313</v>
      </c>
      <c r="N67" s="32">
        <f>SUM($D$34:O34)/SUM($C$25:N25)</f>
        <v>1.5707108733705455</v>
      </c>
      <c r="O67" s="32">
        <f>SUM($D$34:P34)/SUM($C$25:O25)</f>
        <v>1.7313736933764594</v>
      </c>
      <c r="P67" s="32">
        <f>SUM($D$34:Q34)/SUM($C$25:P25)</f>
        <v>1.8920365133823736</v>
      </c>
      <c r="Q67" s="32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117"/>
      <c r="AD67" s="31"/>
      <c r="AE67" s="117"/>
      <c r="AF67" s="31"/>
      <c r="AG67" s="117"/>
      <c r="AH67" s="31"/>
    </row>
    <row r="68" spans="1:74" ht="3" customHeight="1" x14ac:dyDescent="0.25">
      <c r="A68" s="33"/>
      <c r="B68" s="161"/>
      <c r="C68" s="161"/>
      <c r="D68" s="162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</row>
    <row r="69" spans="1:74" ht="23.45" customHeight="1" x14ac:dyDescent="0.25">
      <c r="A69" s="209" t="s">
        <v>54</v>
      </c>
      <c r="B69" s="210"/>
      <c r="C69" s="210"/>
      <c r="D69" s="211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3"/>
      <c r="AD69" s="212"/>
      <c r="AE69" s="213"/>
      <c r="AF69" s="212"/>
      <c r="AG69" s="213"/>
      <c r="AH69" s="212"/>
    </row>
    <row r="70" spans="1:74" x14ac:dyDescent="0.25">
      <c r="A70" s="153" t="s">
        <v>48</v>
      </c>
      <c r="B70" s="154" t="s">
        <v>49</v>
      </c>
      <c r="C70" s="155">
        <f>C76+C79+C82+C85+C88+C91</f>
        <v>0</v>
      </c>
      <c r="D70" s="155">
        <f>D76+D79+D82+D85+D88+D91</f>
        <v>0</v>
      </c>
      <c r="E70" s="155">
        <f t="shared" ref="E70:AH71" si="20">E76+E79+E82+E85+E88+E91</f>
        <v>0</v>
      </c>
      <c r="F70" s="155">
        <f t="shared" si="20"/>
        <v>364814.81481481477</v>
      </c>
      <c r="G70" s="155">
        <f>G76+G79+G82+G85+G88+G91</f>
        <v>729629.62962962955</v>
      </c>
      <c r="H70" s="155">
        <f t="shared" si="20"/>
        <v>1094444.4444444443</v>
      </c>
      <c r="I70" s="155">
        <f t="shared" si="20"/>
        <v>1459259.2592592591</v>
      </c>
      <c r="J70" s="155">
        <f t="shared" si="20"/>
        <v>1824074.0740740739</v>
      </c>
      <c r="K70" s="155">
        <f t="shared" si="20"/>
        <v>1824074.0740740739</v>
      </c>
      <c r="L70" s="155">
        <f t="shared" si="20"/>
        <v>1459259.2592592593</v>
      </c>
      <c r="M70" s="155">
        <f t="shared" si="20"/>
        <v>1094444.4444444445</v>
      </c>
      <c r="N70" s="155">
        <f t="shared" si="20"/>
        <v>729629.62962962966</v>
      </c>
      <c r="O70" s="155">
        <f t="shared" si="20"/>
        <v>364814.81481481483</v>
      </c>
      <c r="P70" s="155">
        <f t="shared" si="20"/>
        <v>0</v>
      </c>
      <c r="Q70" s="155">
        <f t="shared" si="20"/>
        <v>0</v>
      </c>
      <c r="R70" s="155">
        <f t="shared" si="20"/>
        <v>0</v>
      </c>
      <c r="S70" s="155">
        <f t="shared" si="20"/>
        <v>0</v>
      </c>
      <c r="T70" s="155">
        <f t="shared" si="20"/>
        <v>0</v>
      </c>
      <c r="U70" s="155">
        <f t="shared" si="20"/>
        <v>0</v>
      </c>
      <c r="V70" s="155">
        <f t="shared" si="20"/>
        <v>0</v>
      </c>
      <c r="W70" s="155">
        <f t="shared" si="20"/>
        <v>0</v>
      </c>
      <c r="X70" s="155">
        <f t="shared" si="20"/>
        <v>0</v>
      </c>
      <c r="Y70" s="155">
        <f t="shared" si="20"/>
        <v>0</v>
      </c>
      <c r="Z70" s="155">
        <f t="shared" si="20"/>
        <v>0</v>
      </c>
      <c r="AA70" s="155">
        <f t="shared" si="20"/>
        <v>0</v>
      </c>
      <c r="AB70" s="156">
        <f t="shared" si="20"/>
        <v>0</v>
      </c>
      <c r="AC70" s="156">
        <f t="shared" si="20"/>
        <v>0</v>
      </c>
      <c r="AD70" s="156">
        <f t="shared" si="20"/>
        <v>0</v>
      </c>
      <c r="AE70" s="156">
        <f t="shared" si="20"/>
        <v>0</v>
      </c>
      <c r="AF70" s="156">
        <f t="shared" si="20"/>
        <v>0</v>
      </c>
      <c r="AG70" s="156">
        <f t="shared" si="20"/>
        <v>0</v>
      </c>
      <c r="AH70" s="156">
        <f t="shared" si="20"/>
        <v>0</v>
      </c>
    </row>
    <row r="71" spans="1:74" x14ac:dyDescent="0.25">
      <c r="A71" s="157"/>
      <c r="B71" s="158" t="s">
        <v>50</v>
      </c>
      <c r="C71" s="159">
        <f>C77+C80+C83+C86+C89+C92</f>
        <v>0</v>
      </c>
      <c r="D71" s="159">
        <f>D77+D80+D83+D86+D89+D92</f>
        <v>228009.25925925924</v>
      </c>
      <c r="E71" s="159">
        <f t="shared" si="20"/>
        <v>456018.51851851848</v>
      </c>
      <c r="F71" s="159">
        <f t="shared" si="20"/>
        <v>684027.77777777775</v>
      </c>
      <c r="G71" s="159">
        <f t="shared" si="20"/>
        <v>866435.18518518505</v>
      </c>
      <c r="H71" s="159">
        <f t="shared" si="20"/>
        <v>1003240.7407407407</v>
      </c>
      <c r="I71" s="159">
        <f t="shared" si="20"/>
        <v>1094444.4444444445</v>
      </c>
      <c r="J71" s="159">
        <f t="shared" si="20"/>
        <v>912037.03703703708</v>
      </c>
      <c r="K71" s="159">
        <f t="shared" si="20"/>
        <v>684027.77777777775</v>
      </c>
      <c r="L71" s="159">
        <f t="shared" si="20"/>
        <v>456018.51851851854</v>
      </c>
      <c r="M71" s="159">
        <f t="shared" si="20"/>
        <v>273611.11111111112</v>
      </c>
      <c r="N71" s="159">
        <f t="shared" si="20"/>
        <v>136805.55555555556</v>
      </c>
      <c r="O71" s="159">
        <f t="shared" si="20"/>
        <v>45601.851851851854</v>
      </c>
      <c r="P71" s="159">
        <f t="shared" si="20"/>
        <v>0</v>
      </c>
      <c r="Q71" s="159">
        <f t="shared" si="20"/>
        <v>0</v>
      </c>
      <c r="R71" s="159">
        <f t="shared" si="20"/>
        <v>0</v>
      </c>
      <c r="S71" s="159">
        <f t="shared" si="20"/>
        <v>0</v>
      </c>
      <c r="T71" s="159">
        <f t="shared" si="20"/>
        <v>0</v>
      </c>
      <c r="U71" s="159">
        <f t="shared" si="20"/>
        <v>0</v>
      </c>
      <c r="V71" s="159">
        <f t="shared" si="20"/>
        <v>0</v>
      </c>
      <c r="W71" s="159">
        <f t="shared" si="20"/>
        <v>0</v>
      </c>
      <c r="X71" s="159">
        <f t="shared" si="20"/>
        <v>0</v>
      </c>
      <c r="Y71" s="159">
        <f t="shared" si="20"/>
        <v>0</v>
      </c>
      <c r="Z71" s="159">
        <f t="shared" si="20"/>
        <v>0</v>
      </c>
      <c r="AA71" s="159">
        <f t="shared" si="20"/>
        <v>0</v>
      </c>
      <c r="AB71" s="160">
        <f t="shared" si="20"/>
        <v>0</v>
      </c>
      <c r="AC71" s="160">
        <f t="shared" si="20"/>
        <v>0</v>
      </c>
      <c r="AD71" s="160">
        <f t="shared" si="20"/>
        <v>0</v>
      </c>
      <c r="AE71" s="160">
        <f t="shared" si="20"/>
        <v>0</v>
      </c>
      <c r="AF71" s="160">
        <f t="shared" si="20"/>
        <v>0</v>
      </c>
      <c r="AG71" s="160">
        <f t="shared" si="20"/>
        <v>0</v>
      </c>
      <c r="AH71" s="160">
        <f t="shared" si="20"/>
        <v>0</v>
      </c>
    </row>
    <row r="72" spans="1:74" x14ac:dyDescent="0.25">
      <c r="A72" s="196" t="s">
        <v>109</v>
      </c>
      <c r="B72" s="36" t="s">
        <v>51</v>
      </c>
      <c r="C72" s="37">
        <f t="shared" ref="C72:H72" si="21">C24</f>
        <v>1824074.0740740739</v>
      </c>
      <c r="D72" s="37">
        <f t="shared" si="21"/>
        <v>1824074.0740740739</v>
      </c>
      <c r="E72" s="37">
        <f t="shared" si="21"/>
        <v>1824074.0740740739</v>
      </c>
      <c r="F72" s="37">
        <f t="shared" si="21"/>
        <v>1824074.0740740739</v>
      </c>
      <c r="G72" s="37">
        <f t="shared" si="21"/>
        <v>1824074.0740740742</v>
      </c>
      <c r="H72" s="37">
        <f t="shared" si="21"/>
        <v>1824074.0740740742</v>
      </c>
      <c r="I72" s="37">
        <f t="shared" ref="I72:AH72" si="22">I25</f>
        <v>0</v>
      </c>
      <c r="J72" s="37">
        <f t="shared" si="22"/>
        <v>0</v>
      </c>
      <c r="K72" s="37">
        <f t="shared" si="22"/>
        <v>0</v>
      </c>
      <c r="L72" s="37">
        <f t="shared" si="22"/>
        <v>0</v>
      </c>
      <c r="M72" s="37">
        <f t="shared" si="22"/>
        <v>0</v>
      </c>
      <c r="N72" s="37">
        <f t="shared" si="22"/>
        <v>0</v>
      </c>
      <c r="O72" s="37">
        <f t="shared" si="22"/>
        <v>0</v>
      </c>
      <c r="P72" s="37">
        <f t="shared" si="22"/>
        <v>0</v>
      </c>
      <c r="Q72" s="37">
        <f t="shared" si="22"/>
        <v>0</v>
      </c>
      <c r="R72" s="37">
        <f t="shared" si="22"/>
        <v>0</v>
      </c>
      <c r="S72" s="37">
        <f t="shared" si="22"/>
        <v>0</v>
      </c>
      <c r="T72" s="37">
        <f t="shared" si="22"/>
        <v>0</v>
      </c>
      <c r="U72" s="37">
        <f t="shared" si="22"/>
        <v>0</v>
      </c>
      <c r="V72" s="37">
        <f t="shared" si="22"/>
        <v>0</v>
      </c>
      <c r="W72" s="37">
        <f t="shared" si="22"/>
        <v>0</v>
      </c>
      <c r="X72" s="37">
        <f t="shared" si="22"/>
        <v>0</v>
      </c>
      <c r="Y72" s="37">
        <f t="shared" si="22"/>
        <v>0</v>
      </c>
      <c r="Z72" s="37">
        <f t="shared" si="22"/>
        <v>0</v>
      </c>
      <c r="AA72" s="37">
        <f t="shared" si="22"/>
        <v>0</v>
      </c>
      <c r="AB72" s="38">
        <f t="shared" si="22"/>
        <v>0</v>
      </c>
      <c r="AC72" s="38">
        <f t="shared" si="22"/>
        <v>0</v>
      </c>
      <c r="AD72" s="38">
        <f t="shared" si="22"/>
        <v>0</v>
      </c>
      <c r="AE72" s="38">
        <f t="shared" si="22"/>
        <v>0</v>
      </c>
      <c r="AF72" s="38">
        <f t="shared" si="22"/>
        <v>0</v>
      </c>
      <c r="AG72" s="38">
        <f t="shared" si="22"/>
        <v>0</v>
      </c>
      <c r="AH72" s="38">
        <f t="shared" si="22"/>
        <v>0</v>
      </c>
    </row>
    <row r="73" spans="1:74" x14ac:dyDescent="0.25">
      <c r="C73" s="3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8"/>
      <c r="AC73" s="18"/>
      <c r="AD73" s="18"/>
      <c r="AE73" s="18"/>
      <c r="AF73" s="18"/>
      <c r="AG73" s="18"/>
      <c r="AH73" s="18"/>
    </row>
    <row r="74" spans="1:74" x14ac:dyDescent="0.25">
      <c r="A74" s="21"/>
      <c r="B74" s="21"/>
      <c r="C74" s="164">
        <v>1</v>
      </c>
      <c r="D74" s="165">
        <v>2</v>
      </c>
      <c r="E74" s="165">
        <v>3</v>
      </c>
      <c r="F74" s="165">
        <v>4</v>
      </c>
      <c r="G74" s="165">
        <v>5</v>
      </c>
      <c r="H74" s="165">
        <v>6</v>
      </c>
      <c r="I74" s="165">
        <v>7</v>
      </c>
      <c r="J74" s="164">
        <v>8</v>
      </c>
      <c r="K74" s="165">
        <v>9</v>
      </c>
      <c r="L74" s="165">
        <v>10</v>
      </c>
      <c r="M74" s="165">
        <v>11</v>
      </c>
      <c r="N74" s="165">
        <v>12</v>
      </c>
      <c r="O74" s="165">
        <v>13</v>
      </c>
      <c r="P74" s="165">
        <v>14</v>
      </c>
      <c r="Q74" s="164">
        <v>15</v>
      </c>
      <c r="R74" s="165">
        <v>16</v>
      </c>
      <c r="S74" s="165">
        <v>17</v>
      </c>
      <c r="T74" s="165">
        <v>18</v>
      </c>
      <c r="U74" s="165">
        <v>19</v>
      </c>
      <c r="V74" s="165">
        <v>20</v>
      </c>
      <c r="W74" s="165">
        <v>21</v>
      </c>
      <c r="X74" s="164">
        <v>22</v>
      </c>
      <c r="Y74" s="165">
        <v>23</v>
      </c>
      <c r="Z74" s="165">
        <v>24</v>
      </c>
      <c r="AA74" s="165">
        <v>25</v>
      </c>
      <c r="AB74" s="166">
        <v>26</v>
      </c>
      <c r="AC74" s="166">
        <v>27</v>
      </c>
      <c r="AD74" s="166">
        <v>28</v>
      </c>
      <c r="AE74" s="166">
        <v>29</v>
      </c>
      <c r="AF74" s="166">
        <v>30</v>
      </c>
      <c r="AG74" s="166">
        <v>31</v>
      </c>
      <c r="AH74" s="166">
        <v>32</v>
      </c>
    </row>
    <row r="75" spans="1:74" ht="9" customHeight="1" x14ac:dyDescent="0.25">
      <c r="A75" s="167"/>
      <c r="B75" s="168"/>
      <c r="C75" s="169"/>
      <c r="D75" s="170">
        <v>1</v>
      </c>
      <c r="E75" s="171">
        <f>D75+1</f>
        <v>2</v>
      </c>
      <c r="F75" s="171">
        <f t="shared" ref="F75:AH75" si="23">E75+1</f>
        <v>3</v>
      </c>
      <c r="G75" s="171">
        <f t="shared" si="23"/>
        <v>4</v>
      </c>
      <c r="H75" s="171">
        <f t="shared" si="23"/>
        <v>5</v>
      </c>
      <c r="I75" s="171">
        <f t="shared" si="23"/>
        <v>6</v>
      </c>
      <c r="J75" s="171">
        <f t="shared" si="23"/>
        <v>7</v>
      </c>
      <c r="K75" s="171">
        <f t="shared" si="23"/>
        <v>8</v>
      </c>
      <c r="L75" s="171">
        <f t="shared" si="23"/>
        <v>9</v>
      </c>
      <c r="M75" s="171">
        <f t="shared" si="23"/>
        <v>10</v>
      </c>
      <c r="N75" s="171">
        <f t="shared" si="23"/>
        <v>11</v>
      </c>
      <c r="O75" s="171">
        <f t="shared" si="23"/>
        <v>12</v>
      </c>
      <c r="P75" s="171">
        <f t="shared" si="23"/>
        <v>13</v>
      </c>
      <c r="Q75" s="171">
        <f t="shared" si="23"/>
        <v>14</v>
      </c>
      <c r="R75" s="171">
        <f t="shared" si="23"/>
        <v>15</v>
      </c>
      <c r="S75" s="171">
        <f t="shared" si="23"/>
        <v>16</v>
      </c>
      <c r="T75" s="171">
        <f t="shared" si="23"/>
        <v>17</v>
      </c>
      <c r="U75" s="171">
        <f t="shared" si="23"/>
        <v>18</v>
      </c>
      <c r="V75" s="171">
        <f t="shared" si="23"/>
        <v>19</v>
      </c>
      <c r="W75" s="171">
        <f t="shared" si="23"/>
        <v>20</v>
      </c>
      <c r="X75" s="171">
        <f t="shared" si="23"/>
        <v>21</v>
      </c>
      <c r="Y75" s="171">
        <f t="shared" si="23"/>
        <v>22</v>
      </c>
      <c r="Z75" s="171">
        <f t="shared" si="23"/>
        <v>23</v>
      </c>
      <c r="AA75" s="171">
        <f t="shared" si="23"/>
        <v>24</v>
      </c>
      <c r="AB75" s="172">
        <f t="shared" si="23"/>
        <v>25</v>
      </c>
      <c r="AC75" s="172">
        <f t="shared" si="23"/>
        <v>26</v>
      </c>
      <c r="AD75" s="172">
        <f t="shared" si="23"/>
        <v>27</v>
      </c>
      <c r="AE75" s="172">
        <f t="shared" si="23"/>
        <v>28</v>
      </c>
      <c r="AF75" s="172">
        <f t="shared" si="23"/>
        <v>29</v>
      </c>
      <c r="AG75" s="172">
        <f t="shared" si="23"/>
        <v>30</v>
      </c>
      <c r="AH75" s="172">
        <f t="shared" si="23"/>
        <v>31</v>
      </c>
    </row>
    <row r="76" spans="1:74" s="16" customFormat="1" x14ac:dyDescent="0.25">
      <c r="A76" s="173">
        <v>1</v>
      </c>
      <c r="B76" s="174" t="s">
        <v>49</v>
      </c>
      <c r="C76" s="175"/>
      <c r="D76" s="176">
        <f>IF($B$13&gt;D75,0,IF($C$72-(SUM($C$76:C76)+1)&gt;0,IF($B$12&gt;0,$C$72/$B$12,0),0))</f>
        <v>0</v>
      </c>
      <c r="E76" s="176">
        <f>IF($B$13&gt;E75,0,IF($C$72-(SUM($C$76:D76)+1)&gt;0,IF($B$12&gt;0,$C$72/$B$12,0),0))</f>
        <v>0</v>
      </c>
      <c r="F76" s="176">
        <f>IF($B$13&gt;F75,0,IF($C$72-(SUM($C$76:E76)+1)&gt;0,IF($B$12&gt;0,$C$72/$B$12,0),0))</f>
        <v>364814.81481481477</v>
      </c>
      <c r="G76" s="176">
        <f>IF($B$13&gt;G75,0,IF($C$72-(SUM($C$76:F76)+1)&gt;0,IF($B$12&gt;0,$C$72/$B$12,0),0))</f>
        <v>364814.81481481477</v>
      </c>
      <c r="H76" s="176">
        <f>IF($B$13&gt;H75,0,IF($C$72-(SUM($C$76:G76)+1)&gt;0,IF($B$12&gt;0,$C$72/$B$12,0),0))</f>
        <v>364814.81481481477</v>
      </c>
      <c r="I76" s="176">
        <f>IF($B$13&gt;I75,0,IF($C$72-(SUM($C$76:H76)+1)&gt;0,IF($B$12&gt;0,$C$72/$B$12,0),0))</f>
        <v>364814.81481481477</v>
      </c>
      <c r="J76" s="176">
        <f>IF($B$13&gt;J75,0,IF($C$72-(SUM($C$76:I76)+1)&gt;0,IF($B$12&gt;0,$C$72/$B$12,0),0))</f>
        <v>364814.81481481477</v>
      </c>
      <c r="K76" s="176">
        <f>IF($B$13&gt;K75,0,IF($C$72-(SUM($C$76:J76)+1)&gt;0,IF($B$12&gt;0,$C$72/$B$12,0),0))</f>
        <v>0</v>
      </c>
      <c r="L76" s="176">
        <f>IF($B$13&gt;L75,0,IF($C$72-(SUM($C$76:K76)+1)&gt;0,IF($B$12&gt;0,$C$72/$B$12,0),0))</f>
        <v>0</v>
      </c>
      <c r="M76" s="176">
        <f>IF($B$13&gt;M75,0,IF($C$72-(SUM($C$76:L76)+1)&gt;0,IF($B$12&gt;0,$C$72/$B$12,0),0))</f>
        <v>0</v>
      </c>
      <c r="N76" s="176">
        <f>IF($B$13&gt;N75,0,IF($C$72-(SUM($C$76:M76)+1)&gt;0,IF($B$12&gt;0,$C$72/$B$12,0),0))</f>
        <v>0</v>
      </c>
      <c r="O76" s="176">
        <f>IF($B$13&gt;O75,0,IF($C$72-(SUM($C$76:N76)+1)&gt;0,IF($B$12&gt;0,$C$72/$B$12,0),0))</f>
        <v>0</v>
      </c>
      <c r="P76" s="176">
        <f>IF($B$13&gt;P75,0,IF($C$72-(SUM($C$76:O76)+1)&gt;0,IF($B$12&gt;0,$C$72/$B$12,0),0))</f>
        <v>0</v>
      </c>
      <c r="Q76" s="176">
        <f>IF($B$13&gt;Q75,0,IF($C$72-(SUM($C$76:P76)+1)&gt;0,IF($B$12&gt;0,$C$72/$B$12,0),0))</f>
        <v>0</v>
      </c>
      <c r="R76" s="176">
        <f>IF($B$13&gt;R75,0,IF($C$72-(SUM($C$76:Q76)+1)&gt;0,IF($B$12&gt;0,$C$72/$B$12,0),0))</f>
        <v>0</v>
      </c>
      <c r="S76" s="176">
        <f>IF($B$13&gt;S75,0,IF($C$72-(SUM($C$76:R76)+1)&gt;0,IF($B$12&gt;0,$C$72/$B$12,0),0))</f>
        <v>0</v>
      </c>
      <c r="T76" s="176">
        <f>IF($B$13&gt;T75,0,IF($C$72-(SUM($C$76:S76)+1)&gt;0,IF($B$12&gt;0,$C$72/$B$12,0),0))</f>
        <v>0</v>
      </c>
      <c r="U76" s="176">
        <f>IF($B$13&gt;U75,0,IF($C$72-(SUM($C$76:T76)+1)&gt;0,IF($B$12&gt;0,$C$72/$B$12,0),0))</f>
        <v>0</v>
      </c>
      <c r="V76" s="176">
        <f>IF($B$13&gt;V75,0,IF($C$72-(SUM($C$76:U76)+1)&gt;0,IF($B$12&gt;0,$C$72/$B$12,0),0))</f>
        <v>0</v>
      </c>
      <c r="W76" s="176">
        <f>IF($B$13&gt;W75,0,IF($C$72-(SUM($C$76:V76)+1)&gt;0,IF($B$12&gt;0,$C$72/$B$12,0),0))</f>
        <v>0</v>
      </c>
      <c r="X76" s="176">
        <f>IF($B$13&gt;X75,0,IF($C$72-(SUM($C$76:W76)+1)&gt;0,IF($B$12&gt;0,$C$72/$B$12,0),0))</f>
        <v>0</v>
      </c>
      <c r="Y76" s="176">
        <f>IF($B$13&gt;Y75,0,IF($C$72-(SUM($C$76:X76)+1)&gt;0,IF($B$12&gt;0,$C$72/$B$12,0),0))</f>
        <v>0</v>
      </c>
      <c r="Z76" s="176">
        <f>IF($B$13&gt;Z75,0,IF($C$72-(SUM($C$76:Y76)+1)&gt;0,IF($B$12&gt;0,$C$72/$B$12,0),0))</f>
        <v>0</v>
      </c>
      <c r="AA76" s="176">
        <f>IF($B$13&gt;AA75,0,IF($C$72-(SUM($C$76:Z76)+1)&gt;0,IF($B$12&gt;0,$C$72/$B$12,0),0))</f>
        <v>0</v>
      </c>
      <c r="AB76" s="177">
        <f>IF($B$13&gt;AB75,0,IF($C$72-(SUM($C$76:AA76)+1)&gt;0,IF($B$12&gt;0,$C$72/$B$12,0),0))</f>
        <v>0</v>
      </c>
      <c r="AC76" s="177">
        <f>IF($B$13&gt;AC75,0,IF($C$72-(SUM($C$76:AB76)+1)&gt;0,IF($B$12&gt;0,$C$72/$B$12,0),0))</f>
        <v>0</v>
      </c>
      <c r="AD76" s="177">
        <f>IF($B$13&gt;AD75,0,IF($C$72-(SUM($C$76:AC76)+1)&gt;0,IF($B$12&gt;0,$C$72/$B$12,0),0))</f>
        <v>0</v>
      </c>
      <c r="AE76" s="177">
        <f>IF($B$13&gt;AE75,0,IF($C$72-(SUM($C$76:AD76)+1)&gt;0,IF($B$12&gt;0,$C$72/$B$12,0),0))</f>
        <v>0</v>
      </c>
      <c r="AF76" s="177">
        <f>IF($B$13&gt;AF75,0,IF($C$72-(SUM($C$76:AE76)+1)&gt;0,IF($B$12&gt;0,$C$72/$B$12,0),0))</f>
        <v>0</v>
      </c>
      <c r="AG76" s="177">
        <f>IF($B$13&gt;AG75,0,IF($C$72-(SUM($C$76:AF76)+1)&gt;0,IF($B$12&gt;0,$C$72/$B$12,0),0))</f>
        <v>0</v>
      </c>
      <c r="AH76" s="177">
        <f>IF($B$13&gt;AH75,0,IF($C$72-(SUM($C$76:AG76)+1)&gt;0,IF($B$12&gt;0,$C$72/$B$12,0),0))</f>
        <v>0</v>
      </c>
    </row>
    <row r="77" spans="1:74" s="16" customFormat="1" ht="11.25" customHeight="1" x14ac:dyDescent="0.25">
      <c r="A77" s="178"/>
      <c r="B77" s="179" t="s">
        <v>50</v>
      </c>
      <c r="C77" s="180"/>
      <c r="D77" s="181">
        <f>($C$72-SUM($C$76:C76))*$B$14</f>
        <v>228009.25925925924</v>
      </c>
      <c r="E77" s="181">
        <f>($C$72-SUM($C$76:D76))*$B$14</f>
        <v>228009.25925925924</v>
      </c>
      <c r="F77" s="181">
        <f>($C$72-SUM($C$76:E76))*$B$14</f>
        <v>228009.25925925924</v>
      </c>
      <c r="G77" s="181">
        <f>($C$72-SUM($C$76:F76))*$B$14</f>
        <v>182407.40740740739</v>
      </c>
      <c r="H77" s="181">
        <f>($C$72-SUM($C$76:G76))*$B$14</f>
        <v>136805.55555555556</v>
      </c>
      <c r="I77" s="181">
        <f>($C$72-SUM($C$76:H76))*$B$14</f>
        <v>91203.703703703708</v>
      </c>
      <c r="J77" s="181">
        <f>($C$72-SUM($C$76:I76))*$B$14</f>
        <v>45601.851851851854</v>
      </c>
      <c r="K77" s="181">
        <f>($C$72-SUM($C$76:J76))*$B$14</f>
        <v>0</v>
      </c>
      <c r="L77" s="181">
        <f>($C$72-SUM($C$76:K76))*$B$14</f>
        <v>0</v>
      </c>
      <c r="M77" s="181">
        <f>($C$72-SUM($C$76:L76))*$B$14</f>
        <v>0</v>
      </c>
      <c r="N77" s="181">
        <f>($C$72-SUM($C$76:M76))*$B$14</f>
        <v>0</v>
      </c>
      <c r="O77" s="181">
        <f>($C$72-SUM($C$76:N76))*$B$14</f>
        <v>0</v>
      </c>
      <c r="P77" s="181">
        <f>($C$72-SUM($C$76:O76))*$B$14</f>
        <v>0</v>
      </c>
      <c r="Q77" s="181">
        <f>($C$72-SUM($C$76:P76))*$B$14</f>
        <v>0</v>
      </c>
      <c r="R77" s="181">
        <f>($C$72-SUM($C$76:Q76))*$B$14</f>
        <v>0</v>
      </c>
      <c r="S77" s="181">
        <f>($C$72-SUM($C$76:R76))*$B$14</f>
        <v>0</v>
      </c>
      <c r="T77" s="181">
        <f>($C$72-SUM($C$76:S76))*$B$14</f>
        <v>0</v>
      </c>
      <c r="U77" s="181">
        <f>($C$72-SUM($C$76:T76))*$B$14</f>
        <v>0</v>
      </c>
      <c r="V77" s="181">
        <f>($C$72-SUM($C$76:U76))*$B$14</f>
        <v>0</v>
      </c>
      <c r="W77" s="181">
        <f>($C$72-SUM($C$76:V76))*$B$14</f>
        <v>0</v>
      </c>
      <c r="X77" s="181">
        <f>($C$72-SUM($C$76:W76))*$B$14</f>
        <v>0</v>
      </c>
      <c r="Y77" s="181">
        <f>($C$72-SUM($C$76:X76))*$B$14</f>
        <v>0</v>
      </c>
      <c r="Z77" s="181">
        <f>($C$72-SUM($C$76:Y76))*$B$14</f>
        <v>0</v>
      </c>
      <c r="AA77" s="181">
        <f>($C$72-SUM($C$76:Z76))*$B$14</f>
        <v>0</v>
      </c>
      <c r="AB77" s="182">
        <f>($C$72-SUM($C$76:AA76))*$B$14</f>
        <v>0</v>
      </c>
      <c r="AC77" s="182">
        <f>($C$72-SUM($C$76:AB76))*$B$14</f>
        <v>0</v>
      </c>
      <c r="AD77" s="182">
        <f>($C$72-SUM($C$76:AC76))*$B$14</f>
        <v>0</v>
      </c>
      <c r="AE77" s="182">
        <f>($C$72-SUM($C$76:AD76))*$B$14</f>
        <v>0</v>
      </c>
      <c r="AF77" s="182">
        <f>($C$72-SUM($C$76:AE76))*$B$14</f>
        <v>0</v>
      </c>
      <c r="AG77" s="182">
        <f>($C$72-SUM($C$76:AF76))*$B$14</f>
        <v>0</v>
      </c>
      <c r="AH77" s="182">
        <f>($C$72-SUM($C$76:AG76))*$B$14</f>
        <v>0</v>
      </c>
    </row>
    <row r="78" spans="1:74" ht="13.5" customHeight="1" x14ac:dyDescent="0.25">
      <c r="A78" s="183"/>
      <c r="B78" s="184"/>
      <c r="C78" s="185"/>
      <c r="D78" s="186"/>
      <c r="E78" s="171">
        <v>1</v>
      </c>
      <c r="F78" s="171">
        <f>E78+1</f>
        <v>2</v>
      </c>
      <c r="G78" s="171">
        <f t="shared" ref="G78:AH78" si="24">F78+1</f>
        <v>3</v>
      </c>
      <c r="H78" s="171">
        <f t="shared" si="24"/>
        <v>4</v>
      </c>
      <c r="I78" s="171">
        <f t="shared" si="24"/>
        <v>5</v>
      </c>
      <c r="J78" s="171">
        <f t="shared" si="24"/>
        <v>6</v>
      </c>
      <c r="K78" s="171">
        <f t="shared" si="24"/>
        <v>7</v>
      </c>
      <c r="L78" s="171">
        <f t="shared" si="24"/>
        <v>8</v>
      </c>
      <c r="M78" s="171">
        <f t="shared" si="24"/>
        <v>9</v>
      </c>
      <c r="N78" s="171">
        <f t="shared" si="24"/>
        <v>10</v>
      </c>
      <c r="O78" s="171">
        <f t="shared" si="24"/>
        <v>11</v>
      </c>
      <c r="P78" s="171">
        <f t="shared" si="24"/>
        <v>12</v>
      </c>
      <c r="Q78" s="171">
        <f t="shared" si="24"/>
        <v>13</v>
      </c>
      <c r="R78" s="171">
        <f t="shared" si="24"/>
        <v>14</v>
      </c>
      <c r="S78" s="171">
        <f t="shared" si="24"/>
        <v>15</v>
      </c>
      <c r="T78" s="171">
        <f t="shared" si="24"/>
        <v>16</v>
      </c>
      <c r="U78" s="171">
        <f t="shared" si="24"/>
        <v>17</v>
      </c>
      <c r="V78" s="171">
        <f t="shared" si="24"/>
        <v>18</v>
      </c>
      <c r="W78" s="171">
        <f t="shared" si="24"/>
        <v>19</v>
      </c>
      <c r="X78" s="171">
        <f t="shared" si="24"/>
        <v>20</v>
      </c>
      <c r="Y78" s="171">
        <f t="shared" si="24"/>
        <v>21</v>
      </c>
      <c r="Z78" s="171">
        <f t="shared" si="24"/>
        <v>22</v>
      </c>
      <c r="AA78" s="171">
        <f t="shared" si="24"/>
        <v>23</v>
      </c>
      <c r="AB78" s="172">
        <f t="shared" si="24"/>
        <v>24</v>
      </c>
      <c r="AC78" s="172">
        <f t="shared" si="24"/>
        <v>25</v>
      </c>
      <c r="AD78" s="172">
        <f t="shared" si="24"/>
        <v>26</v>
      </c>
      <c r="AE78" s="172">
        <f t="shared" si="24"/>
        <v>27</v>
      </c>
      <c r="AF78" s="172">
        <f t="shared" si="24"/>
        <v>28</v>
      </c>
      <c r="AG78" s="172">
        <f t="shared" si="24"/>
        <v>29</v>
      </c>
      <c r="AH78" s="172">
        <f t="shared" si="24"/>
        <v>30</v>
      </c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</row>
    <row r="79" spans="1:74" s="16" customFormat="1" x14ac:dyDescent="0.25">
      <c r="A79" s="183">
        <f>A76+1</f>
        <v>2</v>
      </c>
      <c r="B79" s="187" t="s">
        <v>49</v>
      </c>
      <c r="C79" s="188"/>
      <c r="D79" s="189"/>
      <c r="E79" s="176">
        <f>IF($B$13&gt;E78,0,IF($D$72-(SUM($C$79:D79)+1)&gt;0,IF($B$12&gt;0,$D$72/$B$12,0),0))</f>
        <v>0</v>
      </c>
      <c r="F79" s="176">
        <f>IF($B$13&gt;F78,0,IF($D$72-(SUM($C$79:E79)+1)&gt;0,IF($B$12&gt;0,$D$72/$B$12,0),0))</f>
        <v>0</v>
      </c>
      <c r="G79" s="176">
        <f>IF($B$13&gt;G78,0,IF($D$72-(SUM($C$79:F79)+1)&gt;0,IF($B$12&gt;0,$D$72/$B$12,0),0))</f>
        <v>364814.81481481477</v>
      </c>
      <c r="H79" s="176">
        <f>IF($B$13&gt;H78,0,IF($D$72-(SUM($C$79:G79)+1)&gt;0,IF($B$12&gt;0,$D$72/$B$12,0),0))</f>
        <v>364814.81481481477</v>
      </c>
      <c r="I79" s="176">
        <f>IF($B$13&gt;I78,0,IF($D$72-(SUM($C$79:H79)+1)&gt;0,IF($B$12&gt;0,$D$72/$B$12,0),0))</f>
        <v>364814.81481481477</v>
      </c>
      <c r="J79" s="176">
        <f>IF($B$13&gt;J78,0,IF($D$72-(SUM($C$79:I79)+1)&gt;0,IF($B$12&gt;0,$D$72/$B$12,0),0))</f>
        <v>364814.81481481477</v>
      </c>
      <c r="K79" s="176">
        <f>IF($B$13&gt;K78,0,IF($D$72-(SUM($C$79:J79)+1)&gt;0,IF($B$12&gt;0,$D$72/$B$12,0),0))</f>
        <v>364814.81481481477</v>
      </c>
      <c r="L79" s="176">
        <f>IF($B$13&gt;L78,0,IF($D$72-(SUM($C$79:K79)+1)&gt;0,IF($B$12&gt;0,$D$72/$B$12,0),0))</f>
        <v>0</v>
      </c>
      <c r="M79" s="176">
        <f>IF($B$13&gt;M78,0,IF($D$72-(SUM($C$79:L79)+1)&gt;0,IF($B$12&gt;0,$D$72/$B$12,0),0))</f>
        <v>0</v>
      </c>
      <c r="N79" s="176">
        <f>IF($B$13&gt;N78,0,IF($D$72-(SUM($C$79:M79)+1)&gt;0,IF($B$12&gt;0,$D$72/$B$12,0),0))</f>
        <v>0</v>
      </c>
      <c r="O79" s="176">
        <f>IF($B$13&gt;O78,0,IF($D$72-(SUM($C$79:N79)+1)&gt;0,IF($B$12&gt;0,$D$72/$B$12,0),0))</f>
        <v>0</v>
      </c>
      <c r="P79" s="176">
        <f>IF($B$13&gt;P78,0,IF($D$72-(SUM($C$79:O79)+1)&gt;0,IF($B$12&gt;0,$D$72/$B$12,0),0))</f>
        <v>0</v>
      </c>
      <c r="Q79" s="176">
        <f>IF($B$13&gt;Q78,0,IF($D$72-(SUM($C$79:P79)+1)&gt;0,IF($B$12&gt;0,$D$72/$B$12,0),0))</f>
        <v>0</v>
      </c>
      <c r="R79" s="176">
        <f>IF($B$13&gt;R78,0,IF($D$72-(SUM($C$79:Q79)+1)&gt;0,IF($B$12&gt;0,$D$72/$B$12,0),0))</f>
        <v>0</v>
      </c>
      <c r="S79" s="176">
        <f>IF($B$13&gt;S78,0,IF($D$72-(SUM($C$79:R79)+1)&gt;0,IF($B$12&gt;0,$D$72/$B$12,0),0))</f>
        <v>0</v>
      </c>
      <c r="T79" s="176">
        <f>IF($B$13&gt;T78,0,IF($D$72-(SUM($C$79:S79)+1)&gt;0,IF($B$12&gt;0,$D$72/$B$12,0),0))</f>
        <v>0</v>
      </c>
      <c r="U79" s="176">
        <f>IF($B$13&gt;U78,0,IF($D$72-(SUM($C$79:T79)+1)&gt;0,IF($B$12&gt;0,$D$72/$B$12,0),0))</f>
        <v>0</v>
      </c>
      <c r="V79" s="176">
        <f>IF($B$13&gt;V78,0,IF($D$72-(SUM($C$79:U79)+1)&gt;0,IF($B$12&gt;0,$D$72/$B$12,0),0))</f>
        <v>0</v>
      </c>
      <c r="W79" s="176">
        <f>IF($B$13&gt;W78,0,IF($D$72-(SUM($C$79:V79)+1)&gt;0,IF($B$12&gt;0,$D$72/$B$12,0),0))</f>
        <v>0</v>
      </c>
      <c r="X79" s="176">
        <f>IF($B$13&gt;X78,0,IF($D$72-(SUM($C$79:W79)+1)&gt;0,IF($B$12&gt;0,$D$72/$B$12,0),0))</f>
        <v>0</v>
      </c>
      <c r="Y79" s="176">
        <f>IF($B$13&gt;Y78,0,IF($D$72-(SUM($C$79:X79)+1)&gt;0,IF($B$12&gt;0,$D$72/$B$12,0),0))</f>
        <v>0</v>
      </c>
      <c r="Z79" s="176">
        <f>IF($B$13&gt;Z78,0,IF($D$72-(SUM($C$79:Y79)+1)&gt;0,IF($B$12&gt;0,$D$72/$B$12,0),0))</f>
        <v>0</v>
      </c>
      <c r="AA79" s="176">
        <f>IF($B$13&gt;AA78,0,IF($D$72-(SUM($C$79:Z79)+1)&gt;0,IF($B$12&gt;0,$D$72/$B$12,0),0))</f>
        <v>0</v>
      </c>
      <c r="AB79" s="177">
        <f>IF($B$13&gt;AB78,0,IF($D$72-(SUM($C$79:AA79)+1)&gt;0,IF($B$12&gt;0,$D$72/$B$12,0),0))</f>
        <v>0</v>
      </c>
      <c r="AC79" s="177">
        <f>IF($B$13&gt;AC78,0,IF($D$72-(SUM($C$79:AB79)+1)&gt;0,IF($B$12&gt;0,$D$72/$B$12,0),0))</f>
        <v>0</v>
      </c>
      <c r="AD79" s="177">
        <f>IF($B$13&gt;AD78,0,IF($D$72-(SUM($C$79:AC79)+1)&gt;0,IF($B$12&gt;0,$D$72/$B$12,0),0))</f>
        <v>0</v>
      </c>
      <c r="AE79" s="177">
        <f>IF($B$13&gt;AE78,0,IF($D$72-(SUM($C$79:AD79)+1)&gt;0,IF($B$12&gt;0,$D$72/$B$12,0),0))</f>
        <v>0</v>
      </c>
      <c r="AF79" s="177">
        <f>IF($B$13&gt;AF78,0,IF($D$72-(SUM($C$79:AE79)+1)&gt;0,IF($B$12&gt;0,$D$72/$B$12,0),0))</f>
        <v>0</v>
      </c>
      <c r="AG79" s="177">
        <f>IF($B$13&gt;AG78,0,IF($D$72-(SUM($C$79:AF79)+1)&gt;0,IF($B$12&gt;0,$D$72/$B$12,0),0))</f>
        <v>0</v>
      </c>
      <c r="AH79" s="177">
        <f>IF($B$13&gt;AH78,0,IF($D$72-(SUM($C$79:AG79)+1)&gt;0,IF($B$12&gt;0,$D$72/$B$12,0),0))</f>
        <v>0</v>
      </c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</row>
    <row r="80" spans="1:74" s="16" customFormat="1" x14ac:dyDescent="0.25">
      <c r="A80" s="190"/>
      <c r="B80" s="179" t="s">
        <v>50</v>
      </c>
      <c r="C80" s="191"/>
      <c r="D80" s="192"/>
      <c r="E80" s="181">
        <f>($D$72-SUM($C$79:D79))*$B$14</f>
        <v>228009.25925925924</v>
      </c>
      <c r="F80" s="181">
        <f>($D$72-SUM($C$79:E79))*$B$14</f>
        <v>228009.25925925924</v>
      </c>
      <c r="G80" s="181">
        <f>($D$72-SUM($C$79:F79))*$B$14</f>
        <v>228009.25925925924</v>
      </c>
      <c r="H80" s="181">
        <f>($D$72-SUM($C$79:G79))*$B$14</f>
        <v>182407.40740740739</v>
      </c>
      <c r="I80" s="181">
        <f>($D$72-SUM($C$79:H79))*$B$14</f>
        <v>136805.55555555556</v>
      </c>
      <c r="J80" s="181">
        <f>($D$72-SUM($C$79:I79))*$B$14</f>
        <v>91203.703703703708</v>
      </c>
      <c r="K80" s="181">
        <f>($D$72-SUM($C$79:J79))*$B$14</f>
        <v>45601.851851851854</v>
      </c>
      <c r="L80" s="181">
        <f>($D$72-SUM($C$79:K79))*$B$14</f>
        <v>0</v>
      </c>
      <c r="M80" s="181">
        <f>($D$72-SUM($C$79:L79))*$B$14</f>
        <v>0</v>
      </c>
      <c r="N80" s="181">
        <f>($D$72-SUM($C$79:M79))*$B$14</f>
        <v>0</v>
      </c>
      <c r="O80" s="181">
        <f>($D$72-SUM($C$79:N79))*$B$14</f>
        <v>0</v>
      </c>
      <c r="P80" s="181">
        <f>($D$72-SUM($C$79:O79))*$B$14</f>
        <v>0</v>
      </c>
      <c r="Q80" s="181">
        <f>($D$72-SUM($C$79:P79))*$B$14</f>
        <v>0</v>
      </c>
      <c r="R80" s="181">
        <f>($D$72-SUM($C$79:Q79))*$B$14</f>
        <v>0</v>
      </c>
      <c r="S80" s="181">
        <f>($D$72-SUM($C$79:R79))*$B$14</f>
        <v>0</v>
      </c>
      <c r="T80" s="181">
        <f>($D$72-SUM($C$79:S79))*$B$14</f>
        <v>0</v>
      </c>
      <c r="U80" s="181">
        <f>($D$72-SUM($C$79:T79))*$B$14</f>
        <v>0</v>
      </c>
      <c r="V80" s="181">
        <f>($D$72-SUM($C$79:U79))*$B$14</f>
        <v>0</v>
      </c>
      <c r="W80" s="181">
        <f>($D$72-SUM($C$79:V79))*$B$14</f>
        <v>0</v>
      </c>
      <c r="X80" s="181">
        <f>($D$72-SUM($C$79:W79))*$B$14</f>
        <v>0</v>
      </c>
      <c r="Y80" s="181">
        <f>($D$72-SUM($C$79:X79))*$B$14</f>
        <v>0</v>
      </c>
      <c r="Z80" s="181">
        <f>($D$72-SUM($C$79:Y79))*$B$14</f>
        <v>0</v>
      </c>
      <c r="AA80" s="181">
        <f>($D$72-SUM($C$79:Z79))*$B$14</f>
        <v>0</v>
      </c>
      <c r="AB80" s="182">
        <f>($D$72-SUM($C$79:AA79))*$B$14</f>
        <v>0</v>
      </c>
      <c r="AC80" s="182">
        <f>($D$72-SUM($C$79:AB79))*$B$14</f>
        <v>0</v>
      </c>
      <c r="AD80" s="182">
        <f>($D$72-SUM($C$79:AC79))*$B$14</f>
        <v>0</v>
      </c>
      <c r="AE80" s="182">
        <f>($D$72-SUM($C$79:AD79))*$B$14</f>
        <v>0</v>
      </c>
      <c r="AF80" s="182">
        <f>($D$72-SUM($C$79:AE79))*$B$14</f>
        <v>0</v>
      </c>
      <c r="AG80" s="182">
        <f>($D$72-SUM($C$79:AF79))*$B$14</f>
        <v>0</v>
      </c>
      <c r="AH80" s="182">
        <f>($D$72-SUM($C$79:AG79))*$B$14</f>
        <v>0</v>
      </c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</row>
    <row r="81" spans="1:74" ht="12" customHeight="1" x14ac:dyDescent="0.25">
      <c r="A81" s="183"/>
      <c r="B81" s="184"/>
      <c r="C81" s="185"/>
      <c r="D81" s="186"/>
      <c r="E81" s="193"/>
      <c r="F81" s="171">
        <v>1</v>
      </c>
      <c r="G81" s="171">
        <f>F81+1</f>
        <v>2</v>
      </c>
      <c r="H81" s="171">
        <f t="shared" ref="H81:AH81" si="25">G81+1</f>
        <v>3</v>
      </c>
      <c r="I81" s="171">
        <f t="shared" si="25"/>
        <v>4</v>
      </c>
      <c r="J81" s="171">
        <f t="shared" si="25"/>
        <v>5</v>
      </c>
      <c r="K81" s="171">
        <f t="shared" si="25"/>
        <v>6</v>
      </c>
      <c r="L81" s="171">
        <f t="shared" si="25"/>
        <v>7</v>
      </c>
      <c r="M81" s="171">
        <f t="shared" si="25"/>
        <v>8</v>
      </c>
      <c r="N81" s="171">
        <f t="shared" si="25"/>
        <v>9</v>
      </c>
      <c r="O81" s="171">
        <f t="shared" si="25"/>
        <v>10</v>
      </c>
      <c r="P81" s="171">
        <f t="shared" si="25"/>
        <v>11</v>
      </c>
      <c r="Q81" s="171">
        <f t="shared" si="25"/>
        <v>12</v>
      </c>
      <c r="R81" s="171">
        <f t="shared" si="25"/>
        <v>13</v>
      </c>
      <c r="S81" s="171">
        <f t="shared" si="25"/>
        <v>14</v>
      </c>
      <c r="T81" s="171">
        <f t="shared" si="25"/>
        <v>15</v>
      </c>
      <c r="U81" s="171">
        <f t="shared" si="25"/>
        <v>16</v>
      </c>
      <c r="V81" s="171">
        <f t="shared" si="25"/>
        <v>17</v>
      </c>
      <c r="W81" s="171">
        <f t="shared" si="25"/>
        <v>18</v>
      </c>
      <c r="X81" s="171">
        <f t="shared" si="25"/>
        <v>19</v>
      </c>
      <c r="Y81" s="171">
        <f t="shared" si="25"/>
        <v>20</v>
      </c>
      <c r="Z81" s="171">
        <f t="shared" si="25"/>
        <v>21</v>
      </c>
      <c r="AA81" s="171">
        <f t="shared" si="25"/>
        <v>22</v>
      </c>
      <c r="AB81" s="172">
        <f t="shared" si="25"/>
        <v>23</v>
      </c>
      <c r="AC81" s="172">
        <f t="shared" si="25"/>
        <v>24</v>
      </c>
      <c r="AD81" s="172">
        <f t="shared" si="25"/>
        <v>25</v>
      </c>
      <c r="AE81" s="172">
        <f t="shared" si="25"/>
        <v>26</v>
      </c>
      <c r="AF81" s="172">
        <f t="shared" si="25"/>
        <v>27</v>
      </c>
      <c r="AG81" s="172">
        <f t="shared" si="25"/>
        <v>28</v>
      </c>
      <c r="AH81" s="172">
        <f t="shared" si="25"/>
        <v>29</v>
      </c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</row>
    <row r="82" spans="1:74" s="16" customFormat="1" x14ac:dyDescent="0.25">
      <c r="A82" s="183">
        <f>A79+1</f>
        <v>3</v>
      </c>
      <c r="B82" s="187" t="s">
        <v>49</v>
      </c>
      <c r="C82" s="188"/>
      <c r="D82" s="189"/>
      <c r="E82" s="189"/>
      <c r="F82" s="176">
        <f>IF($B$13&gt;F81,0,IF($E$72-(SUM($C$82:E82)+1)&gt;0,IF($B$12&gt;0,$E$72/$B$12,0),0))</f>
        <v>0</v>
      </c>
      <c r="G82" s="176">
        <f>IF($B$13&gt;G81,0,IF($E$72-(SUM($C$82:F82)+1)&gt;0,IF($B$12&gt;0,$E$72/$B$12,0),0))</f>
        <v>0</v>
      </c>
      <c r="H82" s="176">
        <f>IF($B$13&gt;H81,0,IF($E$72-(SUM($C$82:G82)+1)&gt;0,IF($B$12&gt;0,$E$72/$B$12,0),0))</f>
        <v>364814.81481481477</v>
      </c>
      <c r="I82" s="176">
        <f>IF($B$13&gt;I81,0,IF($E$72-(SUM($C$82:H82)+1)&gt;0,IF($B$12&gt;0,$E$72/$B$12,0),0))</f>
        <v>364814.81481481477</v>
      </c>
      <c r="J82" s="176">
        <f>IF($B$13&gt;J81,0,IF($E$72-(SUM($C$82:I82)+1)&gt;0,IF($B$12&gt;0,$E$72/$B$12,0),0))</f>
        <v>364814.81481481477</v>
      </c>
      <c r="K82" s="176">
        <f>IF($B$13&gt;K81,0,IF($E$72-(SUM($C$82:J82)+1)&gt;0,IF($B$12&gt;0,$E$72/$B$12,0),0))</f>
        <v>364814.81481481477</v>
      </c>
      <c r="L82" s="176">
        <f>IF($B$13&gt;L81,0,IF($E$72-(SUM($C$82:K82)+1)&gt;0,IF($B$12&gt;0,$E$72/$B$12,0),0))</f>
        <v>364814.81481481477</v>
      </c>
      <c r="M82" s="176">
        <f>IF($B$13&gt;M81,0,IF($E$72-(SUM($C$82:L82)+1)&gt;0,IF($B$12&gt;0,$E$72/$B$12,0),0))</f>
        <v>0</v>
      </c>
      <c r="N82" s="176">
        <f>IF($B$13&gt;N81,0,IF($E$72-(SUM($C$82:M82)+1)&gt;0,IF($B$12&gt;0,$E$72/$B$12,0),0))</f>
        <v>0</v>
      </c>
      <c r="O82" s="176">
        <f>IF($B$13&gt;O81,0,IF($E$72-(SUM($C$82:N82)+1)&gt;0,IF($B$12&gt;0,$E$72/$B$12,0),0))</f>
        <v>0</v>
      </c>
      <c r="P82" s="176">
        <f>IF($B$13&gt;P81,0,IF($E$72-(SUM($C$82:O82)+1)&gt;0,IF($B$12&gt;0,$E$72/$B$12,0),0))</f>
        <v>0</v>
      </c>
      <c r="Q82" s="176">
        <f>IF($B$13&gt;Q81,0,IF($E$72-(SUM($C$82:P82)+1)&gt;0,IF($B$12&gt;0,$E$72/$B$12,0),0))</f>
        <v>0</v>
      </c>
      <c r="R82" s="176">
        <f>IF($B$13&gt;R81,0,IF($E$72-(SUM($C$82:Q82)+1)&gt;0,IF($B$12&gt;0,$E$72/$B$12,0),0))</f>
        <v>0</v>
      </c>
      <c r="S82" s="176">
        <f>IF($B$13&gt;S81,0,IF($E$72-(SUM($C$82:R82)+1)&gt;0,IF($B$12&gt;0,$E$72/$B$12,0),0))</f>
        <v>0</v>
      </c>
      <c r="T82" s="176">
        <f>IF($B$13&gt;T81,0,IF($E$72-(SUM($C$82:S82)+1)&gt;0,IF($B$12&gt;0,$E$72/$B$12,0),0))</f>
        <v>0</v>
      </c>
      <c r="U82" s="176">
        <f>IF($B$13&gt;U81,0,IF($E$72-(SUM($C$82:T82)+1)&gt;0,IF($B$12&gt;0,$E$72/$B$12,0),0))</f>
        <v>0</v>
      </c>
      <c r="V82" s="176">
        <f>IF($B$13&gt;V81,0,IF($E$72-(SUM($C$82:U82)+1)&gt;0,IF($B$12&gt;0,$E$72/$B$12,0),0))</f>
        <v>0</v>
      </c>
      <c r="W82" s="176">
        <f>IF($B$13&gt;W81,0,IF($E$72-(SUM($C$82:V82)+1)&gt;0,IF($B$12&gt;0,$E$72/$B$12,0),0))</f>
        <v>0</v>
      </c>
      <c r="X82" s="176">
        <f>IF($B$13&gt;X81,0,IF($E$72-(SUM($C$82:W82)+1)&gt;0,IF($B$12&gt;0,$E$72/$B$12,0),0))</f>
        <v>0</v>
      </c>
      <c r="Y82" s="176">
        <f>IF($B$13&gt;Y81,0,IF($E$72-(SUM($C$82:X82)+1)&gt;0,IF($B$12&gt;0,$E$72/$B$12,0),0))</f>
        <v>0</v>
      </c>
      <c r="Z82" s="176">
        <f>IF($B$13&gt;Z81,0,IF($E$72-(SUM($C$82:Y82)+1)&gt;0,IF($B$12&gt;0,$E$72/$B$12,0),0))</f>
        <v>0</v>
      </c>
      <c r="AA82" s="176">
        <f>IF($B$13&gt;AA81,0,IF($E$72-(SUM($C$82:Z82)+1)&gt;0,IF($B$12&gt;0,$E$72/$B$12,0),0))</f>
        <v>0</v>
      </c>
      <c r="AB82" s="177">
        <f>IF($B$13&gt;AB81,0,IF($E$72-(SUM($C$82:AA82)+1)&gt;0,IF($B$12&gt;0,$E$72/$B$12,0),0))</f>
        <v>0</v>
      </c>
      <c r="AC82" s="177">
        <f>IF($B$13&gt;AC81,0,IF($E$72-(SUM($C$82:AB82)+1)&gt;0,IF($B$12&gt;0,$E$72/$B$12,0),0))</f>
        <v>0</v>
      </c>
      <c r="AD82" s="177">
        <f>IF($B$13&gt;AD81,0,IF($E$72-(SUM($C$82:AC82)+1)&gt;0,IF($B$12&gt;0,$E$72/$B$12,0),0))</f>
        <v>0</v>
      </c>
      <c r="AE82" s="177">
        <f>IF($B$13&gt;AE81,0,IF($E$72-(SUM($C$82:AD82)+1)&gt;0,IF($B$12&gt;0,$E$72/$B$12,0),0))</f>
        <v>0</v>
      </c>
      <c r="AF82" s="177">
        <f>IF($B$13&gt;AF81,0,IF($E$72-(SUM($C$82:AE82)+1)&gt;0,IF($B$12&gt;0,$E$72/$B$12,0),0))</f>
        <v>0</v>
      </c>
      <c r="AG82" s="177">
        <f>IF($B$13&gt;AG81,0,IF($E$72-(SUM($C$82:AF82)+1)&gt;0,IF($B$12&gt;0,$E$72/$B$12,0),0))</f>
        <v>0</v>
      </c>
      <c r="AH82" s="177">
        <f>IF($B$13&gt;AH81,0,IF($E$72-(SUM($C$82:AG82)+1)&gt;0,IF($B$12&gt;0,$E$72/$B$12,0),0))</f>
        <v>0</v>
      </c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</row>
    <row r="83" spans="1:74" s="16" customFormat="1" x14ac:dyDescent="0.25">
      <c r="A83" s="190"/>
      <c r="B83" s="179" t="s">
        <v>50</v>
      </c>
      <c r="C83" s="191"/>
      <c r="D83" s="192"/>
      <c r="E83" s="192"/>
      <c r="F83" s="181">
        <f>($E$72-SUM($C$82:E82))*$B$14</f>
        <v>228009.25925925924</v>
      </c>
      <c r="G83" s="181">
        <f>($E$72-SUM($C$82:F82))*$B$14</f>
        <v>228009.25925925924</v>
      </c>
      <c r="H83" s="181">
        <f>($E$72-SUM($C$82:G82))*$B$14</f>
        <v>228009.25925925924</v>
      </c>
      <c r="I83" s="181">
        <f>($E$72-SUM($C$82:H82))*$B$14</f>
        <v>182407.40740740739</v>
      </c>
      <c r="J83" s="181">
        <f>($E$72-SUM($C$82:I82))*$B$14</f>
        <v>136805.55555555556</v>
      </c>
      <c r="K83" s="181">
        <f>($E$72-SUM($C$82:J82))*$B$14</f>
        <v>91203.703703703708</v>
      </c>
      <c r="L83" s="181">
        <f>($E$72-SUM($C$82:K82))*$B$14</f>
        <v>45601.851851851854</v>
      </c>
      <c r="M83" s="181">
        <f>($E$72-SUM($C$82:L82))*$B$14</f>
        <v>0</v>
      </c>
      <c r="N83" s="181">
        <f>($E$72-SUM($C$82:M82))*$B$14</f>
        <v>0</v>
      </c>
      <c r="O83" s="181">
        <f>($E$72-SUM($C$82:N82))*$B$14</f>
        <v>0</v>
      </c>
      <c r="P83" s="181">
        <f>($E$72-SUM($C$82:O82))*$B$14</f>
        <v>0</v>
      </c>
      <c r="Q83" s="181">
        <f>($E$72-SUM($C$82:P82))*$B$14</f>
        <v>0</v>
      </c>
      <c r="R83" s="181">
        <f>($E$72-SUM($C$82:Q82))*$B$14</f>
        <v>0</v>
      </c>
      <c r="S83" s="181">
        <f>($E$72-SUM($C$82:R82))*$B$14</f>
        <v>0</v>
      </c>
      <c r="T83" s="181">
        <f>($E$72-SUM($C$82:S82))*$B$14</f>
        <v>0</v>
      </c>
      <c r="U83" s="181">
        <f>($E$72-SUM($C$82:T82))*$B$14</f>
        <v>0</v>
      </c>
      <c r="V83" s="181">
        <f>($E$72-SUM($C$82:U82))*$B$14</f>
        <v>0</v>
      </c>
      <c r="W83" s="181">
        <f>($E$72-SUM($C$82:V82))*$B$14</f>
        <v>0</v>
      </c>
      <c r="X83" s="181">
        <f>($E$72-SUM($C$82:W82))*$B$14</f>
        <v>0</v>
      </c>
      <c r="Y83" s="181">
        <f>($E$72-SUM($C$82:X82))*$B$14</f>
        <v>0</v>
      </c>
      <c r="Z83" s="181">
        <f>($E$72-SUM($C$82:Y82))*$B$14</f>
        <v>0</v>
      </c>
      <c r="AA83" s="181">
        <f>($E$72-SUM($C$82:Z82))*$B$14</f>
        <v>0</v>
      </c>
      <c r="AB83" s="182">
        <f>($E$72-SUM($C$82:AA82))*$B$14</f>
        <v>0</v>
      </c>
      <c r="AC83" s="182">
        <f>($E$72-SUM($C$82:AB82))*$B$14</f>
        <v>0</v>
      </c>
      <c r="AD83" s="182">
        <f>($E$72-SUM($C$82:AC82))*$B$14</f>
        <v>0</v>
      </c>
      <c r="AE83" s="182">
        <f>($E$72-SUM($C$82:AD82))*$B$14</f>
        <v>0</v>
      </c>
      <c r="AF83" s="182">
        <f>($E$72-SUM($C$82:AE82))*$B$14</f>
        <v>0</v>
      </c>
      <c r="AG83" s="182">
        <f>($E$72-SUM($C$82:AF82))*$B$14</f>
        <v>0</v>
      </c>
      <c r="AH83" s="182">
        <f>($E$72-SUM($C$82:AG82))*$B$14</f>
        <v>0</v>
      </c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</row>
    <row r="84" spans="1:74" ht="15" customHeight="1" x14ac:dyDescent="0.25">
      <c r="A84" s="183"/>
      <c r="B84" s="184"/>
      <c r="C84" s="185"/>
      <c r="D84" s="186"/>
      <c r="E84" s="193"/>
      <c r="F84" s="193"/>
      <c r="G84" s="171">
        <v>1</v>
      </c>
      <c r="H84" s="171">
        <f>G84+1</f>
        <v>2</v>
      </c>
      <c r="I84" s="171">
        <f t="shared" ref="I84:AH84" si="26">H84+1</f>
        <v>3</v>
      </c>
      <c r="J84" s="171">
        <f t="shared" si="26"/>
        <v>4</v>
      </c>
      <c r="K84" s="171">
        <f t="shared" si="26"/>
        <v>5</v>
      </c>
      <c r="L84" s="171">
        <f t="shared" si="26"/>
        <v>6</v>
      </c>
      <c r="M84" s="171">
        <f t="shared" si="26"/>
        <v>7</v>
      </c>
      <c r="N84" s="171">
        <f t="shared" si="26"/>
        <v>8</v>
      </c>
      <c r="O84" s="171">
        <f t="shared" si="26"/>
        <v>9</v>
      </c>
      <c r="P84" s="171">
        <f t="shared" si="26"/>
        <v>10</v>
      </c>
      <c r="Q84" s="171">
        <f t="shared" si="26"/>
        <v>11</v>
      </c>
      <c r="R84" s="171">
        <f t="shared" si="26"/>
        <v>12</v>
      </c>
      <c r="S84" s="171">
        <f t="shared" si="26"/>
        <v>13</v>
      </c>
      <c r="T84" s="171">
        <f t="shared" si="26"/>
        <v>14</v>
      </c>
      <c r="U84" s="171">
        <f t="shared" si="26"/>
        <v>15</v>
      </c>
      <c r="V84" s="171">
        <f t="shared" si="26"/>
        <v>16</v>
      </c>
      <c r="W84" s="171">
        <f t="shared" si="26"/>
        <v>17</v>
      </c>
      <c r="X84" s="171">
        <f t="shared" si="26"/>
        <v>18</v>
      </c>
      <c r="Y84" s="171">
        <f t="shared" si="26"/>
        <v>19</v>
      </c>
      <c r="Z84" s="171">
        <f t="shared" si="26"/>
        <v>20</v>
      </c>
      <c r="AA84" s="171">
        <f t="shared" si="26"/>
        <v>21</v>
      </c>
      <c r="AB84" s="172">
        <f t="shared" si="26"/>
        <v>22</v>
      </c>
      <c r="AC84" s="172">
        <f t="shared" si="26"/>
        <v>23</v>
      </c>
      <c r="AD84" s="172">
        <f t="shared" si="26"/>
        <v>24</v>
      </c>
      <c r="AE84" s="172">
        <f t="shared" si="26"/>
        <v>25</v>
      </c>
      <c r="AF84" s="172">
        <f t="shared" si="26"/>
        <v>26</v>
      </c>
      <c r="AG84" s="172">
        <f t="shared" si="26"/>
        <v>27</v>
      </c>
      <c r="AH84" s="172">
        <f t="shared" si="26"/>
        <v>28</v>
      </c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</row>
    <row r="85" spans="1:74" s="16" customFormat="1" x14ac:dyDescent="0.25">
      <c r="A85" s="183">
        <f>A82+1</f>
        <v>4</v>
      </c>
      <c r="B85" s="187" t="s">
        <v>49</v>
      </c>
      <c r="C85" s="188"/>
      <c r="D85" s="189"/>
      <c r="E85" s="189"/>
      <c r="F85" s="189"/>
      <c r="G85" s="176">
        <f>IF($B$13&gt;G84,0,IF($F$72-(SUM($C$85:F85)+1)&gt;0,IF($B$12&gt;0,$F$72/$B$12,0),0))</f>
        <v>0</v>
      </c>
      <c r="H85" s="176">
        <f>IF($B$13&gt;H84,0,IF($F$72-(SUM($C$85:G85)+1)&gt;0,IF($B$12&gt;0,$F$72/$B$12,0),0))</f>
        <v>0</v>
      </c>
      <c r="I85" s="176">
        <f>IF($B$13&gt;I84,0,IF($F$72-(SUM($C$85:H85)+1)&gt;0,IF($B$12&gt;0,$F$72/$B$12,0),0))</f>
        <v>364814.81481481477</v>
      </c>
      <c r="J85" s="176">
        <f>IF($B$13&gt;J84,0,IF($F$72-(SUM($C$85:I85)+1)&gt;0,IF($B$12&gt;0,$F$72/$B$12,0),0))</f>
        <v>364814.81481481477</v>
      </c>
      <c r="K85" s="176">
        <f>IF($B$13&gt;K84,0,IF($F$72-(SUM($C$85:J85)+1)&gt;0,IF($B$12&gt;0,$F$72/$B$12,0),0))</f>
        <v>364814.81481481477</v>
      </c>
      <c r="L85" s="176">
        <f>IF($B$13&gt;L84,0,IF($F$72-(SUM($C$85:K85)+1)&gt;0,IF($B$12&gt;0,$F$72/$B$12,0),0))</f>
        <v>364814.81481481477</v>
      </c>
      <c r="M85" s="176">
        <f>IF($B$13&gt;M84,0,IF($F$72-(SUM($C$85:L85)+1)&gt;0,IF($B$12&gt;0,$F$72/$B$12,0),0))</f>
        <v>364814.81481481477</v>
      </c>
      <c r="N85" s="176">
        <f>IF($B$13&gt;N84,0,IF($F$72-(SUM($C$85:M85)+1)&gt;0,IF($B$12&gt;0,$F$72/$B$12,0),0))</f>
        <v>0</v>
      </c>
      <c r="O85" s="176">
        <f>IF($B$13&gt;O84,0,IF($F$72-(SUM($C$85:N85)+1)&gt;0,IF($B$12&gt;0,$F$72/$B$12,0),0))</f>
        <v>0</v>
      </c>
      <c r="P85" s="176">
        <f>IF($B$13&gt;P84,0,IF($F$72-(SUM($C$85:O85)+1)&gt;0,IF($B$12&gt;0,$F$72/$B$12,0),0))</f>
        <v>0</v>
      </c>
      <c r="Q85" s="176">
        <f>IF($B$13&gt;Q84,0,IF($F$72-(SUM($C$85:P85)+1)&gt;0,IF($B$12&gt;0,$F$72/$B$12,0),0))</f>
        <v>0</v>
      </c>
      <c r="R85" s="176">
        <f>IF($B$13&gt;R84,0,IF($F$72-(SUM($C$85:Q85)+1)&gt;0,IF($B$12&gt;0,$F$72/$B$12,0),0))</f>
        <v>0</v>
      </c>
      <c r="S85" s="176">
        <f>IF($B$13&gt;S84,0,IF($F$72-(SUM($C$85:R85)+1)&gt;0,IF($B$12&gt;0,$F$72/$B$12,0),0))</f>
        <v>0</v>
      </c>
      <c r="T85" s="176">
        <f>IF($B$13&gt;T84,0,IF($F$72-(SUM($C$85:S85)+1)&gt;0,IF($B$12&gt;0,$F$72/$B$12,0),0))</f>
        <v>0</v>
      </c>
      <c r="U85" s="176">
        <f>IF($B$13&gt;U84,0,IF($F$72-(SUM($C$85:T85)+1)&gt;0,IF($B$12&gt;0,$F$72/$B$12,0),0))</f>
        <v>0</v>
      </c>
      <c r="V85" s="176">
        <f>IF($B$13&gt;V84,0,IF($F$72-(SUM($C$85:U85)+1)&gt;0,IF($B$12&gt;0,$F$72/$B$12,0),0))</f>
        <v>0</v>
      </c>
      <c r="W85" s="176">
        <f>IF($B$13&gt;W84,0,IF($F$72-(SUM($C$85:V85)+1)&gt;0,IF($B$12&gt;0,$F$72/$B$12,0),0))</f>
        <v>0</v>
      </c>
      <c r="X85" s="176">
        <f>IF($B$13&gt;X84,0,IF($F$72-(SUM($C$85:W85)+1)&gt;0,IF($B$12&gt;0,$F$72/$B$12,0),0))</f>
        <v>0</v>
      </c>
      <c r="Y85" s="176">
        <f>IF($B$13&gt;Y84,0,IF($F$72-(SUM($C$85:X85)+1)&gt;0,IF($B$12&gt;0,$F$72/$B$12,0),0))</f>
        <v>0</v>
      </c>
      <c r="Z85" s="176">
        <f>IF($B$13&gt;Z84,0,IF($F$72-(SUM($C$85:Y85)+1)&gt;0,IF($B$12&gt;0,$F$72/$B$12,0),0))</f>
        <v>0</v>
      </c>
      <c r="AA85" s="176">
        <f>IF($B$13&gt;AA84,0,IF($F$72-(SUM($C$85:Z85)+1)&gt;0,IF($B$12&gt;0,$F$72/$B$12,0),0))</f>
        <v>0</v>
      </c>
      <c r="AB85" s="177">
        <f>IF($B$13&gt;AB84,0,IF($F$72-(SUM($C$85:AA85)+1)&gt;0,IF($B$12&gt;0,$F$72/$B$12,0),0))</f>
        <v>0</v>
      </c>
      <c r="AC85" s="177">
        <f>IF($B$13&gt;AC84,0,IF($F$72-(SUM($C$85:AB85)+1)&gt;0,IF($B$12&gt;0,$F$72/$B$12,0),0))</f>
        <v>0</v>
      </c>
      <c r="AD85" s="177">
        <f>IF($B$13&gt;AD84,0,IF($F$72-(SUM($C$85:AC85)+1)&gt;0,IF($B$12&gt;0,$F$72/$B$12,0),0))</f>
        <v>0</v>
      </c>
      <c r="AE85" s="177">
        <f>IF($B$13&gt;AE84,0,IF($F$72-(SUM($C$85:AD85)+1)&gt;0,IF($B$12&gt;0,$F$72/$B$12,0),0))</f>
        <v>0</v>
      </c>
      <c r="AF85" s="177">
        <f>IF($B$13&gt;AF84,0,IF($F$72-(SUM($C$85:AE85)+1)&gt;0,IF($B$12&gt;0,$F$72/$B$12,0),0))</f>
        <v>0</v>
      </c>
      <c r="AG85" s="177">
        <f>IF($B$13&gt;AG84,0,IF($F$72-(SUM($C$85:AF85)+1)&gt;0,IF($B$12&gt;0,$F$72/$B$12,0),0))</f>
        <v>0</v>
      </c>
      <c r="AH85" s="177">
        <f>IF($B$13&gt;AH84,0,IF($F$72-(SUM($C$85:AG85)+1)&gt;0,IF($B$12&gt;0,$F$72/$B$12,0),0))</f>
        <v>0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</row>
    <row r="86" spans="1:74" s="16" customFormat="1" x14ac:dyDescent="0.25">
      <c r="A86" s="190"/>
      <c r="B86" s="179" t="s">
        <v>50</v>
      </c>
      <c r="C86" s="191"/>
      <c r="D86" s="192"/>
      <c r="E86" s="192"/>
      <c r="F86" s="192"/>
      <c r="G86" s="181">
        <f>($F$72-SUM($C$85:F85))*$B$14</f>
        <v>228009.25925925924</v>
      </c>
      <c r="H86" s="181">
        <f>($F$72-SUM($C$85:G85))*$B$14</f>
        <v>228009.25925925924</v>
      </c>
      <c r="I86" s="181">
        <f>($F$72-SUM($C$85:H85))*$B$14</f>
        <v>228009.25925925924</v>
      </c>
      <c r="J86" s="181">
        <f>($F$72-SUM($C$85:I85))*$B$14</f>
        <v>182407.40740740739</v>
      </c>
      <c r="K86" s="181">
        <f>($F$72-SUM($C$85:J85))*$B$14</f>
        <v>136805.55555555556</v>
      </c>
      <c r="L86" s="181">
        <f>($F$72-SUM($C$85:K85))*$B$14</f>
        <v>91203.703703703708</v>
      </c>
      <c r="M86" s="181">
        <f>($F$72-SUM($C$85:L85))*$B$14</f>
        <v>45601.851851851854</v>
      </c>
      <c r="N86" s="181">
        <f>($F$72-SUM($C$85:M85))*$B$14</f>
        <v>0</v>
      </c>
      <c r="O86" s="181">
        <f>($F$72-SUM($C$85:N85))*$B$14</f>
        <v>0</v>
      </c>
      <c r="P86" s="181">
        <f>($F$72-SUM($C$85:O85))*$B$14</f>
        <v>0</v>
      </c>
      <c r="Q86" s="181">
        <f>($F$72-SUM($C$85:P85))*$B$14</f>
        <v>0</v>
      </c>
      <c r="R86" s="181">
        <f>($F$72-SUM($C$85:Q85))*$B$14</f>
        <v>0</v>
      </c>
      <c r="S86" s="181">
        <f>($F$72-SUM($C$85:R85))*$B$14</f>
        <v>0</v>
      </c>
      <c r="T86" s="181">
        <f>($F$72-SUM($C$85:S85))*$B$14</f>
        <v>0</v>
      </c>
      <c r="U86" s="181">
        <f>($F$72-SUM($C$85:T85))*$B$14</f>
        <v>0</v>
      </c>
      <c r="V86" s="181">
        <f>($F$72-SUM($C$85:U85))*$B$14</f>
        <v>0</v>
      </c>
      <c r="W86" s="181">
        <f>($F$72-SUM($C$85:V85))*$B$14</f>
        <v>0</v>
      </c>
      <c r="X86" s="181">
        <f>($F$72-SUM($C$85:W85))*$B$14</f>
        <v>0</v>
      </c>
      <c r="Y86" s="181">
        <f>($F$72-SUM($C$85:X85))*$B$14</f>
        <v>0</v>
      </c>
      <c r="Z86" s="181">
        <f>($F$72-SUM($C$85:Y85))*$B$14</f>
        <v>0</v>
      </c>
      <c r="AA86" s="181">
        <f>($F$72-SUM($C$85:Z85))*$B$14</f>
        <v>0</v>
      </c>
      <c r="AB86" s="182">
        <f>($F$72-SUM($C$85:AA85))*$B$14</f>
        <v>0</v>
      </c>
      <c r="AC86" s="182">
        <f>($F$72-SUM($C$85:AB85))*$B$14</f>
        <v>0</v>
      </c>
      <c r="AD86" s="182">
        <f>($F$72-SUM($C$85:AC85))*$B$14</f>
        <v>0</v>
      </c>
      <c r="AE86" s="182">
        <f>($F$72-SUM($C$85:AD85))*$B$14</f>
        <v>0</v>
      </c>
      <c r="AF86" s="182">
        <f>($F$72-SUM($C$85:AE85))*$B$14</f>
        <v>0</v>
      </c>
      <c r="AG86" s="182">
        <f>($F$72-SUM($C$85:AF85))*$B$14</f>
        <v>0</v>
      </c>
      <c r="AH86" s="182">
        <f>($F$72-SUM($C$85:AG85))*$B$14</f>
        <v>0</v>
      </c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</row>
    <row r="87" spans="1:74" ht="9" customHeight="1" x14ac:dyDescent="0.25">
      <c r="A87" s="183"/>
      <c r="B87" s="184"/>
      <c r="C87" s="185"/>
      <c r="D87" s="186"/>
      <c r="E87" s="193"/>
      <c r="F87" s="193"/>
      <c r="G87" s="193"/>
      <c r="H87" s="171">
        <v>1</v>
      </c>
      <c r="I87" s="171">
        <f>H87+1</f>
        <v>2</v>
      </c>
      <c r="J87" s="171">
        <f t="shared" ref="J87:AH87" si="27">I87+1</f>
        <v>3</v>
      </c>
      <c r="K87" s="171">
        <f t="shared" si="27"/>
        <v>4</v>
      </c>
      <c r="L87" s="171">
        <f t="shared" si="27"/>
        <v>5</v>
      </c>
      <c r="M87" s="171">
        <f t="shared" si="27"/>
        <v>6</v>
      </c>
      <c r="N87" s="171">
        <f t="shared" si="27"/>
        <v>7</v>
      </c>
      <c r="O87" s="171">
        <f t="shared" si="27"/>
        <v>8</v>
      </c>
      <c r="P87" s="171">
        <f t="shared" si="27"/>
        <v>9</v>
      </c>
      <c r="Q87" s="171">
        <f t="shared" si="27"/>
        <v>10</v>
      </c>
      <c r="R87" s="171">
        <f t="shared" si="27"/>
        <v>11</v>
      </c>
      <c r="S87" s="171">
        <f t="shared" si="27"/>
        <v>12</v>
      </c>
      <c r="T87" s="171">
        <f t="shared" si="27"/>
        <v>13</v>
      </c>
      <c r="U87" s="171">
        <f t="shared" si="27"/>
        <v>14</v>
      </c>
      <c r="V87" s="171">
        <f t="shared" si="27"/>
        <v>15</v>
      </c>
      <c r="W87" s="171">
        <f t="shared" si="27"/>
        <v>16</v>
      </c>
      <c r="X87" s="171">
        <f t="shared" si="27"/>
        <v>17</v>
      </c>
      <c r="Y87" s="171">
        <f t="shared" si="27"/>
        <v>18</v>
      </c>
      <c r="Z87" s="171">
        <f t="shared" si="27"/>
        <v>19</v>
      </c>
      <c r="AA87" s="171">
        <f t="shared" si="27"/>
        <v>20</v>
      </c>
      <c r="AB87" s="172">
        <f t="shared" si="27"/>
        <v>21</v>
      </c>
      <c r="AC87" s="172">
        <f t="shared" si="27"/>
        <v>22</v>
      </c>
      <c r="AD87" s="172">
        <f t="shared" si="27"/>
        <v>23</v>
      </c>
      <c r="AE87" s="172">
        <f t="shared" si="27"/>
        <v>24</v>
      </c>
      <c r="AF87" s="172">
        <f t="shared" si="27"/>
        <v>25</v>
      </c>
      <c r="AG87" s="172">
        <f t="shared" si="27"/>
        <v>26</v>
      </c>
      <c r="AH87" s="172">
        <f t="shared" si="27"/>
        <v>27</v>
      </c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</row>
    <row r="88" spans="1:74" s="16" customFormat="1" x14ac:dyDescent="0.25">
      <c r="A88" s="183">
        <f>A85+1</f>
        <v>5</v>
      </c>
      <c r="B88" s="187" t="s">
        <v>49</v>
      </c>
      <c r="C88" s="188"/>
      <c r="D88" s="189"/>
      <c r="E88" s="189"/>
      <c r="F88" s="189"/>
      <c r="G88" s="189"/>
      <c r="H88" s="176">
        <f>IF($B$13&gt;H87,0,IF($G$72-(SUM($C$88:G88)+1)&gt;0,IF($B$12&gt;0,$G$72/$B$12,0),0))</f>
        <v>0</v>
      </c>
      <c r="I88" s="176">
        <f>IF($B$13&gt;I87,0,IF($G$72-(SUM($C$88:H88)+1)&gt;0,IF($B$12&gt;0,$G$72/$B$12,0),0))</f>
        <v>0</v>
      </c>
      <c r="J88" s="176">
        <f>IF($B$13&gt;J87,0,IF($G$72-(SUM($C$88:I88)+1)&gt;0,IF($B$12&gt;0,$G$72/$B$12,0),0))</f>
        <v>364814.81481481483</v>
      </c>
      <c r="K88" s="176">
        <f>IF($B$13&gt;K87,0,IF($G$72-(SUM($C$88:J88)+1)&gt;0,IF($B$12&gt;0,$G$72/$B$12,0),0))</f>
        <v>364814.81481481483</v>
      </c>
      <c r="L88" s="176">
        <f>IF($B$13&gt;L87,0,IF($G$72-(SUM($C$88:K88)+1)&gt;0,IF($B$12&gt;0,$G$72/$B$12,0),0))</f>
        <v>364814.81481481483</v>
      </c>
      <c r="M88" s="176">
        <f>IF($B$13&gt;M87,0,IF($G$72-(SUM($C$88:L88)+1)&gt;0,IF($B$12&gt;0,$G$72/$B$12,0),0))</f>
        <v>364814.81481481483</v>
      </c>
      <c r="N88" s="176">
        <f>IF($B$13&gt;N87,0,IF($G$72-(SUM($C$88:M88)+1)&gt;0,IF($B$12&gt;0,$G$72/$B$12,0),0))</f>
        <v>364814.81481481483</v>
      </c>
      <c r="O88" s="176">
        <f>IF($B$13&gt;O87,0,IF($G$72-(SUM($C$88:N88)+1)&gt;0,IF($B$12&gt;0,$G$72/$B$12,0),0))</f>
        <v>0</v>
      </c>
      <c r="P88" s="176">
        <f>IF($B$13&gt;P87,0,IF($G$72-(SUM($C$88:O88)+1)&gt;0,IF($B$12&gt;0,$G$72/$B$12,0),0))</f>
        <v>0</v>
      </c>
      <c r="Q88" s="176">
        <f>IF($B$13&gt;Q87,0,IF($G$72-(SUM($C$88:P88)+1)&gt;0,IF($B$12&gt;0,$G$72/$B$12,0),0))</f>
        <v>0</v>
      </c>
      <c r="R88" s="176">
        <f>IF($B$13&gt;R87,0,IF($G$72-(SUM($C$88:Q88)+1)&gt;0,IF($B$12&gt;0,$G$72/$B$12,0),0))</f>
        <v>0</v>
      </c>
      <c r="S88" s="176">
        <f>IF($B$13&gt;S87,0,IF($G$72-(SUM($C$88:R88)+1)&gt;0,IF($B$12&gt;0,$G$72/$B$12,0),0))</f>
        <v>0</v>
      </c>
      <c r="T88" s="176">
        <f>IF($B$13&gt;T87,0,IF($G$72-(SUM($C$88:S88)+1)&gt;0,IF($B$12&gt;0,$G$72/$B$12,0),0))</f>
        <v>0</v>
      </c>
      <c r="U88" s="176">
        <f>IF($B$13&gt;U87,0,IF($G$72-(SUM($C$88:T88)+1)&gt;0,IF($B$12&gt;0,$G$72/$B$12,0),0))</f>
        <v>0</v>
      </c>
      <c r="V88" s="176">
        <f>IF($B$13&gt;V87,0,IF($G$72-(SUM($C$88:U88)+1)&gt;0,IF($B$12&gt;0,$G$72/$B$12,0),0))</f>
        <v>0</v>
      </c>
      <c r="W88" s="176">
        <f>IF($B$13&gt;W87,0,IF($G$72-(SUM($C$88:V88)+1)&gt;0,IF($B$12&gt;0,$G$72/$B$12,0),0))</f>
        <v>0</v>
      </c>
      <c r="X88" s="176">
        <f>IF($B$13&gt;X87,0,IF($G$72-(SUM($C$88:W88)+1)&gt;0,IF($B$12&gt;0,$G$72/$B$12,0),0))</f>
        <v>0</v>
      </c>
      <c r="Y88" s="176">
        <f>IF($B$13&gt;Y87,0,IF($G$72-(SUM($C$88:X88)+1)&gt;0,IF($B$12&gt;0,$G$72/$B$12,0),0))</f>
        <v>0</v>
      </c>
      <c r="Z88" s="176">
        <f>IF($B$13&gt;Z87,0,IF($G$72-(SUM($C$88:Y88)+1)&gt;0,IF($B$12&gt;0,$G$72/$B$12,0),0))</f>
        <v>0</v>
      </c>
      <c r="AA88" s="176">
        <f>IF($B$13&gt;AA87,0,IF($G$72-(SUM($C$88:Z88)+1)&gt;0,IF($B$12&gt;0,$G$72/$B$12,0),0))</f>
        <v>0</v>
      </c>
      <c r="AB88" s="177">
        <f>IF($B$13&gt;AB87,0,IF($G$72-(SUM($C$88:AA88)+1)&gt;0,IF($B$12&gt;0,$G$72/$B$12,0),0))</f>
        <v>0</v>
      </c>
      <c r="AC88" s="177">
        <f>IF($B$13&gt;AC87,0,IF($G$72-(SUM($C$88:AB88)+1)&gt;0,IF($B$12&gt;0,$G$72/$B$12,0),0))</f>
        <v>0</v>
      </c>
      <c r="AD88" s="177">
        <f>IF($B$13&gt;AD87,0,IF($G$72-(SUM($C$88:AC88)+1)&gt;0,IF($B$12&gt;0,$G$72/$B$12,0),0))</f>
        <v>0</v>
      </c>
      <c r="AE88" s="177">
        <f>IF($B$13&gt;AE87,0,IF($G$72-(SUM($C$88:AD88)+1)&gt;0,IF($B$12&gt;0,$G$72/$B$12,0),0))</f>
        <v>0</v>
      </c>
      <c r="AF88" s="177">
        <f>IF($B$13&gt;AF87,0,IF($G$72-(SUM($C$88:AE88)+1)&gt;0,IF($B$12&gt;0,$G$72/$B$12,0),0))</f>
        <v>0</v>
      </c>
      <c r="AG88" s="177">
        <f>IF($B$13&gt;AG87,0,IF($G$72-(SUM($C$88:AF88)+1)&gt;0,IF($B$12&gt;0,$G$72/$B$12,0),0))</f>
        <v>0</v>
      </c>
      <c r="AH88" s="177">
        <f>IF($B$13&gt;AH87,0,IF($G$72-(SUM($C$88:AG88)+1)&gt;0,IF($B$12&gt;0,$G$72/$B$12,0),0))</f>
        <v>0</v>
      </c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</row>
    <row r="89" spans="1:74" s="16" customFormat="1" x14ac:dyDescent="0.25">
      <c r="A89" s="194"/>
      <c r="B89" s="179" t="s">
        <v>50</v>
      </c>
      <c r="C89" s="191"/>
      <c r="D89" s="192"/>
      <c r="E89" s="192"/>
      <c r="F89" s="192"/>
      <c r="G89" s="192"/>
      <c r="H89" s="181">
        <f>($G$72-SUM($C$88:G88))*$B$14</f>
        <v>228009.25925925927</v>
      </c>
      <c r="I89" s="181">
        <f>($G$72-SUM($C$88:H88))*$B$14</f>
        <v>228009.25925925927</v>
      </c>
      <c r="J89" s="181">
        <f>($G$72-SUM($C$88:I88))*$B$14</f>
        <v>228009.25925925927</v>
      </c>
      <c r="K89" s="181">
        <f>($G$72-SUM($C$88:J88))*$B$14</f>
        <v>182407.40740740742</v>
      </c>
      <c r="L89" s="181">
        <f>($G$72-SUM($C$88:K88))*$B$14</f>
        <v>136805.55555555556</v>
      </c>
      <c r="M89" s="181">
        <f>($G$72-SUM($C$88:L88))*$B$14</f>
        <v>91203.703703703708</v>
      </c>
      <c r="N89" s="181">
        <f>($G$72-SUM($C$88:M88))*$B$14</f>
        <v>45601.851851851854</v>
      </c>
      <c r="O89" s="181">
        <f>($G$72-SUM($C$88:N88))*$B$14</f>
        <v>0</v>
      </c>
      <c r="P89" s="181">
        <f>($G$72-SUM($C$88:O88))*$B$14</f>
        <v>0</v>
      </c>
      <c r="Q89" s="181">
        <f>($G$72-SUM($C$88:P88))*$B$14</f>
        <v>0</v>
      </c>
      <c r="R89" s="181">
        <f>($G$72-SUM($C$88:Q88))*$B$14</f>
        <v>0</v>
      </c>
      <c r="S89" s="181">
        <f>($G$72-SUM($C$88:R88))*$B$14</f>
        <v>0</v>
      </c>
      <c r="T89" s="181">
        <f>($G$72-SUM($C$88:S88))*$B$14</f>
        <v>0</v>
      </c>
      <c r="U89" s="181">
        <f>($G$72-SUM($C$88:T88))*$B$14</f>
        <v>0</v>
      </c>
      <c r="V89" s="181">
        <f>($G$72-SUM($C$88:U88))*$B$14</f>
        <v>0</v>
      </c>
      <c r="W89" s="181">
        <f>($G$72-SUM($C$88:V88))*$B$14</f>
        <v>0</v>
      </c>
      <c r="X89" s="181">
        <f>($G$72-SUM($C$88:W88))*$B$14</f>
        <v>0</v>
      </c>
      <c r="Y89" s="181">
        <f>($G$72-SUM($C$88:X88))*$B$14</f>
        <v>0</v>
      </c>
      <c r="Z89" s="181">
        <f>($G$72-SUM($C$88:Y88))*$B$14</f>
        <v>0</v>
      </c>
      <c r="AA89" s="181">
        <f>($G$72-SUM($C$88:Z88))*$B$14</f>
        <v>0</v>
      </c>
      <c r="AB89" s="182">
        <f>($G$72-SUM($C$88:AA88))*$B$14</f>
        <v>0</v>
      </c>
      <c r="AC89" s="182">
        <f>($G$72-SUM($C$88:AB88))*$B$14</f>
        <v>0</v>
      </c>
      <c r="AD89" s="182">
        <f>($G$72-SUM($C$88:AC88))*$B$14</f>
        <v>0</v>
      </c>
      <c r="AE89" s="182">
        <f>($G$72-SUM($C$88:AD88))*$B$14</f>
        <v>0</v>
      </c>
      <c r="AF89" s="182">
        <f>($G$72-SUM($C$88:AE88))*$B$14</f>
        <v>0</v>
      </c>
      <c r="AG89" s="182">
        <f>($G$72-SUM($C$88:AF88))*$B$14</f>
        <v>0</v>
      </c>
      <c r="AH89" s="182">
        <f>($G$72-SUM($C$88:AG88))*$B$14</f>
        <v>0</v>
      </c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</row>
    <row r="90" spans="1:74" ht="9" customHeight="1" x14ac:dyDescent="0.25">
      <c r="A90" s="183"/>
      <c r="B90" s="184"/>
      <c r="C90" s="185"/>
      <c r="D90" s="186"/>
      <c r="E90" s="193"/>
      <c r="F90" s="193"/>
      <c r="G90" s="193"/>
      <c r="H90" s="193"/>
      <c r="I90" s="171">
        <v>1</v>
      </c>
      <c r="J90" s="171">
        <f>I90+1</f>
        <v>2</v>
      </c>
      <c r="K90" s="171">
        <f t="shared" ref="K90:AH90" si="28">J90+1</f>
        <v>3</v>
      </c>
      <c r="L90" s="171">
        <f t="shared" si="28"/>
        <v>4</v>
      </c>
      <c r="M90" s="171">
        <f t="shared" si="28"/>
        <v>5</v>
      </c>
      <c r="N90" s="171">
        <f t="shared" si="28"/>
        <v>6</v>
      </c>
      <c r="O90" s="171">
        <f t="shared" si="28"/>
        <v>7</v>
      </c>
      <c r="P90" s="171">
        <f t="shared" si="28"/>
        <v>8</v>
      </c>
      <c r="Q90" s="171">
        <f t="shared" si="28"/>
        <v>9</v>
      </c>
      <c r="R90" s="171">
        <f t="shared" si="28"/>
        <v>10</v>
      </c>
      <c r="S90" s="171">
        <f t="shared" si="28"/>
        <v>11</v>
      </c>
      <c r="T90" s="171">
        <f t="shared" si="28"/>
        <v>12</v>
      </c>
      <c r="U90" s="171">
        <f t="shared" si="28"/>
        <v>13</v>
      </c>
      <c r="V90" s="171">
        <f t="shared" si="28"/>
        <v>14</v>
      </c>
      <c r="W90" s="171">
        <f t="shared" si="28"/>
        <v>15</v>
      </c>
      <c r="X90" s="171">
        <f t="shared" si="28"/>
        <v>16</v>
      </c>
      <c r="Y90" s="171">
        <f t="shared" si="28"/>
        <v>17</v>
      </c>
      <c r="Z90" s="171">
        <f t="shared" si="28"/>
        <v>18</v>
      </c>
      <c r="AA90" s="171">
        <f t="shared" si="28"/>
        <v>19</v>
      </c>
      <c r="AB90" s="172">
        <f t="shared" si="28"/>
        <v>20</v>
      </c>
      <c r="AC90" s="172">
        <f t="shared" si="28"/>
        <v>21</v>
      </c>
      <c r="AD90" s="172">
        <f t="shared" si="28"/>
        <v>22</v>
      </c>
      <c r="AE90" s="172">
        <f t="shared" si="28"/>
        <v>23</v>
      </c>
      <c r="AF90" s="172">
        <f t="shared" si="28"/>
        <v>24</v>
      </c>
      <c r="AG90" s="172">
        <f t="shared" si="28"/>
        <v>25</v>
      </c>
      <c r="AH90" s="172">
        <f t="shared" si="28"/>
        <v>26</v>
      </c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</row>
    <row r="91" spans="1:74" s="16" customFormat="1" x14ac:dyDescent="0.25">
      <c r="A91" s="183">
        <f>A88+1</f>
        <v>6</v>
      </c>
      <c r="B91" s="187" t="s">
        <v>49</v>
      </c>
      <c r="C91" s="188"/>
      <c r="D91" s="189"/>
      <c r="E91" s="189"/>
      <c r="F91" s="189"/>
      <c r="G91" s="189"/>
      <c r="H91" s="189"/>
      <c r="I91" s="176">
        <f>IF($B$13&gt;I90,0,IF($H$72-(SUM($C$91:H91)+1)&gt;0,IF($B$12&gt;0,$H$72/$B$12,0),0))</f>
        <v>0</v>
      </c>
      <c r="J91" s="176">
        <f>IF($B$13&gt;J90,0,IF($H$72-(SUM($C$91:I91)+1)&gt;0,IF($B$12&gt;0,$H$72/$B$12,0),0))</f>
        <v>0</v>
      </c>
      <c r="K91" s="176">
        <f>IF($B$13&gt;K90,0,IF($H$72-(SUM($C$91:J91)+1)&gt;0,IF($B$12&gt;0,$H$72/$B$12,0),0))</f>
        <v>364814.81481481483</v>
      </c>
      <c r="L91" s="176">
        <f>IF($B$13&gt;L90,0,IF($H$72-(SUM($C$91:K91)+1)&gt;0,IF($B$12&gt;0,$H$72/$B$12,0),0))</f>
        <v>364814.81481481483</v>
      </c>
      <c r="M91" s="176">
        <f>IF($B$13&gt;M90,0,IF($H$72-(SUM($C$91:L91)+1)&gt;0,IF($B$12&gt;0,$H$72/$B$12,0),0))</f>
        <v>364814.81481481483</v>
      </c>
      <c r="N91" s="176">
        <f>IF($B$13&gt;N90,0,IF($H$72-(SUM($C$91:M91)+1)&gt;0,IF($B$12&gt;0,$H$72/$B$12,0),0))</f>
        <v>364814.81481481483</v>
      </c>
      <c r="O91" s="176">
        <f>IF($B$13&gt;O90,0,IF($H$72-(SUM($C$91:N91)+1)&gt;0,IF($B$12&gt;0,$H$72/$B$12,0),0))</f>
        <v>364814.81481481483</v>
      </c>
      <c r="P91" s="176">
        <f>IF($B$13&gt;P90,0,IF($H$72-(SUM($C$91:O91)+1)&gt;0,IF($B$12&gt;0,$H$72/$B$12,0),0))</f>
        <v>0</v>
      </c>
      <c r="Q91" s="176">
        <f>IF($B$13&gt;Q90,0,IF($H$72-(SUM($C$91:P91)+1)&gt;0,IF($B$12&gt;0,$H$72/$B$12,0),0))</f>
        <v>0</v>
      </c>
      <c r="R91" s="176">
        <f>IF($B$13&gt;R90,0,IF($H$72-(SUM($C$91:Q91)+1)&gt;0,IF($B$12&gt;0,$H$72/$B$12,0),0))</f>
        <v>0</v>
      </c>
      <c r="S91" s="176">
        <f>IF($B$13&gt;S90,0,IF($H$72-(SUM($C$91:R91)+1)&gt;0,IF($B$12&gt;0,$H$72/$B$12,0),0))</f>
        <v>0</v>
      </c>
      <c r="T91" s="176">
        <f>IF($B$13&gt;T90,0,IF($H$72-(SUM($C$91:S91)+1)&gt;0,IF($B$12&gt;0,$H$72/$B$12,0),0))</f>
        <v>0</v>
      </c>
      <c r="U91" s="176">
        <f>IF($B$13&gt;U90,0,IF($H$72-(SUM($C$91:T91)+1)&gt;0,IF($B$12&gt;0,$H$72/$B$12,0),0))</f>
        <v>0</v>
      </c>
      <c r="V91" s="176">
        <f>IF($B$13&gt;V90,0,IF($H$72-(SUM($C$91:U91)+1)&gt;0,IF($B$12&gt;0,$H$72/$B$12,0),0))</f>
        <v>0</v>
      </c>
      <c r="W91" s="176">
        <f>IF($B$13&gt;W90,0,IF($H$72-(SUM($C$91:V91)+1)&gt;0,IF($B$12&gt;0,$H$72/$B$12,0),0))</f>
        <v>0</v>
      </c>
      <c r="X91" s="176">
        <f>IF($B$13&gt;X90,0,IF($H$72-(SUM($C$91:W91)+1)&gt;0,IF($B$12&gt;0,$H$72/$B$12,0),0))</f>
        <v>0</v>
      </c>
      <c r="Y91" s="176">
        <f>IF($B$13&gt;Y90,0,IF($H$72-(SUM($C$91:X91)+1)&gt;0,IF($B$12&gt;0,$H$72/$B$12,0),0))</f>
        <v>0</v>
      </c>
      <c r="Z91" s="176">
        <f>IF($B$13&gt;Z90,0,IF($H$72-(SUM($C$91:Y91)+1)&gt;0,IF($B$12&gt;0,$H$72/$B$12,0),0))</f>
        <v>0</v>
      </c>
      <c r="AA91" s="176">
        <f>IF($B$13&gt;AA90,0,IF($H$72-(SUM($C$91:Z91)+1)&gt;0,IF($B$12&gt;0,$H$72/$B$12,0),0))</f>
        <v>0</v>
      </c>
      <c r="AB91" s="177">
        <f>IF($B$13&gt;AB90,0,IF($H$72-(SUM($C$91:AA91)+1)&gt;0,IF($B$12&gt;0,$H$72/$B$12,0),0))</f>
        <v>0</v>
      </c>
      <c r="AC91" s="177">
        <f>IF($B$13&gt;AC90,0,IF($H$72-(SUM($C$91:AB91)+1)&gt;0,IF($B$12&gt;0,$H$72/$B$12,0),0))</f>
        <v>0</v>
      </c>
      <c r="AD91" s="177">
        <f>IF($B$13&gt;AD90,0,IF($H$72-(SUM($C$91:AC91)+1)&gt;0,IF($B$12&gt;0,$H$72/$B$12,0),0))</f>
        <v>0</v>
      </c>
      <c r="AE91" s="177">
        <f>IF($B$13&gt;AE90,0,IF($H$72-(SUM($C$91:AD91)+1)&gt;0,IF($B$12&gt;0,$H$72/$B$12,0),0))</f>
        <v>0</v>
      </c>
      <c r="AF91" s="177">
        <f>IF($B$13&gt;AF90,0,IF($H$72-(SUM($C$91:AE91)+1)&gt;0,IF($B$12&gt;0,$H$72/$B$12,0),0))</f>
        <v>0</v>
      </c>
      <c r="AG91" s="177">
        <f>IF($B$13&gt;AG90,0,IF($H$72-(SUM($C$91:AF91)+1)&gt;0,IF($B$12&gt;0,$H$72/$B$12,0),0))</f>
        <v>0</v>
      </c>
      <c r="AH91" s="177">
        <f>IF($B$13&gt;AH90,0,IF($H$72-(SUM($C$91:AG91)+1)&gt;0,IF($B$12&gt;0,$H$72/$B$12,0),0))</f>
        <v>0</v>
      </c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</row>
    <row r="92" spans="1:74" s="16" customFormat="1" x14ac:dyDescent="0.25">
      <c r="A92" s="195"/>
      <c r="B92" s="179" t="s">
        <v>50</v>
      </c>
      <c r="C92" s="191"/>
      <c r="D92" s="192"/>
      <c r="E92" s="192"/>
      <c r="F92" s="192"/>
      <c r="G92" s="192"/>
      <c r="H92" s="192"/>
      <c r="I92" s="181">
        <f>($H$72-SUM($C$91:H91))*$B$14</f>
        <v>228009.25925925927</v>
      </c>
      <c r="J92" s="181">
        <f>($H$72-SUM($C$91:I91))*$B$14</f>
        <v>228009.25925925927</v>
      </c>
      <c r="K92" s="181">
        <f>($H$72-SUM($C$91:J91))*$B$14</f>
        <v>228009.25925925927</v>
      </c>
      <c r="L92" s="181">
        <f>($H$72-SUM($C$91:K91))*$B$14</f>
        <v>182407.40740740742</v>
      </c>
      <c r="M92" s="181">
        <f>($H$72-SUM($C$91:L91))*$B$14</f>
        <v>136805.55555555556</v>
      </c>
      <c r="N92" s="181">
        <f>($H$72-SUM($C$91:M91))*$B$14</f>
        <v>91203.703703703708</v>
      </c>
      <c r="O92" s="181">
        <f>($H$72-SUM($C$91:N91))*$B$14</f>
        <v>45601.851851851854</v>
      </c>
      <c r="P92" s="181">
        <f>($H$72-SUM($C$91:O91))*$B$14</f>
        <v>0</v>
      </c>
      <c r="Q92" s="181">
        <f>($H$72-SUM($C$91:P91))*$B$14</f>
        <v>0</v>
      </c>
      <c r="R92" s="181">
        <f>($H$72-SUM($C$91:Q91))*$B$14</f>
        <v>0</v>
      </c>
      <c r="S92" s="181">
        <f>($H$72-SUM($C$91:R91))*$B$14</f>
        <v>0</v>
      </c>
      <c r="T92" s="181">
        <f>($H$72-SUM($C$91:S91))*$B$14</f>
        <v>0</v>
      </c>
      <c r="U92" s="181">
        <f>($H$72-SUM($C$91:T91))*$B$14</f>
        <v>0</v>
      </c>
      <c r="V92" s="181">
        <f>($H$72-SUM($C$91:U91))*$B$14</f>
        <v>0</v>
      </c>
      <c r="W92" s="181">
        <f>($H$72-SUM($C$91:V91))*$B$14</f>
        <v>0</v>
      </c>
      <c r="X92" s="181">
        <f>($H$72-SUM($C$91:W91))*$B$14</f>
        <v>0</v>
      </c>
      <c r="Y92" s="181">
        <f>($H$72-SUM($C$91:X91))*$B$14</f>
        <v>0</v>
      </c>
      <c r="Z92" s="181">
        <f>($H$72-SUM($C$91:Y91))*$B$14</f>
        <v>0</v>
      </c>
      <c r="AA92" s="181">
        <f>($H$72-SUM($C$91:Z91))*$B$14</f>
        <v>0</v>
      </c>
      <c r="AB92" s="182">
        <f>($H$72-SUM($C$91:AA91))*$B$14</f>
        <v>0</v>
      </c>
      <c r="AC92" s="182">
        <f>($H$72-SUM($C$91:AB91))*$B$14</f>
        <v>0</v>
      </c>
      <c r="AD92" s="182">
        <f>($H$72-SUM($C$91:AC91))*$B$14</f>
        <v>0</v>
      </c>
      <c r="AE92" s="182">
        <f>($H$72-SUM($C$91:AD91))*$B$14</f>
        <v>0</v>
      </c>
      <c r="AF92" s="182">
        <f>($H$72-SUM($C$91:AE91))*$B$14</f>
        <v>0</v>
      </c>
      <c r="AG92" s="182">
        <f>($H$72-SUM($C$91:AF91))*$B$14</f>
        <v>0</v>
      </c>
      <c r="AH92" s="182">
        <f>($H$72-SUM($C$91:AG91))*$B$14</f>
        <v>0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</row>
    <row r="93" spans="1:74" x14ac:dyDescent="0.25">
      <c r="A93" s="40"/>
      <c r="B93" s="20"/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29"/>
      <c r="AC93" s="29"/>
      <c r="AD93" s="29"/>
      <c r="AE93" s="29"/>
      <c r="AF93" s="29"/>
      <c r="AG93" s="29"/>
      <c r="AH93" s="29"/>
    </row>
    <row r="94" spans="1:74" s="21" customFormat="1" x14ac:dyDescent="0.25">
      <c r="A94" s="202" t="s">
        <v>60</v>
      </c>
      <c r="B94" s="198" t="s">
        <v>37</v>
      </c>
      <c r="C94" s="203">
        <f t="shared" ref="C94:AH94" si="29">C34</f>
        <v>0</v>
      </c>
      <c r="D94" s="203">
        <f t="shared" si="29"/>
        <v>293060.88464041753</v>
      </c>
      <c r="E94" s="203">
        <f t="shared" si="29"/>
        <v>559479.87067716056</v>
      </c>
      <c r="F94" s="203">
        <f t="shared" si="29"/>
        <v>801678.94889238186</v>
      </c>
      <c r="G94" s="203">
        <f t="shared" si="29"/>
        <v>1021859.9290880372</v>
      </c>
      <c r="H94" s="203">
        <f t="shared" si="29"/>
        <v>1222024.4565386337</v>
      </c>
      <c r="I94" s="203">
        <f t="shared" si="29"/>
        <v>1403992.2087664481</v>
      </c>
      <c r="J94" s="203">
        <f t="shared" si="29"/>
        <v>1403992.2087664481</v>
      </c>
      <c r="K94" s="203">
        <f t="shared" si="29"/>
        <v>1403992.2087664481</v>
      </c>
      <c r="L94" s="203">
        <f t="shared" si="29"/>
        <v>1403992.2087664481</v>
      </c>
      <c r="M94" s="203">
        <f t="shared" si="29"/>
        <v>1403992.2087664481</v>
      </c>
      <c r="N94" s="203">
        <f t="shared" si="29"/>
        <v>1403992.2087664481</v>
      </c>
      <c r="O94" s="203">
        <f t="shared" si="29"/>
        <v>1403992.2087664481</v>
      </c>
      <c r="P94" s="203">
        <f t="shared" si="29"/>
        <v>1403992.2087664481</v>
      </c>
      <c r="Q94" s="203">
        <f t="shared" si="29"/>
        <v>1403992.2087664481</v>
      </c>
      <c r="R94" s="203">
        <f t="shared" si="29"/>
        <v>1403992.2087664481</v>
      </c>
      <c r="S94" s="203">
        <f t="shared" si="29"/>
        <v>1403992.2087664481</v>
      </c>
      <c r="T94" s="203">
        <f t="shared" si="29"/>
        <v>1403992.2087664481</v>
      </c>
      <c r="U94" s="203">
        <f t="shared" si="29"/>
        <v>1403992.2087664481</v>
      </c>
      <c r="V94" s="203">
        <f t="shared" si="29"/>
        <v>1403992.2087664481</v>
      </c>
      <c r="W94" s="203">
        <f t="shared" si="29"/>
        <v>1403992.2087664481</v>
      </c>
      <c r="X94" s="203">
        <f t="shared" si="29"/>
        <v>1403992.2087664481</v>
      </c>
      <c r="Y94" s="203">
        <f t="shared" si="29"/>
        <v>1403992.2087664481</v>
      </c>
      <c r="Z94" s="203">
        <f t="shared" si="29"/>
        <v>1403992.2087664481</v>
      </c>
      <c r="AA94" s="203">
        <f t="shared" si="29"/>
        <v>1403992.2087664481</v>
      </c>
      <c r="AB94" s="203">
        <f t="shared" si="29"/>
        <v>1403992.2087664481</v>
      </c>
      <c r="AC94" s="203">
        <f t="shared" si="29"/>
        <v>1403992.2087664481</v>
      </c>
      <c r="AD94" s="203">
        <f t="shared" si="29"/>
        <v>1110931.3241260308</v>
      </c>
      <c r="AE94" s="203">
        <f t="shared" si="29"/>
        <v>844512.33808928716</v>
      </c>
      <c r="AF94" s="203">
        <f t="shared" si="29"/>
        <v>602313.25987406611</v>
      </c>
      <c r="AG94" s="203">
        <f t="shared" si="29"/>
        <v>382132.2796784105</v>
      </c>
      <c r="AH94" s="203">
        <f t="shared" si="29"/>
        <v>181967.75222781458</v>
      </c>
    </row>
    <row r="95" spans="1:74" s="21" customFormat="1" x14ac:dyDescent="0.25">
      <c r="A95" s="202" t="s">
        <v>55</v>
      </c>
      <c r="B95" s="198" t="s">
        <v>37</v>
      </c>
      <c r="C95" s="203">
        <f t="shared" ref="C95:AH95" si="30">C26</f>
        <v>0</v>
      </c>
      <c r="D95" s="203">
        <f t="shared" si="30"/>
        <v>165824.91582491584</v>
      </c>
      <c r="E95" s="203">
        <f t="shared" si="30"/>
        <v>316574.83930211206</v>
      </c>
      <c r="F95" s="203">
        <f t="shared" si="30"/>
        <v>453620.22428138135</v>
      </c>
      <c r="G95" s="203">
        <f t="shared" si="30"/>
        <v>578206.93789889885</v>
      </c>
      <c r="H95" s="203">
        <f t="shared" si="30"/>
        <v>691467.58664209663</v>
      </c>
      <c r="I95" s="203">
        <f t="shared" si="30"/>
        <v>794431.81277227646</v>
      </c>
      <c r="J95" s="203">
        <f t="shared" si="30"/>
        <v>794431.81277227646</v>
      </c>
      <c r="K95" s="203">
        <f t="shared" si="30"/>
        <v>794431.81277227646</v>
      </c>
      <c r="L95" s="203">
        <f t="shared" si="30"/>
        <v>794431.81277227646</v>
      </c>
      <c r="M95" s="203">
        <f t="shared" si="30"/>
        <v>794431.81277227646</v>
      </c>
      <c r="N95" s="203">
        <f t="shared" si="30"/>
        <v>794431.81277227646</v>
      </c>
      <c r="O95" s="203">
        <f t="shared" si="30"/>
        <v>794431.81277227646</v>
      </c>
      <c r="P95" s="203">
        <f t="shared" si="30"/>
        <v>794431.81277227646</v>
      </c>
      <c r="Q95" s="203">
        <f t="shared" si="30"/>
        <v>794431.81277227646</v>
      </c>
      <c r="R95" s="203">
        <f t="shared" si="30"/>
        <v>794431.81277227646</v>
      </c>
      <c r="S95" s="203">
        <f t="shared" si="30"/>
        <v>794431.81277227646</v>
      </c>
      <c r="T95" s="203">
        <f t="shared" si="30"/>
        <v>794431.81277227646</v>
      </c>
      <c r="U95" s="203">
        <f t="shared" si="30"/>
        <v>794431.81277227646</v>
      </c>
      <c r="V95" s="203">
        <f t="shared" si="30"/>
        <v>794431.81277227646</v>
      </c>
      <c r="W95" s="203">
        <f t="shared" si="30"/>
        <v>794431.81277227646</v>
      </c>
      <c r="X95" s="203">
        <f t="shared" si="30"/>
        <v>794431.81277227646</v>
      </c>
      <c r="Y95" s="203">
        <f t="shared" si="30"/>
        <v>794431.81277227646</v>
      </c>
      <c r="Z95" s="203">
        <f t="shared" si="30"/>
        <v>794431.81277227646</v>
      </c>
      <c r="AA95" s="203">
        <f t="shared" si="30"/>
        <v>794431.81277227646</v>
      </c>
      <c r="AB95" s="203">
        <f t="shared" si="30"/>
        <v>794431.81277227646</v>
      </c>
      <c r="AC95" s="203">
        <f t="shared" si="30"/>
        <v>794431.81277227646</v>
      </c>
      <c r="AD95" s="203">
        <f t="shared" si="30"/>
        <v>628606.8969473606</v>
      </c>
      <c r="AE95" s="203">
        <f t="shared" si="30"/>
        <v>477856.9734701644</v>
      </c>
      <c r="AF95" s="203">
        <f t="shared" si="30"/>
        <v>340811.58849089511</v>
      </c>
      <c r="AG95" s="203">
        <f t="shared" si="30"/>
        <v>216224.87487337762</v>
      </c>
      <c r="AH95" s="203">
        <f t="shared" si="30"/>
        <v>102964.22613017984</v>
      </c>
    </row>
    <row r="96" spans="1:74" s="21" customFormat="1" x14ac:dyDescent="0.25">
      <c r="A96" s="202" t="s">
        <v>56</v>
      </c>
      <c r="B96" s="198" t="s">
        <v>37</v>
      </c>
      <c r="C96" s="203">
        <f t="shared" ref="C96" si="31">C94-C95</f>
        <v>0</v>
      </c>
      <c r="D96" s="203">
        <f>D94-D95</f>
        <v>127235.96881550169</v>
      </c>
      <c r="E96" s="203">
        <f t="shared" ref="E96:AH96" si="32">E94-E95</f>
        <v>242905.03137504851</v>
      </c>
      <c r="F96" s="203">
        <f t="shared" si="32"/>
        <v>348058.72461100051</v>
      </c>
      <c r="G96" s="203">
        <f t="shared" si="32"/>
        <v>443652.99118913838</v>
      </c>
      <c r="H96" s="203">
        <f t="shared" si="32"/>
        <v>530556.86989653704</v>
      </c>
      <c r="I96" s="203">
        <f t="shared" si="32"/>
        <v>609560.39599417162</v>
      </c>
      <c r="J96" s="203">
        <f t="shared" si="32"/>
        <v>609560.39599417162</v>
      </c>
      <c r="K96" s="203">
        <f t="shared" si="32"/>
        <v>609560.39599417162</v>
      </c>
      <c r="L96" s="203">
        <f t="shared" si="32"/>
        <v>609560.39599417162</v>
      </c>
      <c r="M96" s="203">
        <f t="shared" si="32"/>
        <v>609560.39599417162</v>
      </c>
      <c r="N96" s="203">
        <f t="shared" si="32"/>
        <v>609560.39599417162</v>
      </c>
      <c r="O96" s="203">
        <f t="shared" si="32"/>
        <v>609560.39599417162</v>
      </c>
      <c r="P96" s="203">
        <f t="shared" si="32"/>
        <v>609560.39599417162</v>
      </c>
      <c r="Q96" s="203">
        <f t="shared" si="32"/>
        <v>609560.39599417162</v>
      </c>
      <c r="R96" s="203">
        <f t="shared" si="32"/>
        <v>609560.39599417162</v>
      </c>
      <c r="S96" s="203">
        <f t="shared" si="32"/>
        <v>609560.39599417162</v>
      </c>
      <c r="T96" s="203">
        <f t="shared" si="32"/>
        <v>609560.39599417162</v>
      </c>
      <c r="U96" s="203">
        <f t="shared" si="32"/>
        <v>609560.39599417162</v>
      </c>
      <c r="V96" s="203">
        <f t="shared" si="32"/>
        <v>609560.39599417162</v>
      </c>
      <c r="W96" s="203">
        <f t="shared" si="32"/>
        <v>609560.39599417162</v>
      </c>
      <c r="X96" s="203">
        <f t="shared" si="32"/>
        <v>609560.39599417162</v>
      </c>
      <c r="Y96" s="203">
        <f t="shared" si="32"/>
        <v>609560.39599417162</v>
      </c>
      <c r="Z96" s="203">
        <f t="shared" si="32"/>
        <v>609560.39599417162</v>
      </c>
      <c r="AA96" s="203">
        <f t="shared" si="32"/>
        <v>609560.39599417162</v>
      </c>
      <c r="AB96" s="203">
        <f t="shared" si="32"/>
        <v>609560.39599417162</v>
      </c>
      <c r="AC96" s="203">
        <f t="shared" si="32"/>
        <v>609560.39599417162</v>
      </c>
      <c r="AD96" s="203">
        <f t="shared" si="32"/>
        <v>482324.42717867019</v>
      </c>
      <c r="AE96" s="203">
        <f t="shared" si="32"/>
        <v>366655.36461912276</v>
      </c>
      <c r="AF96" s="203">
        <f t="shared" si="32"/>
        <v>261501.67138317099</v>
      </c>
      <c r="AG96" s="203">
        <f t="shared" si="32"/>
        <v>165907.40480503289</v>
      </c>
      <c r="AH96" s="203">
        <f t="shared" si="32"/>
        <v>79003.526097634734</v>
      </c>
    </row>
    <row r="97" spans="1:34" s="21" customFormat="1" x14ac:dyDescent="0.25">
      <c r="A97" s="202" t="s">
        <v>57</v>
      </c>
      <c r="B97" s="198" t="s">
        <v>37</v>
      </c>
      <c r="C97" s="203">
        <f>C71</f>
        <v>0</v>
      </c>
      <c r="D97" s="203">
        <f t="shared" ref="D97:AH97" si="33">D71</f>
        <v>228009.25925925924</v>
      </c>
      <c r="E97" s="203">
        <f t="shared" si="33"/>
        <v>456018.51851851848</v>
      </c>
      <c r="F97" s="203">
        <f t="shared" si="33"/>
        <v>684027.77777777775</v>
      </c>
      <c r="G97" s="203">
        <f t="shared" si="33"/>
        <v>866435.18518518505</v>
      </c>
      <c r="H97" s="203">
        <f t="shared" si="33"/>
        <v>1003240.7407407407</v>
      </c>
      <c r="I97" s="203">
        <f t="shared" si="33"/>
        <v>1094444.4444444445</v>
      </c>
      <c r="J97" s="203">
        <f t="shared" si="33"/>
        <v>912037.03703703708</v>
      </c>
      <c r="K97" s="203">
        <f t="shared" si="33"/>
        <v>684027.77777777775</v>
      </c>
      <c r="L97" s="203">
        <f t="shared" si="33"/>
        <v>456018.51851851854</v>
      </c>
      <c r="M97" s="203">
        <f t="shared" si="33"/>
        <v>273611.11111111112</v>
      </c>
      <c r="N97" s="203">
        <f t="shared" si="33"/>
        <v>136805.55555555556</v>
      </c>
      <c r="O97" s="203">
        <f t="shared" si="33"/>
        <v>45601.851851851854</v>
      </c>
      <c r="P97" s="203">
        <f t="shared" si="33"/>
        <v>0</v>
      </c>
      <c r="Q97" s="203">
        <f t="shared" si="33"/>
        <v>0</v>
      </c>
      <c r="R97" s="203">
        <f t="shared" si="33"/>
        <v>0</v>
      </c>
      <c r="S97" s="203">
        <f t="shared" si="33"/>
        <v>0</v>
      </c>
      <c r="T97" s="203">
        <f t="shared" si="33"/>
        <v>0</v>
      </c>
      <c r="U97" s="203">
        <f t="shared" si="33"/>
        <v>0</v>
      </c>
      <c r="V97" s="203">
        <f t="shared" si="33"/>
        <v>0</v>
      </c>
      <c r="W97" s="203">
        <f t="shared" si="33"/>
        <v>0</v>
      </c>
      <c r="X97" s="203">
        <f t="shared" si="33"/>
        <v>0</v>
      </c>
      <c r="Y97" s="203">
        <f t="shared" si="33"/>
        <v>0</v>
      </c>
      <c r="Z97" s="203">
        <f t="shared" si="33"/>
        <v>0</v>
      </c>
      <c r="AA97" s="203">
        <f t="shared" si="33"/>
        <v>0</v>
      </c>
      <c r="AB97" s="203">
        <f t="shared" si="33"/>
        <v>0</v>
      </c>
      <c r="AC97" s="203">
        <f t="shared" si="33"/>
        <v>0</v>
      </c>
      <c r="AD97" s="203">
        <f t="shared" si="33"/>
        <v>0</v>
      </c>
      <c r="AE97" s="203">
        <f t="shared" si="33"/>
        <v>0</v>
      </c>
      <c r="AF97" s="203">
        <f t="shared" si="33"/>
        <v>0</v>
      </c>
      <c r="AG97" s="203">
        <f t="shared" si="33"/>
        <v>0</v>
      </c>
      <c r="AH97" s="203">
        <f t="shared" si="33"/>
        <v>0</v>
      </c>
    </row>
    <row r="98" spans="1:34" s="21" customFormat="1" x14ac:dyDescent="0.25">
      <c r="A98" s="202" t="s">
        <v>58</v>
      </c>
      <c r="B98" s="198" t="s">
        <v>37</v>
      </c>
      <c r="C98" s="203">
        <f>C96-C97</f>
        <v>0</v>
      </c>
      <c r="D98" s="203">
        <f>D96-D97</f>
        <v>-100773.29044375755</v>
      </c>
      <c r="E98" s="203">
        <f t="shared" ref="E98:AH98" si="34">E96-E97</f>
        <v>-213113.48714346997</v>
      </c>
      <c r="F98" s="203">
        <f t="shared" si="34"/>
        <v>-335969.05316677724</v>
      </c>
      <c r="G98" s="203">
        <f t="shared" si="34"/>
        <v>-422782.19399604667</v>
      </c>
      <c r="H98" s="203">
        <f t="shared" si="34"/>
        <v>-472683.87084420363</v>
      </c>
      <c r="I98" s="203">
        <f t="shared" si="34"/>
        <v>-484884.04845027288</v>
      </c>
      <c r="J98" s="203">
        <f t="shared" si="34"/>
        <v>-302476.64104286546</v>
      </c>
      <c r="K98" s="203">
        <f t="shared" si="34"/>
        <v>-74467.381783606135</v>
      </c>
      <c r="L98" s="203">
        <f t="shared" si="34"/>
        <v>153541.87747565308</v>
      </c>
      <c r="M98" s="203">
        <f t="shared" si="34"/>
        <v>335949.28488306049</v>
      </c>
      <c r="N98" s="203">
        <f t="shared" si="34"/>
        <v>472754.84043861605</v>
      </c>
      <c r="O98" s="203">
        <f t="shared" si="34"/>
        <v>563958.54414231982</v>
      </c>
      <c r="P98" s="203">
        <f t="shared" si="34"/>
        <v>609560.39599417162</v>
      </c>
      <c r="Q98" s="203">
        <f t="shared" si="34"/>
        <v>609560.39599417162</v>
      </c>
      <c r="R98" s="203">
        <f t="shared" si="34"/>
        <v>609560.39599417162</v>
      </c>
      <c r="S98" s="203">
        <f t="shared" si="34"/>
        <v>609560.39599417162</v>
      </c>
      <c r="T98" s="203">
        <f t="shared" si="34"/>
        <v>609560.39599417162</v>
      </c>
      <c r="U98" s="203">
        <f t="shared" si="34"/>
        <v>609560.39599417162</v>
      </c>
      <c r="V98" s="203">
        <f t="shared" si="34"/>
        <v>609560.39599417162</v>
      </c>
      <c r="W98" s="203">
        <f t="shared" si="34"/>
        <v>609560.39599417162</v>
      </c>
      <c r="X98" s="203">
        <f t="shared" si="34"/>
        <v>609560.39599417162</v>
      </c>
      <c r="Y98" s="203">
        <f t="shared" si="34"/>
        <v>609560.39599417162</v>
      </c>
      <c r="Z98" s="203">
        <f t="shared" si="34"/>
        <v>609560.39599417162</v>
      </c>
      <c r="AA98" s="203">
        <f t="shared" si="34"/>
        <v>609560.39599417162</v>
      </c>
      <c r="AB98" s="203">
        <f t="shared" si="34"/>
        <v>609560.39599417162</v>
      </c>
      <c r="AC98" s="203">
        <f t="shared" si="34"/>
        <v>609560.39599417162</v>
      </c>
      <c r="AD98" s="203">
        <f t="shared" si="34"/>
        <v>482324.42717867019</v>
      </c>
      <c r="AE98" s="203">
        <f t="shared" si="34"/>
        <v>366655.36461912276</v>
      </c>
      <c r="AF98" s="203">
        <f t="shared" si="34"/>
        <v>261501.67138317099</v>
      </c>
      <c r="AG98" s="203">
        <f t="shared" si="34"/>
        <v>165907.40480503289</v>
      </c>
      <c r="AH98" s="203">
        <f t="shared" si="34"/>
        <v>79003.526097634734</v>
      </c>
    </row>
    <row r="99" spans="1:34" s="21" customFormat="1" x14ac:dyDescent="0.25">
      <c r="A99" s="199" t="s">
        <v>61</v>
      </c>
      <c r="B99" s="198" t="s">
        <v>37</v>
      </c>
      <c r="C99" s="203">
        <v>0</v>
      </c>
      <c r="D99" s="203">
        <v>0</v>
      </c>
      <c r="E99" s="203">
        <v>0</v>
      </c>
      <c r="F99" s="203">
        <v>0</v>
      </c>
      <c r="G99" s="203">
        <v>0</v>
      </c>
      <c r="H99" s="203">
        <v>0</v>
      </c>
      <c r="I99" s="203">
        <v>0</v>
      </c>
      <c r="J99" s="203">
        <v>0</v>
      </c>
      <c r="K99" s="203">
        <v>0</v>
      </c>
      <c r="L99" s="203">
        <v>0</v>
      </c>
      <c r="M99" s="203">
        <v>0</v>
      </c>
      <c r="N99" s="203">
        <v>0</v>
      </c>
      <c r="O99" s="203">
        <v>0</v>
      </c>
      <c r="P99" s="203">
        <v>0</v>
      </c>
      <c r="Q99" s="203">
        <v>0</v>
      </c>
      <c r="R99" s="203">
        <v>0</v>
      </c>
      <c r="S99" s="203">
        <v>0</v>
      </c>
      <c r="T99" s="203">
        <v>0</v>
      </c>
      <c r="U99" s="203">
        <v>0</v>
      </c>
      <c r="V99" s="203">
        <v>0</v>
      </c>
      <c r="W99" s="203">
        <v>0</v>
      </c>
      <c r="X99" s="203">
        <v>0</v>
      </c>
      <c r="Y99" s="203">
        <v>0</v>
      </c>
      <c r="Z99" s="203">
        <v>0</v>
      </c>
      <c r="AA99" s="203">
        <v>0</v>
      </c>
      <c r="AB99" s="203">
        <v>0</v>
      </c>
      <c r="AC99" s="203">
        <v>0</v>
      </c>
      <c r="AD99" s="203">
        <v>0</v>
      </c>
      <c r="AE99" s="203">
        <v>0</v>
      </c>
      <c r="AF99" s="203">
        <v>0</v>
      </c>
      <c r="AG99" s="203">
        <v>0</v>
      </c>
      <c r="AH99" s="203">
        <v>0</v>
      </c>
    </row>
    <row r="100" spans="1:34" s="21" customFormat="1" x14ac:dyDescent="0.25">
      <c r="A100" s="202" t="s">
        <v>59</v>
      </c>
      <c r="B100" s="198" t="s">
        <v>37</v>
      </c>
      <c r="C100" s="203">
        <f>C98+C99</f>
        <v>0</v>
      </c>
      <c r="D100" s="203">
        <f>D98+D99</f>
        <v>-100773.29044375755</v>
      </c>
      <c r="E100" s="203">
        <f t="shared" ref="E100:AH100" si="35">E98+E99</f>
        <v>-213113.48714346997</v>
      </c>
      <c r="F100" s="203">
        <f t="shared" si="35"/>
        <v>-335969.05316677724</v>
      </c>
      <c r="G100" s="203">
        <f t="shared" si="35"/>
        <v>-422782.19399604667</v>
      </c>
      <c r="H100" s="203">
        <f t="shared" si="35"/>
        <v>-472683.87084420363</v>
      </c>
      <c r="I100" s="203">
        <f t="shared" si="35"/>
        <v>-484884.04845027288</v>
      </c>
      <c r="J100" s="203">
        <f t="shared" si="35"/>
        <v>-302476.64104286546</v>
      </c>
      <c r="K100" s="203">
        <f t="shared" si="35"/>
        <v>-74467.381783606135</v>
      </c>
      <c r="L100" s="203">
        <f t="shared" si="35"/>
        <v>153541.87747565308</v>
      </c>
      <c r="M100" s="203">
        <f t="shared" si="35"/>
        <v>335949.28488306049</v>
      </c>
      <c r="N100" s="203">
        <f t="shared" si="35"/>
        <v>472754.84043861605</v>
      </c>
      <c r="O100" s="203">
        <f t="shared" si="35"/>
        <v>563958.54414231982</v>
      </c>
      <c r="P100" s="203">
        <f t="shared" si="35"/>
        <v>609560.39599417162</v>
      </c>
      <c r="Q100" s="203">
        <f t="shared" si="35"/>
        <v>609560.39599417162</v>
      </c>
      <c r="R100" s="203">
        <f t="shared" si="35"/>
        <v>609560.39599417162</v>
      </c>
      <c r="S100" s="203">
        <f t="shared" si="35"/>
        <v>609560.39599417162</v>
      </c>
      <c r="T100" s="203">
        <f t="shared" si="35"/>
        <v>609560.39599417162</v>
      </c>
      <c r="U100" s="203">
        <f t="shared" si="35"/>
        <v>609560.39599417162</v>
      </c>
      <c r="V100" s="203">
        <f t="shared" si="35"/>
        <v>609560.39599417162</v>
      </c>
      <c r="W100" s="203">
        <f t="shared" si="35"/>
        <v>609560.39599417162</v>
      </c>
      <c r="X100" s="203">
        <f t="shared" si="35"/>
        <v>609560.39599417162</v>
      </c>
      <c r="Y100" s="203">
        <f t="shared" si="35"/>
        <v>609560.39599417162</v>
      </c>
      <c r="Z100" s="203">
        <f t="shared" si="35"/>
        <v>609560.39599417162</v>
      </c>
      <c r="AA100" s="203">
        <f t="shared" si="35"/>
        <v>609560.39599417162</v>
      </c>
      <c r="AB100" s="203">
        <f t="shared" si="35"/>
        <v>609560.39599417162</v>
      </c>
      <c r="AC100" s="203">
        <f t="shared" si="35"/>
        <v>609560.39599417162</v>
      </c>
      <c r="AD100" s="203">
        <f t="shared" si="35"/>
        <v>482324.42717867019</v>
      </c>
      <c r="AE100" s="203">
        <f t="shared" si="35"/>
        <v>366655.36461912276</v>
      </c>
      <c r="AF100" s="203">
        <f t="shared" si="35"/>
        <v>261501.67138317099</v>
      </c>
      <c r="AG100" s="203">
        <f t="shared" si="35"/>
        <v>165907.40480503289</v>
      </c>
      <c r="AH100" s="203">
        <f t="shared" si="35"/>
        <v>79003.526097634734</v>
      </c>
    </row>
    <row r="101" spans="1:34" s="21" customFormat="1" x14ac:dyDescent="0.25">
      <c r="A101" s="199" t="s">
        <v>62</v>
      </c>
      <c r="B101" s="198" t="s">
        <v>37</v>
      </c>
      <c r="C101" s="203">
        <f>IF(C100*$B$17&gt;0,C100*$B$17,0)</f>
        <v>0</v>
      </c>
      <c r="D101" s="203">
        <f>IF(D100*$B$17&gt;0,D100*$B$17,0)</f>
        <v>0</v>
      </c>
      <c r="E101" s="203">
        <f t="shared" ref="E101:AH101" si="36">IF(E100*$B$17&gt;0,E100*$B$17,0)</f>
        <v>0</v>
      </c>
      <c r="F101" s="203">
        <f t="shared" si="36"/>
        <v>0</v>
      </c>
      <c r="G101" s="203">
        <f t="shared" si="36"/>
        <v>0</v>
      </c>
      <c r="H101" s="203">
        <f t="shared" si="36"/>
        <v>0</v>
      </c>
      <c r="I101" s="203">
        <f t="shared" si="36"/>
        <v>0</v>
      </c>
      <c r="J101" s="203">
        <f t="shared" si="36"/>
        <v>0</v>
      </c>
      <c r="K101" s="203">
        <f t="shared" si="36"/>
        <v>0</v>
      </c>
      <c r="L101" s="203">
        <f t="shared" si="36"/>
        <v>38385.469368913269</v>
      </c>
      <c r="M101" s="203">
        <f t="shared" si="36"/>
        <v>83987.321220765123</v>
      </c>
      <c r="N101" s="203">
        <f t="shared" si="36"/>
        <v>118188.71010965401</v>
      </c>
      <c r="O101" s="203">
        <f t="shared" si="36"/>
        <v>140989.63603557996</v>
      </c>
      <c r="P101" s="203">
        <f t="shared" si="36"/>
        <v>152390.0989985429</v>
      </c>
      <c r="Q101" s="203">
        <f t="shared" si="36"/>
        <v>152390.0989985429</v>
      </c>
      <c r="R101" s="203">
        <f t="shared" si="36"/>
        <v>152390.0989985429</v>
      </c>
      <c r="S101" s="203">
        <f t="shared" si="36"/>
        <v>152390.0989985429</v>
      </c>
      <c r="T101" s="203">
        <f t="shared" si="36"/>
        <v>152390.0989985429</v>
      </c>
      <c r="U101" s="203">
        <f t="shared" si="36"/>
        <v>152390.0989985429</v>
      </c>
      <c r="V101" s="203">
        <f t="shared" si="36"/>
        <v>152390.0989985429</v>
      </c>
      <c r="W101" s="203">
        <f t="shared" si="36"/>
        <v>152390.0989985429</v>
      </c>
      <c r="X101" s="203">
        <f t="shared" si="36"/>
        <v>152390.0989985429</v>
      </c>
      <c r="Y101" s="203">
        <f t="shared" si="36"/>
        <v>152390.0989985429</v>
      </c>
      <c r="Z101" s="203">
        <f t="shared" si="36"/>
        <v>152390.0989985429</v>
      </c>
      <c r="AA101" s="203">
        <f t="shared" si="36"/>
        <v>152390.0989985429</v>
      </c>
      <c r="AB101" s="203">
        <f t="shared" si="36"/>
        <v>152390.0989985429</v>
      </c>
      <c r="AC101" s="203">
        <f t="shared" si="36"/>
        <v>152390.0989985429</v>
      </c>
      <c r="AD101" s="203">
        <f t="shared" si="36"/>
        <v>120581.10679466755</v>
      </c>
      <c r="AE101" s="203">
        <f t="shared" si="36"/>
        <v>91663.84115478069</v>
      </c>
      <c r="AF101" s="203">
        <f t="shared" si="36"/>
        <v>65375.417845792748</v>
      </c>
      <c r="AG101" s="203">
        <f t="shared" si="36"/>
        <v>41476.851201258221</v>
      </c>
      <c r="AH101" s="203">
        <f t="shared" si="36"/>
        <v>19750.881524408684</v>
      </c>
    </row>
    <row r="102" spans="1:34" s="21" customFormat="1" x14ac:dyDescent="0.25">
      <c r="A102" s="202" t="s">
        <v>63</v>
      </c>
      <c r="B102" s="198" t="s">
        <v>37</v>
      </c>
      <c r="C102" s="203">
        <f>C100-C101</f>
        <v>0</v>
      </c>
      <c r="D102" s="203">
        <f>D100-D101</f>
        <v>-100773.29044375755</v>
      </c>
      <c r="E102" s="203">
        <f t="shared" ref="E102:AH102" si="37">E100-E101</f>
        <v>-213113.48714346997</v>
      </c>
      <c r="F102" s="203">
        <f t="shared" si="37"/>
        <v>-335969.05316677724</v>
      </c>
      <c r="G102" s="203">
        <f t="shared" si="37"/>
        <v>-422782.19399604667</v>
      </c>
      <c r="H102" s="203">
        <f t="shared" si="37"/>
        <v>-472683.87084420363</v>
      </c>
      <c r="I102" s="203">
        <f t="shared" si="37"/>
        <v>-484884.04845027288</v>
      </c>
      <c r="J102" s="203">
        <f t="shared" si="37"/>
        <v>-302476.64104286546</v>
      </c>
      <c r="K102" s="203">
        <f t="shared" si="37"/>
        <v>-74467.381783606135</v>
      </c>
      <c r="L102" s="203">
        <f t="shared" si="37"/>
        <v>115156.40810673981</v>
      </c>
      <c r="M102" s="203">
        <f t="shared" si="37"/>
        <v>251961.96366229537</v>
      </c>
      <c r="N102" s="203">
        <f t="shared" si="37"/>
        <v>354566.13032896206</v>
      </c>
      <c r="O102" s="203">
        <f t="shared" si="37"/>
        <v>422968.90810673987</v>
      </c>
      <c r="P102" s="203">
        <f t="shared" si="37"/>
        <v>457170.29699562874</v>
      </c>
      <c r="Q102" s="203">
        <f t="shared" si="37"/>
        <v>457170.29699562874</v>
      </c>
      <c r="R102" s="203">
        <f t="shared" si="37"/>
        <v>457170.29699562874</v>
      </c>
      <c r="S102" s="203">
        <f t="shared" si="37"/>
        <v>457170.29699562874</v>
      </c>
      <c r="T102" s="203">
        <f t="shared" si="37"/>
        <v>457170.29699562874</v>
      </c>
      <c r="U102" s="203">
        <f t="shared" si="37"/>
        <v>457170.29699562874</v>
      </c>
      <c r="V102" s="203">
        <f t="shared" si="37"/>
        <v>457170.29699562874</v>
      </c>
      <c r="W102" s="203">
        <f t="shared" si="37"/>
        <v>457170.29699562874</v>
      </c>
      <c r="X102" s="203">
        <f t="shared" si="37"/>
        <v>457170.29699562874</v>
      </c>
      <c r="Y102" s="203">
        <f t="shared" si="37"/>
        <v>457170.29699562874</v>
      </c>
      <c r="Z102" s="203">
        <f t="shared" si="37"/>
        <v>457170.29699562874</v>
      </c>
      <c r="AA102" s="203">
        <f t="shared" si="37"/>
        <v>457170.29699562874</v>
      </c>
      <c r="AB102" s="203">
        <f t="shared" si="37"/>
        <v>457170.29699562874</v>
      </c>
      <c r="AC102" s="203">
        <f t="shared" si="37"/>
        <v>457170.29699562874</v>
      </c>
      <c r="AD102" s="203">
        <f t="shared" si="37"/>
        <v>361743.32038400264</v>
      </c>
      <c r="AE102" s="203">
        <f t="shared" si="37"/>
        <v>274991.52346434206</v>
      </c>
      <c r="AF102" s="203">
        <f t="shared" si="37"/>
        <v>196126.25353737824</v>
      </c>
      <c r="AG102" s="203">
        <f t="shared" si="37"/>
        <v>124430.55360377466</v>
      </c>
      <c r="AH102" s="203">
        <f t="shared" si="37"/>
        <v>59252.644573226047</v>
      </c>
    </row>
    <row r="103" spans="1:34" s="21" customFormat="1" x14ac:dyDescent="0.25">
      <c r="A103" s="197" t="s">
        <v>64</v>
      </c>
      <c r="B103" s="198" t="s">
        <v>37</v>
      </c>
      <c r="C103" s="203">
        <f>C102-C72</f>
        <v>-1824074.0740740739</v>
      </c>
      <c r="D103" s="203">
        <f t="shared" ref="D103:AH103" si="38">D102-D72</f>
        <v>-1924847.3645178315</v>
      </c>
      <c r="E103" s="203">
        <f t="shared" si="38"/>
        <v>-2037187.5612175439</v>
      </c>
      <c r="F103" s="203">
        <f t="shared" si="38"/>
        <v>-2160043.1272408511</v>
      </c>
      <c r="G103" s="203">
        <f t="shared" si="38"/>
        <v>-2246856.2680701208</v>
      </c>
      <c r="H103" s="203">
        <f t="shared" si="38"/>
        <v>-2296757.9449182777</v>
      </c>
      <c r="I103" s="203">
        <f t="shared" si="38"/>
        <v>-484884.04845027288</v>
      </c>
      <c r="J103" s="203">
        <f t="shared" si="38"/>
        <v>-302476.64104286546</v>
      </c>
      <c r="K103" s="203">
        <f t="shared" si="38"/>
        <v>-74467.381783606135</v>
      </c>
      <c r="L103" s="203">
        <f t="shared" si="38"/>
        <v>115156.40810673981</v>
      </c>
      <c r="M103" s="203">
        <f t="shared" si="38"/>
        <v>251961.96366229537</v>
      </c>
      <c r="N103" s="203">
        <f t="shared" si="38"/>
        <v>354566.13032896206</v>
      </c>
      <c r="O103" s="203">
        <f t="shared" si="38"/>
        <v>422968.90810673987</v>
      </c>
      <c r="P103" s="203">
        <f t="shared" si="38"/>
        <v>457170.29699562874</v>
      </c>
      <c r="Q103" s="203">
        <f t="shared" si="38"/>
        <v>457170.29699562874</v>
      </c>
      <c r="R103" s="203">
        <f t="shared" si="38"/>
        <v>457170.29699562874</v>
      </c>
      <c r="S103" s="203">
        <f t="shared" si="38"/>
        <v>457170.29699562874</v>
      </c>
      <c r="T103" s="203">
        <f t="shared" si="38"/>
        <v>457170.29699562874</v>
      </c>
      <c r="U103" s="203">
        <f t="shared" si="38"/>
        <v>457170.29699562874</v>
      </c>
      <c r="V103" s="203">
        <f t="shared" si="38"/>
        <v>457170.29699562874</v>
      </c>
      <c r="W103" s="203">
        <f t="shared" si="38"/>
        <v>457170.29699562874</v>
      </c>
      <c r="X103" s="203">
        <f t="shared" si="38"/>
        <v>457170.29699562874</v>
      </c>
      <c r="Y103" s="203">
        <f t="shared" si="38"/>
        <v>457170.29699562874</v>
      </c>
      <c r="Z103" s="203">
        <f t="shared" si="38"/>
        <v>457170.29699562874</v>
      </c>
      <c r="AA103" s="203">
        <f t="shared" si="38"/>
        <v>457170.29699562874</v>
      </c>
      <c r="AB103" s="203">
        <f t="shared" si="38"/>
        <v>457170.29699562874</v>
      </c>
      <c r="AC103" s="203">
        <f t="shared" si="38"/>
        <v>457170.29699562874</v>
      </c>
      <c r="AD103" s="203">
        <f t="shared" si="38"/>
        <v>361743.32038400264</v>
      </c>
      <c r="AE103" s="203">
        <f t="shared" si="38"/>
        <v>274991.52346434206</v>
      </c>
      <c r="AF103" s="203">
        <f t="shared" si="38"/>
        <v>196126.25353737824</v>
      </c>
      <c r="AG103" s="203">
        <f t="shared" si="38"/>
        <v>124430.55360377466</v>
      </c>
      <c r="AH103" s="203">
        <f t="shared" si="38"/>
        <v>59252.644573226047</v>
      </c>
    </row>
    <row r="104" spans="1:34" s="21" customFormat="1" x14ac:dyDescent="0.25">
      <c r="A104" s="201" t="s">
        <v>65</v>
      </c>
      <c r="B104" s="200" t="s">
        <v>37</v>
      </c>
      <c r="C104" s="203">
        <f t="shared" ref="C104:AH104" si="39">C103+C31+C32</f>
        <v>-1824074.0740740739</v>
      </c>
      <c r="D104" s="203">
        <f t="shared" si="39"/>
        <v>-1693598.5224059359</v>
      </c>
      <c r="E104" s="203">
        <f t="shared" si="39"/>
        <v>-1594047.5613336666</v>
      </c>
      <c r="F104" s="203">
        <f t="shared" si="39"/>
        <v>-1522622.2974155671</v>
      </c>
      <c r="G104" s="203">
        <f t="shared" si="39"/>
        <v>-1431173.0553759746</v>
      </c>
      <c r="H104" s="203">
        <f t="shared" si="39"/>
        <v>-1317380.4241861983</v>
      </c>
      <c r="I104" s="203">
        <f t="shared" si="39"/>
        <v>644941.27966093761</v>
      </c>
      <c r="J104" s="203">
        <f t="shared" si="39"/>
        <v>832075.81698741694</v>
      </c>
      <c r="K104" s="203">
        <f t="shared" si="39"/>
        <v>1064930.384413725</v>
      </c>
      <c r="L104" s="203">
        <f t="shared" si="39"/>
        <v>1259520.6151752959</v>
      </c>
      <c r="M104" s="203">
        <f t="shared" si="39"/>
        <v>1401416.772623857</v>
      </c>
      <c r="N104" s="203">
        <f t="shared" si="39"/>
        <v>1509238.8062308542</v>
      </c>
      <c r="O104" s="203">
        <f t="shared" si="39"/>
        <v>1582989.8976224712</v>
      </c>
      <c r="P104" s="203">
        <f t="shared" si="39"/>
        <v>1622673.307965545</v>
      </c>
      <c r="Q104" s="203">
        <f t="shared" si="39"/>
        <v>1628292.3799560843</v>
      </c>
      <c r="R104" s="203">
        <f t="shared" si="39"/>
        <v>1634051.9287463874</v>
      </c>
      <c r="S104" s="203">
        <f t="shared" si="39"/>
        <v>1639955.4662564481</v>
      </c>
      <c r="T104" s="203">
        <f t="shared" si="39"/>
        <v>1646006.5922042602</v>
      </c>
      <c r="U104" s="203">
        <f t="shared" si="39"/>
        <v>1652208.9963007676</v>
      </c>
      <c r="V104" s="203">
        <f t="shared" si="39"/>
        <v>1658566.4604996876</v>
      </c>
      <c r="W104" s="203">
        <f t="shared" si="39"/>
        <v>1665082.8613035809</v>
      </c>
      <c r="X104" s="203">
        <f t="shared" si="39"/>
        <v>1671762.1721275712</v>
      </c>
      <c r="Y104" s="203">
        <f t="shared" si="39"/>
        <v>1678608.4657221613</v>
      </c>
      <c r="Z104" s="203">
        <f t="shared" si="39"/>
        <v>1685625.9166566164</v>
      </c>
      <c r="AA104" s="203">
        <f t="shared" si="39"/>
        <v>1692818.8038644327</v>
      </c>
      <c r="AB104" s="203">
        <f t="shared" si="39"/>
        <v>1700191.5132524446</v>
      </c>
      <c r="AC104" s="203">
        <f t="shared" si="39"/>
        <v>1397910.4283439624</v>
      </c>
      <c r="AD104" s="203">
        <f t="shared" si="39"/>
        <v>1106119.0179496794</v>
      </c>
      <c r="AE104" s="203">
        <f t="shared" si="39"/>
        <v>840854.09940942167</v>
      </c>
      <c r="AF104" s="203">
        <f t="shared" si="39"/>
        <v>599704.17346373328</v>
      </c>
      <c r="AG104" s="203">
        <f t="shared" si="39"/>
        <v>380476.96805856191</v>
      </c>
      <c r="AH104" s="203">
        <f t="shared" si="39"/>
        <v>181179.50859931525</v>
      </c>
    </row>
    <row r="105" spans="1:34" customFormat="1" x14ac:dyDescent="0.25">
      <c r="A105" s="58"/>
      <c r="B105" s="20"/>
      <c r="C105" s="11"/>
    </row>
    <row r="106" spans="1:34" customFormat="1" ht="13.5" customHeight="1" x14ac:dyDescent="0.25">
      <c r="A106" s="206" t="s">
        <v>66</v>
      </c>
      <c r="B106" s="207" t="s">
        <v>12</v>
      </c>
      <c r="C106" s="208">
        <f>SUM(C72:AB72)</f>
        <v>10944444.444444444</v>
      </c>
    </row>
    <row r="107" spans="1:34" x14ac:dyDescent="0.25">
      <c r="A107" s="34"/>
      <c r="B107" s="20"/>
    </row>
    <row r="108" spans="1:34" x14ac:dyDescent="0.25">
      <c r="A108" s="204" t="s">
        <v>114</v>
      </c>
      <c r="B108" s="205" t="s">
        <v>67</v>
      </c>
      <c r="C108" s="215" t="e">
        <f>(C102+C71+C70)/(C70+C71)</f>
        <v>#DIV/0!</v>
      </c>
      <c r="D108" s="215">
        <f>(D102+D71+D70)/(D70+D71)</f>
        <v>0.55802983277458618</v>
      </c>
      <c r="E108" s="215">
        <f t="shared" ref="E108:G108" si="40">(E102+E71+E70)/(E70+E71)</f>
        <v>0.53266484037574091</v>
      </c>
      <c r="F108" s="215">
        <f t="shared" si="40"/>
        <v>0.67967638276749542</v>
      </c>
      <c r="G108" s="215">
        <f t="shared" si="40"/>
        <v>0.73510963334837975</v>
      </c>
      <c r="H108" s="215">
        <f>(H102+H71+H70)/(H70+H71)</f>
        <v>0.7746640562737851</v>
      </c>
      <c r="I108" s="215">
        <f>(I102+I71+I70)/(I70+I71)</f>
        <v>0.81012517319568733</v>
      </c>
      <c r="J108" s="215">
        <f t="shared" ref="J108:N108" si="41">(J102+J71+J70)/(J70+J71)</f>
        <v>0.88945016164930812</v>
      </c>
      <c r="K108" s="215">
        <f t="shared" si="41"/>
        <v>0.97030926725379063</v>
      </c>
      <c r="L108" s="215">
        <f t="shared" si="41"/>
        <v>1.0601251731956871</v>
      </c>
      <c r="M108" s="215">
        <f t="shared" si="41"/>
        <v>1.1841752424739622</v>
      </c>
      <c r="N108" s="215">
        <f t="shared" si="41"/>
        <v>1.4092240670641507</v>
      </c>
      <c r="O108" s="215">
        <f>(O102+O71+O70)/(O70+O71)</f>
        <v>2.0305841415798738</v>
      </c>
      <c r="P108" s="215" t="e">
        <f t="shared" ref="P108:AH108" si="42">(P102+P71+P70)/(P70+P71)</f>
        <v>#DIV/0!</v>
      </c>
      <c r="Q108" s="215" t="e">
        <f t="shared" si="42"/>
        <v>#DIV/0!</v>
      </c>
      <c r="R108" s="215" t="e">
        <f t="shared" si="42"/>
        <v>#DIV/0!</v>
      </c>
      <c r="S108" s="215" t="e">
        <f t="shared" si="42"/>
        <v>#DIV/0!</v>
      </c>
      <c r="T108" s="215" t="e">
        <f t="shared" si="42"/>
        <v>#DIV/0!</v>
      </c>
      <c r="U108" s="215" t="e">
        <f t="shared" si="42"/>
        <v>#DIV/0!</v>
      </c>
      <c r="V108" s="215" t="e">
        <f t="shared" si="42"/>
        <v>#DIV/0!</v>
      </c>
      <c r="W108" s="215" t="e">
        <f t="shared" si="42"/>
        <v>#DIV/0!</v>
      </c>
      <c r="X108" s="215" t="e">
        <f t="shared" si="42"/>
        <v>#DIV/0!</v>
      </c>
      <c r="Y108" s="215" t="e">
        <f t="shared" si="42"/>
        <v>#DIV/0!</v>
      </c>
      <c r="Z108" s="215" t="e">
        <f t="shared" si="42"/>
        <v>#DIV/0!</v>
      </c>
      <c r="AA108" s="215" t="e">
        <f t="shared" si="42"/>
        <v>#DIV/0!</v>
      </c>
      <c r="AB108" s="215" t="e">
        <f t="shared" si="42"/>
        <v>#DIV/0!</v>
      </c>
      <c r="AC108" s="215" t="e">
        <f t="shared" si="42"/>
        <v>#DIV/0!</v>
      </c>
      <c r="AD108" s="215" t="e">
        <f t="shared" si="42"/>
        <v>#DIV/0!</v>
      </c>
      <c r="AE108" s="215" t="e">
        <f t="shared" si="42"/>
        <v>#DIV/0!</v>
      </c>
      <c r="AF108" s="215" t="e">
        <f t="shared" si="42"/>
        <v>#DIV/0!</v>
      </c>
      <c r="AG108" s="215" t="e">
        <f t="shared" si="42"/>
        <v>#DIV/0!</v>
      </c>
      <c r="AH108" s="215" t="e">
        <f t="shared" si="42"/>
        <v>#DIV/0!</v>
      </c>
    </row>
    <row r="109" spans="1:34" x14ac:dyDescent="0.25">
      <c r="A109" s="204" t="s">
        <v>115</v>
      </c>
      <c r="B109" s="205" t="s">
        <v>67</v>
      </c>
      <c r="C109" s="215">
        <f>AVERAGE(D108:O108)</f>
        <v>0.96951149766270417</v>
      </c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</row>
    <row r="110" spans="1:34" x14ac:dyDescent="0.25">
      <c r="A110" s="204" t="s">
        <v>116</v>
      </c>
      <c r="B110" s="205" t="s">
        <v>67</v>
      </c>
      <c r="C110" s="215" t="e">
        <f t="shared" ref="C110:AH110" si="43">(C102+C71*$C15+C70)/(C70+C71*$C15)</f>
        <v>#DIV/0!</v>
      </c>
      <c r="D110" s="215">
        <f t="shared" si="43"/>
        <v>0.55802983277458618</v>
      </c>
      <c r="E110" s="215">
        <f t="shared" si="43"/>
        <v>0.53266484037574091</v>
      </c>
      <c r="F110" s="215">
        <f t="shared" si="43"/>
        <v>0.67967638276749542</v>
      </c>
      <c r="G110" s="215">
        <f t="shared" si="43"/>
        <v>0.73510963334837975</v>
      </c>
      <c r="H110" s="215">
        <f t="shared" si="43"/>
        <v>0.7746640562737851</v>
      </c>
      <c r="I110" s="215">
        <f t="shared" si="43"/>
        <v>0.81012517319568733</v>
      </c>
      <c r="J110" s="215">
        <f t="shared" si="43"/>
        <v>0.88945016164930812</v>
      </c>
      <c r="K110" s="215">
        <f t="shared" si="43"/>
        <v>0.97030926725379063</v>
      </c>
      <c r="L110" s="215">
        <f t="shared" si="43"/>
        <v>1.0601251731956871</v>
      </c>
      <c r="M110" s="215">
        <f t="shared" si="43"/>
        <v>1.1841752424739622</v>
      </c>
      <c r="N110" s="215">
        <f t="shared" si="43"/>
        <v>1.4092240670641507</v>
      </c>
      <c r="O110" s="215">
        <f t="shared" si="43"/>
        <v>2.0305841415798738</v>
      </c>
      <c r="P110" s="215" t="e">
        <f t="shared" si="43"/>
        <v>#DIV/0!</v>
      </c>
      <c r="Q110" s="215" t="e">
        <f t="shared" si="43"/>
        <v>#DIV/0!</v>
      </c>
      <c r="R110" s="215" t="e">
        <f t="shared" si="43"/>
        <v>#DIV/0!</v>
      </c>
      <c r="S110" s="215" t="e">
        <f t="shared" si="43"/>
        <v>#DIV/0!</v>
      </c>
      <c r="T110" s="215" t="e">
        <f t="shared" si="43"/>
        <v>#DIV/0!</v>
      </c>
      <c r="U110" s="215" t="e">
        <f t="shared" si="43"/>
        <v>#DIV/0!</v>
      </c>
      <c r="V110" s="215" t="e">
        <f t="shared" si="43"/>
        <v>#DIV/0!</v>
      </c>
      <c r="W110" s="215" t="e">
        <f t="shared" si="43"/>
        <v>#DIV/0!</v>
      </c>
      <c r="X110" s="215" t="e">
        <f t="shared" si="43"/>
        <v>#DIV/0!</v>
      </c>
      <c r="Y110" s="215" t="e">
        <f t="shared" si="43"/>
        <v>#DIV/0!</v>
      </c>
      <c r="Z110" s="215" t="e">
        <f t="shared" si="43"/>
        <v>#DIV/0!</v>
      </c>
      <c r="AA110" s="215" t="e">
        <f t="shared" si="43"/>
        <v>#DIV/0!</v>
      </c>
      <c r="AB110" s="215" t="e">
        <f t="shared" si="43"/>
        <v>#DIV/0!</v>
      </c>
      <c r="AC110" s="215" t="e">
        <f t="shared" si="43"/>
        <v>#DIV/0!</v>
      </c>
      <c r="AD110" s="215" t="e">
        <f t="shared" si="43"/>
        <v>#DIV/0!</v>
      </c>
      <c r="AE110" s="215" t="e">
        <f t="shared" si="43"/>
        <v>#DIV/0!</v>
      </c>
      <c r="AF110" s="215" t="e">
        <f t="shared" si="43"/>
        <v>#DIV/0!</v>
      </c>
      <c r="AG110" s="215" t="e">
        <f t="shared" si="43"/>
        <v>#DIV/0!</v>
      </c>
      <c r="AH110" s="215" t="e">
        <f t="shared" si="43"/>
        <v>#DIV/0!</v>
      </c>
    </row>
    <row r="111" spans="1:34" x14ac:dyDescent="0.25">
      <c r="A111" s="204" t="s">
        <v>117</v>
      </c>
      <c r="B111" s="205" t="s">
        <v>67</v>
      </c>
      <c r="C111" s="215">
        <f>AVERAGE(D110:O110)</f>
        <v>0.96951149766270417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</row>
    <row r="112" spans="1:34" x14ac:dyDescent="0.25">
      <c r="A112" s="204" t="s">
        <v>118</v>
      </c>
      <c r="B112" s="205" t="s">
        <v>67</v>
      </c>
      <c r="C112" s="215" t="e">
        <f t="shared" ref="C112:AH112" si="44">(C102+C71*$C16+C70)/(C70+C71*$C16)</f>
        <v>#DIV/0!</v>
      </c>
      <c r="D112" s="215">
        <f t="shared" si="44"/>
        <v>0.55802983277458618</v>
      </c>
      <c r="E112" s="215">
        <f t="shared" si="44"/>
        <v>0.53266484037574091</v>
      </c>
      <c r="F112" s="215">
        <f t="shared" si="44"/>
        <v>0.67967638276749542</v>
      </c>
      <c r="G112" s="215">
        <f t="shared" si="44"/>
        <v>0.73510963334837975</v>
      </c>
      <c r="H112" s="215">
        <f t="shared" si="44"/>
        <v>0.7746640562737851</v>
      </c>
      <c r="I112" s="215">
        <f t="shared" si="44"/>
        <v>0.81012517319568733</v>
      </c>
      <c r="J112" s="215">
        <f t="shared" si="44"/>
        <v>0.88945016164930812</v>
      </c>
      <c r="K112" s="215">
        <f t="shared" si="44"/>
        <v>0.97030926725379063</v>
      </c>
      <c r="L112" s="215">
        <f t="shared" si="44"/>
        <v>1.0601251731956871</v>
      </c>
      <c r="M112" s="215">
        <f t="shared" si="44"/>
        <v>1.1841752424739622</v>
      </c>
      <c r="N112" s="215">
        <f t="shared" si="44"/>
        <v>1.4092240670641507</v>
      </c>
      <c r="O112" s="215">
        <f t="shared" si="44"/>
        <v>2.0305841415798738</v>
      </c>
      <c r="P112" s="215" t="e">
        <f t="shared" si="44"/>
        <v>#DIV/0!</v>
      </c>
      <c r="Q112" s="215" t="e">
        <f t="shared" si="44"/>
        <v>#DIV/0!</v>
      </c>
      <c r="R112" s="215" t="e">
        <f t="shared" si="44"/>
        <v>#DIV/0!</v>
      </c>
      <c r="S112" s="215" t="e">
        <f t="shared" si="44"/>
        <v>#DIV/0!</v>
      </c>
      <c r="T112" s="215" t="e">
        <f t="shared" si="44"/>
        <v>#DIV/0!</v>
      </c>
      <c r="U112" s="215" t="e">
        <f t="shared" si="44"/>
        <v>#DIV/0!</v>
      </c>
      <c r="V112" s="215" t="e">
        <f t="shared" si="44"/>
        <v>#DIV/0!</v>
      </c>
      <c r="W112" s="215" t="e">
        <f t="shared" si="44"/>
        <v>#DIV/0!</v>
      </c>
      <c r="X112" s="215" t="e">
        <f t="shared" si="44"/>
        <v>#DIV/0!</v>
      </c>
      <c r="Y112" s="215" t="e">
        <f t="shared" si="44"/>
        <v>#DIV/0!</v>
      </c>
      <c r="Z112" s="215" t="e">
        <f t="shared" si="44"/>
        <v>#DIV/0!</v>
      </c>
      <c r="AA112" s="215" t="e">
        <f t="shared" si="44"/>
        <v>#DIV/0!</v>
      </c>
      <c r="AB112" s="215" t="e">
        <f t="shared" si="44"/>
        <v>#DIV/0!</v>
      </c>
      <c r="AC112" s="215" t="e">
        <f t="shared" si="44"/>
        <v>#DIV/0!</v>
      </c>
      <c r="AD112" s="215" t="e">
        <f t="shared" si="44"/>
        <v>#DIV/0!</v>
      </c>
      <c r="AE112" s="215" t="e">
        <f t="shared" si="44"/>
        <v>#DIV/0!</v>
      </c>
      <c r="AF112" s="215" t="e">
        <f t="shared" si="44"/>
        <v>#DIV/0!</v>
      </c>
      <c r="AG112" s="215" t="e">
        <f t="shared" si="44"/>
        <v>#DIV/0!</v>
      </c>
      <c r="AH112" s="215" t="e">
        <f t="shared" si="44"/>
        <v>#DIV/0!</v>
      </c>
    </row>
    <row r="113" spans="1:34" x14ac:dyDescent="0.25">
      <c r="A113" s="204" t="s">
        <v>119</v>
      </c>
      <c r="B113" s="205" t="s">
        <v>67</v>
      </c>
      <c r="C113" s="215">
        <f>AVERAGE(D112:O112)</f>
        <v>0.96951149766270417</v>
      </c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</row>
    <row r="114" spans="1:34" s="21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</sheetData>
  <mergeCells count="4">
    <mergeCell ref="B20:B21"/>
    <mergeCell ref="D20:I20"/>
    <mergeCell ref="A64:A65"/>
    <mergeCell ref="A66:A67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62"/>
  <sheetViews>
    <sheetView topLeftCell="B5" zoomScale="69" zoomScaleNormal="69" workbookViewId="0">
      <selection activeCell="B30" sqref="B30"/>
    </sheetView>
  </sheetViews>
  <sheetFormatPr defaultRowHeight="15" x14ac:dyDescent="0.25"/>
  <cols>
    <col min="1" max="1" width="36.140625" style="77" customWidth="1"/>
    <col min="2" max="2" width="57" style="77" customWidth="1"/>
    <col min="3" max="32" width="18.7109375" style="77" customWidth="1"/>
  </cols>
  <sheetData>
    <row r="1" spans="1:32" ht="26.25" x14ac:dyDescent="0.4">
      <c r="A1" s="107">
        <v>0.12</v>
      </c>
      <c r="B1" s="107" t="s">
        <v>79</v>
      </c>
    </row>
    <row r="2" spans="1:32" ht="23.25" customHeight="1" x14ac:dyDescent="0.25">
      <c r="A2" s="314" t="s">
        <v>138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</row>
    <row r="3" spans="1:32" x14ac:dyDescent="0.25">
      <c r="A3" s="78"/>
      <c r="B3" s="78"/>
      <c r="C3" s="60" t="s">
        <v>8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1" t="s">
        <v>9</v>
      </c>
    </row>
    <row r="4" spans="1:32" ht="15.75" customHeight="1" x14ac:dyDescent="0.25">
      <c r="A4" s="315" t="s">
        <v>131</v>
      </c>
      <c r="B4" s="315"/>
      <c r="C4" s="79"/>
      <c r="D4" s="1">
        <v>1</v>
      </c>
      <c r="E4" s="1">
        <v>2</v>
      </c>
      <c r="F4" s="1">
        <v>3</v>
      </c>
      <c r="G4" s="1">
        <v>4</v>
      </c>
      <c r="H4" s="1">
        <v>5</v>
      </c>
      <c r="I4" s="1">
        <v>6</v>
      </c>
      <c r="J4" s="1">
        <v>7</v>
      </c>
      <c r="K4" s="1">
        <v>8</v>
      </c>
      <c r="L4" s="1">
        <v>9</v>
      </c>
      <c r="M4" s="1">
        <v>10</v>
      </c>
      <c r="N4" s="1">
        <v>11</v>
      </c>
      <c r="O4" s="1">
        <v>12</v>
      </c>
      <c r="P4" s="1">
        <v>13</v>
      </c>
      <c r="Q4" s="1">
        <v>14</v>
      </c>
      <c r="R4" s="1">
        <v>15</v>
      </c>
      <c r="S4" s="1">
        <v>16</v>
      </c>
      <c r="T4" s="1">
        <v>17</v>
      </c>
      <c r="U4" s="1">
        <v>18</v>
      </c>
      <c r="V4" s="1">
        <v>19</v>
      </c>
      <c r="W4" s="1">
        <v>20</v>
      </c>
      <c r="X4" s="1">
        <v>21</v>
      </c>
      <c r="Y4" s="1">
        <v>22</v>
      </c>
      <c r="Z4" s="1">
        <v>23</v>
      </c>
      <c r="AA4" s="1">
        <v>24</v>
      </c>
      <c r="AB4" s="1">
        <v>25</v>
      </c>
      <c r="AC4" s="62" t="s">
        <v>78</v>
      </c>
      <c r="AD4" s="7"/>
    </row>
    <row r="5" spans="1:32" ht="16.5" customHeight="1" x14ac:dyDescent="0.25">
      <c r="A5" s="89"/>
      <c r="B5" s="90"/>
      <c r="C5" s="99">
        <v>44197</v>
      </c>
      <c r="D5" s="99">
        <v>44562</v>
      </c>
      <c r="E5" s="99">
        <v>44927</v>
      </c>
      <c r="F5" s="99">
        <v>45292</v>
      </c>
      <c r="G5" s="99">
        <v>45658</v>
      </c>
      <c r="H5" s="99">
        <v>46023</v>
      </c>
      <c r="I5" s="99">
        <v>46388</v>
      </c>
      <c r="J5" s="99">
        <v>46753</v>
      </c>
      <c r="K5" s="99">
        <v>47119</v>
      </c>
      <c r="L5" s="99">
        <v>47484</v>
      </c>
      <c r="M5" s="99">
        <v>47849</v>
      </c>
      <c r="N5" s="99">
        <v>48214</v>
      </c>
      <c r="O5" s="99">
        <v>48580</v>
      </c>
      <c r="P5" s="99">
        <v>48945</v>
      </c>
      <c r="Q5" s="99">
        <v>49310</v>
      </c>
      <c r="R5" s="99">
        <v>49675</v>
      </c>
      <c r="S5" s="99">
        <v>50041</v>
      </c>
      <c r="T5" s="99">
        <v>50406</v>
      </c>
      <c r="U5" s="99">
        <v>50771</v>
      </c>
      <c r="V5" s="99">
        <v>51136</v>
      </c>
      <c r="W5" s="99">
        <v>51502</v>
      </c>
      <c r="X5" s="99">
        <v>51867</v>
      </c>
      <c r="Y5" s="99">
        <v>52232</v>
      </c>
      <c r="Z5" s="99">
        <v>52597</v>
      </c>
      <c r="AA5" s="99">
        <v>52963</v>
      </c>
      <c r="AB5" s="99">
        <v>53328</v>
      </c>
      <c r="AC5" s="91"/>
      <c r="AD5" s="92"/>
    </row>
    <row r="6" spans="1:32" s="106" customFormat="1" ht="16.5" customHeight="1" x14ac:dyDescent="0.25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3"/>
      <c r="AD6" s="104"/>
      <c r="AE6" s="105"/>
      <c r="AF6" s="105"/>
    </row>
    <row r="7" spans="1:32" x14ac:dyDescent="0.25">
      <c r="A7" s="305" t="s">
        <v>10</v>
      </c>
      <c r="B7" s="306"/>
      <c r="C7" s="80"/>
      <c r="D7" s="63"/>
      <c r="E7" s="63"/>
      <c r="F7" s="63"/>
      <c r="G7" s="63"/>
      <c r="H7" s="63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1:32" x14ac:dyDescent="0.25">
      <c r="A8" s="224" t="s">
        <v>11</v>
      </c>
      <c r="B8" s="59"/>
      <c r="C8" s="88">
        <f>Interventions!$E$6</f>
        <v>27361</v>
      </c>
      <c r="D8" s="65"/>
      <c r="E8" s="65"/>
      <c r="F8" s="65"/>
      <c r="G8" s="65"/>
      <c r="H8" s="65"/>
      <c r="I8" s="6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66">
        <f>SUM(C8:AB8)</f>
        <v>27361</v>
      </c>
      <c r="AD8" s="3" t="s">
        <v>12</v>
      </c>
    </row>
    <row r="9" spans="1:32" x14ac:dyDescent="0.25">
      <c r="A9" s="59" t="s">
        <v>137</v>
      </c>
      <c r="B9" s="2"/>
      <c r="C9" s="93"/>
      <c r="D9" s="67">
        <f>Interventions!$E$7</f>
        <v>2736.1000000000004</v>
      </c>
      <c r="E9" s="67">
        <f>Interventions!$E$7</f>
        <v>2736.1000000000004</v>
      </c>
      <c r="F9" s="67">
        <f>Interventions!$E$7</f>
        <v>2736.1000000000004</v>
      </c>
      <c r="G9" s="67">
        <f>Interventions!$E$7</f>
        <v>2736.1000000000004</v>
      </c>
      <c r="H9" s="67">
        <f>Interventions!$E$7</f>
        <v>2736.1000000000004</v>
      </c>
      <c r="I9" s="67">
        <f>Interventions!$E$7</f>
        <v>2736.1000000000004</v>
      </c>
      <c r="J9" s="67">
        <f>Interventions!$E$7</f>
        <v>2736.1000000000004</v>
      </c>
      <c r="K9" s="67">
        <f>Interventions!$E$7</f>
        <v>2736.1000000000004</v>
      </c>
      <c r="L9" s="67">
        <f>Interventions!$E$7</f>
        <v>2736.1000000000004</v>
      </c>
      <c r="M9" s="67">
        <f>Interventions!$E$7</f>
        <v>2736.1000000000004</v>
      </c>
      <c r="N9" s="67">
        <f>Interventions!$E$7</f>
        <v>2736.1000000000004</v>
      </c>
      <c r="O9" s="67">
        <f>Interventions!$E$7</f>
        <v>2736.1000000000004</v>
      </c>
      <c r="P9" s="67">
        <f>Interventions!$E$7</f>
        <v>2736.1000000000004</v>
      </c>
      <c r="Q9" s="67">
        <f>Interventions!$E$7</f>
        <v>2736.1000000000004</v>
      </c>
      <c r="R9" s="67">
        <f>Interventions!$E$7</f>
        <v>2736.1000000000004</v>
      </c>
      <c r="S9" s="67">
        <f>Interventions!$E$7</f>
        <v>2736.1000000000004</v>
      </c>
      <c r="T9" s="67">
        <f>Interventions!$E$7</f>
        <v>2736.1000000000004</v>
      </c>
      <c r="U9" s="67">
        <f>Interventions!$E$7</f>
        <v>2736.1000000000004</v>
      </c>
      <c r="V9" s="67">
        <f>Interventions!$E$7</f>
        <v>2736.1000000000004</v>
      </c>
      <c r="W9" s="67">
        <f>Interventions!$E$7</f>
        <v>2736.1000000000004</v>
      </c>
      <c r="X9" s="67">
        <f>Interventions!$E$7</f>
        <v>2736.1000000000004</v>
      </c>
      <c r="Y9" s="67">
        <f>Interventions!$E$7</f>
        <v>2736.1000000000004</v>
      </c>
      <c r="Z9" s="67">
        <f>Interventions!$E$7</f>
        <v>2736.1000000000004</v>
      </c>
      <c r="AA9" s="67">
        <f>Interventions!$E$7</f>
        <v>2736.1000000000004</v>
      </c>
      <c r="AB9" s="67">
        <f>Interventions!$E$7</f>
        <v>2736.1000000000004</v>
      </c>
      <c r="AC9" s="66">
        <f>SUM(C9:AB9)</f>
        <v>68402.499999999985</v>
      </c>
      <c r="AD9" s="3" t="s">
        <v>12</v>
      </c>
    </row>
    <row r="10" spans="1:32" x14ac:dyDescent="0.25">
      <c r="A10" s="307" t="s">
        <v>80</v>
      </c>
      <c r="B10" s="308"/>
      <c r="C10" s="94">
        <f t="shared" ref="C10:W10" si="0">SUM(C8:C9)</f>
        <v>27361</v>
      </c>
      <c r="D10" s="94">
        <f t="shared" si="0"/>
        <v>2736.1000000000004</v>
      </c>
      <c r="E10" s="94">
        <f t="shared" si="0"/>
        <v>2736.1000000000004</v>
      </c>
      <c r="F10" s="94">
        <f t="shared" si="0"/>
        <v>2736.1000000000004</v>
      </c>
      <c r="G10" s="94">
        <f t="shared" si="0"/>
        <v>2736.1000000000004</v>
      </c>
      <c r="H10" s="94">
        <f t="shared" si="0"/>
        <v>2736.1000000000004</v>
      </c>
      <c r="I10" s="94">
        <f t="shared" si="0"/>
        <v>2736.1000000000004</v>
      </c>
      <c r="J10" s="94">
        <f t="shared" si="0"/>
        <v>2736.1000000000004</v>
      </c>
      <c r="K10" s="94">
        <f t="shared" si="0"/>
        <v>2736.1000000000004</v>
      </c>
      <c r="L10" s="94">
        <f t="shared" si="0"/>
        <v>2736.1000000000004</v>
      </c>
      <c r="M10" s="94">
        <f t="shared" si="0"/>
        <v>2736.1000000000004</v>
      </c>
      <c r="N10" s="94">
        <f t="shared" si="0"/>
        <v>2736.1000000000004</v>
      </c>
      <c r="O10" s="94">
        <f t="shared" si="0"/>
        <v>2736.1000000000004</v>
      </c>
      <c r="P10" s="94">
        <f t="shared" si="0"/>
        <v>2736.1000000000004</v>
      </c>
      <c r="Q10" s="94">
        <f t="shared" si="0"/>
        <v>2736.1000000000004</v>
      </c>
      <c r="R10" s="94">
        <f t="shared" si="0"/>
        <v>2736.1000000000004</v>
      </c>
      <c r="S10" s="94">
        <f t="shared" si="0"/>
        <v>2736.1000000000004</v>
      </c>
      <c r="T10" s="94">
        <f t="shared" si="0"/>
        <v>2736.1000000000004</v>
      </c>
      <c r="U10" s="94">
        <f t="shared" si="0"/>
        <v>2736.1000000000004</v>
      </c>
      <c r="V10" s="94">
        <f t="shared" si="0"/>
        <v>2736.1000000000004</v>
      </c>
      <c r="W10" s="94">
        <f t="shared" si="0"/>
        <v>2736.1000000000004</v>
      </c>
      <c r="X10" s="94">
        <f t="shared" ref="X10:AB10" si="1">SUM(X8:X9)</f>
        <v>2736.1000000000004</v>
      </c>
      <c r="Y10" s="94">
        <f t="shared" si="1"/>
        <v>2736.1000000000004</v>
      </c>
      <c r="Z10" s="94">
        <f t="shared" si="1"/>
        <v>2736.1000000000004</v>
      </c>
      <c r="AA10" s="94">
        <f t="shared" si="1"/>
        <v>2736.1000000000004</v>
      </c>
      <c r="AB10" s="94">
        <f t="shared" si="1"/>
        <v>2736.1000000000004</v>
      </c>
      <c r="AC10" s="95">
        <f>SUM(AC8:AC9)</f>
        <v>95763.499999999985</v>
      </c>
      <c r="AD10" s="6" t="s">
        <v>12</v>
      </c>
    </row>
    <row r="11" spans="1:32" x14ac:dyDescent="0.25">
      <c r="A11" s="305" t="s">
        <v>151</v>
      </c>
      <c r="B11" s="306"/>
      <c r="C11" s="80"/>
      <c r="D11" s="63"/>
      <c r="E11" s="63"/>
      <c r="F11" s="63"/>
      <c r="G11" s="63"/>
      <c r="H11" s="63"/>
      <c r="I11" s="63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2" x14ac:dyDescent="0.25">
      <c r="A12" s="59" t="s">
        <v>171</v>
      </c>
      <c r="B12" s="59"/>
      <c r="C12" s="59"/>
      <c r="D12" s="67">
        <f>'Carbon avoided'!E12</f>
        <v>575.59040000000005</v>
      </c>
      <c r="E12" s="67">
        <f>'Carbon avoided'!F12</f>
        <v>589.98016000000007</v>
      </c>
      <c r="F12" s="67">
        <f>'Carbon avoided'!G12</f>
        <v>604.72966399999996</v>
      </c>
      <c r="G12" s="67">
        <f>'Carbon avoided'!H12</f>
        <v>619.84790559999999</v>
      </c>
      <c r="H12" s="67">
        <f>'Carbon avoided'!I12</f>
        <v>635.34410323999998</v>
      </c>
      <c r="I12" s="67">
        <f>'Carbon avoided'!J12</f>
        <v>651.22770582099986</v>
      </c>
      <c r="J12" s="67">
        <f>'Carbon avoided'!K12</f>
        <v>667.5083984665248</v>
      </c>
      <c r="K12" s="67">
        <f>'Carbon avoided'!L12</f>
        <v>684.19610842818781</v>
      </c>
      <c r="L12" s="67">
        <f>'Carbon avoided'!M12</f>
        <v>701.30101113889248</v>
      </c>
      <c r="M12" s="67">
        <f>'Carbon avoided'!N12</f>
        <v>718.83353641736471</v>
      </c>
      <c r="N12" s="67">
        <f>'Carbon avoided'!O12</f>
        <v>736.80437482779871</v>
      </c>
      <c r="O12" s="67">
        <f>'Carbon avoided'!P12</f>
        <v>755.22448419849366</v>
      </c>
      <c r="P12" s="67">
        <f>'Carbon avoided'!Q12</f>
        <v>774.10509630345587</v>
      </c>
      <c r="Q12" s="67">
        <f>'Carbon avoided'!R12</f>
        <v>793.45772371104215</v>
      </c>
      <c r="R12" s="67">
        <f>'Carbon avoided'!S12</f>
        <v>813.29416680381814</v>
      </c>
      <c r="S12" s="67">
        <f>'Carbon avoided'!T12</f>
        <v>833.62652097391356</v>
      </c>
      <c r="T12" s="67">
        <f>'Carbon avoided'!U12</f>
        <v>854.46718399826136</v>
      </c>
      <c r="U12" s="67">
        <f>'Carbon avoided'!V12</f>
        <v>875.82886359821782</v>
      </c>
      <c r="V12" s="67">
        <f>'Carbon avoided'!W12</f>
        <v>897.72458518817314</v>
      </c>
      <c r="W12" s="67">
        <f>'Carbon avoided'!X12</f>
        <v>920.16769981787741</v>
      </c>
      <c r="X12" s="67">
        <f>'Carbon avoided'!Y12</f>
        <v>943.17189231332429</v>
      </c>
      <c r="Y12" s="67">
        <f>'Carbon avoided'!Z12</f>
        <v>966.75118962115732</v>
      </c>
      <c r="Z12" s="67">
        <f>'Carbon avoided'!AA12</f>
        <v>990.9199693616863</v>
      </c>
      <c r="AA12" s="67">
        <f>'Carbon avoided'!AB12</f>
        <v>1015.6929685957284</v>
      </c>
      <c r="AB12" s="67">
        <f>'Carbon avoided'!AC12</f>
        <v>1041.0852928106215</v>
      </c>
      <c r="AC12" s="66">
        <f>SUM(C12:AB12)</f>
        <v>19660.88100523554</v>
      </c>
      <c r="AD12" s="3" t="s">
        <v>12</v>
      </c>
    </row>
    <row r="13" spans="1:32" ht="12.75" customHeight="1" x14ac:dyDescent="0.25">
      <c r="A13" s="59" t="s">
        <v>175</v>
      </c>
      <c r="B13" s="59"/>
      <c r="C13" s="59"/>
      <c r="D13" s="67">
        <f>Interventions!$E$10</f>
        <v>3240</v>
      </c>
      <c r="E13" s="67">
        <f>Interventions!$E$10</f>
        <v>3240</v>
      </c>
      <c r="F13" s="67">
        <f>Interventions!$E$10</f>
        <v>3240</v>
      </c>
      <c r="G13" s="67">
        <f>Interventions!$E$10</f>
        <v>3240</v>
      </c>
      <c r="H13" s="67">
        <f>Interventions!$E$10</f>
        <v>3240</v>
      </c>
      <c r="I13" s="67">
        <f>Interventions!$E$10</f>
        <v>3240</v>
      </c>
      <c r="J13" s="67">
        <f>Interventions!$E$10</f>
        <v>3240</v>
      </c>
      <c r="K13" s="67">
        <f>Interventions!$E$10</f>
        <v>3240</v>
      </c>
      <c r="L13" s="67">
        <f>Interventions!$E$10</f>
        <v>3240</v>
      </c>
      <c r="M13" s="67">
        <f>Interventions!$E$10</f>
        <v>3240</v>
      </c>
      <c r="N13" s="67">
        <f>Interventions!$E$10</f>
        <v>3240</v>
      </c>
      <c r="O13" s="67">
        <f>Interventions!$E$10</f>
        <v>3240</v>
      </c>
      <c r="P13" s="67">
        <f>Interventions!$E$10</f>
        <v>3240</v>
      </c>
      <c r="Q13" s="67">
        <f>Interventions!$E$10</f>
        <v>3240</v>
      </c>
      <c r="R13" s="67">
        <f>Interventions!$E$10</f>
        <v>3240</v>
      </c>
      <c r="S13" s="67">
        <f>Interventions!$E$10</f>
        <v>3240</v>
      </c>
      <c r="T13" s="67">
        <f>Interventions!$E$10</f>
        <v>3240</v>
      </c>
      <c r="U13" s="67">
        <f>Interventions!$E$10</f>
        <v>3240</v>
      </c>
      <c r="V13" s="67">
        <f>Interventions!$E$10</f>
        <v>3240</v>
      </c>
      <c r="W13" s="67">
        <f>Interventions!$E$10</f>
        <v>3240</v>
      </c>
      <c r="X13" s="67">
        <f>Interventions!$E$10</f>
        <v>3240</v>
      </c>
      <c r="Y13" s="67">
        <f>Interventions!$E$10</f>
        <v>3240</v>
      </c>
      <c r="Z13" s="67">
        <f>Interventions!$E$10</f>
        <v>3240</v>
      </c>
      <c r="AA13" s="67">
        <f>Interventions!$E$10</f>
        <v>3240</v>
      </c>
      <c r="AB13" s="67">
        <f>Interventions!$E$10</f>
        <v>3240</v>
      </c>
      <c r="AC13" s="66">
        <f>SUM(C13:AB13)</f>
        <v>81000</v>
      </c>
      <c r="AD13" s="3" t="s">
        <v>12</v>
      </c>
    </row>
    <row r="14" spans="1:32" x14ac:dyDescent="0.25">
      <c r="A14" s="307" t="s">
        <v>80</v>
      </c>
      <c r="B14" s="308"/>
      <c r="C14" s="68">
        <f t="shared" ref="C14:R14" si="2">SUM(C12:C13)</f>
        <v>0</v>
      </c>
      <c r="D14" s="68">
        <f t="shared" si="2"/>
        <v>3815.5904</v>
      </c>
      <c r="E14" s="68">
        <f t="shared" si="2"/>
        <v>3829.9801600000001</v>
      </c>
      <c r="F14" s="68">
        <f t="shared" si="2"/>
        <v>3844.729664</v>
      </c>
      <c r="G14" s="68">
        <f t="shared" si="2"/>
        <v>3859.8479056000001</v>
      </c>
      <c r="H14" s="68">
        <f t="shared" si="2"/>
        <v>3875.3441032400001</v>
      </c>
      <c r="I14" s="68">
        <f t="shared" si="2"/>
        <v>3891.2277058209997</v>
      </c>
      <c r="J14" s="68">
        <f t="shared" si="2"/>
        <v>3907.5083984665248</v>
      </c>
      <c r="K14" s="68">
        <f t="shared" si="2"/>
        <v>3924.1961084281879</v>
      </c>
      <c r="L14" s="68">
        <f t="shared" si="2"/>
        <v>3941.3010111388926</v>
      </c>
      <c r="M14" s="68">
        <f t="shared" si="2"/>
        <v>3958.8335364173645</v>
      </c>
      <c r="N14" s="68">
        <f t="shared" si="2"/>
        <v>3976.8043748277987</v>
      </c>
      <c r="O14" s="68">
        <f t="shared" si="2"/>
        <v>3995.2244841984939</v>
      </c>
      <c r="P14" s="68">
        <f t="shared" si="2"/>
        <v>4014.1050963034559</v>
      </c>
      <c r="Q14" s="68">
        <f t="shared" si="2"/>
        <v>4033.457723711042</v>
      </c>
      <c r="R14" s="68">
        <f t="shared" si="2"/>
        <v>4053.2941668038184</v>
      </c>
      <c r="S14" s="68">
        <f t="shared" ref="S14:W14" si="3">SUM(S12:S13)</f>
        <v>4073.6265209739136</v>
      </c>
      <c r="T14" s="68">
        <f t="shared" si="3"/>
        <v>4094.4671839982611</v>
      </c>
      <c r="U14" s="68">
        <f t="shared" si="3"/>
        <v>4115.828863598218</v>
      </c>
      <c r="V14" s="68">
        <f t="shared" si="3"/>
        <v>4137.7245851881735</v>
      </c>
      <c r="W14" s="68">
        <f t="shared" si="3"/>
        <v>4160.1676998178773</v>
      </c>
      <c r="X14" s="68">
        <f t="shared" ref="X14:AB14" si="4">SUM(X12:X13)</f>
        <v>4183.171892313324</v>
      </c>
      <c r="Y14" s="68">
        <f t="shared" si="4"/>
        <v>4206.7511896211572</v>
      </c>
      <c r="Z14" s="68">
        <f t="shared" si="4"/>
        <v>4230.9199693616865</v>
      </c>
      <c r="AA14" s="68">
        <f t="shared" si="4"/>
        <v>4255.6929685957284</v>
      </c>
      <c r="AB14" s="68">
        <f t="shared" si="4"/>
        <v>4281.0852928106215</v>
      </c>
      <c r="AC14" s="68">
        <f>SUM(AC12:AC13)</f>
        <v>100660.88100523554</v>
      </c>
      <c r="AD14" s="6" t="s">
        <v>12</v>
      </c>
    </row>
    <row r="15" spans="1:32" x14ac:dyDescent="0.25">
      <c r="A15" s="305" t="s">
        <v>150</v>
      </c>
      <c r="B15" s="306"/>
      <c r="C15" s="80"/>
      <c r="D15" s="63"/>
      <c r="E15" s="63"/>
      <c r="F15" s="63"/>
      <c r="G15" s="63"/>
      <c r="H15" s="63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2" x14ac:dyDescent="0.25">
      <c r="A16" s="224"/>
      <c r="B16" s="59"/>
      <c r="C16" s="59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6"/>
      <c r="AD16" s="3"/>
    </row>
    <row r="17" spans="1:30" x14ac:dyDescent="0.25">
      <c r="A17" s="238"/>
      <c r="B17" s="59"/>
      <c r="C17" s="59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6"/>
      <c r="AD17" s="3"/>
    </row>
    <row r="18" spans="1:30" ht="13.5" customHeight="1" x14ac:dyDescent="0.25">
      <c r="A18" s="238" t="s">
        <v>173</v>
      </c>
      <c r="B18" s="59"/>
      <c r="C18" s="59"/>
      <c r="D18" s="67">
        <f>Interventions!$E$13</f>
        <v>9344</v>
      </c>
      <c r="E18" s="67">
        <f>Interventions!$E$13</f>
        <v>9344</v>
      </c>
      <c r="F18" s="67">
        <f>Interventions!$E$13</f>
        <v>9344</v>
      </c>
      <c r="G18" s="67">
        <f>Interventions!$E$13</f>
        <v>9344</v>
      </c>
      <c r="H18" s="67">
        <f>Interventions!$E$13</f>
        <v>9344</v>
      </c>
      <c r="I18" s="67">
        <f>Interventions!$E$13</f>
        <v>9344</v>
      </c>
      <c r="J18" s="67">
        <f>Interventions!$E$13</f>
        <v>9344</v>
      </c>
      <c r="K18" s="67">
        <f>Interventions!$E$13</f>
        <v>9344</v>
      </c>
      <c r="L18" s="67">
        <f>Interventions!$E$13</f>
        <v>9344</v>
      </c>
      <c r="M18" s="67">
        <f>Interventions!$E$13</f>
        <v>9344</v>
      </c>
      <c r="N18" s="67">
        <f>Interventions!$E$13</f>
        <v>9344</v>
      </c>
      <c r="O18" s="67">
        <f>Interventions!$E$13</f>
        <v>9344</v>
      </c>
      <c r="P18" s="67">
        <f>Interventions!$E$13</f>
        <v>9344</v>
      </c>
      <c r="Q18" s="67">
        <f>Interventions!$E$13</f>
        <v>9344</v>
      </c>
      <c r="R18" s="67">
        <f>Interventions!$E$13</f>
        <v>9344</v>
      </c>
      <c r="S18" s="67">
        <f>Interventions!$E$13</f>
        <v>9344</v>
      </c>
      <c r="T18" s="67">
        <f>Interventions!$E$13</f>
        <v>9344</v>
      </c>
      <c r="U18" s="67">
        <f>Interventions!$E$13</f>
        <v>9344</v>
      </c>
      <c r="V18" s="67">
        <f>Interventions!$E$13</f>
        <v>9344</v>
      </c>
      <c r="W18" s="67">
        <f>Interventions!$E$13</f>
        <v>9344</v>
      </c>
      <c r="X18" s="67">
        <f>Interventions!$E$13</f>
        <v>9344</v>
      </c>
      <c r="Y18" s="67">
        <f>Interventions!$E$13</f>
        <v>9344</v>
      </c>
      <c r="Z18" s="67">
        <f>Interventions!$E$13</f>
        <v>9344</v>
      </c>
      <c r="AA18" s="67">
        <f>Interventions!$E$13</f>
        <v>9344</v>
      </c>
      <c r="AB18" s="67">
        <f>Interventions!$E$13</f>
        <v>9344</v>
      </c>
      <c r="AC18" s="66">
        <f>SUM(D18:AB18)</f>
        <v>233600</v>
      </c>
      <c r="AD18" s="3" t="s">
        <v>12</v>
      </c>
    </row>
    <row r="19" spans="1:30" x14ac:dyDescent="0.25">
      <c r="A19" s="59" t="s">
        <v>36</v>
      </c>
      <c r="B19" s="59" t="s">
        <v>36</v>
      </c>
      <c r="C19" s="59"/>
      <c r="D19" s="67">
        <f>Interventions!$E$14</f>
        <v>4703.1271999999999</v>
      </c>
      <c r="E19" s="67">
        <f>Interventions!$E$14</f>
        <v>4703.1271999999999</v>
      </c>
      <c r="F19" s="67">
        <f>Interventions!$E$14</f>
        <v>4703.1271999999999</v>
      </c>
      <c r="G19" s="67">
        <f>Interventions!$E$14</f>
        <v>4703.1271999999999</v>
      </c>
      <c r="H19" s="67">
        <f>Interventions!$E$14</f>
        <v>4703.1271999999999</v>
      </c>
      <c r="I19" s="67">
        <f>Interventions!$E$14</f>
        <v>4703.1271999999999</v>
      </c>
      <c r="J19" s="67">
        <f>Interventions!$E$14</f>
        <v>4703.1271999999999</v>
      </c>
      <c r="K19" s="67">
        <f>Interventions!$E$14</f>
        <v>4703.1271999999999</v>
      </c>
      <c r="L19" s="67">
        <f>Interventions!$E$14</f>
        <v>4703.1271999999999</v>
      </c>
      <c r="M19" s="67">
        <f>Interventions!$E$14</f>
        <v>4703.1271999999999</v>
      </c>
      <c r="N19" s="67">
        <f>Interventions!$E$14</f>
        <v>4703.1271999999999</v>
      </c>
      <c r="O19" s="67">
        <f>Interventions!$E$14</f>
        <v>4703.1271999999999</v>
      </c>
      <c r="P19" s="67">
        <f>Interventions!$E$14</f>
        <v>4703.1271999999999</v>
      </c>
      <c r="Q19" s="67">
        <f>Interventions!$E$14</f>
        <v>4703.1271999999999</v>
      </c>
      <c r="R19" s="67">
        <f>Interventions!$E$14</f>
        <v>4703.1271999999999</v>
      </c>
      <c r="S19" s="67">
        <f>Interventions!$E$14</f>
        <v>4703.1271999999999</v>
      </c>
      <c r="T19" s="67">
        <f>Interventions!$E$14</f>
        <v>4703.1271999999999</v>
      </c>
      <c r="U19" s="67">
        <f>Interventions!$E$14</f>
        <v>4703.1271999999999</v>
      </c>
      <c r="V19" s="67">
        <f>Interventions!$E$14</f>
        <v>4703.1271999999999</v>
      </c>
      <c r="W19" s="67">
        <f>Interventions!$E$14</f>
        <v>4703.1271999999999</v>
      </c>
      <c r="X19" s="67">
        <f>Interventions!$E$14</f>
        <v>4703.1271999999999</v>
      </c>
      <c r="Y19" s="67">
        <f>Interventions!$E$14</f>
        <v>4703.1271999999999</v>
      </c>
      <c r="Z19" s="67">
        <f>Interventions!$E$14</f>
        <v>4703.1271999999999</v>
      </c>
      <c r="AA19" s="67">
        <f>Interventions!$E$14</f>
        <v>4703.1271999999999</v>
      </c>
      <c r="AB19" s="67">
        <f>Interventions!$E$14</f>
        <v>4703.1271999999999</v>
      </c>
      <c r="AC19" s="66">
        <f>SUM(D19:AB19)</f>
        <v>117578.18000000004</v>
      </c>
      <c r="AD19" s="3" t="s">
        <v>12</v>
      </c>
    </row>
    <row r="20" spans="1:30" x14ac:dyDescent="0.25">
      <c r="A20" s="307" t="s">
        <v>80</v>
      </c>
      <c r="B20" s="308"/>
      <c r="C20" s="81">
        <f>SUM(C16:C16)</f>
        <v>0</v>
      </c>
      <c r="D20" s="81">
        <f>D18-D19</f>
        <v>4640.8728000000001</v>
      </c>
      <c r="E20" s="81">
        <f t="shared" ref="E20:AB20" si="5">E18-E19</f>
        <v>4640.8728000000001</v>
      </c>
      <c r="F20" s="81">
        <f t="shared" si="5"/>
        <v>4640.8728000000001</v>
      </c>
      <c r="G20" s="81">
        <f t="shared" si="5"/>
        <v>4640.8728000000001</v>
      </c>
      <c r="H20" s="81">
        <f t="shared" si="5"/>
        <v>4640.8728000000001</v>
      </c>
      <c r="I20" s="81">
        <f t="shared" si="5"/>
        <v>4640.8728000000001</v>
      </c>
      <c r="J20" s="81">
        <f t="shared" si="5"/>
        <v>4640.8728000000001</v>
      </c>
      <c r="K20" s="81">
        <f t="shared" si="5"/>
        <v>4640.8728000000001</v>
      </c>
      <c r="L20" s="81">
        <f t="shared" si="5"/>
        <v>4640.8728000000001</v>
      </c>
      <c r="M20" s="81">
        <f t="shared" si="5"/>
        <v>4640.8728000000001</v>
      </c>
      <c r="N20" s="81">
        <f t="shared" si="5"/>
        <v>4640.8728000000001</v>
      </c>
      <c r="O20" s="81">
        <f t="shared" si="5"/>
        <v>4640.8728000000001</v>
      </c>
      <c r="P20" s="81">
        <f t="shared" si="5"/>
        <v>4640.8728000000001</v>
      </c>
      <c r="Q20" s="81">
        <f t="shared" si="5"/>
        <v>4640.8728000000001</v>
      </c>
      <c r="R20" s="81">
        <f t="shared" si="5"/>
        <v>4640.8728000000001</v>
      </c>
      <c r="S20" s="81">
        <f t="shared" si="5"/>
        <v>4640.8728000000001</v>
      </c>
      <c r="T20" s="81">
        <f t="shared" si="5"/>
        <v>4640.8728000000001</v>
      </c>
      <c r="U20" s="81">
        <f t="shared" si="5"/>
        <v>4640.8728000000001</v>
      </c>
      <c r="V20" s="81">
        <f t="shared" si="5"/>
        <v>4640.8728000000001</v>
      </c>
      <c r="W20" s="81">
        <f t="shared" si="5"/>
        <v>4640.8728000000001</v>
      </c>
      <c r="X20" s="81">
        <f t="shared" si="5"/>
        <v>4640.8728000000001</v>
      </c>
      <c r="Y20" s="81">
        <f t="shared" si="5"/>
        <v>4640.8728000000001</v>
      </c>
      <c r="Z20" s="81">
        <f t="shared" si="5"/>
        <v>4640.8728000000001</v>
      </c>
      <c r="AA20" s="81">
        <f t="shared" si="5"/>
        <v>4640.8728000000001</v>
      </c>
      <c r="AB20" s="81">
        <f t="shared" si="5"/>
        <v>4640.8728000000001</v>
      </c>
      <c r="AC20" s="81">
        <f>AC18-AC19</f>
        <v>116021.81999999996</v>
      </c>
      <c r="AD20" s="6" t="s">
        <v>12</v>
      </c>
    </row>
    <row r="21" spans="1:30" x14ac:dyDescent="0.25">
      <c r="A21" s="132"/>
      <c r="B21" s="133" t="s">
        <v>81</v>
      </c>
      <c r="C21" s="134">
        <f t="shared" ref="C21:R21" si="6">(C20+C14)-C10</f>
        <v>-27361</v>
      </c>
      <c r="D21" s="134">
        <f t="shared" si="6"/>
        <v>5720.3631999999998</v>
      </c>
      <c r="E21" s="134">
        <f t="shared" si="6"/>
        <v>5734.7529599999998</v>
      </c>
      <c r="F21" s="134">
        <f t="shared" si="6"/>
        <v>5749.5024639999992</v>
      </c>
      <c r="G21" s="134">
        <f t="shared" si="6"/>
        <v>5764.6207056000003</v>
      </c>
      <c r="H21" s="134">
        <f t="shared" si="6"/>
        <v>5780.1169032399994</v>
      </c>
      <c r="I21" s="134">
        <f t="shared" si="6"/>
        <v>5796.000505820999</v>
      </c>
      <c r="J21" s="134">
        <f t="shared" si="6"/>
        <v>5812.2811984665241</v>
      </c>
      <c r="K21" s="134">
        <f t="shared" si="6"/>
        <v>5828.9689084281872</v>
      </c>
      <c r="L21" s="134">
        <f t="shared" si="6"/>
        <v>5846.0738111388928</v>
      </c>
      <c r="M21" s="134">
        <f t="shared" si="6"/>
        <v>5863.6063364173642</v>
      </c>
      <c r="N21" s="134">
        <f t="shared" si="6"/>
        <v>5881.5771748277984</v>
      </c>
      <c r="O21" s="134">
        <f t="shared" si="6"/>
        <v>5899.9972841984945</v>
      </c>
      <c r="P21" s="134">
        <f t="shared" si="6"/>
        <v>5918.8778963034547</v>
      </c>
      <c r="Q21" s="134">
        <f t="shared" si="6"/>
        <v>5938.2305237110413</v>
      </c>
      <c r="R21" s="134">
        <f t="shared" si="6"/>
        <v>5958.066966803819</v>
      </c>
      <c r="S21" s="134">
        <f t="shared" ref="S21:W21" si="7">(S20+S14)-S10</f>
        <v>5978.3993209739128</v>
      </c>
      <c r="T21" s="134">
        <f t="shared" si="7"/>
        <v>5999.2399839982609</v>
      </c>
      <c r="U21" s="134">
        <f t="shared" si="7"/>
        <v>6020.6016635982178</v>
      </c>
      <c r="V21" s="134">
        <f t="shared" si="7"/>
        <v>6042.4973851881732</v>
      </c>
      <c r="W21" s="134">
        <f t="shared" si="7"/>
        <v>6064.9404998178779</v>
      </c>
      <c r="X21" s="134">
        <f t="shared" ref="X21:AB21" si="8">(X20+X14)-X10</f>
        <v>6087.9446923133237</v>
      </c>
      <c r="Y21" s="134">
        <f t="shared" si="8"/>
        <v>6111.5239896211569</v>
      </c>
      <c r="Z21" s="134">
        <f t="shared" si="8"/>
        <v>6135.6927693616872</v>
      </c>
      <c r="AA21" s="134">
        <f t="shared" si="8"/>
        <v>6160.4657685957282</v>
      </c>
      <c r="AB21" s="134">
        <f t="shared" si="8"/>
        <v>6185.8580928106221</v>
      </c>
      <c r="AC21" s="134">
        <f>(AC20+AC14)-AC10</f>
        <v>120919.2010052355</v>
      </c>
      <c r="AD21" s="135" t="s">
        <v>12</v>
      </c>
    </row>
    <row r="22" spans="1:30" x14ac:dyDescent="0.25">
      <c r="A22" s="132"/>
      <c r="B22" s="133" t="s">
        <v>82</v>
      </c>
      <c r="C22" s="134">
        <f t="shared" ref="C22:R22" si="9">(C20)-C10</f>
        <v>-27361</v>
      </c>
      <c r="D22" s="134">
        <f t="shared" si="9"/>
        <v>1904.7727999999997</v>
      </c>
      <c r="E22" s="134">
        <f t="shared" si="9"/>
        <v>1904.7727999999997</v>
      </c>
      <c r="F22" s="134">
        <f t="shared" si="9"/>
        <v>1904.7727999999997</v>
      </c>
      <c r="G22" s="134">
        <f t="shared" si="9"/>
        <v>1904.7727999999997</v>
      </c>
      <c r="H22" s="134">
        <f t="shared" si="9"/>
        <v>1904.7727999999997</v>
      </c>
      <c r="I22" s="134">
        <f t="shared" si="9"/>
        <v>1904.7727999999997</v>
      </c>
      <c r="J22" s="134">
        <f t="shared" si="9"/>
        <v>1904.7727999999997</v>
      </c>
      <c r="K22" s="134">
        <f t="shared" si="9"/>
        <v>1904.7727999999997</v>
      </c>
      <c r="L22" s="134">
        <f t="shared" si="9"/>
        <v>1904.7727999999997</v>
      </c>
      <c r="M22" s="134">
        <f t="shared" si="9"/>
        <v>1904.7727999999997</v>
      </c>
      <c r="N22" s="134">
        <f t="shared" si="9"/>
        <v>1904.7727999999997</v>
      </c>
      <c r="O22" s="134">
        <f t="shared" si="9"/>
        <v>1904.7727999999997</v>
      </c>
      <c r="P22" s="134">
        <f t="shared" si="9"/>
        <v>1904.7727999999997</v>
      </c>
      <c r="Q22" s="134">
        <f t="shared" si="9"/>
        <v>1904.7727999999997</v>
      </c>
      <c r="R22" s="134">
        <f t="shared" si="9"/>
        <v>1904.7727999999997</v>
      </c>
      <c r="S22" s="134">
        <f t="shared" ref="S22:W22" si="10">(S20)-S10</f>
        <v>1904.7727999999997</v>
      </c>
      <c r="T22" s="134">
        <f t="shared" si="10"/>
        <v>1904.7727999999997</v>
      </c>
      <c r="U22" s="134">
        <f t="shared" si="10"/>
        <v>1904.7727999999997</v>
      </c>
      <c r="V22" s="134">
        <f t="shared" si="10"/>
        <v>1904.7727999999997</v>
      </c>
      <c r="W22" s="134">
        <f t="shared" si="10"/>
        <v>1904.7727999999997</v>
      </c>
      <c r="X22" s="134">
        <f t="shared" ref="X22:AB22" si="11">(X20)-X10</f>
        <v>1904.7727999999997</v>
      </c>
      <c r="Y22" s="134">
        <f t="shared" si="11"/>
        <v>1904.7727999999997</v>
      </c>
      <c r="Z22" s="134">
        <f t="shared" si="11"/>
        <v>1904.7727999999997</v>
      </c>
      <c r="AA22" s="134">
        <f t="shared" si="11"/>
        <v>1904.7727999999997</v>
      </c>
      <c r="AB22" s="134">
        <f t="shared" si="11"/>
        <v>1904.7727999999997</v>
      </c>
      <c r="AC22" s="134">
        <f>(AC20)-AC10</f>
        <v>20258.319999999978</v>
      </c>
      <c r="AD22" s="135" t="s">
        <v>12</v>
      </c>
    </row>
    <row r="23" spans="1:30" ht="13.5" customHeight="1" x14ac:dyDescent="0.25">
      <c r="A23" s="69" t="s">
        <v>83</v>
      </c>
      <c r="B23" s="70">
        <f>XIRR(C22:AB22, C$5:AB$5, 0.1)</f>
        <v>4.8083797097206116E-2</v>
      </c>
      <c r="D23" s="82"/>
      <c r="E23" s="71"/>
      <c r="F23" s="71"/>
      <c r="G23" s="71"/>
      <c r="H23" s="71"/>
      <c r="I23" s="71"/>
      <c r="J23" s="72"/>
    </row>
    <row r="24" spans="1:30" ht="13.5" customHeight="1" x14ac:dyDescent="0.25">
      <c r="A24" s="96" t="s">
        <v>85</v>
      </c>
      <c r="B24" s="73">
        <f>XIRR(C21:AB21, C$5:AB$5, 0.1)</f>
        <v>0.20981727242469791</v>
      </c>
      <c r="D24" s="82"/>
      <c r="E24" s="71"/>
      <c r="F24" s="71"/>
      <c r="G24" s="71"/>
      <c r="H24" s="71"/>
      <c r="I24" s="71"/>
      <c r="J24" s="72"/>
    </row>
    <row r="25" spans="1:30" x14ac:dyDescent="0.25">
      <c r="A25" s="97" t="s">
        <v>86</v>
      </c>
      <c r="B25" s="84">
        <f>XNPV(A$1,C20:AB20,C$5:AB$5)/XNPV(A$1,C10:AB10,C$5:AB$5)</f>
        <v>0.74536369629653232</v>
      </c>
      <c r="E25" s="85"/>
      <c r="F25" s="85"/>
      <c r="G25" s="85"/>
      <c r="H25" s="85"/>
      <c r="I25" s="85"/>
    </row>
    <row r="26" spans="1:30" x14ac:dyDescent="0.25">
      <c r="A26" s="96" t="s">
        <v>87</v>
      </c>
      <c r="B26" s="86">
        <f>(XNPV(A$1,C20:AB20,C$5:AB$5)+XNPV(A$1,C14:AB14,C$5:AB$5))/XNPV(A$1,C10:AB10,C$5:AB$5)</f>
        <v>1.3762670101744268</v>
      </c>
      <c r="E26" s="85"/>
      <c r="F26" s="85"/>
      <c r="G26" s="85"/>
      <c r="H26" s="85"/>
      <c r="I26" s="85"/>
    </row>
    <row r="27" spans="1:30" x14ac:dyDescent="0.25">
      <c r="A27" s="98" t="s">
        <v>84</v>
      </c>
      <c r="B27" s="74">
        <f>XNPV(A$1,C22:AB22,C$5:AB$5)</f>
        <v>-12428.84948390406</v>
      </c>
      <c r="E27" s="85"/>
      <c r="F27" s="85"/>
      <c r="G27" s="85"/>
      <c r="H27" s="85"/>
      <c r="I27" s="85"/>
    </row>
    <row r="28" spans="1:30" x14ac:dyDescent="0.25">
      <c r="A28" s="96" t="s">
        <v>88</v>
      </c>
      <c r="B28" s="76">
        <f>XNPV(A$1,C21:AB21,C$5:AB$5)</f>
        <v>18365.668866535823</v>
      </c>
      <c r="E28" s="85"/>
      <c r="F28" s="85"/>
      <c r="G28" s="85"/>
      <c r="H28" s="85"/>
      <c r="I28" s="85"/>
    </row>
    <row r="29" spans="1:30" x14ac:dyDescent="0.25">
      <c r="A29" s="83" t="s">
        <v>76</v>
      </c>
      <c r="B29" s="74">
        <f>IF(R29,R4-C4)</f>
        <v>15</v>
      </c>
      <c r="C29" s="75">
        <f>C20/C10</f>
        <v>0</v>
      </c>
      <c r="D29" s="87">
        <f>SUM($C$20:D20)/SUM($C$10:D10)</f>
        <v>0.15419667675623233</v>
      </c>
      <c r="E29" s="87">
        <f>SUM($C$20:E20)/SUM($C$10:E10)</f>
        <v>0.28269390738642597</v>
      </c>
      <c r="F29" s="87">
        <f>SUM($C$20:F20)/SUM($C$10:F10)</f>
        <v>0.39142233330428211</v>
      </c>
      <c r="G29" s="87">
        <f>SUM($C$20:G20)/SUM($C$10:G10)</f>
        <v>0.48461812694815881</v>
      </c>
      <c r="H29" s="87">
        <f>SUM($C$20:H20)/SUM($C$10:H10)</f>
        <v>0.56538781477285205</v>
      </c>
      <c r="I29" s="87">
        <f>SUM($C$20:I20)/SUM($C$10:I10)</f>
        <v>0.63606129161945857</v>
      </c>
      <c r="J29" s="87">
        <f>SUM($C$20:J20)/SUM($C$10:J10)</f>
        <v>0.69842024177822903</v>
      </c>
      <c r="K29" s="87">
        <f>SUM($C$20:K20)/SUM($C$10:K10)</f>
        <v>0.75385041969713606</v>
      </c>
      <c r="L29" s="87">
        <f>SUM($C$20:L20)/SUM($C$10:L10)</f>
        <v>0.80344584204563174</v>
      </c>
      <c r="M29" s="87">
        <f>SUM($C$20:M20)/SUM($C$10:M10)</f>
        <v>0.84808172215927791</v>
      </c>
      <c r="N29" s="87">
        <f>SUM($C$20:N20)/SUM($C$10:N10)</f>
        <v>0.88846656607162444</v>
      </c>
      <c r="O29" s="87">
        <f>SUM($C$20:O20)/SUM($C$10:O10)</f>
        <v>0.9251800605373941</v>
      </c>
      <c r="P29" s="87">
        <f>SUM($C$20:P20)/SUM($C$10:P10)</f>
        <v>0.95870107722353148</v>
      </c>
      <c r="Q29" s="87">
        <f>SUM($C$20:Q20)/SUM($C$10:Q10)</f>
        <v>0.98942867585249084</v>
      </c>
      <c r="R29" s="87">
        <f>SUM($C$20:R20)/SUM($C$10:R10)</f>
        <v>1.0176980665911335</v>
      </c>
      <c r="S29" s="87">
        <f>SUM($C$20:S20)/SUM($C$10:S10)</f>
        <v>1.0437928888114187</v>
      </c>
      <c r="T29" s="87">
        <f>SUM($C$20:T20)/SUM($C$10:T10)</f>
        <v>1.067954761237609</v>
      </c>
      <c r="U29" s="87">
        <f>SUM($C$20:U20)/SUM($C$10:U10)</f>
        <v>1.090390785633357</v>
      </c>
      <c r="V29" s="87">
        <f>SUM($C$20:V20)/SUM($C$10:V10)</f>
        <v>1.1112794980018119</v>
      </c>
      <c r="W29" s="87">
        <f>SUM($C$20:W20)/SUM($C$10:W10)</f>
        <v>1.1307756295457032</v>
      </c>
      <c r="X29" s="87">
        <f>SUM($C$20:X20)/SUM($C$10:X10)</f>
        <v>1.1490139461512789</v>
      </c>
      <c r="Y29" s="87">
        <f>SUM($C$20:Y20)/SUM($C$10:Y10)</f>
        <v>1.1661123679690064</v>
      </c>
      <c r="Z29" s="87">
        <f>SUM($C$20:Z20)/SUM($C$10:Z10)</f>
        <v>1.1821745217977804</v>
      </c>
      <c r="AA29" s="87">
        <f>SUM($C$20:AA20)/SUM($C$10:AA10)</f>
        <v>1.1972918430483914</v>
      </c>
      <c r="AB29" s="87">
        <f>SUM($C$20:AB20)/SUM($C$10:AB10)</f>
        <v>1.2115453173703958</v>
      </c>
    </row>
    <row r="30" spans="1:30" x14ac:dyDescent="0.25">
      <c r="A30" s="96" t="s">
        <v>89</v>
      </c>
      <c r="B30" s="76">
        <f>IF(H30,H4-C4)</f>
        <v>5</v>
      </c>
      <c r="C30" s="75">
        <f>(C20+C14)/C10</f>
        <v>0</v>
      </c>
      <c r="D30" s="87">
        <f>(SUM($C$20:D20)+SUM($C$14:D14))/SUM($C$10:D10)</f>
        <v>0.28097269172112932</v>
      </c>
      <c r="E30" s="87">
        <f>(SUM($C$20:E20)+SUM($C$14:E14))/SUM($C$10:E10)</f>
        <v>0.51555487007053846</v>
      </c>
      <c r="F30" s="87">
        <f>(SUM($C$20:F20)+SUM($C$14:F14))/SUM($C$10:F10)</f>
        <v>0.71446215202435814</v>
      </c>
      <c r="G30" s="87">
        <f>(SUM($C$20:G20)+SUM($C$14:G14))/SUM($C$10:G10)</f>
        <v>0.88534878449513665</v>
      </c>
      <c r="H30" s="87">
        <f>(SUM($C$20:H20)+SUM($C$14:H14))/SUM($C$10:H10)</f>
        <v>1.033828106498057</v>
      </c>
      <c r="I30" s="87">
        <f>(SUM($C$20:I20)+SUM($C$14:I14))/SUM($C$10:I10)</f>
        <v>1.1641103381332236</v>
      </c>
      <c r="J30" s="87">
        <f>(SUM($C$20:J20)+SUM($C$14:J14))/SUM($C$10:J10)</f>
        <v>1.2794152676980661</v>
      </c>
      <c r="K30" s="87">
        <f>(SUM($C$20:K20)+SUM($C$14:K14))/SUM($C$10:K10)</f>
        <v>1.3822473765488537</v>
      </c>
      <c r="L30" s="87">
        <f>(SUM($C$20:L20)+SUM($C$14:L14))/SUM($C$10:L10)</f>
        <v>1.4745840825434322</v>
      </c>
      <c r="M30" s="87">
        <f>(SUM($C$20:M20)+SUM($C$14:M14))/SUM($C$10:M10)</f>
        <v>1.5580075105645257</v>
      </c>
      <c r="N30" s="87">
        <f>(SUM($C$20:N20)+SUM($C$14:N14))/SUM($C$10:N10)</f>
        <v>1.6337986144327743</v>
      </c>
      <c r="O30" s="87">
        <f>(SUM($C$20:O20)+SUM($C$14:O14))/SUM($C$10:O10)</f>
        <v>1.7030056293154203</v>
      </c>
      <c r="P30" s="87">
        <f>(SUM($C$20:P20)+SUM($C$14:P14))/SUM($C$10:P10)</f>
        <v>1.7664946670910791</v>
      </c>
      <c r="Q30" s="87">
        <f>(SUM($C$20:Q20)+SUM($C$14:Q14))/SUM($C$10:Q10)</f>
        <v>1.8249876629776078</v>
      </c>
      <c r="R30" s="87">
        <f>(SUM($C$20:R20)+SUM($C$14:R14))/SUM($C$10:R10)</f>
        <v>1.8790912150719137</v>
      </c>
      <c r="S30" s="87">
        <f>(SUM($C$20:S20)+SUM($C$14:S14))/SUM($C$10:S10)</f>
        <v>1.929318768712492</v>
      </c>
      <c r="T30" s="87">
        <f>(SUM($C$20:T20)+SUM($C$14:T14))/SUM($C$10:T10)</f>
        <v>1.9761078710834525</v>
      </c>
      <c r="U30" s="87">
        <f>(SUM($C$20:U20)+SUM($C$14:U14))/SUM($C$10:U10)</f>
        <v>2.0198337285020771</v>
      </c>
      <c r="V30" s="87">
        <f>(SUM($C$20:V20)+SUM($C$14:V14))/SUM($C$10:V10)</f>
        <v>2.0608199588479841</v>
      </c>
      <c r="W30" s="87">
        <f>(SUM($C$20:W20)+SUM($C$14:W14))/SUM($C$10:W10)</f>
        <v>2.0993471936032182</v>
      </c>
      <c r="X30" s="87">
        <f>(SUM($C$20:X20)+SUM($C$14:X14))/SUM($C$10:X10)</f>
        <v>2.1356600150773382</v>
      </c>
      <c r="Y30" s="87">
        <f>(SUM($C$20:Y20)+SUM($C$14:Y14))/SUM($C$10:Y10)</f>
        <v>2.1699725929981022</v>
      </c>
      <c r="Z30" s="87">
        <f>(SUM($C$20:Z20)+SUM($C$14:Z14))/SUM($C$10:Z10)</f>
        <v>2.2024732963622085</v>
      </c>
      <c r="AA30" s="87">
        <f>(SUM($C$20:AA20)+SUM($C$14:AA14))/SUM($C$10:AA10)</f>
        <v>2.233328491524269</v>
      </c>
      <c r="AB30" s="87">
        <f>(SUM($C$20:AB20)+SUM($C$14:AB14))/SUM($C$10:AB10)</f>
        <v>2.2626856892786438</v>
      </c>
    </row>
    <row r="31" spans="1:30" x14ac:dyDescent="0.25">
      <c r="J31" s="8"/>
    </row>
    <row r="34" spans="1:32" ht="26.25" x14ac:dyDescent="0.4">
      <c r="A34" s="107">
        <v>0.20499999999999999</v>
      </c>
      <c r="B34" s="107" t="s">
        <v>79</v>
      </c>
    </row>
    <row r="35" spans="1:32" ht="23.25" customHeight="1" x14ac:dyDescent="0.25">
      <c r="A35" s="311" t="s">
        <v>139</v>
      </c>
      <c r="B35" s="312"/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3"/>
    </row>
    <row r="36" spans="1:32" x14ac:dyDescent="0.25">
      <c r="A36" s="78"/>
      <c r="B36" s="78"/>
      <c r="C36" s="60" t="s">
        <v>8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1" t="s">
        <v>9</v>
      </c>
    </row>
    <row r="37" spans="1:32" ht="15.75" customHeight="1" x14ac:dyDescent="0.25">
      <c r="A37" s="309" t="s">
        <v>131</v>
      </c>
      <c r="B37" s="310"/>
      <c r="C37" s="222"/>
      <c r="D37" s="1">
        <v>1</v>
      </c>
      <c r="E37" s="1">
        <v>2</v>
      </c>
      <c r="F37" s="1">
        <v>3</v>
      </c>
      <c r="G37" s="1">
        <v>4</v>
      </c>
      <c r="H37" s="1">
        <v>5</v>
      </c>
      <c r="I37" s="1">
        <v>6</v>
      </c>
      <c r="J37" s="1">
        <v>7</v>
      </c>
      <c r="K37" s="1">
        <v>8</v>
      </c>
      <c r="L37" s="1">
        <v>9</v>
      </c>
      <c r="M37" s="1">
        <v>10</v>
      </c>
      <c r="N37" s="1">
        <v>11</v>
      </c>
      <c r="O37" s="1">
        <v>12</v>
      </c>
      <c r="P37" s="1">
        <v>13</v>
      </c>
      <c r="Q37" s="1">
        <v>14</v>
      </c>
      <c r="R37" s="1">
        <v>15</v>
      </c>
      <c r="S37" s="1">
        <v>16</v>
      </c>
      <c r="T37" s="1">
        <v>17</v>
      </c>
      <c r="U37" s="1">
        <v>18</v>
      </c>
      <c r="V37" s="1">
        <v>19</v>
      </c>
      <c r="W37" s="1">
        <v>20</v>
      </c>
      <c r="X37" s="1">
        <v>21</v>
      </c>
      <c r="Y37" s="1">
        <v>22</v>
      </c>
      <c r="Z37" s="1">
        <v>23</v>
      </c>
      <c r="AA37" s="1">
        <v>24</v>
      </c>
      <c r="AB37" s="1">
        <v>25</v>
      </c>
      <c r="AC37" s="62" t="s">
        <v>78</v>
      </c>
      <c r="AD37" s="7"/>
    </row>
    <row r="38" spans="1:32" ht="16.5" customHeight="1" x14ac:dyDescent="0.25">
      <c r="A38" s="89"/>
      <c r="B38" s="90"/>
      <c r="C38" s="99">
        <v>44197</v>
      </c>
      <c r="D38" s="99">
        <v>44562</v>
      </c>
      <c r="E38" s="99">
        <v>44927</v>
      </c>
      <c r="F38" s="99">
        <v>45292</v>
      </c>
      <c r="G38" s="99">
        <v>45658</v>
      </c>
      <c r="H38" s="99">
        <v>46023</v>
      </c>
      <c r="I38" s="99">
        <v>46388</v>
      </c>
      <c r="J38" s="99">
        <v>46753</v>
      </c>
      <c r="K38" s="99">
        <v>47119</v>
      </c>
      <c r="L38" s="99">
        <v>47484</v>
      </c>
      <c r="M38" s="99">
        <v>47849</v>
      </c>
      <c r="N38" s="99">
        <v>48214</v>
      </c>
      <c r="O38" s="99">
        <v>48580</v>
      </c>
      <c r="P38" s="99">
        <v>48945</v>
      </c>
      <c r="Q38" s="99">
        <v>49310</v>
      </c>
      <c r="R38" s="99">
        <v>49675</v>
      </c>
      <c r="S38" s="99">
        <v>50041</v>
      </c>
      <c r="T38" s="99">
        <v>50406</v>
      </c>
      <c r="U38" s="99">
        <v>50771</v>
      </c>
      <c r="V38" s="99">
        <v>51136</v>
      </c>
      <c r="W38" s="99">
        <v>51502</v>
      </c>
      <c r="X38" s="99">
        <v>51867</v>
      </c>
      <c r="Y38" s="99">
        <v>52232</v>
      </c>
      <c r="Z38" s="99">
        <v>52597</v>
      </c>
      <c r="AA38" s="99">
        <v>52963</v>
      </c>
      <c r="AB38" s="99">
        <v>53328</v>
      </c>
      <c r="AC38" s="91"/>
      <c r="AD38" s="92"/>
    </row>
    <row r="39" spans="1:32" s="106" customFormat="1" ht="16.5" customHeight="1" x14ac:dyDescent="0.25"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3"/>
      <c r="AD39" s="104"/>
      <c r="AE39" s="105"/>
      <c r="AF39" s="105"/>
    </row>
    <row r="40" spans="1:32" x14ac:dyDescent="0.25">
      <c r="A40" s="305" t="s">
        <v>10</v>
      </c>
      <c r="B40" s="306"/>
      <c r="C40" s="237"/>
      <c r="D40" s="63"/>
      <c r="E40" s="63"/>
      <c r="F40" s="63"/>
      <c r="G40" s="63"/>
      <c r="H40" s="63"/>
      <c r="I40" s="63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2" x14ac:dyDescent="0.25">
      <c r="A41" s="224" t="s">
        <v>11</v>
      </c>
      <c r="B41" s="59"/>
      <c r="C41" s="88">
        <f>Interventions!$F$6</f>
        <v>27361</v>
      </c>
      <c r="D41" s="65"/>
      <c r="E41" s="65"/>
      <c r="F41" s="65"/>
      <c r="G41" s="65"/>
      <c r="H41" s="65"/>
      <c r="I41" s="6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66">
        <f>SUM(C41:AB41)</f>
        <v>27361</v>
      </c>
      <c r="AD41" s="3" t="s">
        <v>12</v>
      </c>
    </row>
    <row r="42" spans="1:32" x14ac:dyDescent="0.25">
      <c r="A42" s="59" t="s">
        <v>137</v>
      </c>
      <c r="B42" s="224"/>
      <c r="C42" s="93"/>
      <c r="D42" s="67">
        <f>Interventions!$F$7</f>
        <v>2736.1000000000004</v>
      </c>
      <c r="E42" s="67">
        <f>Interventions!$F$7</f>
        <v>2736.1000000000004</v>
      </c>
      <c r="F42" s="67">
        <f>Interventions!$F$7</f>
        <v>2736.1000000000004</v>
      </c>
      <c r="G42" s="67">
        <f>Interventions!$F$7</f>
        <v>2736.1000000000004</v>
      </c>
      <c r="H42" s="67">
        <f>Interventions!$F$7</f>
        <v>2736.1000000000004</v>
      </c>
      <c r="I42" s="67">
        <f>Interventions!$F$7</f>
        <v>2736.1000000000004</v>
      </c>
      <c r="J42" s="67">
        <f>Interventions!$F$7</f>
        <v>2736.1000000000004</v>
      </c>
      <c r="K42" s="67">
        <f>Interventions!$F$7</f>
        <v>2736.1000000000004</v>
      </c>
      <c r="L42" s="67">
        <f>Interventions!$F$7</f>
        <v>2736.1000000000004</v>
      </c>
      <c r="M42" s="67">
        <f>Interventions!$F$7</f>
        <v>2736.1000000000004</v>
      </c>
      <c r="N42" s="67">
        <f>Interventions!$F$7</f>
        <v>2736.1000000000004</v>
      </c>
      <c r="O42" s="67">
        <f>Interventions!$F$7</f>
        <v>2736.1000000000004</v>
      </c>
      <c r="P42" s="67">
        <f>Interventions!$F$7</f>
        <v>2736.1000000000004</v>
      </c>
      <c r="Q42" s="67">
        <f>Interventions!$F$7</f>
        <v>2736.1000000000004</v>
      </c>
      <c r="R42" s="67">
        <f>Interventions!$F$7</f>
        <v>2736.1000000000004</v>
      </c>
      <c r="S42" s="67">
        <f>Interventions!$F$7</f>
        <v>2736.1000000000004</v>
      </c>
      <c r="T42" s="67">
        <f>Interventions!$F$7</f>
        <v>2736.1000000000004</v>
      </c>
      <c r="U42" s="67">
        <f>Interventions!$F$7</f>
        <v>2736.1000000000004</v>
      </c>
      <c r="V42" s="67">
        <f>Interventions!$F$7</f>
        <v>2736.1000000000004</v>
      </c>
      <c r="W42" s="67">
        <f>Interventions!$F$7</f>
        <v>2736.1000000000004</v>
      </c>
      <c r="X42" s="67">
        <f>Interventions!$F$7</f>
        <v>2736.1000000000004</v>
      </c>
      <c r="Y42" s="67">
        <f>Interventions!$F$7</f>
        <v>2736.1000000000004</v>
      </c>
      <c r="Z42" s="67">
        <f>Interventions!$F$7</f>
        <v>2736.1000000000004</v>
      </c>
      <c r="AA42" s="67">
        <f>Interventions!$F$7</f>
        <v>2736.1000000000004</v>
      </c>
      <c r="AB42" s="67">
        <f>Interventions!$F$7</f>
        <v>2736.1000000000004</v>
      </c>
      <c r="AC42" s="66">
        <f>SUM(C42:AB42)</f>
        <v>68402.499999999985</v>
      </c>
      <c r="AD42" s="3" t="s">
        <v>12</v>
      </c>
    </row>
    <row r="43" spans="1:32" x14ac:dyDescent="0.25">
      <c r="A43" s="307" t="s">
        <v>80</v>
      </c>
      <c r="B43" s="308"/>
      <c r="C43" s="94">
        <f t="shared" ref="C43:W43" si="12">SUM(C41:C42)</f>
        <v>27361</v>
      </c>
      <c r="D43" s="94">
        <f t="shared" si="12"/>
        <v>2736.1000000000004</v>
      </c>
      <c r="E43" s="94">
        <f t="shared" si="12"/>
        <v>2736.1000000000004</v>
      </c>
      <c r="F43" s="94">
        <f t="shared" si="12"/>
        <v>2736.1000000000004</v>
      </c>
      <c r="G43" s="94">
        <f t="shared" si="12"/>
        <v>2736.1000000000004</v>
      </c>
      <c r="H43" s="94">
        <f t="shared" si="12"/>
        <v>2736.1000000000004</v>
      </c>
      <c r="I43" s="94">
        <f t="shared" si="12"/>
        <v>2736.1000000000004</v>
      </c>
      <c r="J43" s="94">
        <f t="shared" si="12"/>
        <v>2736.1000000000004</v>
      </c>
      <c r="K43" s="94">
        <f t="shared" si="12"/>
        <v>2736.1000000000004</v>
      </c>
      <c r="L43" s="94">
        <f t="shared" si="12"/>
        <v>2736.1000000000004</v>
      </c>
      <c r="M43" s="94">
        <f t="shared" si="12"/>
        <v>2736.1000000000004</v>
      </c>
      <c r="N43" s="94">
        <f t="shared" si="12"/>
        <v>2736.1000000000004</v>
      </c>
      <c r="O43" s="94">
        <f t="shared" si="12"/>
        <v>2736.1000000000004</v>
      </c>
      <c r="P43" s="94">
        <f t="shared" si="12"/>
        <v>2736.1000000000004</v>
      </c>
      <c r="Q43" s="94">
        <f t="shared" si="12"/>
        <v>2736.1000000000004</v>
      </c>
      <c r="R43" s="94">
        <f t="shared" si="12"/>
        <v>2736.1000000000004</v>
      </c>
      <c r="S43" s="94">
        <f t="shared" si="12"/>
        <v>2736.1000000000004</v>
      </c>
      <c r="T43" s="94">
        <f t="shared" si="12"/>
        <v>2736.1000000000004</v>
      </c>
      <c r="U43" s="94">
        <f t="shared" si="12"/>
        <v>2736.1000000000004</v>
      </c>
      <c r="V43" s="94">
        <f t="shared" si="12"/>
        <v>2736.1000000000004</v>
      </c>
      <c r="W43" s="94">
        <f t="shared" si="12"/>
        <v>2736.1000000000004</v>
      </c>
      <c r="X43" s="94">
        <f t="shared" ref="X43:AB43" si="13">SUM(X41:X42)</f>
        <v>2736.1000000000004</v>
      </c>
      <c r="Y43" s="94">
        <f t="shared" si="13"/>
        <v>2736.1000000000004</v>
      </c>
      <c r="Z43" s="94">
        <f t="shared" si="13"/>
        <v>2736.1000000000004</v>
      </c>
      <c r="AA43" s="94">
        <f t="shared" si="13"/>
        <v>2736.1000000000004</v>
      </c>
      <c r="AB43" s="94">
        <f t="shared" si="13"/>
        <v>2736.1000000000004</v>
      </c>
      <c r="AC43" s="95">
        <f>SUM(AC41:AC42)</f>
        <v>95763.499999999985</v>
      </c>
      <c r="AD43" s="6" t="s">
        <v>12</v>
      </c>
    </row>
    <row r="44" spans="1:32" x14ac:dyDescent="0.25">
      <c r="A44" s="305" t="s">
        <v>155</v>
      </c>
      <c r="B44" s="306"/>
      <c r="C44" s="237"/>
      <c r="D44" s="63"/>
      <c r="E44" s="63"/>
      <c r="F44" s="63"/>
      <c r="G44" s="63"/>
      <c r="H44" s="63"/>
      <c r="I44" s="63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2" x14ac:dyDescent="0.25">
      <c r="A45" s="59" t="s">
        <v>171</v>
      </c>
      <c r="B45" s="59"/>
      <c r="C45" s="59"/>
      <c r="D45" s="67">
        <f>'Carbon avoided'!E12</f>
        <v>575.59040000000005</v>
      </c>
      <c r="E45" s="67">
        <f>'Carbon avoided'!F12</f>
        <v>589.98016000000007</v>
      </c>
      <c r="F45" s="67">
        <f>'Carbon avoided'!G12</f>
        <v>604.72966399999996</v>
      </c>
      <c r="G45" s="67">
        <f>'Carbon avoided'!H12</f>
        <v>619.84790559999999</v>
      </c>
      <c r="H45" s="67">
        <f>'Carbon avoided'!I12</f>
        <v>635.34410323999998</v>
      </c>
      <c r="I45" s="67">
        <f>'Carbon avoided'!J12</f>
        <v>651.22770582099986</v>
      </c>
      <c r="J45" s="67">
        <f>'Carbon avoided'!K12</f>
        <v>667.5083984665248</v>
      </c>
      <c r="K45" s="67">
        <f>'Carbon avoided'!L12</f>
        <v>684.19610842818781</v>
      </c>
      <c r="L45" s="67">
        <f>'Carbon avoided'!M12</f>
        <v>701.30101113889248</v>
      </c>
      <c r="M45" s="67">
        <f>'Carbon avoided'!N12</f>
        <v>718.83353641736471</v>
      </c>
      <c r="N45" s="67">
        <f>'Carbon avoided'!O12</f>
        <v>736.80437482779871</v>
      </c>
      <c r="O45" s="67">
        <f>'Carbon avoided'!P12</f>
        <v>755.22448419849366</v>
      </c>
      <c r="P45" s="67">
        <f>'Carbon avoided'!Q12</f>
        <v>774.10509630345587</v>
      </c>
      <c r="Q45" s="67">
        <f>'Carbon avoided'!R12</f>
        <v>793.45772371104215</v>
      </c>
      <c r="R45" s="67">
        <f>'Carbon avoided'!S12</f>
        <v>813.29416680381814</v>
      </c>
      <c r="S45" s="67">
        <f>'Carbon avoided'!T12</f>
        <v>833.62652097391356</v>
      </c>
      <c r="T45" s="67">
        <f>'Carbon avoided'!U12</f>
        <v>854.46718399826136</v>
      </c>
      <c r="U45" s="67">
        <f>'Carbon avoided'!V12</f>
        <v>875.82886359821782</v>
      </c>
      <c r="V45" s="67">
        <f>'Carbon avoided'!W12</f>
        <v>897.72458518817314</v>
      </c>
      <c r="W45" s="67">
        <f>'Carbon avoided'!X12</f>
        <v>920.16769981787741</v>
      </c>
      <c r="X45" s="67">
        <f>'Carbon avoided'!Y12</f>
        <v>943.17189231332429</v>
      </c>
      <c r="Y45" s="67">
        <f>'Carbon avoided'!Z12</f>
        <v>966.75118962115732</v>
      </c>
      <c r="Z45" s="67">
        <f>'Carbon avoided'!AA12</f>
        <v>990.9199693616863</v>
      </c>
      <c r="AA45" s="67">
        <f>'Carbon avoided'!AB12</f>
        <v>1015.6929685957284</v>
      </c>
      <c r="AB45" s="67">
        <f>'Carbon avoided'!AC12</f>
        <v>1041.0852928106215</v>
      </c>
      <c r="AC45" s="66">
        <f>SUM(C45:AB45)</f>
        <v>19660.88100523554</v>
      </c>
      <c r="AD45" s="3" t="s">
        <v>12</v>
      </c>
    </row>
    <row r="46" spans="1:32" ht="12.75" customHeight="1" x14ac:dyDescent="0.25">
      <c r="A46" s="59" t="s">
        <v>175</v>
      </c>
      <c r="B46" s="59"/>
      <c r="C46" s="59"/>
      <c r="D46" s="67">
        <f>Interventions!$F$10</f>
        <v>3240</v>
      </c>
      <c r="E46" s="67">
        <f>Interventions!$F$10</f>
        <v>3240</v>
      </c>
      <c r="F46" s="67">
        <f>Interventions!$F$10</f>
        <v>3240</v>
      </c>
      <c r="G46" s="67">
        <f>Interventions!$F$10</f>
        <v>3240</v>
      </c>
      <c r="H46" s="67">
        <f>Interventions!$F$10</f>
        <v>3240</v>
      </c>
      <c r="I46" s="67">
        <f>Interventions!$F$10</f>
        <v>3240</v>
      </c>
      <c r="J46" s="67">
        <f>Interventions!$F$10</f>
        <v>3240</v>
      </c>
      <c r="K46" s="67">
        <f>Interventions!$F$10</f>
        <v>3240</v>
      </c>
      <c r="L46" s="67">
        <f>Interventions!$F$10</f>
        <v>3240</v>
      </c>
      <c r="M46" s="67">
        <f>Interventions!$F$10</f>
        <v>3240</v>
      </c>
      <c r="N46" s="67">
        <f>Interventions!$F$10</f>
        <v>3240</v>
      </c>
      <c r="O46" s="67">
        <f>Interventions!$F$10</f>
        <v>3240</v>
      </c>
      <c r="P46" s="67">
        <f>Interventions!$F$10</f>
        <v>3240</v>
      </c>
      <c r="Q46" s="67">
        <f>Interventions!$F$10</f>
        <v>3240</v>
      </c>
      <c r="R46" s="67">
        <f>Interventions!$F$10</f>
        <v>3240</v>
      </c>
      <c r="S46" s="67">
        <f>Interventions!$F$10</f>
        <v>3240</v>
      </c>
      <c r="T46" s="67">
        <f>Interventions!$F$10</f>
        <v>3240</v>
      </c>
      <c r="U46" s="67">
        <f>Interventions!$F$10</f>
        <v>3240</v>
      </c>
      <c r="V46" s="67">
        <f>Interventions!$F$10</f>
        <v>3240</v>
      </c>
      <c r="W46" s="67">
        <f>Interventions!$F$10</f>
        <v>3240</v>
      </c>
      <c r="X46" s="67">
        <f>Interventions!$F$10</f>
        <v>3240</v>
      </c>
      <c r="Y46" s="67">
        <f>Interventions!$F$10</f>
        <v>3240</v>
      </c>
      <c r="Z46" s="67">
        <f>Interventions!$F$10</f>
        <v>3240</v>
      </c>
      <c r="AA46" s="67">
        <f>Interventions!$F$10</f>
        <v>3240</v>
      </c>
      <c r="AB46" s="67">
        <f>Interventions!$F$10</f>
        <v>3240</v>
      </c>
      <c r="AC46" s="66">
        <f>SUM(C46:AB46)</f>
        <v>81000</v>
      </c>
      <c r="AD46" s="3" t="s">
        <v>12</v>
      </c>
    </row>
    <row r="47" spans="1:32" x14ac:dyDescent="0.25">
      <c r="A47" s="307" t="s">
        <v>80</v>
      </c>
      <c r="B47" s="308"/>
      <c r="C47" s="68">
        <f t="shared" ref="C47:R47" si="14">SUM(C45:C46)</f>
        <v>0</v>
      </c>
      <c r="D47" s="68">
        <f t="shared" si="14"/>
        <v>3815.5904</v>
      </c>
      <c r="E47" s="68">
        <f t="shared" si="14"/>
        <v>3829.9801600000001</v>
      </c>
      <c r="F47" s="68">
        <f t="shared" si="14"/>
        <v>3844.729664</v>
      </c>
      <c r="G47" s="68">
        <f t="shared" si="14"/>
        <v>3859.8479056000001</v>
      </c>
      <c r="H47" s="68">
        <f t="shared" si="14"/>
        <v>3875.3441032400001</v>
      </c>
      <c r="I47" s="68">
        <f t="shared" si="14"/>
        <v>3891.2277058209997</v>
      </c>
      <c r="J47" s="68">
        <f t="shared" si="14"/>
        <v>3907.5083984665248</v>
      </c>
      <c r="K47" s="68">
        <f t="shared" si="14"/>
        <v>3924.1961084281879</v>
      </c>
      <c r="L47" s="68">
        <f t="shared" si="14"/>
        <v>3941.3010111388926</v>
      </c>
      <c r="M47" s="68">
        <f t="shared" si="14"/>
        <v>3958.8335364173645</v>
      </c>
      <c r="N47" s="68">
        <f t="shared" si="14"/>
        <v>3976.8043748277987</v>
      </c>
      <c r="O47" s="68">
        <f t="shared" si="14"/>
        <v>3995.2244841984939</v>
      </c>
      <c r="P47" s="68">
        <f t="shared" si="14"/>
        <v>4014.1050963034559</v>
      </c>
      <c r="Q47" s="68">
        <f t="shared" si="14"/>
        <v>4033.457723711042</v>
      </c>
      <c r="R47" s="68">
        <f t="shared" si="14"/>
        <v>4053.2941668038184</v>
      </c>
      <c r="S47" s="68">
        <f t="shared" ref="S47:W47" si="15">SUM(S45:S46)</f>
        <v>4073.6265209739136</v>
      </c>
      <c r="T47" s="68">
        <f t="shared" si="15"/>
        <v>4094.4671839982611</v>
      </c>
      <c r="U47" s="68">
        <f t="shared" si="15"/>
        <v>4115.828863598218</v>
      </c>
      <c r="V47" s="68">
        <f t="shared" si="15"/>
        <v>4137.7245851881735</v>
      </c>
      <c r="W47" s="68">
        <f t="shared" si="15"/>
        <v>4160.1676998178773</v>
      </c>
      <c r="X47" s="68">
        <f t="shared" ref="X47:AB47" si="16">SUM(X45:X46)</f>
        <v>4183.171892313324</v>
      </c>
      <c r="Y47" s="68">
        <f t="shared" si="16"/>
        <v>4206.7511896211572</v>
      </c>
      <c r="Z47" s="68">
        <f t="shared" si="16"/>
        <v>4230.9199693616865</v>
      </c>
      <c r="AA47" s="68">
        <f t="shared" si="16"/>
        <v>4255.6929685957284</v>
      </c>
      <c r="AB47" s="68">
        <f t="shared" si="16"/>
        <v>4281.0852928106215</v>
      </c>
      <c r="AC47" s="68">
        <f>SUM(AC45:AC46)</f>
        <v>100660.88100523554</v>
      </c>
      <c r="AD47" s="6" t="s">
        <v>12</v>
      </c>
    </row>
    <row r="48" spans="1:32" x14ac:dyDescent="0.25">
      <c r="A48" s="305" t="s">
        <v>150</v>
      </c>
      <c r="B48" s="306"/>
      <c r="C48" s="237"/>
      <c r="D48" s="63"/>
      <c r="E48" s="63"/>
      <c r="F48" s="63"/>
      <c r="G48" s="63"/>
      <c r="H48" s="63"/>
      <c r="I48" s="63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</row>
    <row r="49" spans="1:30" x14ac:dyDescent="0.25">
      <c r="A49" s="224"/>
      <c r="B49" s="59"/>
      <c r="C49" s="59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6"/>
      <c r="AD49" s="3"/>
    </row>
    <row r="50" spans="1:30" x14ac:dyDescent="0.25">
      <c r="A50" s="238"/>
      <c r="B50" s="59"/>
      <c r="C50" s="59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6"/>
      <c r="AD50" s="3"/>
    </row>
    <row r="51" spans="1:30" ht="13.5" customHeight="1" x14ac:dyDescent="0.25">
      <c r="A51" s="238" t="s">
        <v>173</v>
      </c>
      <c r="B51" s="59"/>
      <c r="C51" s="59"/>
      <c r="D51" s="67">
        <f>Interventions!$E$13</f>
        <v>9344</v>
      </c>
      <c r="E51" s="67">
        <f>Interventions!$E$13</f>
        <v>9344</v>
      </c>
      <c r="F51" s="67">
        <f>Interventions!$E$13</f>
        <v>9344</v>
      </c>
      <c r="G51" s="67">
        <f>Interventions!$E$13</f>
        <v>9344</v>
      </c>
      <c r="H51" s="67">
        <f>Interventions!$E$13</f>
        <v>9344</v>
      </c>
      <c r="I51" s="67">
        <f>Interventions!$E$13</f>
        <v>9344</v>
      </c>
      <c r="J51" s="67">
        <f>Interventions!$E$13</f>
        <v>9344</v>
      </c>
      <c r="K51" s="67">
        <f>Interventions!$E$13</f>
        <v>9344</v>
      </c>
      <c r="L51" s="67">
        <f>Interventions!$E$13</f>
        <v>9344</v>
      </c>
      <c r="M51" s="67">
        <f>Interventions!$E$13</f>
        <v>9344</v>
      </c>
      <c r="N51" s="67">
        <f>Interventions!$E$13</f>
        <v>9344</v>
      </c>
      <c r="O51" s="67">
        <f>Interventions!$E$13</f>
        <v>9344</v>
      </c>
      <c r="P51" s="67">
        <f>Interventions!$E$13</f>
        <v>9344</v>
      </c>
      <c r="Q51" s="67">
        <f>Interventions!$E$13</f>
        <v>9344</v>
      </c>
      <c r="R51" s="67">
        <f>Interventions!$E$13</f>
        <v>9344</v>
      </c>
      <c r="S51" s="67">
        <f>Interventions!$E$13</f>
        <v>9344</v>
      </c>
      <c r="T51" s="67">
        <f>Interventions!$E$13</f>
        <v>9344</v>
      </c>
      <c r="U51" s="67">
        <f>Interventions!$E$13</f>
        <v>9344</v>
      </c>
      <c r="V51" s="67">
        <f>Interventions!$E$13</f>
        <v>9344</v>
      </c>
      <c r="W51" s="67">
        <f>Interventions!$E$13</f>
        <v>9344</v>
      </c>
      <c r="X51" s="67">
        <f>Interventions!$E$13</f>
        <v>9344</v>
      </c>
      <c r="Y51" s="67">
        <f>Interventions!$E$13</f>
        <v>9344</v>
      </c>
      <c r="Z51" s="67">
        <f>Interventions!$E$13</f>
        <v>9344</v>
      </c>
      <c r="AA51" s="67">
        <f>Interventions!$E$13</f>
        <v>9344</v>
      </c>
      <c r="AB51" s="67">
        <f>Interventions!$E$13</f>
        <v>9344</v>
      </c>
      <c r="AC51" s="66">
        <f>SUM(D51:AB51)</f>
        <v>233600</v>
      </c>
      <c r="AD51" s="3" t="s">
        <v>12</v>
      </c>
    </row>
    <row r="52" spans="1:30" x14ac:dyDescent="0.25">
      <c r="A52" s="59" t="s">
        <v>36</v>
      </c>
      <c r="B52" s="59" t="s">
        <v>36</v>
      </c>
      <c r="C52" s="59"/>
      <c r="D52" s="67">
        <f>Interventions!$F$14</f>
        <v>5643.7526400000006</v>
      </c>
      <c r="E52" s="67">
        <f>Interventions!$F$14</f>
        <v>5643.7526400000006</v>
      </c>
      <c r="F52" s="67">
        <f>Interventions!$F$14</f>
        <v>5643.7526400000006</v>
      </c>
      <c r="G52" s="67">
        <f>Interventions!$F$14</f>
        <v>5643.7526400000006</v>
      </c>
      <c r="H52" s="67">
        <f>Interventions!$F$14</f>
        <v>5643.7526400000006</v>
      </c>
      <c r="I52" s="67">
        <f>Interventions!$F$14</f>
        <v>5643.7526400000006</v>
      </c>
      <c r="J52" s="67">
        <f>Interventions!$F$14</f>
        <v>5643.7526400000006</v>
      </c>
      <c r="K52" s="67">
        <f>Interventions!$F$14</f>
        <v>5643.7526400000006</v>
      </c>
      <c r="L52" s="67">
        <f>Interventions!$F$14</f>
        <v>5643.7526400000006</v>
      </c>
      <c r="M52" s="67">
        <f>Interventions!$F$14</f>
        <v>5643.7526400000006</v>
      </c>
      <c r="N52" s="67">
        <f>Interventions!$F$14</f>
        <v>5643.7526400000006</v>
      </c>
      <c r="O52" s="67">
        <f>Interventions!$F$14</f>
        <v>5643.7526400000006</v>
      </c>
      <c r="P52" s="67">
        <f>Interventions!$F$14</f>
        <v>5643.7526400000006</v>
      </c>
      <c r="Q52" s="67">
        <f>Interventions!$F$14</f>
        <v>5643.7526400000006</v>
      </c>
      <c r="R52" s="67">
        <f>Interventions!$F$14</f>
        <v>5643.7526400000006</v>
      </c>
      <c r="S52" s="67">
        <f>Interventions!$F$14</f>
        <v>5643.7526400000006</v>
      </c>
      <c r="T52" s="67">
        <f>Interventions!$F$14</f>
        <v>5643.7526400000006</v>
      </c>
      <c r="U52" s="67">
        <f>Interventions!$F$14</f>
        <v>5643.7526400000006</v>
      </c>
      <c r="V52" s="67">
        <f>Interventions!$F$14</f>
        <v>5643.7526400000006</v>
      </c>
      <c r="W52" s="67">
        <f>Interventions!$F$14</f>
        <v>5643.7526400000006</v>
      </c>
      <c r="X52" s="67">
        <f>Interventions!$F$14</f>
        <v>5643.7526400000006</v>
      </c>
      <c r="Y52" s="67">
        <f>Interventions!$F$14</f>
        <v>5643.7526400000006</v>
      </c>
      <c r="Z52" s="67">
        <f>Interventions!$F$14</f>
        <v>5643.7526400000006</v>
      </c>
      <c r="AA52" s="67">
        <f>Interventions!$F$14</f>
        <v>5643.7526400000006</v>
      </c>
      <c r="AB52" s="67">
        <f>Interventions!$F$14</f>
        <v>5643.7526400000006</v>
      </c>
      <c r="AC52" s="66">
        <f>SUM(D52:AB52)</f>
        <v>141093.81600000005</v>
      </c>
      <c r="AD52" s="3" t="s">
        <v>12</v>
      </c>
    </row>
    <row r="53" spans="1:30" x14ac:dyDescent="0.25">
      <c r="A53" s="307" t="s">
        <v>80</v>
      </c>
      <c r="B53" s="308"/>
      <c r="C53" s="81">
        <f>SUM(C49:C49)</f>
        <v>0</v>
      </c>
      <c r="D53" s="81">
        <f>D51-D52</f>
        <v>3700.2473599999994</v>
      </c>
      <c r="E53" s="81">
        <f t="shared" ref="E53" si="17">E51-E52</f>
        <v>3700.2473599999994</v>
      </c>
      <c r="F53" s="81">
        <f t="shared" ref="F53" si="18">F51-F52</f>
        <v>3700.2473599999994</v>
      </c>
      <c r="G53" s="81">
        <f t="shared" ref="G53" si="19">G51-G52</f>
        <v>3700.2473599999994</v>
      </c>
      <c r="H53" s="81">
        <f t="shared" ref="H53" si="20">H51-H52</f>
        <v>3700.2473599999994</v>
      </c>
      <c r="I53" s="81">
        <f t="shared" ref="I53" si="21">I51-I52</f>
        <v>3700.2473599999994</v>
      </c>
      <c r="J53" s="81">
        <f t="shared" ref="J53" si="22">J51-J52</f>
        <v>3700.2473599999994</v>
      </c>
      <c r="K53" s="81">
        <f t="shared" ref="K53" si="23">K51-K52</f>
        <v>3700.2473599999994</v>
      </c>
      <c r="L53" s="81">
        <f t="shared" ref="L53" si="24">L51-L52</f>
        <v>3700.2473599999994</v>
      </c>
      <c r="M53" s="81">
        <f t="shared" ref="M53" si="25">M51-M52</f>
        <v>3700.2473599999994</v>
      </c>
      <c r="N53" s="81">
        <f t="shared" ref="N53" si="26">N51-N52</f>
        <v>3700.2473599999994</v>
      </c>
      <c r="O53" s="81">
        <f t="shared" ref="O53" si="27">O51-O52</f>
        <v>3700.2473599999994</v>
      </c>
      <c r="P53" s="81">
        <f t="shared" ref="P53" si="28">P51-P52</f>
        <v>3700.2473599999994</v>
      </c>
      <c r="Q53" s="81">
        <f t="shared" ref="Q53" si="29">Q51-Q52</f>
        <v>3700.2473599999994</v>
      </c>
      <c r="R53" s="81">
        <f t="shared" ref="R53" si="30">R51-R52</f>
        <v>3700.2473599999994</v>
      </c>
      <c r="S53" s="81">
        <f t="shared" ref="S53" si="31">S51-S52</f>
        <v>3700.2473599999994</v>
      </c>
      <c r="T53" s="81">
        <f t="shared" ref="T53" si="32">T51-T52</f>
        <v>3700.2473599999994</v>
      </c>
      <c r="U53" s="81">
        <f t="shared" ref="U53" si="33">U51-U52</f>
        <v>3700.2473599999994</v>
      </c>
      <c r="V53" s="81">
        <f t="shared" ref="V53" si="34">V51-V52</f>
        <v>3700.2473599999994</v>
      </c>
      <c r="W53" s="81">
        <f t="shared" ref="W53" si="35">W51-W52</f>
        <v>3700.2473599999994</v>
      </c>
      <c r="X53" s="81">
        <f t="shared" ref="X53" si="36">X51-X52</f>
        <v>3700.2473599999994</v>
      </c>
      <c r="Y53" s="81">
        <f t="shared" ref="Y53" si="37">Y51-Y52</f>
        <v>3700.2473599999994</v>
      </c>
      <c r="Z53" s="81">
        <f t="shared" ref="Z53" si="38">Z51-Z52</f>
        <v>3700.2473599999994</v>
      </c>
      <c r="AA53" s="81">
        <f t="shared" ref="AA53" si="39">AA51-AA52</f>
        <v>3700.2473599999994</v>
      </c>
      <c r="AB53" s="81">
        <f t="shared" ref="AB53" si="40">AB51-AB52</f>
        <v>3700.2473599999994</v>
      </c>
      <c r="AC53" s="81">
        <f>AC51-AC52</f>
        <v>92506.18399999995</v>
      </c>
      <c r="AD53" s="6" t="s">
        <v>12</v>
      </c>
    </row>
    <row r="54" spans="1:30" x14ac:dyDescent="0.25">
      <c r="A54" s="132"/>
      <c r="B54" s="133" t="s">
        <v>81</v>
      </c>
      <c r="C54" s="134">
        <f t="shared" ref="C54:R54" si="41">(C53+C47)-C43</f>
        <v>-27361</v>
      </c>
      <c r="D54" s="134">
        <f t="shared" si="41"/>
        <v>4779.7377599999991</v>
      </c>
      <c r="E54" s="134">
        <f t="shared" si="41"/>
        <v>4794.1275199999991</v>
      </c>
      <c r="F54" s="134">
        <f t="shared" si="41"/>
        <v>4808.8770239999994</v>
      </c>
      <c r="G54" s="134">
        <f t="shared" si="41"/>
        <v>4823.9952655999987</v>
      </c>
      <c r="H54" s="134">
        <f t="shared" si="41"/>
        <v>4839.4914632399996</v>
      </c>
      <c r="I54" s="134">
        <f t="shared" si="41"/>
        <v>4855.3750658209992</v>
      </c>
      <c r="J54" s="134">
        <f t="shared" si="41"/>
        <v>4871.6557584665243</v>
      </c>
      <c r="K54" s="134">
        <f t="shared" si="41"/>
        <v>4888.3434684281874</v>
      </c>
      <c r="L54" s="134">
        <f t="shared" si="41"/>
        <v>4905.4483711388912</v>
      </c>
      <c r="M54" s="134">
        <f t="shared" si="41"/>
        <v>4922.9808964173635</v>
      </c>
      <c r="N54" s="134">
        <f t="shared" si="41"/>
        <v>4940.9517348277977</v>
      </c>
      <c r="O54" s="134">
        <f t="shared" si="41"/>
        <v>4959.3718441984929</v>
      </c>
      <c r="P54" s="134">
        <f t="shared" si="41"/>
        <v>4978.2524563034549</v>
      </c>
      <c r="Q54" s="134">
        <f t="shared" si="41"/>
        <v>4997.6050837110415</v>
      </c>
      <c r="R54" s="134">
        <f t="shared" si="41"/>
        <v>5017.4415268038174</v>
      </c>
      <c r="S54" s="134">
        <f t="shared" ref="S54:W54" si="42">(S53+S47)-S43</f>
        <v>5037.773880973913</v>
      </c>
      <c r="T54" s="134">
        <f t="shared" si="42"/>
        <v>5058.6145439982602</v>
      </c>
      <c r="U54" s="134">
        <f t="shared" si="42"/>
        <v>5079.9762235982171</v>
      </c>
      <c r="V54" s="134">
        <f t="shared" si="42"/>
        <v>5101.8719451881725</v>
      </c>
      <c r="W54" s="134">
        <f t="shared" si="42"/>
        <v>5124.3150598178763</v>
      </c>
      <c r="X54" s="134">
        <f t="shared" ref="X54:AB54" si="43">(X53+X47)-X43</f>
        <v>5147.319252313323</v>
      </c>
      <c r="Y54" s="134">
        <f t="shared" si="43"/>
        <v>5170.8985496211562</v>
      </c>
      <c r="Z54" s="134">
        <f t="shared" si="43"/>
        <v>5195.0673293616856</v>
      </c>
      <c r="AA54" s="134">
        <f t="shared" si="43"/>
        <v>5219.8403285957274</v>
      </c>
      <c r="AB54" s="134">
        <f t="shared" si="43"/>
        <v>5245.2326528106205</v>
      </c>
      <c r="AC54" s="134">
        <f>(AC53+AC47)-AC43</f>
        <v>97403.565005235505</v>
      </c>
      <c r="AD54" s="135" t="s">
        <v>12</v>
      </c>
    </row>
    <row r="55" spans="1:30" x14ac:dyDescent="0.25">
      <c r="A55" s="132"/>
      <c r="B55" s="133" t="s">
        <v>82</v>
      </c>
      <c r="C55" s="134">
        <f t="shared" ref="C55:R55" si="44">(C53)-C43</f>
        <v>-27361</v>
      </c>
      <c r="D55" s="134">
        <f t="shared" si="44"/>
        <v>964.14735999999903</v>
      </c>
      <c r="E55" s="134">
        <f t="shared" si="44"/>
        <v>964.14735999999903</v>
      </c>
      <c r="F55" s="134">
        <f t="shared" si="44"/>
        <v>964.14735999999903</v>
      </c>
      <c r="G55" s="134">
        <f t="shared" si="44"/>
        <v>964.14735999999903</v>
      </c>
      <c r="H55" s="134">
        <f t="shared" si="44"/>
        <v>964.14735999999903</v>
      </c>
      <c r="I55" s="134">
        <f t="shared" si="44"/>
        <v>964.14735999999903</v>
      </c>
      <c r="J55" s="134">
        <f t="shared" si="44"/>
        <v>964.14735999999903</v>
      </c>
      <c r="K55" s="134">
        <f t="shared" si="44"/>
        <v>964.14735999999903</v>
      </c>
      <c r="L55" s="134">
        <f t="shared" si="44"/>
        <v>964.14735999999903</v>
      </c>
      <c r="M55" s="134">
        <f t="shared" si="44"/>
        <v>964.14735999999903</v>
      </c>
      <c r="N55" s="134">
        <f t="shared" si="44"/>
        <v>964.14735999999903</v>
      </c>
      <c r="O55" s="134">
        <f t="shared" si="44"/>
        <v>964.14735999999903</v>
      </c>
      <c r="P55" s="134">
        <f t="shared" si="44"/>
        <v>964.14735999999903</v>
      </c>
      <c r="Q55" s="134">
        <f t="shared" si="44"/>
        <v>964.14735999999903</v>
      </c>
      <c r="R55" s="134">
        <f t="shared" si="44"/>
        <v>964.14735999999903</v>
      </c>
      <c r="S55" s="134">
        <f t="shared" ref="S55:W55" si="45">(S53)-S43</f>
        <v>964.14735999999903</v>
      </c>
      <c r="T55" s="134">
        <f t="shared" si="45"/>
        <v>964.14735999999903</v>
      </c>
      <c r="U55" s="134">
        <f t="shared" si="45"/>
        <v>964.14735999999903</v>
      </c>
      <c r="V55" s="134">
        <f t="shared" si="45"/>
        <v>964.14735999999903</v>
      </c>
      <c r="W55" s="134">
        <f t="shared" si="45"/>
        <v>964.14735999999903</v>
      </c>
      <c r="X55" s="134">
        <f t="shared" ref="X55:AB55" si="46">(X53)-X43</f>
        <v>964.14735999999903</v>
      </c>
      <c r="Y55" s="134">
        <f t="shared" si="46"/>
        <v>964.14735999999903</v>
      </c>
      <c r="Z55" s="134">
        <f t="shared" si="46"/>
        <v>964.14735999999903</v>
      </c>
      <c r="AA55" s="134">
        <f t="shared" si="46"/>
        <v>964.14735999999903</v>
      </c>
      <c r="AB55" s="134">
        <f t="shared" si="46"/>
        <v>964.14735999999903</v>
      </c>
      <c r="AC55" s="134">
        <f>(AC53)-AC43</f>
        <v>-3257.3160000000353</v>
      </c>
      <c r="AD55" s="135" t="s">
        <v>12</v>
      </c>
    </row>
    <row r="56" spans="1:30" ht="13.5" customHeight="1" x14ac:dyDescent="0.25">
      <c r="A56" s="69" t="s">
        <v>83</v>
      </c>
      <c r="B56" s="70">
        <f>XIRR(C55:AB55, C$38:AB$38, 0.1)</f>
        <v>-9.5159262418746948E-3</v>
      </c>
      <c r="D56" s="82"/>
      <c r="E56" s="71"/>
      <c r="F56" s="71"/>
      <c r="G56" s="71"/>
      <c r="H56" s="71"/>
      <c r="I56" s="71"/>
      <c r="J56" s="72"/>
    </row>
    <row r="57" spans="1:30" ht="13.5" customHeight="1" x14ac:dyDescent="0.25">
      <c r="A57" s="96" t="s">
        <v>85</v>
      </c>
      <c r="B57" s="73">
        <f>XIRR(C54:AB54, C$38:AB$38, 0.1)</f>
        <v>0.17454676032066344</v>
      </c>
      <c r="D57" s="82"/>
      <c r="E57" s="71"/>
      <c r="F57" s="71"/>
      <c r="G57" s="71"/>
      <c r="H57" s="71"/>
      <c r="I57" s="71"/>
      <c r="J57" s="72"/>
    </row>
    <row r="58" spans="1:30" x14ac:dyDescent="0.25">
      <c r="A58" s="97" t="s">
        <v>86</v>
      </c>
      <c r="B58" s="84">
        <f>XNPV(A$34,C53:AB53,C$38:AB$38)/XNPV(A$34,C43:AB43,C$38:AB$38)</f>
        <v>0.44042303241206848</v>
      </c>
      <c r="E58" s="85"/>
      <c r="F58" s="85"/>
      <c r="G58" s="85"/>
      <c r="H58" s="85"/>
      <c r="I58" s="85"/>
    </row>
    <row r="59" spans="1:30" x14ac:dyDescent="0.25">
      <c r="A59" s="96" t="s">
        <v>87</v>
      </c>
      <c r="B59" s="86">
        <f>(XNPV(A$34,C53:AB53,C$38:AB$38)+XNPV(A$34,C47:AB47,C$38:AB$38))/XNPV(A$34,C43:AB43,C$38:AB$38)</f>
        <v>0.90344852111955631</v>
      </c>
      <c r="E59" s="85"/>
      <c r="F59" s="85"/>
      <c r="G59" s="85"/>
      <c r="H59" s="85"/>
      <c r="I59" s="85"/>
    </row>
    <row r="60" spans="1:30" x14ac:dyDescent="0.25">
      <c r="A60" s="98" t="s">
        <v>84</v>
      </c>
      <c r="B60" s="74">
        <f>XNPV(A$34,C55:AB55,C$38:AB$38)</f>
        <v>-22704.720769115764</v>
      </c>
      <c r="E60" s="85"/>
      <c r="F60" s="85"/>
      <c r="G60" s="85"/>
      <c r="H60" s="85"/>
      <c r="I60" s="85"/>
    </row>
    <row r="61" spans="1:30" x14ac:dyDescent="0.25">
      <c r="A61" s="96" t="s">
        <v>88</v>
      </c>
      <c r="B61" s="76">
        <f>XNPV(A$34,C54:AB54,C$38:AB$38)</f>
        <v>-3917.5564664054546</v>
      </c>
      <c r="E61" s="85"/>
      <c r="F61" s="85"/>
      <c r="G61" s="85"/>
      <c r="H61" s="85"/>
      <c r="I61" s="85"/>
    </row>
    <row r="62" spans="1:30" x14ac:dyDescent="0.25">
      <c r="A62" s="83" t="s">
        <v>76</v>
      </c>
      <c r="B62" s="74" t="s">
        <v>127</v>
      </c>
      <c r="C62" s="75">
        <f>C53/C43</f>
        <v>0</v>
      </c>
      <c r="D62" s="87">
        <f>SUM($C$53:D53)/SUM($C$43:D43)</f>
        <v>0.12294365104943664</v>
      </c>
      <c r="E62" s="87">
        <f>SUM($C$53:E53)/SUM($C$43:E43)</f>
        <v>0.22539669359063386</v>
      </c>
      <c r="F62" s="87">
        <f>SUM($C$53:F53)/SUM($C$43:F43)</f>
        <v>0.31208772958703151</v>
      </c>
      <c r="G62" s="87">
        <f>SUM($C$53:G53)/SUM($C$43:G43)</f>
        <v>0.38639433186965805</v>
      </c>
      <c r="H62" s="87">
        <f>SUM($C$53:H53)/SUM($C$43:H43)</f>
        <v>0.45079338718126777</v>
      </c>
      <c r="I62" s="87">
        <f>SUM($C$53:I53)/SUM($C$43:I43)</f>
        <v>0.50714256057892626</v>
      </c>
      <c r="J62" s="87">
        <f>SUM($C$53:J53)/SUM($C$43:J43)</f>
        <v>0.55686241945921322</v>
      </c>
      <c r="K62" s="87">
        <f>SUM($C$53:K53)/SUM($C$43:K43)</f>
        <v>0.60105784957502384</v>
      </c>
      <c r="L62" s="87">
        <f>SUM($C$53:L53)/SUM($C$43:L43)</f>
        <v>0.64060112915232803</v>
      </c>
      <c r="M62" s="87">
        <f>SUM($C$53:M53)/SUM($C$43:M43)</f>
        <v>0.6761900807719019</v>
      </c>
      <c r="N62" s="87">
        <f>SUM($C$53:N53)/SUM($C$43:N43)</f>
        <v>0.70838960842770671</v>
      </c>
      <c r="O62" s="87">
        <f>SUM($C$53:O53)/SUM($C$43:O43)</f>
        <v>0.73766190629662032</v>
      </c>
      <c r="P62" s="87">
        <f>SUM($C$53:P53)/SUM($C$43:P43)</f>
        <v>0.76438878695954127</v>
      </c>
      <c r="Q62" s="87">
        <f>SUM($C$53:Q53)/SUM($C$43:Q43)</f>
        <v>0.78888842756721889</v>
      </c>
      <c r="R62" s="87">
        <f>SUM($C$53:R53)/SUM($C$43:R43)</f>
        <v>0.81142809692628226</v>
      </c>
      <c r="S62" s="87">
        <f>SUM($C$53:S53)/SUM($C$43:S43)</f>
        <v>0.83223394556541763</v>
      </c>
      <c r="T62" s="87">
        <f>SUM($C$53:T53)/SUM($C$43:T43)</f>
        <v>0.85149862023128375</v>
      </c>
      <c r="U62" s="87">
        <f>SUM($C$53:U53)/SUM($C$43:U43)</f>
        <v>0.86938724670673073</v>
      </c>
      <c r="V62" s="87">
        <f>SUM($C$53:V53)/SUM($C$43:V43)</f>
        <v>0.8860421748045606</v>
      </c>
      <c r="W62" s="87">
        <f>SUM($C$53:W53)/SUM($C$43:W43)</f>
        <v>0.90158677436253531</v>
      </c>
      <c r="X62" s="87">
        <f>SUM($C$53:X53)/SUM($C$43:X43)</f>
        <v>0.91612849652967276</v>
      </c>
      <c r="Y62" s="87">
        <f>SUM($C$53:Y53)/SUM($C$43:Y43)</f>
        <v>0.9297613610613642</v>
      </c>
      <c r="Z62" s="87">
        <f>SUM($C$53:Z53)/SUM($C$43:Z43)</f>
        <v>0.94256799137901381</v>
      </c>
      <c r="AA62" s="87">
        <f>SUM($C$53:AA53)/SUM($C$43:AA43)</f>
        <v>0.95462129050150746</v>
      </c>
      <c r="AB62" s="87">
        <f>SUM($C$53:AB53)/SUM($C$43:AB43)</f>
        <v>0.96598582967414437</v>
      </c>
    </row>
    <row r="63" spans="1:30" x14ac:dyDescent="0.25">
      <c r="A63" s="96" t="s">
        <v>89</v>
      </c>
      <c r="B63" s="76">
        <f>IF(I63,I37-C37)</f>
        <v>6</v>
      </c>
      <c r="C63" s="75">
        <f>(C53+C47)/C43</f>
        <v>0</v>
      </c>
      <c r="D63" s="87">
        <f>(SUM($C$53:D53)+SUM($C$47:D47))/SUM($C$43:D43)</f>
        <v>0.2497196660143336</v>
      </c>
      <c r="E63" s="87">
        <f>(SUM($C$53:E53)+SUM($C$47:E47))/SUM($C$43:E43)</f>
        <v>0.45825765627474629</v>
      </c>
      <c r="F63" s="87">
        <f>(SUM($C$53:F53)+SUM($C$47:F47))/SUM($C$43:F43)</f>
        <v>0.6351275483071076</v>
      </c>
      <c r="G63" s="87">
        <f>(SUM($C$53:G53)+SUM($C$47:G47))/SUM($C$43:G43)</f>
        <v>0.78712498941663578</v>
      </c>
      <c r="H63" s="87">
        <f>(SUM($C$53:H53)+SUM($C$47:H47))/SUM($C$43:H43)</f>
        <v>0.91923367890647278</v>
      </c>
      <c r="I63" s="87">
        <f>(SUM($C$53:I53)+SUM($C$47:I47))/SUM($C$43:I43)</f>
        <v>1.0351916070926912</v>
      </c>
      <c r="J63" s="87">
        <f>(SUM($C$53:J53)+SUM($C$47:J47))/SUM($C$43:J43)</f>
        <v>1.1378574453790504</v>
      </c>
      <c r="K63" s="87">
        <f>(SUM($C$53:K53)+SUM($C$47:K47))/SUM($C$43:K43)</f>
        <v>1.2294548064267414</v>
      </c>
      <c r="L63" s="87">
        <f>(SUM($C$53:L53)+SUM($C$47:L47))/SUM($C$43:L43)</f>
        <v>1.3117393696501285</v>
      </c>
      <c r="M63" s="87">
        <f>(SUM($C$53:M53)+SUM($C$47:M47))/SUM($C$43:M43)</f>
        <v>1.3861158691771498</v>
      </c>
      <c r="N63" s="87">
        <f>(SUM($C$53:N53)+SUM($C$47:N47))/SUM($C$43:N43)</f>
        <v>1.4537216567888565</v>
      </c>
      <c r="O63" s="87">
        <f>(SUM($C$53:O53)+SUM($C$47:O47))/SUM($C$43:O43)</f>
        <v>1.5154874750746463</v>
      </c>
      <c r="P63" s="87">
        <f>(SUM($C$53:P53)+SUM($C$47:P47))/SUM($C$43:P43)</f>
        <v>1.5721823768270888</v>
      </c>
      <c r="Q63" s="87">
        <f>(SUM($C$53:Q53)+SUM($C$47:Q47))/SUM($C$43:Q43)</f>
        <v>1.6244474146923356</v>
      </c>
      <c r="R63" s="87">
        <f>(SUM($C$53:R53)+SUM($C$47:R47))/SUM($C$43:R43)</f>
        <v>1.6728212454070628</v>
      </c>
      <c r="S63" s="87">
        <f>(SUM($C$53:S53)+SUM($C$47:S47))/SUM($C$43:S43)</f>
        <v>1.717759825466491</v>
      </c>
      <c r="T63" s="87">
        <f>(SUM($C$53:T53)+SUM($C$47:T47))/SUM($C$43:T43)</f>
        <v>1.7596517300771275</v>
      </c>
      <c r="U63" s="87">
        <f>(SUM($C$53:U53)+SUM($C$47:U47))/SUM($C$43:U43)</f>
        <v>1.798830189575451</v>
      </c>
      <c r="V63" s="87">
        <f>(SUM($C$53:V53)+SUM($C$47:V47))/SUM($C$43:V43)</f>
        <v>1.835582635650733</v>
      </c>
      <c r="W63" s="87">
        <f>(SUM($C$53:W53)+SUM($C$47:W47))/SUM($C$43:W43)</f>
        <v>1.87015833842005</v>
      </c>
      <c r="X63" s="87">
        <f>(SUM($C$53:X53)+SUM($C$47:X47))/SUM($C$43:X43)</f>
        <v>1.902774565455732</v>
      </c>
      <c r="Y63" s="87">
        <f>(SUM($C$53:Y53)+SUM($C$47:Y47))/SUM($C$43:Y43)</f>
        <v>1.9336215860904598</v>
      </c>
      <c r="Z63" s="87">
        <f>(SUM($C$53:Z53)+SUM($C$47:Z47))/SUM($C$43:Z43)</f>
        <v>1.9628667659434418</v>
      </c>
      <c r="AA63" s="87">
        <f>(SUM($C$53:AA53)+SUM($C$47:AA47))/SUM($C$43:AA43)</f>
        <v>1.9906579389773853</v>
      </c>
      <c r="AB63" s="87">
        <f>(SUM($C$53:AB53)+SUM($C$47:AB47))/SUM($C$43:AB43)</f>
        <v>2.0171262015823919</v>
      </c>
    </row>
    <row r="67" spans="1:32" ht="26.25" x14ac:dyDescent="0.4">
      <c r="A67" s="107">
        <v>0.125</v>
      </c>
      <c r="B67" s="107" t="s">
        <v>79</v>
      </c>
    </row>
    <row r="68" spans="1:32" ht="23.25" customHeight="1" x14ac:dyDescent="0.25">
      <c r="A68" s="311" t="s">
        <v>140</v>
      </c>
      <c r="B68" s="312"/>
      <c r="C68" s="312"/>
      <c r="D68" s="312"/>
      <c r="E68" s="312"/>
      <c r="F68" s="312"/>
      <c r="G68" s="312"/>
      <c r="H68" s="312"/>
      <c r="I68" s="312"/>
      <c r="J68" s="312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312"/>
      <c r="Y68" s="312"/>
      <c r="Z68" s="312"/>
      <c r="AA68" s="312"/>
      <c r="AB68" s="312"/>
      <c r="AC68" s="312"/>
      <c r="AD68" s="313"/>
    </row>
    <row r="69" spans="1:32" x14ac:dyDescent="0.25">
      <c r="A69" s="78"/>
      <c r="B69" s="78"/>
      <c r="C69" s="60" t="s">
        <v>8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1" t="s">
        <v>9</v>
      </c>
    </row>
    <row r="70" spans="1:32" ht="15.75" customHeight="1" x14ac:dyDescent="0.25">
      <c r="A70" s="309" t="s">
        <v>131</v>
      </c>
      <c r="B70" s="310"/>
      <c r="C70" s="222"/>
      <c r="D70" s="1">
        <v>1</v>
      </c>
      <c r="E70" s="1">
        <v>2</v>
      </c>
      <c r="F70" s="1">
        <v>3</v>
      </c>
      <c r="G70" s="1">
        <v>4</v>
      </c>
      <c r="H70" s="1">
        <v>5</v>
      </c>
      <c r="I70" s="1">
        <v>6</v>
      </c>
      <c r="J70" s="1">
        <v>7</v>
      </c>
      <c r="K70" s="1">
        <v>8</v>
      </c>
      <c r="L70" s="1">
        <v>9</v>
      </c>
      <c r="M70" s="1">
        <v>10</v>
      </c>
      <c r="N70" s="1">
        <v>11</v>
      </c>
      <c r="O70" s="1">
        <v>12</v>
      </c>
      <c r="P70" s="1">
        <v>13</v>
      </c>
      <c r="Q70" s="1">
        <v>14</v>
      </c>
      <c r="R70" s="1">
        <v>15</v>
      </c>
      <c r="S70" s="1">
        <v>16</v>
      </c>
      <c r="T70" s="1">
        <v>17</v>
      </c>
      <c r="U70" s="1">
        <v>18</v>
      </c>
      <c r="V70" s="1">
        <v>19</v>
      </c>
      <c r="W70" s="1">
        <v>20</v>
      </c>
      <c r="X70" s="1">
        <v>21</v>
      </c>
      <c r="Y70" s="1">
        <v>22</v>
      </c>
      <c r="Z70" s="1">
        <v>23</v>
      </c>
      <c r="AA70" s="1">
        <v>24</v>
      </c>
      <c r="AB70" s="1">
        <v>25</v>
      </c>
      <c r="AC70" s="62" t="s">
        <v>78</v>
      </c>
      <c r="AD70" s="7"/>
    </row>
    <row r="71" spans="1:32" ht="16.5" customHeight="1" x14ac:dyDescent="0.25">
      <c r="A71" s="89"/>
      <c r="B71" s="90"/>
      <c r="C71" s="99">
        <v>44197</v>
      </c>
      <c r="D71" s="99">
        <v>44562</v>
      </c>
      <c r="E71" s="99">
        <v>44927</v>
      </c>
      <c r="F71" s="99">
        <v>45292</v>
      </c>
      <c r="G71" s="99">
        <v>45658</v>
      </c>
      <c r="H71" s="99">
        <v>46023</v>
      </c>
      <c r="I71" s="99">
        <v>46388</v>
      </c>
      <c r="J71" s="99">
        <v>46753</v>
      </c>
      <c r="K71" s="99">
        <v>47119</v>
      </c>
      <c r="L71" s="99">
        <v>47484</v>
      </c>
      <c r="M71" s="99">
        <v>47849</v>
      </c>
      <c r="N71" s="99">
        <v>48214</v>
      </c>
      <c r="O71" s="99">
        <v>48580</v>
      </c>
      <c r="P71" s="99">
        <v>48945</v>
      </c>
      <c r="Q71" s="99">
        <v>49310</v>
      </c>
      <c r="R71" s="99">
        <v>49675</v>
      </c>
      <c r="S71" s="99">
        <v>50041</v>
      </c>
      <c r="T71" s="99">
        <v>50406</v>
      </c>
      <c r="U71" s="99">
        <v>50771</v>
      </c>
      <c r="V71" s="99">
        <v>51136</v>
      </c>
      <c r="W71" s="99">
        <v>51502</v>
      </c>
      <c r="X71" s="99">
        <v>51867</v>
      </c>
      <c r="Y71" s="99">
        <v>52232</v>
      </c>
      <c r="Z71" s="99">
        <v>52597</v>
      </c>
      <c r="AA71" s="99">
        <v>52963</v>
      </c>
      <c r="AB71" s="99">
        <v>53328</v>
      </c>
      <c r="AC71" s="91"/>
      <c r="AD71" s="92"/>
    </row>
    <row r="72" spans="1:32" s="106" customFormat="1" ht="16.5" customHeight="1" x14ac:dyDescent="0.25">
      <c r="C72" s="101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3"/>
      <c r="AD72" s="104"/>
      <c r="AE72" s="105"/>
      <c r="AF72" s="105"/>
    </row>
    <row r="73" spans="1:32" x14ac:dyDescent="0.25">
      <c r="A73" s="305" t="s">
        <v>10</v>
      </c>
      <c r="B73" s="306"/>
      <c r="C73" s="223"/>
      <c r="D73" s="63"/>
      <c r="E73" s="63"/>
      <c r="F73" s="63"/>
      <c r="G73" s="63"/>
      <c r="H73" s="63"/>
      <c r="I73" s="63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</row>
    <row r="74" spans="1:32" x14ac:dyDescent="0.25">
      <c r="A74" s="224" t="s">
        <v>11</v>
      </c>
      <c r="B74" s="59"/>
      <c r="C74" s="88">
        <f>Interventions!$G$6</f>
        <v>27361</v>
      </c>
      <c r="D74" s="65"/>
      <c r="E74" s="65"/>
      <c r="F74" s="65"/>
      <c r="G74" s="65"/>
      <c r="H74" s="65"/>
      <c r="I74" s="6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66">
        <f>SUM(C74:AB74)</f>
        <v>27361</v>
      </c>
      <c r="AD74" s="3" t="s">
        <v>12</v>
      </c>
    </row>
    <row r="75" spans="1:32" x14ac:dyDescent="0.25">
      <c r="A75" s="59" t="s">
        <v>137</v>
      </c>
      <c r="B75" s="224"/>
      <c r="C75" s="93"/>
      <c r="D75" s="67">
        <f>Interventions!$G$7</f>
        <v>2736.1000000000004</v>
      </c>
      <c r="E75" s="67">
        <f>Interventions!$G$7</f>
        <v>2736.1000000000004</v>
      </c>
      <c r="F75" s="67">
        <f>Interventions!$G$7</f>
        <v>2736.1000000000004</v>
      </c>
      <c r="G75" s="67">
        <f>Interventions!$G$7</f>
        <v>2736.1000000000004</v>
      </c>
      <c r="H75" s="67">
        <f>Interventions!$G$7</f>
        <v>2736.1000000000004</v>
      </c>
      <c r="I75" s="67">
        <f>Interventions!$G$7</f>
        <v>2736.1000000000004</v>
      </c>
      <c r="J75" s="67">
        <f>Interventions!$G$7</f>
        <v>2736.1000000000004</v>
      </c>
      <c r="K75" s="67">
        <f>Interventions!$G$7</f>
        <v>2736.1000000000004</v>
      </c>
      <c r="L75" s="67">
        <f>Interventions!$G$7</f>
        <v>2736.1000000000004</v>
      </c>
      <c r="M75" s="67">
        <f>Interventions!$G$7</f>
        <v>2736.1000000000004</v>
      </c>
      <c r="N75" s="67">
        <f>Interventions!$G$7</f>
        <v>2736.1000000000004</v>
      </c>
      <c r="O75" s="67">
        <f>Interventions!$G$7</f>
        <v>2736.1000000000004</v>
      </c>
      <c r="P75" s="67">
        <f>Interventions!$G$7</f>
        <v>2736.1000000000004</v>
      </c>
      <c r="Q75" s="67">
        <f>Interventions!$G$7</f>
        <v>2736.1000000000004</v>
      </c>
      <c r="R75" s="67">
        <f>Interventions!$G$7</f>
        <v>2736.1000000000004</v>
      </c>
      <c r="S75" s="67">
        <f>Interventions!$G$7</f>
        <v>2736.1000000000004</v>
      </c>
      <c r="T75" s="67">
        <f>Interventions!$G$7</f>
        <v>2736.1000000000004</v>
      </c>
      <c r="U75" s="67">
        <f>Interventions!$G$7</f>
        <v>2736.1000000000004</v>
      </c>
      <c r="V75" s="67">
        <f>Interventions!$G$7</f>
        <v>2736.1000000000004</v>
      </c>
      <c r="W75" s="67">
        <f>Interventions!$G$7</f>
        <v>2736.1000000000004</v>
      </c>
      <c r="X75" s="67">
        <f>Interventions!$G$7</f>
        <v>2736.1000000000004</v>
      </c>
      <c r="Y75" s="67">
        <f>Interventions!$G$7</f>
        <v>2736.1000000000004</v>
      </c>
      <c r="Z75" s="67">
        <f>Interventions!$G$7</f>
        <v>2736.1000000000004</v>
      </c>
      <c r="AA75" s="67">
        <f>Interventions!$G$7</f>
        <v>2736.1000000000004</v>
      </c>
      <c r="AB75" s="67">
        <f>Interventions!$G$7</f>
        <v>2736.1000000000004</v>
      </c>
      <c r="AC75" s="66">
        <f>SUM(C75:AB75)</f>
        <v>68402.499999999985</v>
      </c>
      <c r="AD75" s="3" t="s">
        <v>12</v>
      </c>
    </row>
    <row r="76" spans="1:32" x14ac:dyDescent="0.25">
      <c r="A76" s="307" t="s">
        <v>80</v>
      </c>
      <c r="B76" s="308"/>
      <c r="C76" s="94">
        <f t="shared" ref="C76:W76" si="47">SUM(C74:C75)</f>
        <v>27361</v>
      </c>
      <c r="D76" s="94">
        <f t="shared" si="47"/>
        <v>2736.1000000000004</v>
      </c>
      <c r="E76" s="94">
        <f t="shared" si="47"/>
        <v>2736.1000000000004</v>
      </c>
      <c r="F76" s="94">
        <f t="shared" si="47"/>
        <v>2736.1000000000004</v>
      </c>
      <c r="G76" s="94">
        <f t="shared" si="47"/>
        <v>2736.1000000000004</v>
      </c>
      <c r="H76" s="94">
        <f t="shared" si="47"/>
        <v>2736.1000000000004</v>
      </c>
      <c r="I76" s="94">
        <f t="shared" si="47"/>
        <v>2736.1000000000004</v>
      </c>
      <c r="J76" s="94">
        <f t="shared" si="47"/>
        <v>2736.1000000000004</v>
      </c>
      <c r="K76" s="94">
        <f t="shared" si="47"/>
        <v>2736.1000000000004</v>
      </c>
      <c r="L76" s="94">
        <f t="shared" si="47"/>
        <v>2736.1000000000004</v>
      </c>
      <c r="M76" s="94">
        <f t="shared" si="47"/>
        <v>2736.1000000000004</v>
      </c>
      <c r="N76" s="94">
        <f t="shared" si="47"/>
        <v>2736.1000000000004</v>
      </c>
      <c r="O76" s="94">
        <f t="shared" si="47"/>
        <v>2736.1000000000004</v>
      </c>
      <c r="P76" s="94">
        <f t="shared" si="47"/>
        <v>2736.1000000000004</v>
      </c>
      <c r="Q76" s="94">
        <f t="shared" si="47"/>
        <v>2736.1000000000004</v>
      </c>
      <c r="R76" s="94">
        <f t="shared" si="47"/>
        <v>2736.1000000000004</v>
      </c>
      <c r="S76" s="94">
        <f t="shared" si="47"/>
        <v>2736.1000000000004</v>
      </c>
      <c r="T76" s="94">
        <f t="shared" si="47"/>
        <v>2736.1000000000004</v>
      </c>
      <c r="U76" s="94">
        <f t="shared" si="47"/>
        <v>2736.1000000000004</v>
      </c>
      <c r="V76" s="94">
        <f t="shared" si="47"/>
        <v>2736.1000000000004</v>
      </c>
      <c r="W76" s="94">
        <f t="shared" si="47"/>
        <v>2736.1000000000004</v>
      </c>
      <c r="X76" s="94">
        <f t="shared" ref="X76:AB76" si="48">SUM(X74:X75)</f>
        <v>2736.1000000000004</v>
      </c>
      <c r="Y76" s="94">
        <f t="shared" si="48"/>
        <v>2736.1000000000004</v>
      </c>
      <c r="Z76" s="94">
        <f t="shared" si="48"/>
        <v>2736.1000000000004</v>
      </c>
      <c r="AA76" s="94">
        <f t="shared" si="48"/>
        <v>2736.1000000000004</v>
      </c>
      <c r="AB76" s="94">
        <f t="shared" si="48"/>
        <v>2736.1000000000004</v>
      </c>
      <c r="AC76" s="95">
        <f>SUM(AC74:AC75)</f>
        <v>95763.499999999985</v>
      </c>
      <c r="AD76" s="6" t="s">
        <v>12</v>
      </c>
    </row>
    <row r="77" spans="1:32" x14ac:dyDescent="0.25">
      <c r="A77" s="305" t="s">
        <v>155</v>
      </c>
      <c r="B77" s="306"/>
      <c r="C77" s="237"/>
      <c r="D77" s="63"/>
      <c r="E77" s="63"/>
      <c r="F77" s="63"/>
      <c r="G77" s="63"/>
      <c r="H77" s="63"/>
      <c r="I77" s="63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</row>
    <row r="78" spans="1:32" x14ac:dyDescent="0.25">
      <c r="A78" s="59" t="s">
        <v>171</v>
      </c>
      <c r="B78" s="59"/>
      <c r="C78" s="59"/>
      <c r="D78" s="67">
        <f>'Carbon avoided'!E12</f>
        <v>575.59040000000005</v>
      </c>
      <c r="E78" s="67">
        <f>'Carbon avoided'!F12</f>
        <v>589.98016000000007</v>
      </c>
      <c r="F78" s="67">
        <f>'Carbon avoided'!G12</f>
        <v>604.72966399999996</v>
      </c>
      <c r="G78" s="67">
        <f>'Carbon avoided'!H12</f>
        <v>619.84790559999999</v>
      </c>
      <c r="H78" s="67">
        <f>'Carbon avoided'!I12</f>
        <v>635.34410323999998</v>
      </c>
      <c r="I78" s="67">
        <f>'Carbon avoided'!J12</f>
        <v>651.22770582099986</v>
      </c>
      <c r="J78" s="67">
        <f>'Carbon avoided'!K12</f>
        <v>667.5083984665248</v>
      </c>
      <c r="K78" s="67">
        <f>'Carbon avoided'!L12</f>
        <v>684.19610842818781</v>
      </c>
      <c r="L78" s="67">
        <f>'Carbon avoided'!M12</f>
        <v>701.30101113889248</v>
      </c>
      <c r="M78" s="67">
        <f>'Carbon avoided'!N12</f>
        <v>718.83353641736471</v>
      </c>
      <c r="N78" s="67">
        <f>'Carbon avoided'!O12</f>
        <v>736.80437482779871</v>
      </c>
      <c r="O78" s="67">
        <f>'Carbon avoided'!P12</f>
        <v>755.22448419849366</v>
      </c>
      <c r="P78" s="67">
        <f>'Carbon avoided'!Q12</f>
        <v>774.10509630345587</v>
      </c>
      <c r="Q78" s="67">
        <f>'Carbon avoided'!R12</f>
        <v>793.45772371104215</v>
      </c>
      <c r="R78" s="67">
        <f>'Carbon avoided'!S12</f>
        <v>813.29416680381814</v>
      </c>
      <c r="S78" s="67">
        <f>'Carbon avoided'!T12</f>
        <v>833.62652097391356</v>
      </c>
      <c r="T78" s="67">
        <f>'Carbon avoided'!U12</f>
        <v>854.46718399826136</v>
      </c>
      <c r="U78" s="67">
        <f>'Carbon avoided'!V12</f>
        <v>875.82886359821782</v>
      </c>
      <c r="V78" s="67">
        <f>'Carbon avoided'!W12</f>
        <v>897.72458518817314</v>
      </c>
      <c r="W78" s="67">
        <f>'Carbon avoided'!X12</f>
        <v>920.16769981787741</v>
      </c>
      <c r="X78" s="67">
        <f>'Carbon avoided'!Y12</f>
        <v>943.17189231332429</v>
      </c>
      <c r="Y78" s="67">
        <f>'Carbon avoided'!Z12</f>
        <v>966.75118962115732</v>
      </c>
      <c r="Z78" s="67">
        <f>'Carbon avoided'!AA12</f>
        <v>990.9199693616863</v>
      </c>
      <c r="AA78" s="67">
        <f>'Carbon avoided'!AB12</f>
        <v>1015.6929685957284</v>
      </c>
      <c r="AB78" s="67">
        <f>'Carbon avoided'!AC12</f>
        <v>1041.0852928106215</v>
      </c>
      <c r="AC78" s="66">
        <f>SUM(C78:AB78)</f>
        <v>19660.88100523554</v>
      </c>
      <c r="AD78" s="3" t="s">
        <v>12</v>
      </c>
    </row>
    <row r="79" spans="1:32" ht="12.75" customHeight="1" x14ac:dyDescent="0.25">
      <c r="A79" s="59" t="s">
        <v>175</v>
      </c>
      <c r="B79" s="59"/>
      <c r="C79" s="59"/>
      <c r="D79" s="67">
        <f>Interventions!$G$10</f>
        <v>3240</v>
      </c>
      <c r="E79" s="67">
        <f>Interventions!$G$10</f>
        <v>3240</v>
      </c>
      <c r="F79" s="67">
        <f>Interventions!$G$10</f>
        <v>3240</v>
      </c>
      <c r="G79" s="67">
        <f>Interventions!$G$10</f>
        <v>3240</v>
      </c>
      <c r="H79" s="67">
        <f>Interventions!$G$10</f>
        <v>3240</v>
      </c>
      <c r="I79" s="67">
        <f>Interventions!$G$10</f>
        <v>3240</v>
      </c>
      <c r="J79" s="67">
        <f>Interventions!$G$10</f>
        <v>3240</v>
      </c>
      <c r="K79" s="67">
        <f>Interventions!$G$10</f>
        <v>3240</v>
      </c>
      <c r="L79" s="67">
        <f>Interventions!$G$10</f>
        <v>3240</v>
      </c>
      <c r="M79" s="67">
        <f>Interventions!$G$10</f>
        <v>3240</v>
      </c>
      <c r="N79" s="67">
        <f>Interventions!$G$10</f>
        <v>3240</v>
      </c>
      <c r="O79" s="67">
        <f>Interventions!$G$10</f>
        <v>3240</v>
      </c>
      <c r="P79" s="67">
        <f>Interventions!$G$10</f>
        <v>3240</v>
      </c>
      <c r="Q79" s="67">
        <f>Interventions!$G$10</f>
        <v>3240</v>
      </c>
      <c r="R79" s="67">
        <f>Interventions!$G$10</f>
        <v>3240</v>
      </c>
      <c r="S79" s="67">
        <f>Interventions!$G$10</f>
        <v>3240</v>
      </c>
      <c r="T79" s="67">
        <f>Interventions!$G$10</f>
        <v>3240</v>
      </c>
      <c r="U79" s="67">
        <f>Interventions!$G$10</f>
        <v>3240</v>
      </c>
      <c r="V79" s="67">
        <f>Interventions!$G$10</f>
        <v>3240</v>
      </c>
      <c r="W79" s="67">
        <f>Interventions!$G$10</f>
        <v>3240</v>
      </c>
      <c r="X79" s="67">
        <f>Interventions!$G$10</f>
        <v>3240</v>
      </c>
      <c r="Y79" s="67">
        <f>Interventions!$G$10</f>
        <v>3240</v>
      </c>
      <c r="Z79" s="67">
        <f>Interventions!$G$10</f>
        <v>3240</v>
      </c>
      <c r="AA79" s="67">
        <f>Interventions!$G$10</f>
        <v>3240</v>
      </c>
      <c r="AB79" s="67">
        <f>Interventions!$G$10</f>
        <v>3240</v>
      </c>
      <c r="AC79" s="66">
        <f>SUM(C79:AB79)</f>
        <v>81000</v>
      </c>
      <c r="AD79" s="3" t="s">
        <v>12</v>
      </c>
    </row>
    <row r="80" spans="1:32" x14ac:dyDescent="0.25">
      <c r="A80" s="307" t="s">
        <v>80</v>
      </c>
      <c r="B80" s="308"/>
      <c r="C80" s="68">
        <f t="shared" ref="C80:R80" si="49">SUM(C78:C79)</f>
        <v>0</v>
      </c>
      <c r="D80" s="68">
        <f t="shared" si="49"/>
        <v>3815.5904</v>
      </c>
      <c r="E80" s="68">
        <f t="shared" si="49"/>
        <v>3829.9801600000001</v>
      </c>
      <c r="F80" s="68">
        <f t="shared" si="49"/>
        <v>3844.729664</v>
      </c>
      <c r="G80" s="68">
        <f t="shared" si="49"/>
        <v>3859.8479056000001</v>
      </c>
      <c r="H80" s="68">
        <f t="shared" si="49"/>
        <v>3875.3441032400001</v>
      </c>
      <c r="I80" s="68">
        <f t="shared" si="49"/>
        <v>3891.2277058209997</v>
      </c>
      <c r="J80" s="68">
        <f t="shared" si="49"/>
        <v>3907.5083984665248</v>
      </c>
      <c r="K80" s="68">
        <f t="shared" si="49"/>
        <v>3924.1961084281879</v>
      </c>
      <c r="L80" s="68">
        <f t="shared" si="49"/>
        <v>3941.3010111388926</v>
      </c>
      <c r="M80" s="68">
        <f t="shared" si="49"/>
        <v>3958.8335364173645</v>
      </c>
      <c r="N80" s="68">
        <f t="shared" si="49"/>
        <v>3976.8043748277987</v>
      </c>
      <c r="O80" s="68">
        <f t="shared" si="49"/>
        <v>3995.2244841984939</v>
      </c>
      <c r="P80" s="68">
        <f t="shared" si="49"/>
        <v>4014.1050963034559</v>
      </c>
      <c r="Q80" s="68">
        <f t="shared" si="49"/>
        <v>4033.457723711042</v>
      </c>
      <c r="R80" s="68">
        <f t="shared" si="49"/>
        <v>4053.2941668038184</v>
      </c>
      <c r="S80" s="68">
        <f t="shared" ref="S80:W80" si="50">SUM(S78:S79)</f>
        <v>4073.6265209739136</v>
      </c>
      <c r="T80" s="68">
        <f t="shared" si="50"/>
        <v>4094.4671839982611</v>
      </c>
      <c r="U80" s="68">
        <f t="shared" si="50"/>
        <v>4115.828863598218</v>
      </c>
      <c r="V80" s="68">
        <f t="shared" si="50"/>
        <v>4137.7245851881735</v>
      </c>
      <c r="W80" s="68">
        <f t="shared" si="50"/>
        <v>4160.1676998178773</v>
      </c>
      <c r="X80" s="68">
        <f t="shared" ref="X80:AB80" si="51">SUM(X78:X79)</f>
        <v>4183.171892313324</v>
      </c>
      <c r="Y80" s="68">
        <f t="shared" si="51"/>
        <v>4206.7511896211572</v>
      </c>
      <c r="Z80" s="68">
        <f t="shared" si="51"/>
        <v>4230.9199693616865</v>
      </c>
      <c r="AA80" s="68">
        <f t="shared" si="51"/>
        <v>4255.6929685957284</v>
      </c>
      <c r="AB80" s="68">
        <f t="shared" si="51"/>
        <v>4281.0852928106215</v>
      </c>
      <c r="AC80" s="68">
        <f>SUM(AC78:AC79)</f>
        <v>100660.88100523554</v>
      </c>
      <c r="AD80" s="6" t="s">
        <v>12</v>
      </c>
    </row>
    <row r="81" spans="1:30" x14ac:dyDescent="0.25">
      <c r="A81" s="305" t="s">
        <v>150</v>
      </c>
      <c r="B81" s="306"/>
      <c r="C81" s="237"/>
      <c r="D81" s="63"/>
      <c r="E81" s="63"/>
      <c r="F81" s="63"/>
      <c r="G81" s="63"/>
      <c r="H81" s="63"/>
      <c r="I81" s="63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</row>
    <row r="82" spans="1:30" x14ac:dyDescent="0.25">
      <c r="A82" s="224"/>
      <c r="B82" s="59"/>
      <c r="C82" s="59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6"/>
      <c r="AD82" s="3"/>
    </row>
    <row r="83" spans="1:30" x14ac:dyDescent="0.25">
      <c r="A83" s="238"/>
      <c r="B83" s="59"/>
      <c r="C83" s="59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6"/>
      <c r="AD83" s="3"/>
    </row>
    <row r="84" spans="1:30" ht="13.5" customHeight="1" x14ac:dyDescent="0.25">
      <c r="A84" s="238" t="s">
        <v>173</v>
      </c>
      <c r="B84" s="59"/>
      <c r="C84" s="59"/>
      <c r="D84" s="67">
        <f>Interventions!$E$13</f>
        <v>9344</v>
      </c>
      <c r="E84" s="67">
        <f>Interventions!$E$13</f>
        <v>9344</v>
      </c>
      <c r="F84" s="67">
        <f>Interventions!$E$13</f>
        <v>9344</v>
      </c>
      <c r="G84" s="67">
        <f>Interventions!$E$13</f>
        <v>9344</v>
      </c>
      <c r="H84" s="67">
        <f>Interventions!$E$13</f>
        <v>9344</v>
      </c>
      <c r="I84" s="67">
        <f>Interventions!$E$13</f>
        <v>9344</v>
      </c>
      <c r="J84" s="67">
        <f>Interventions!$E$13</f>
        <v>9344</v>
      </c>
      <c r="K84" s="67">
        <f>Interventions!$E$13</f>
        <v>9344</v>
      </c>
      <c r="L84" s="67">
        <f>Interventions!$E$13</f>
        <v>9344</v>
      </c>
      <c r="M84" s="67">
        <f>Interventions!$E$13</f>
        <v>9344</v>
      </c>
      <c r="N84" s="67">
        <f>Interventions!$E$13</f>
        <v>9344</v>
      </c>
      <c r="O84" s="67">
        <f>Interventions!$E$13</f>
        <v>9344</v>
      </c>
      <c r="P84" s="67">
        <f>Interventions!$E$13</f>
        <v>9344</v>
      </c>
      <c r="Q84" s="67">
        <f>Interventions!$E$13</f>
        <v>9344</v>
      </c>
      <c r="R84" s="67">
        <f>Interventions!$E$13</f>
        <v>9344</v>
      </c>
      <c r="S84" s="67">
        <f>Interventions!$E$13</f>
        <v>9344</v>
      </c>
      <c r="T84" s="67">
        <f>Interventions!$E$13</f>
        <v>9344</v>
      </c>
      <c r="U84" s="67">
        <f>Interventions!$E$13</f>
        <v>9344</v>
      </c>
      <c r="V84" s="67">
        <f>Interventions!$E$13</f>
        <v>9344</v>
      </c>
      <c r="W84" s="67">
        <f>Interventions!$E$13</f>
        <v>9344</v>
      </c>
      <c r="X84" s="67">
        <f>Interventions!$E$13</f>
        <v>9344</v>
      </c>
      <c r="Y84" s="67">
        <f>Interventions!$E$13</f>
        <v>9344</v>
      </c>
      <c r="Z84" s="67">
        <f>Interventions!$E$13</f>
        <v>9344</v>
      </c>
      <c r="AA84" s="67">
        <f>Interventions!$E$13</f>
        <v>9344</v>
      </c>
      <c r="AB84" s="67">
        <f>Interventions!$E$13</f>
        <v>9344</v>
      </c>
      <c r="AC84" s="66">
        <f>SUM(D84:AB84)</f>
        <v>233600</v>
      </c>
      <c r="AD84" s="3" t="s">
        <v>12</v>
      </c>
    </row>
    <row r="85" spans="1:30" x14ac:dyDescent="0.25">
      <c r="A85" s="59" t="s">
        <v>36</v>
      </c>
      <c r="B85" s="59" t="s">
        <v>36</v>
      </c>
      <c r="C85" s="59"/>
      <c r="D85" s="67">
        <f>Interventions!$G$14</f>
        <v>4508.5150400000002</v>
      </c>
      <c r="E85" s="67">
        <f>Interventions!$G$14</f>
        <v>4508.5150400000002</v>
      </c>
      <c r="F85" s="67">
        <f>Interventions!$G$14</f>
        <v>4508.5150400000002</v>
      </c>
      <c r="G85" s="67">
        <f>Interventions!$G$14</f>
        <v>4508.5150400000002</v>
      </c>
      <c r="H85" s="67">
        <f>Interventions!$G$14</f>
        <v>4508.5150400000002</v>
      </c>
      <c r="I85" s="67">
        <f>Interventions!$G$14</f>
        <v>4508.5150400000002</v>
      </c>
      <c r="J85" s="67">
        <f>Interventions!$G$14</f>
        <v>4508.5150400000002</v>
      </c>
      <c r="K85" s="67">
        <f>Interventions!$G$14</f>
        <v>4508.5150400000002</v>
      </c>
      <c r="L85" s="67">
        <f>Interventions!$G$14</f>
        <v>4508.5150400000002</v>
      </c>
      <c r="M85" s="67">
        <f>Interventions!$G$14</f>
        <v>4508.5150400000002</v>
      </c>
      <c r="N85" s="67">
        <f>Interventions!$G$14</f>
        <v>4508.5150400000002</v>
      </c>
      <c r="O85" s="67">
        <f>Interventions!$G$14</f>
        <v>4508.5150400000002</v>
      </c>
      <c r="P85" s="67">
        <f>Interventions!$G$14</f>
        <v>4508.5150400000002</v>
      </c>
      <c r="Q85" s="67">
        <f>Interventions!$G$14</f>
        <v>4508.5150400000002</v>
      </c>
      <c r="R85" s="67">
        <f>Interventions!$G$14</f>
        <v>4508.5150400000002</v>
      </c>
      <c r="S85" s="67">
        <f>Interventions!$G$14</f>
        <v>4508.5150400000002</v>
      </c>
      <c r="T85" s="67">
        <f>Interventions!$G$14</f>
        <v>4508.5150400000002</v>
      </c>
      <c r="U85" s="67">
        <f>Interventions!$G$14</f>
        <v>4508.5150400000002</v>
      </c>
      <c r="V85" s="67">
        <f>Interventions!$G$14</f>
        <v>4508.5150400000002</v>
      </c>
      <c r="W85" s="67">
        <f>Interventions!$G$14</f>
        <v>4508.5150400000002</v>
      </c>
      <c r="X85" s="67">
        <f>Interventions!$G$14</f>
        <v>4508.5150400000002</v>
      </c>
      <c r="Y85" s="67">
        <f>Interventions!$G$14</f>
        <v>4508.5150400000002</v>
      </c>
      <c r="Z85" s="67">
        <f>Interventions!$G$14</f>
        <v>4508.5150400000002</v>
      </c>
      <c r="AA85" s="67">
        <f>Interventions!$G$14</f>
        <v>4508.5150400000002</v>
      </c>
      <c r="AB85" s="67">
        <f>Interventions!$G$14</f>
        <v>4508.5150400000002</v>
      </c>
      <c r="AC85" s="66">
        <f>SUM(D85:AB85)</f>
        <v>112712.87599999997</v>
      </c>
      <c r="AD85" s="3" t="s">
        <v>12</v>
      </c>
    </row>
    <row r="86" spans="1:30" x14ac:dyDescent="0.25">
      <c r="A86" s="307" t="s">
        <v>80</v>
      </c>
      <c r="B86" s="308"/>
      <c r="C86" s="81">
        <f>SUM(C82:C82)</f>
        <v>0</v>
      </c>
      <c r="D86" s="81">
        <f>D84-D85</f>
        <v>4835.4849599999998</v>
      </c>
      <c r="E86" s="81">
        <f t="shared" ref="E86" si="52">E84-E85</f>
        <v>4835.4849599999998</v>
      </c>
      <c r="F86" s="81">
        <f t="shared" ref="F86" si="53">F84-F85</f>
        <v>4835.4849599999998</v>
      </c>
      <c r="G86" s="81">
        <f t="shared" ref="G86" si="54">G84-G85</f>
        <v>4835.4849599999998</v>
      </c>
      <c r="H86" s="81">
        <f t="shared" ref="H86" si="55">H84-H85</f>
        <v>4835.4849599999998</v>
      </c>
      <c r="I86" s="81">
        <f t="shared" ref="I86" si="56">I84-I85</f>
        <v>4835.4849599999998</v>
      </c>
      <c r="J86" s="81">
        <f t="shared" ref="J86" si="57">J84-J85</f>
        <v>4835.4849599999998</v>
      </c>
      <c r="K86" s="81">
        <f t="shared" ref="K86" si="58">K84-K85</f>
        <v>4835.4849599999998</v>
      </c>
      <c r="L86" s="81">
        <f t="shared" ref="L86" si="59">L84-L85</f>
        <v>4835.4849599999998</v>
      </c>
      <c r="M86" s="81">
        <f t="shared" ref="M86" si="60">M84-M85</f>
        <v>4835.4849599999998</v>
      </c>
      <c r="N86" s="81">
        <f t="shared" ref="N86" si="61">N84-N85</f>
        <v>4835.4849599999998</v>
      </c>
      <c r="O86" s="81">
        <f t="shared" ref="O86" si="62">O84-O85</f>
        <v>4835.4849599999998</v>
      </c>
      <c r="P86" s="81">
        <f t="shared" ref="P86" si="63">P84-P85</f>
        <v>4835.4849599999998</v>
      </c>
      <c r="Q86" s="81">
        <f t="shared" ref="Q86" si="64">Q84-Q85</f>
        <v>4835.4849599999998</v>
      </c>
      <c r="R86" s="81">
        <f t="shared" ref="R86" si="65">R84-R85</f>
        <v>4835.4849599999998</v>
      </c>
      <c r="S86" s="81">
        <f t="shared" ref="S86" si="66">S84-S85</f>
        <v>4835.4849599999998</v>
      </c>
      <c r="T86" s="81">
        <f t="shared" ref="T86" si="67">T84-T85</f>
        <v>4835.4849599999998</v>
      </c>
      <c r="U86" s="81">
        <f t="shared" ref="U86" si="68">U84-U85</f>
        <v>4835.4849599999998</v>
      </c>
      <c r="V86" s="81">
        <f t="shared" ref="V86" si="69">V84-V85</f>
        <v>4835.4849599999998</v>
      </c>
      <c r="W86" s="81">
        <f t="shared" ref="W86" si="70">W84-W85</f>
        <v>4835.4849599999998</v>
      </c>
      <c r="X86" s="81">
        <f t="shared" ref="X86" si="71">X84-X85</f>
        <v>4835.4849599999998</v>
      </c>
      <c r="Y86" s="81">
        <f t="shared" ref="Y86" si="72">Y84-Y85</f>
        <v>4835.4849599999998</v>
      </c>
      <c r="Z86" s="81">
        <f t="shared" ref="Z86" si="73">Z84-Z85</f>
        <v>4835.4849599999998</v>
      </c>
      <c r="AA86" s="81">
        <f t="shared" ref="AA86" si="74">AA84-AA85</f>
        <v>4835.4849599999998</v>
      </c>
      <c r="AB86" s="81">
        <f t="shared" ref="AB86" si="75">AB84-AB85</f>
        <v>4835.4849599999998</v>
      </c>
      <c r="AC86" s="81">
        <f>AC84-AC85</f>
        <v>120887.12400000003</v>
      </c>
      <c r="AD86" s="6" t="s">
        <v>12</v>
      </c>
    </row>
    <row r="87" spans="1:30" x14ac:dyDescent="0.25">
      <c r="A87" s="132"/>
      <c r="B87" s="133" t="s">
        <v>81</v>
      </c>
      <c r="C87" s="134">
        <f t="shared" ref="C87:R87" si="76">(C86+C80)-C76</f>
        <v>-27361</v>
      </c>
      <c r="D87" s="134">
        <f t="shared" si="76"/>
        <v>5914.9753599999985</v>
      </c>
      <c r="E87" s="134">
        <f t="shared" si="76"/>
        <v>5929.3651200000004</v>
      </c>
      <c r="F87" s="134">
        <f t="shared" si="76"/>
        <v>5944.1146239999998</v>
      </c>
      <c r="G87" s="134">
        <f t="shared" si="76"/>
        <v>5959.2328655999991</v>
      </c>
      <c r="H87" s="134">
        <f t="shared" si="76"/>
        <v>5974.72906324</v>
      </c>
      <c r="I87" s="134">
        <f t="shared" si="76"/>
        <v>5990.6126658209996</v>
      </c>
      <c r="J87" s="134">
        <f t="shared" si="76"/>
        <v>6006.8933584665247</v>
      </c>
      <c r="K87" s="134">
        <f t="shared" si="76"/>
        <v>6023.5810684281878</v>
      </c>
      <c r="L87" s="134">
        <f t="shared" si="76"/>
        <v>6040.6859711388915</v>
      </c>
      <c r="M87" s="134">
        <f t="shared" si="76"/>
        <v>6058.218496417363</v>
      </c>
      <c r="N87" s="134">
        <f t="shared" si="76"/>
        <v>6076.1893348277972</v>
      </c>
      <c r="O87" s="134">
        <f t="shared" si="76"/>
        <v>6094.6094441984933</v>
      </c>
      <c r="P87" s="134">
        <f t="shared" si="76"/>
        <v>6113.4900563034553</v>
      </c>
      <c r="Q87" s="134">
        <f t="shared" si="76"/>
        <v>6132.8426837110419</v>
      </c>
      <c r="R87" s="134">
        <f t="shared" si="76"/>
        <v>6152.6791268038178</v>
      </c>
      <c r="S87" s="134">
        <f t="shared" ref="S87:W87" si="77">(S86+S80)-S76</f>
        <v>6173.0114809739134</v>
      </c>
      <c r="T87" s="134">
        <f t="shared" si="77"/>
        <v>6193.8521439982596</v>
      </c>
      <c r="U87" s="134">
        <f t="shared" si="77"/>
        <v>6215.2138235982184</v>
      </c>
      <c r="V87" s="134">
        <f t="shared" si="77"/>
        <v>6237.109545188172</v>
      </c>
      <c r="W87" s="134">
        <f t="shared" si="77"/>
        <v>6259.5526598178767</v>
      </c>
      <c r="X87" s="134">
        <f t="shared" ref="X87:AB87" si="78">(X86+X80)-X76</f>
        <v>6282.5568523133243</v>
      </c>
      <c r="Y87" s="134">
        <f t="shared" si="78"/>
        <v>6306.1361496211557</v>
      </c>
      <c r="Z87" s="134">
        <f t="shared" si="78"/>
        <v>6330.3049293616859</v>
      </c>
      <c r="AA87" s="134">
        <f t="shared" si="78"/>
        <v>6355.0779285957269</v>
      </c>
      <c r="AB87" s="134">
        <f t="shared" si="78"/>
        <v>6380.4702528106209</v>
      </c>
      <c r="AC87" s="134">
        <f>(AC86+AC80)-AC76</f>
        <v>125784.50500523557</v>
      </c>
      <c r="AD87" s="135" t="s">
        <v>12</v>
      </c>
    </row>
    <row r="88" spans="1:30" x14ac:dyDescent="0.25">
      <c r="A88" s="132"/>
      <c r="B88" s="133" t="s">
        <v>82</v>
      </c>
      <c r="C88" s="134">
        <f t="shared" ref="C88:R88" si="79">(C86)-C76</f>
        <v>-27361</v>
      </c>
      <c r="D88" s="134">
        <f t="shared" si="79"/>
        <v>2099.3849599999994</v>
      </c>
      <c r="E88" s="134">
        <f t="shared" si="79"/>
        <v>2099.3849599999994</v>
      </c>
      <c r="F88" s="134">
        <f t="shared" si="79"/>
        <v>2099.3849599999994</v>
      </c>
      <c r="G88" s="134">
        <f t="shared" si="79"/>
        <v>2099.3849599999994</v>
      </c>
      <c r="H88" s="134">
        <f t="shared" si="79"/>
        <v>2099.3849599999994</v>
      </c>
      <c r="I88" s="134">
        <f t="shared" si="79"/>
        <v>2099.3849599999994</v>
      </c>
      <c r="J88" s="134">
        <f t="shared" si="79"/>
        <v>2099.3849599999994</v>
      </c>
      <c r="K88" s="134">
        <f t="shared" si="79"/>
        <v>2099.3849599999994</v>
      </c>
      <c r="L88" s="134">
        <f t="shared" si="79"/>
        <v>2099.3849599999994</v>
      </c>
      <c r="M88" s="134">
        <f t="shared" si="79"/>
        <v>2099.3849599999994</v>
      </c>
      <c r="N88" s="134">
        <f t="shared" si="79"/>
        <v>2099.3849599999994</v>
      </c>
      <c r="O88" s="134">
        <f t="shared" si="79"/>
        <v>2099.3849599999994</v>
      </c>
      <c r="P88" s="134">
        <f t="shared" si="79"/>
        <v>2099.3849599999994</v>
      </c>
      <c r="Q88" s="134">
        <f t="shared" si="79"/>
        <v>2099.3849599999994</v>
      </c>
      <c r="R88" s="134">
        <f t="shared" si="79"/>
        <v>2099.3849599999994</v>
      </c>
      <c r="S88" s="134">
        <f t="shared" ref="S88:W88" si="80">(S86)-S76</f>
        <v>2099.3849599999994</v>
      </c>
      <c r="T88" s="134">
        <f t="shared" si="80"/>
        <v>2099.3849599999994</v>
      </c>
      <c r="U88" s="134">
        <f t="shared" si="80"/>
        <v>2099.3849599999994</v>
      </c>
      <c r="V88" s="134">
        <f t="shared" si="80"/>
        <v>2099.3849599999994</v>
      </c>
      <c r="W88" s="134">
        <f t="shared" si="80"/>
        <v>2099.3849599999994</v>
      </c>
      <c r="X88" s="134">
        <f t="shared" ref="X88:AB88" si="81">(X86)-X76</f>
        <v>2099.3849599999994</v>
      </c>
      <c r="Y88" s="134">
        <f t="shared" si="81"/>
        <v>2099.3849599999994</v>
      </c>
      <c r="Z88" s="134">
        <f t="shared" si="81"/>
        <v>2099.3849599999994</v>
      </c>
      <c r="AA88" s="134">
        <f t="shared" si="81"/>
        <v>2099.3849599999994</v>
      </c>
      <c r="AB88" s="134">
        <f t="shared" si="81"/>
        <v>2099.3849599999994</v>
      </c>
      <c r="AC88" s="134">
        <f>(AC86)-AC76</f>
        <v>25123.62400000004</v>
      </c>
      <c r="AD88" s="135" t="s">
        <v>12</v>
      </c>
    </row>
    <row r="89" spans="1:30" ht="13.5" customHeight="1" x14ac:dyDescent="0.25">
      <c r="A89" s="69" t="s">
        <v>83</v>
      </c>
      <c r="B89" s="70">
        <f>XIRR(C88:AB88, C$38:AB$38, 0.1)</f>
        <v>5.7941874861717216E-2</v>
      </c>
      <c r="D89" s="82"/>
      <c r="E89" s="71"/>
      <c r="F89" s="71"/>
      <c r="G89" s="71"/>
      <c r="H89" s="71"/>
      <c r="I89" s="71"/>
      <c r="J89" s="72"/>
    </row>
    <row r="90" spans="1:30" ht="13.5" customHeight="1" x14ac:dyDescent="0.25">
      <c r="A90" s="96" t="s">
        <v>85</v>
      </c>
      <c r="B90" s="73">
        <f>XIRR(C87:AB87, C$38:AB$38, 0.1)</f>
        <v>0.21704321503639223</v>
      </c>
      <c r="D90" s="82"/>
      <c r="E90" s="71"/>
      <c r="F90" s="71"/>
      <c r="G90" s="71"/>
      <c r="H90" s="71"/>
      <c r="I90" s="71"/>
      <c r="J90" s="72"/>
    </row>
    <row r="91" spans="1:30" x14ac:dyDescent="0.25">
      <c r="A91" s="97" t="s">
        <v>86</v>
      </c>
      <c r="B91" s="84">
        <f>XNPV(A$67,C86:AB86,C$71:AB$71)/XNPV(A$67,C76:AB76,C$71:AB$71)</f>
        <v>0.76173614946195167</v>
      </c>
      <c r="E91" s="85"/>
      <c r="F91" s="85"/>
      <c r="G91" s="85"/>
      <c r="H91" s="85"/>
      <c r="I91" s="85"/>
    </row>
    <row r="92" spans="1:30" x14ac:dyDescent="0.25">
      <c r="A92" s="96" t="s">
        <v>87</v>
      </c>
      <c r="B92" s="86">
        <f>(XNPV(A$67,C86:AB86,C$71:AB$71)+XNPV(A$67,C80:AB80,C$71:AB$71))/XNPV(A$67,C76:AB76,C$71:AB$71)</f>
        <v>1.3800916169338333</v>
      </c>
      <c r="E92" s="85"/>
      <c r="F92" s="85"/>
      <c r="G92" s="85"/>
      <c r="H92" s="85"/>
      <c r="I92" s="85"/>
    </row>
    <row r="93" spans="1:30" x14ac:dyDescent="0.25">
      <c r="A93" s="98" t="s">
        <v>84</v>
      </c>
      <c r="B93" s="74">
        <f>XNPV(A$67,C88:AB88,C$71:AB$71)</f>
        <v>-11457.567353807468</v>
      </c>
      <c r="E93" s="85"/>
      <c r="F93" s="85"/>
      <c r="G93" s="85"/>
      <c r="H93" s="85"/>
      <c r="I93" s="85"/>
    </row>
    <row r="94" spans="1:30" x14ac:dyDescent="0.25">
      <c r="A94" s="96" t="s">
        <v>88</v>
      </c>
      <c r="B94" s="76">
        <f>XNPV(A$67,C87:AB87,C$71:AB$71)</f>
        <v>18277.742476681495</v>
      </c>
      <c r="E94" s="85"/>
      <c r="F94" s="85"/>
      <c r="G94" s="85"/>
      <c r="H94" s="85"/>
      <c r="I94" s="85"/>
    </row>
    <row r="95" spans="1:30" x14ac:dyDescent="0.25">
      <c r="A95" s="83" t="s">
        <v>76</v>
      </c>
      <c r="B95" s="74">
        <f>IF(P95,P70-C70)</f>
        <v>13</v>
      </c>
      <c r="C95" s="75">
        <f>C86/C76</f>
        <v>0</v>
      </c>
      <c r="D95" s="87">
        <f>SUM($C$86:D86)/SUM($C$76:D76)</f>
        <v>0.1606628200059142</v>
      </c>
      <c r="E95" s="87">
        <f>SUM($C$86:E86)/SUM($C$76:E76)</f>
        <v>0.29454850334417604</v>
      </c>
      <c r="F95" s="87">
        <f>SUM($C$86:F86)/SUM($C$76:F76)</f>
        <v>0.40783638924578219</v>
      </c>
      <c r="G95" s="87">
        <f>SUM($C$86:G86)/SUM($C$76:G76)</f>
        <v>0.50494029144715891</v>
      </c>
      <c r="H95" s="87">
        <f>SUM($C$86:H86)/SUM($C$76:H76)</f>
        <v>0.58909700668835219</v>
      </c>
      <c r="I95" s="87">
        <f>SUM($C$86:I86)/SUM($C$76:I76)</f>
        <v>0.66273413252439617</v>
      </c>
      <c r="J95" s="87">
        <f>SUM($C$86:J86)/SUM($C$76:J76)</f>
        <v>0.72770806708561153</v>
      </c>
      <c r="K95" s="87">
        <f>SUM($C$86:K86)/SUM($C$76:K76)</f>
        <v>0.78546267558446969</v>
      </c>
      <c r="L95" s="87">
        <f>SUM($C$86:L86)/SUM($C$76:L76)</f>
        <v>0.83713785160976373</v>
      </c>
      <c r="M95" s="87">
        <f>SUM($C$86:M86)/SUM($C$76:M76)</f>
        <v>0.88364551003252845</v>
      </c>
      <c r="N95" s="87">
        <f>SUM($C$86:N86)/SUM($C$76:N76)</f>
        <v>0.92572386765312509</v>
      </c>
      <c r="O95" s="87">
        <f>SUM($C$86:O86)/SUM($C$76:O76)</f>
        <v>0.96397692003548563</v>
      </c>
      <c r="P95" s="87">
        <f>SUM($C$86:P86)/SUM($C$76:P76)</f>
        <v>0.99890362003677136</v>
      </c>
      <c r="Q95" s="87">
        <f>SUM($C$86:Q86)/SUM($C$76:Q76)</f>
        <v>1.0309197617046164</v>
      </c>
      <c r="R95" s="87">
        <f>SUM($C$86:R86)/SUM($C$76:R76)</f>
        <v>1.060374612039034</v>
      </c>
      <c r="S95" s="87">
        <f>SUM($C$86:S86)/SUM($C$76:S76)</f>
        <v>1.0875637046554194</v>
      </c>
      <c r="T95" s="87">
        <f>SUM($C$86:T86)/SUM($C$76:T76)</f>
        <v>1.1127387904113317</v>
      </c>
      <c r="U95" s="87">
        <f>SUM($C$86:U86)/SUM($C$76:U76)</f>
        <v>1.1361156557561076</v>
      </c>
      <c r="V95" s="87">
        <f>SUM($C$86:V86)/SUM($C$76:V76)</f>
        <v>1.157880323490899</v>
      </c>
      <c r="W95" s="87">
        <f>SUM($C$86:W86)/SUM($C$76:W76)</f>
        <v>1.1781940133767042</v>
      </c>
      <c r="X95" s="87">
        <f>SUM($C$86:X86)/SUM($C$76:X76)</f>
        <v>1.1971971426247154</v>
      </c>
      <c r="Y95" s="87">
        <f>SUM($C$86:Y86)/SUM($C$76:Y76)</f>
        <v>1.2150125762947259</v>
      </c>
      <c r="Z95" s="87">
        <f>SUM($C$86:Z86)/SUM($C$76:Z76)</f>
        <v>1.2317482867120086</v>
      </c>
      <c r="AA95" s="87">
        <f>SUM($C$86:AA86)/SUM($C$76:AA76)</f>
        <v>1.2474995435753335</v>
      </c>
      <c r="AB95" s="87">
        <f>SUM($C$86:AB86)/SUM($C$76:AB76)</f>
        <v>1.262350728617897</v>
      </c>
    </row>
    <row r="96" spans="1:30" x14ac:dyDescent="0.25">
      <c r="A96" s="96" t="s">
        <v>89</v>
      </c>
      <c r="B96" s="76">
        <f>IF(H96,H70-C70)</f>
        <v>5</v>
      </c>
      <c r="C96" s="75">
        <f>(C86+C80)/C76</f>
        <v>0</v>
      </c>
      <c r="D96" s="87">
        <f>(SUM($C$86:D86)+SUM($C$80:D80))/SUM($C$76:D76)</f>
        <v>0.28743883497081113</v>
      </c>
      <c r="E96" s="87">
        <f>(SUM($C$86:E86)+SUM($C$80:E80))/SUM($C$76:E76)</f>
        <v>0.52740946602828853</v>
      </c>
      <c r="F96" s="87">
        <f>(SUM($C$86:F86)+SUM($C$80:F80))/SUM($C$76:F76)</f>
        <v>0.73087620796585828</v>
      </c>
      <c r="G96" s="87">
        <f>(SUM($C$86:G86)+SUM($C$80:G80))/SUM($C$76:G76)</f>
        <v>0.90567094899413669</v>
      </c>
      <c r="H96" s="87">
        <f>(SUM($C$86:H86)+SUM($C$80:H80))/SUM($C$76:H76)</f>
        <v>1.0575372984135571</v>
      </c>
      <c r="I96" s="87">
        <f>(SUM($C$86:I86)+SUM($C$80:I80))/SUM($C$76:I76)</f>
        <v>1.1907831790381611</v>
      </c>
      <c r="J96" s="87">
        <f>(SUM($C$86:J86)+SUM($C$80:J80))/SUM($C$76:J76)</f>
        <v>1.3087030930054486</v>
      </c>
      <c r="K96" s="87">
        <f>(SUM($C$86:K86)+SUM($C$80:K80))/SUM($C$76:K76)</f>
        <v>1.4138596324361872</v>
      </c>
      <c r="L96" s="87">
        <f>(SUM($C$86:L86)+SUM($C$80:L80))/SUM($C$76:L76)</f>
        <v>1.5082760921075642</v>
      </c>
      <c r="M96" s="87">
        <f>(SUM($C$86:M86)+SUM($C$80:M80))/SUM($C$76:M76)</f>
        <v>1.5935712984377761</v>
      </c>
      <c r="N96" s="87">
        <f>(SUM($C$86:N86)+SUM($C$80:N80))/SUM($C$76:N76)</f>
        <v>1.6710559160142746</v>
      </c>
      <c r="O96" s="87">
        <f>(SUM($C$86:O86)+SUM($C$80:O80))/SUM($C$76:O76)</f>
        <v>1.7418024888135117</v>
      </c>
      <c r="P96" s="87">
        <f>(SUM($C$86:P86)+SUM($C$80:P80))/SUM($C$76:P76)</f>
        <v>1.8066972099043188</v>
      </c>
      <c r="Q96" s="87">
        <f>(SUM($C$86:Q86)+SUM($C$80:Q80))/SUM($C$76:Q76)</f>
        <v>1.8664787488297334</v>
      </c>
      <c r="R96" s="87">
        <f>(SUM($C$86:R86)+SUM($C$80:R80))/SUM($C$76:R76)</f>
        <v>1.9217677605198145</v>
      </c>
      <c r="S96" s="87">
        <f>(SUM($C$86:S86)+SUM($C$80:S80))/SUM($C$76:S76)</f>
        <v>1.9730895845564929</v>
      </c>
      <c r="T96" s="87">
        <f>(SUM($C$86:T86)+SUM($C$80:T80))/SUM($C$76:T76)</f>
        <v>2.0208919002571757</v>
      </c>
      <c r="U96" s="87">
        <f>(SUM($C$86:U86)+SUM($C$80:U80))/SUM($C$76:U76)</f>
        <v>2.0655585986248277</v>
      </c>
      <c r="V96" s="87">
        <f>(SUM($C$86:V86)+SUM($C$80:V80))/SUM($C$76:V76)</f>
        <v>2.1074207843370707</v>
      </c>
      <c r="W96" s="87">
        <f>(SUM($C$86:W86)+SUM($C$80:W80))/SUM($C$76:W76)</f>
        <v>2.1467655774342189</v>
      </c>
      <c r="X96" s="87">
        <f>(SUM($C$86:X86)+SUM($C$80:X80))/SUM($C$76:X76)</f>
        <v>2.1838432115507747</v>
      </c>
      <c r="Y96" s="87">
        <f>(SUM($C$86:Y86)+SUM($C$80:Y80))/SUM($C$76:Y76)</f>
        <v>2.2188728013238217</v>
      </c>
      <c r="Z96" s="87">
        <f>(SUM($C$86:Z86)+SUM($C$80:Z80))/SUM($C$76:Z76)</f>
        <v>2.2520470612764365</v>
      </c>
      <c r="AA96" s="87">
        <f>(SUM($C$86:AA86)+SUM($C$80:AA80))/SUM($C$76:AA76)</f>
        <v>2.2835361920512112</v>
      </c>
      <c r="AB96" s="87">
        <f>(SUM($C$86:AB86)+SUM($C$80:AB80))/SUM($C$76:AB76)</f>
        <v>2.3134911005261447</v>
      </c>
    </row>
    <row r="100" spans="1:32" ht="26.25" x14ac:dyDescent="0.4">
      <c r="A100" s="107">
        <v>8.6300000000000002E-2</v>
      </c>
      <c r="B100" s="107" t="s">
        <v>79</v>
      </c>
    </row>
    <row r="101" spans="1:32" ht="23.25" customHeight="1" x14ac:dyDescent="0.25">
      <c r="A101" s="311" t="s">
        <v>141</v>
      </c>
      <c r="B101" s="312"/>
      <c r="C101" s="312"/>
      <c r="D101" s="312"/>
      <c r="E101" s="312"/>
      <c r="F101" s="312"/>
      <c r="G101" s="312"/>
      <c r="H101" s="312"/>
      <c r="I101" s="312"/>
      <c r="J101" s="312"/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312"/>
      <c r="Y101" s="312"/>
      <c r="Z101" s="312"/>
      <c r="AA101" s="312"/>
      <c r="AB101" s="312"/>
      <c r="AC101" s="312"/>
      <c r="AD101" s="313"/>
    </row>
    <row r="102" spans="1:32" x14ac:dyDescent="0.25">
      <c r="A102" s="78"/>
      <c r="B102" s="78"/>
      <c r="C102" s="60" t="s">
        <v>8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1" t="s">
        <v>9</v>
      </c>
    </row>
    <row r="103" spans="1:32" ht="15.75" customHeight="1" x14ac:dyDescent="0.25">
      <c r="A103" s="309" t="s">
        <v>131</v>
      </c>
      <c r="B103" s="310"/>
      <c r="C103" s="222"/>
      <c r="D103" s="1">
        <v>1</v>
      </c>
      <c r="E103" s="1">
        <v>2</v>
      </c>
      <c r="F103" s="1">
        <v>3</v>
      </c>
      <c r="G103" s="1">
        <v>4</v>
      </c>
      <c r="H103" s="1">
        <v>5</v>
      </c>
      <c r="I103" s="1">
        <v>6</v>
      </c>
      <c r="J103" s="1">
        <v>7</v>
      </c>
      <c r="K103" s="1">
        <v>8</v>
      </c>
      <c r="L103" s="1">
        <v>9</v>
      </c>
      <c r="M103" s="1">
        <v>10</v>
      </c>
      <c r="N103" s="1">
        <v>11</v>
      </c>
      <c r="O103" s="1">
        <v>12</v>
      </c>
      <c r="P103" s="1">
        <v>13</v>
      </c>
      <c r="Q103" s="1">
        <v>14</v>
      </c>
      <c r="R103" s="1">
        <v>15</v>
      </c>
      <c r="S103" s="1">
        <v>16</v>
      </c>
      <c r="T103" s="1">
        <v>17</v>
      </c>
      <c r="U103" s="1">
        <v>18</v>
      </c>
      <c r="V103" s="1">
        <v>19</v>
      </c>
      <c r="W103" s="1">
        <v>20</v>
      </c>
      <c r="X103" s="1">
        <v>21</v>
      </c>
      <c r="Y103" s="1">
        <v>22</v>
      </c>
      <c r="Z103" s="1">
        <v>23</v>
      </c>
      <c r="AA103" s="1">
        <v>24</v>
      </c>
      <c r="AB103" s="1">
        <v>25</v>
      </c>
      <c r="AC103" s="62" t="s">
        <v>78</v>
      </c>
      <c r="AD103" s="7"/>
    </row>
    <row r="104" spans="1:32" ht="16.5" customHeight="1" x14ac:dyDescent="0.25">
      <c r="A104" s="89"/>
      <c r="B104" s="90"/>
      <c r="C104" s="99">
        <v>44197</v>
      </c>
      <c r="D104" s="99">
        <v>44562</v>
      </c>
      <c r="E104" s="99">
        <v>44927</v>
      </c>
      <c r="F104" s="99">
        <v>45292</v>
      </c>
      <c r="G104" s="99">
        <v>45658</v>
      </c>
      <c r="H104" s="99">
        <v>46023</v>
      </c>
      <c r="I104" s="99">
        <v>46388</v>
      </c>
      <c r="J104" s="99">
        <v>46753</v>
      </c>
      <c r="K104" s="99">
        <v>47119</v>
      </c>
      <c r="L104" s="99">
        <v>47484</v>
      </c>
      <c r="M104" s="99">
        <v>47849</v>
      </c>
      <c r="N104" s="99">
        <v>48214</v>
      </c>
      <c r="O104" s="99">
        <v>48580</v>
      </c>
      <c r="P104" s="99">
        <v>48945</v>
      </c>
      <c r="Q104" s="99">
        <v>49310</v>
      </c>
      <c r="R104" s="99">
        <v>49675</v>
      </c>
      <c r="S104" s="99">
        <v>50041</v>
      </c>
      <c r="T104" s="99">
        <v>50406</v>
      </c>
      <c r="U104" s="99">
        <v>50771</v>
      </c>
      <c r="V104" s="99">
        <v>51136</v>
      </c>
      <c r="W104" s="99">
        <v>51502</v>
      </c>
      <c r="X104" s="99">
        <v>51867</v>
      </c>
      <c r="Y104" s="99">
        <v>52232</v>
      </c>
      <c r="Z104" s="99">
        <v>52597</v>
      </c>
      <c r="AA104" s="99">
        <v>52963</v>
      </c>
      <c r="AB104" s="99">
        <v>53328</v>
      </c>
      <c r="AC104" s="91"/>
      <c r="AD104" s="92"/>
    </row>
    <row r="105" spans="1:32" s="106" customFormat="1" ht="16.5" customHeight="1" x14ac:dyDescent="0.25">
      <c r="C105" s="101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3"/>
      <c r="AD105" s="104"/>
      <c r="AE105" s="105"/>
      <c r="AF105" s="105"/>
    </row>
    <row r="106" spans="1:32" x14ac:dyDescent="0.25">
      <c r="A106" s="305" t="s">
        <v>10</v>
      </c>
      <c r="B106" s="306"/>
      <c r="C106" s="223"/>
      <c r="D106" s="63"/>
      <c r="E106" s="63"/>
      <c r="F106" s="63"/>
      <c r="G106" s="63"/>
      <c r="H106" s="63"/>
      <c r="I106" s="63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</row>
    <row r="107" spans="1:32" x14ac:dyDescent="0.25">
      <c r="A107" s="224" t="s">
        <v>11</v>
      </c>
      <c r="B107" s="59"/>
      <c r="C107" s="88">
        <f>Interventions!$H$6</f>
        <v>27361</v>
      </c>
      <c r="D107" s="65"/>
      <c r="E107" s="65"/>
      <c r="F107" s="65"/>
      <c r="G107" s="65"/>
      <c r="H107" s="65"/>
      <c r="I107" s="6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66">
        <f>SUM(C107:AB107)</f>
        <v>27361</v>
      </c>
      <c r="AD107" s="3" t="s">
        <v>12</v>
      </c>
    </row>
    <row r="108" spans="1:32" x14ac:dyDescent="0.25">
      <c r="A108" s="59" t="s">
        <v>137</v>
      </c>
      <c r="B108" s="224"/>
      <c r="C108" s="93"/>
      <c r="D108" s="67">
        <f>Interventions!$H$7</f>
        <v>2736.1000000000004</v>
      </c>
      <c r="E108" s="67">
        <f>Interventions!$H$7</f>
        <v>2736.1000000000004</v>
      </c>
      <c r="F108" s="67">
        <f>Interventions!$H$7</f>
        <v>2736.1000000000004</v>
      </c>
      <c r="G108" s="67">
        <f>Interventions!$H$7</f>
        <v>2736.1000000000004</v>
      </c>
      <c r="H108" s="67">
        <f>Interventions!$H$7</f>
        <v>2736.1000000000004</v>
      </c>
      <c r="I108" s="67">
        <f>Interventions!$H$7</f>
        <v>2736.1000000000004</v>
      </c>
      <c r="J108" s="67">
        <f>Interventions!$H$7</f>
        <v>2736.1000000000004</v>
      </c>
      <c r="K108" s="67">
        <f>Interventions!$H$7</f>
        <v>2736.1000000000004</v>
      </c>
      <c r="L108" s="67">
        <f>Interventions!$H$7</f>
        <v>2736.1000000000004</v>
      </c>
      <c r="M108" s="67">
        <f>Interventions!$H$7</f>
        <v>2736.1000000000004</v>
      </c>
      <c r="N108" s="67">
        <f>Interventions!$H$7</f>
        <v>2736.1000000000004</v>
      </c>
      <c r="O108" s="67">
        <f>Interventions!$H$7</f>
        <v>2736.1000000000004</v>
      </c>
      <c r="P108" s="67">
        <f>Interventions!$H$7</f>
        <v>2736.1000000000004</v>
      </c>
      <c r="Q108" s="67">
        <f>Interventions!$H$7</f>
        <v>2736.1000000000004</v>
      </c>
      <c r="R108" s="67">
        <f>Interventions!$H$7</f>
        <v>2736.1000000000004</v>
      </c>
      <c r="S108" s="67">
        <f>Interventions!$H$7</f>
        <v>2736.1000000000004</v>
      </c>
      <c r="T108" s="67">
        <f>Interventions!$H$7</f>
        <v>2736.1000000000004</v>
      </c>
      <c r="U108" s="67">
        <f>Interventions!$H$7</f>
        <v>2736.1000000000004</v>
      </c>
      <c r="V108" s="67">
        <f>Interventions!$H$7</f>
        <v>2736.1000000000004</v>
      </c>
      <c r="W108" s="67">
        <f>Interventions!$H$7</f>
        <v>2736.1000000000004</v>
      </c>
      <c r="X108" s="67">
        <f>Interventions!$H$7</f>
        <v>2736.1000000000004</v>
      </c>
      <c r="Y108" s="67">
        <f>Interventions!$H$7</f>
        <v>2736.1000000000004</v>
      </c>
      <c r="Z108" s="67">
        <f>Interventions!$H$7</f>
        <v>2736.1000000000004</v>
      </c>
      <c r="AA108" s="67">
        <f>Interventions!$H$7</f>
        <v>2736.1000000000004</v>
      </c>
      <c r="AB108" s="67">
        <f>Interventions!$H$7</f>
        <v>2736.1000000000004</v>
      </c>
      <c r="AC108" s="66">
        <f>SUM(C108:AB108)</f>
        <v>68402.499999999985</v>
      </c>
      <c r="AD108" s="3" t="s">
        <v>12</v>
      </c>
    </row>
    <row r="109" spans="1:32" x14ac:dyDescent="0.25">
      <c r="A109" s="307" t="s">
        <v>80</v>
      </c>
      <c r="B109" s="308"/>
      <c r="C109" s="94">
        <f t="shared" ref="C109:W109" si="82">SUM(C107:C108)</f>
        <v>27361</v>
      </c>
      <c r="D109" s="94">
        <f t="shared" si="82"/>
        <v>2736.1000000000004</v>
      </c>
      <c r="E109" s="94">
        <f t="shared" si="82"/>
        <v>2736.1000000000004</v>
      </c>
      <c r="F109" s="94">
        <f t="shared" si="82"/>
        <v>2736.1000000000004</v>
      </c>
      <c r="G109" s="94">
        <f t="shared" si="82"/>
        <v>2736.1000000000004</v>
      </c>
      <c r="H109" s="94">
        <f t="shared" si="82"/>
        <v>2736.1000000000004</v>
      </c>
      <c r="I109" s="94">
        <f t="shared" si="82"/>
        <v>2736.1000000000004</v>
      </c>
      <c r="J109" s="94">
        <f t="shared" si="82"/>
        <v>2736.1000000000004</v>
      </c>
      <c r="K109" s="94">
        <f t="shared" si="82"/>
        <v>2736.1000000000004</v>
      </c>
      <c r="L109" s="94">
        <f t="shared" si="82"/>
        <v>2736.1000000000004</v>
      </c>
      <c r="M109" s="94">
        <f t="shared" si="82"/>
        <v>2736.1000000000004</v>
      </c>
      <c r="N109" s="94">
        <f t="shared" si="82"/>
        <v>2736.1000000000004</v>
      </c>
      <c r="O109" s="94">
        <f t="shared" si="82"/>
        <v>2736.1000000000004</v>
      </c>
      <c r="P109" s="94">
        <f t="shared" si="82"/>
        <v>2736.1000000000004</v>
      </c>
      <c r="Q109" s="94">
        <f t="shared" si="82"/>
        <v>2736.1000000000004</v>
      </c>
      <c r="R109" s="94">
        <f t="shared" si="82"/>
        <v>2736.1000000000004</v>
      </c>
      <c r="S109" s="94">
        <f t="shared" si="82"/>
        <v>2736.1000000000004</v>
      </c>
      <c r="T109" s="94">
        <f t="shared" si="82"/>
        <v>2736.1000000000004</v>
      </c>
      <c r="U109" s="94">
        <f t="shared" si="82"/>
        <v>2736.1000000000004</v>
      </c>
      <c r="V109" s="94">
        <f t="shared" si="82"/>
        <v>2736.1000000000004</v>
      </c>
      <c r="W109" s="94">
        <f t="shared" si="82"/>
        <v>2736.1000000000004</v>
      </c>
      <c r="X109" s="94">
        <f t="shared" ref="X109:AB109" si="83">SUM(X107:X108)</f>
        <v>2736.1000000000004</v>
      </c>
      <c r="Y109" s="94">
        <f t="shared" si="83"/>
        <v>2736.1000000000004</v>
      </c>
      <c r="Z109" s="94">
        <f t="shared" si="83"/>
        <v>2736.1000000000004</v>
      </c>
      <c r="AA109" s="94">
        <f t="shared" si="83"/>
        <v>2736.1000000000004</v>
      </c>
      <c r="AB109" s="94">
        <f t="shared" si="83"/>
        <v>2736.1000000000004</v>
      </c>
      <c r="AC109" s="95">
        <f>SUM(AC107:AC108)</f>
        <v>95763.499999999985</v>
      </c>
      <c r="AD109" s="6" t="s">
        <v>12</v>
      </c>
    </row>
    <row r="110" spans="1:32" x14ac:dyDescent="0.25">
      <c r="A110" s="305" t="s">
        <v>155</v>
      </c>
      <c r="B110" s="306"/>
      <c r="C110" s="237"/>
      <c r="D110" s="63"/>
      <c r="E110" s="63"/>
      <c r="F110" s="63"/>
      <c r="G110" s="63"/>
      <c r="H110" s="63"/>
      <c r="I110" s="63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</row>
    <row r="111" spans="1:32" x14ac:dyDescent="0.25">
      <c r="A111" s="59" t="s">
        <v>171</v>
      </c>
      <c r="B111" s="59"/>
      <c r="C111" s="59"/>
      <c r="D111" s="67">
        <f>'Carbon avoided'!E12</f>
        <v>575.59040000000005</v>
      </c>
      <c r="E111" s="67">
        <f>'Carbon avoided'!F12</f>
        <v>589.98016000000007</v>
      </c>
      <c r="F111" s="67">
        <f>'Carbon avoided'!G12</f>
        <v>604.72966399999996</v>
      </c>
      <c r="G111" s="67">
        <f>'Carbon avoided'!H12</f>
        <v>619.84790559999999</v>
      </c>
      <c r="H111" s="67">
        <f>'Carbon avoided'!I12</f>
        <v>635.34410323999998</v>
      </c>
      <c r="I111" s="67">
        <f>'Carbon avoided'!J12</f>
        <v>651.22770582099986</v>
      </c>
      <c r="J111" s="67">
        <f>'Carbon avoided'!K12</f>
        <v>667.5083984665248</v>
      </c>
      <c r="K111" s="67">
        <f>'Carbon avoided'!L12</f>
        <v>684.19610842818781</v>
      </c>
      <c r="L111" s="67">
        <f>'Carbon avoided'!M12</f>
        <v>701.30101113889248</v>
      </c>
      <c r="M111" s="67">
        <f>'Carbon avoided'!N12</f>
        <v>718.83353641736471</v>
      </c>
      <c r="N111" s="67">
        <f>'Carbon avoided'!O12</f>
        <v>736.80437482779871</v>
      </c>
      <c r="O111" s="67">
        <f>'Carbon avoided'!P12</f>
        <v>755.22448419849366</v>
      </c>
      <c r="P111" s="67">
        <f>'Carbon avoided'!Q12</f>
        <v>774.10509630345587</v>
      </c>
      <c r="Q111" s="67">
        <f>'Carbon avoided'!R12</f>
        <v>793.45772371104215</v>
      </c>
      <c r="R111" s="67">
        <f>'Carbon avoided'!S12</f>
        <v>813.29416680381814</v>
      </c>
      <c r="S111" s="67">
        <f>'Carbon avoided'!T12</f>
        <v>833.62652097391356</v>
      </c>
      <c r="T111" s="67">
        <f>'Carbon avoided'!U12</f>
        <v>854.46718399826136</v>
      </c>
      <c r="U111" s="67">
        <f>'Carbon avoided'!V12</f>
        <v>875.82886359821782</v>
      </c>
      <c r="V111" s="67">
        <f>'Carbon avoided'!W12</f>
        <v>897.72458518817314</v>
      </c>
      <c r="W111" s="67">
        <f>'Carbon avoided'!X12</f>
        <v>920.16769981787741</v>
      </c>
      <c r="X111" s="67">
        <f>'Carbon avoided'!Y12</f>
        <v>943.17189231332429</v>
      </c>
      <c r="Y111" s="67">
        <f>'Carbon avoided'!Z12</f>
        <v>966.75118962115732</v>
      </c>
      <c r="Z111" s="67">
        <f>'Carbon avoided'!AA12</f>
        <v>990.9199693616863</v>
      </c>
      <c r="AA111" s="67">
        <f>'Carbon avoided'!AB12</f>
        <v>1015.6929685957284</v>
      </c>
      <c r="AB111" s="67">
        <f>'Carbon avoided'!AC12</f>
        <v>1041.0852928106215</v>
      </c>
      <c r="AC111" s="66">
        <f>SUM(C111:AB111)</f>
        <v>19660.88100523554</v>
      </c>
      <c r="AD111" s="3" t="s">
        <v>12</v>
      </c>
    </row>
    <row r="112" spans="1:32" ht="12.75" customHeight="1" x14ac:dyDescent="0.25">
      <c r="A112" s="59" t="s">
        <v>175</v>
      </c>
      <c r="B112" s="59"/>
      <c r="C112" s="59"/>
      <c r="D112" s="67">
        <f>Interventions!$H$10</f>
        <v>3240</v>
      </c>
      <c r="E112" s="67">
        <f>Interventions!$H$10</f>
        <v>3240</v>
      </c>
      <c r="F112" s="67">
        <f>Interventions!$H$10</f>
        <v>3240</v>
      </c>
      <c r="G112" s="67">
        <f>Interventions!$H$10</f>
        <v>3240</v>
      </c>
      <c r="H112" s="67">
        <f>Interventions!$H$10</f>
        <v>3240</v>
      </c>
      <c r="I112" s="67">
        <f>Interventions!$H$10</f>
        <v>3240</v>
      </c>
      <c r="J112" s="67">
        <f>Interventions!$H$10</f>
        <v>3240</v>
      </c>
      <c r="K112" s="67">
        <f>Interventions!$H$10</f>
        <v>3240</v>
      </c>
      <c r="L112" s="67">
        <f>Interventions!$H$10</f>
        <v>3240</v>
      </c>
      <c r="M112" s="67">
        <f>Interventions!$H$10</f>
        <v>3240</v>
      </c>
      <c r="N112" s="67">
        <f>Interventions!$H$10</f>
        <v>3240</v>
      </c>
      <c r="O112" s="67">
        <f>Interventions!$H$10</f>
        <v>3240</v>
      </c>
      <c r="P112" s="67">
        <f>Interventions!$H$10</f>
        <v>3240</v>
      </c>
      <c r="Q112" s="67">
        <f>Interventions!$H$10</f>
        <v>3240</v>
      </c>
      <c r="R112" s="67">
        <f>Interventions!$H$10</f>
        <v>3240</v>
      </c>
      <c r="S112" s="67">
        <f>Interventions!$H$10</f>
        <v>3240</v>
      </c>
      <c r="T112" s="67">
        <f>Interventions!$H$10</f>
        <v>3240</v>
      </c>
      <c r="U112" s="67">
        <f>Interventions!$H$10</f>
        <v>3240</v>
      </c>
      <c r="V112" s="67">
        <f>Interventions!$H$10</f>
        <v>3240</v>
      </c>
      <c r="W112" s="67">
        <f>Interventions!$H$10</f>
        <v>3240</v>
      </c>
      <c r="X112" s="67">
        <f>Interventions!$H$10</f>
        <v>3240</v>
      </c>
      <c r="Y112" s="67">
        <f>Interventions!$H$10</f>
        <v>3240</v>
      </c>
      <c r="Z112" s="67">
        <f>Interventions!$H$10</f>
        <v>3240</v>
      </c>
      <c r="AA112" s="67">
        <f>Interventions!$H$10</f>
        <v>3240</v>
      </c>
      <c r="AB112" s="67">
        <f>Interventions!$H$10</f>
        <v>3240</v>
      </c>
      <c r="AC112" s="66">
        <f>SUM(C112:AB112)</f>
        <v>81000</v>
      </c>
      <c r="AD112" s="3" t="s">
        <v>12</v>
      </c>
    </row>
    <row r="113" spans="1:30" x14ac:dyDescent="0.25">
      <c r="A113" s="307" t="s">
        <v>80</v>
      </c>
      <c r="B113" s="308"/>
      <c r="C113" s="68">
        <f t="shared" ref="C113:R113" si="84">SUM(C111:C112)</f>
        <v>0</v>
      </c>
      <c r="D113" s="68">
        <f t="shared" si="84"/>
        <v>3815.5904</v>
      </c>
      <c r="E113" s="68">
        <f t="shared" si="84"/>
        <v>3829.9801600000001</v>
      </c>
      <c r="F113" s="68">
        <f t="shared" si="84"/>
        <v>3844.729664</v>
      </c>
      <c r="G113" s="68">
        <f t="shared" si="84"/>
        <v>3859.8479056000001</v>
      </c>
      <c r="H113" s="68">
        <f t="shared" si="84"/>
        <v>3875.3441032400001</v>
      </c>
      <c r="I113" s="68">
        <f t="shared" si="84"/>
        <v>3891.2277058209997</v>
      </c>
      <c r="J113" s="68">
        <f t="shared" si="84"/>
        <v>3907.5083984665248</v>
      </c>
      <c r="K113" s="68">
        <f t="shared" si="84"/>
        <v>3924.1961084281879</v>
      </c>
      <c r="L113" s="68">
        <f t="shared" si="84"/>
        <v>3941.3010111388926</v>
      </c>
      <c r="M113" s="68">
        <f t="shared" si="84"/>
        <v>3958.8335364173645</v>
      </c>
      <c r="N113" s="68">
        <f t="shared" si="84"/>
        <v>3976.8043748277987</v>
      </c>
      <c r="O113" s="68">
        <f t="shared" si="84"/>
        <v>3995.2244841984939</v>
      </c>
      <c r="P113" s="68">
        <f t="shared" si="84"/>
        <v>4014.1050963034559</v>
      </c>
      <c r="Q113" s="68">
        <f t="shared" si="84"/>
        <v>4033.457723711042</v>
      </c>
      <c r="R113" s="68">
        <f t="shared" si="84"/>
        <v>4053.2941668038184</v>
      </c>
      <c r="S113" s="68">
        <f t="shared" ref="S113:W113" si="85">SUM(S111:S112)</f>
        <v>4073.6265209739136</v>
      </c>
      <c r="T113" s="68">
        <f t="shared" si="85"/>
        <v>4094.4671839982611</v>
      </c>
      <c r="U113" s="68">
        <f t="shared" si="85"/>
        <v>4115.828863598218</v>
      </c>
      <c r="V113" s="68">
        <f t="shared" si="85"/>
        <v>4137.7245851881735</v>
      </c>
      <c r="W113" s="68">
        <f t="shared" si="85"/>
        <v>4160.1676998178773</v>
      </c>
      <c r="X113" s="68">
        <f t="shared" ref="X113:AB113" si="86">SUM(X111:X112)</f>
        <v>4183.171892313324</v>
      </c>
      <c r="Y113" s="68">
        <f t="shared" si="86"/>
        <v>4206.7511896211572</v>
      </c>
      <c r="Z113" s="68">
        <f t="shared" si="86"/>
        <v>4230.9199693616865</v>
      </c>
      <c r="AA113" s="68">
        <f t="shared" si="86"/>
        <v>4255.6929685957284</v>
      </c>
      <c r="AB113" s="68">
        <f t="shared" si="86"/>
        <v>4281.0852928106215</v>
      </c>
      <c r="AC113" s="68">
        <f>SUM(AC111:AC112)</f>
        <v>100660.88100523554</v>
      </c>
      <c r="AD113" s="6" t="s">
        <v>12</v>
      </c>
    </row>
    <row r="114" spans="1:30" x14ac:dyDescent="0.25">
      <c r="A114" s="305" t="s">
        <v>150</v>
      </c>
      <c r="B114" s="306"/>
      <c r="C114" s="237"/>
      <c r="D114" s="63"/>
      <c r="E114" s="63"/>
      <c r="F114" s="63"/>
      <c r="G114" s="63"/>
      <c r="H114" s="63"/>
      <c r="I114" s="63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</row>
    <row r="115" spans="1:30" x14ac:dyDescent="0.25">
      <c r="A115" s="224"/>
      <c r="B115" s="59"/>
      <c r="C115" s="59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6"/>
      <c r="AD115" s="3"/>
    </row>
    <row r="116" spans="1:30" x14ac:dyDescent="0.25">
      <c r="A116" s="238"/>
      <c r="B116" s="59"/>
      <c r="C116" s="59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6"/>
      <c r="AD116" s="3"/>
    </row>
    <row r="117" spans="1:30" ht="13.5" customHeight="1" x14ac:dyDescent="0.25">
      <c r="A117" s="238" t="s">
        <v>173</v>
      </c>
      <c r="B117" s="59"/>
      <c r="C117" s="59"/>
      <c r="D117" s="67">
        <f>Interventions!$E$13</f>
        <v>9344</v>
      </c>
      <c r="E117" s="67">
        <f>Interventions!$E$13</f>
        <v>9344</v>
      </c>
      <c r="F117" s="67">
        <f>Interventions!$E$13</f>
        <v>9344</v>
      </c>
      <c r="G117" s="67">
        <f>Interventions!$E$13</f>
        <v>9344</v>
      </c>
      <c r="H117" s="67">
        <f>Interventions!$E$13</f>
        <v>9344</v>
      </c>
      <c r="I117" s="67">
        <f>Interventions!$E$13</f>
        <v>9344</v>
      </c>
      <c r="J117" s="67">
        <f>Interventions!$E$13</f>
        <v>9344</v>
      </c>
      <c r="K117" s="67">
        <f>Interventions!$E$13</f>
        <v>9344</v>
      </c>
      <c r="L117" s="67">
        <f>Interventions!$E$13</f>
        <v>9344</v>
      </c>
      <c r="M117" s="67">
        <f>Interventions!$E$13</f>
        <v>9344</v>
      </c>
      <c r="N117" s="67">
        <f>Interventions!$E$13</f>
        <v>9344</v>
      </c>
      <c r="O117" s="67">
        <f>Interventions!$E$13</f>
        <v>9344</v>
      </c>
      <c r="P117" s="67">
        <f>Interventions!$E$13</f>
        <v>9344</v>
      </c>
      <c r="Q117" s="67">
        <f>Interventions!$E$13</f>
        <v>9344</v>
      </c>
      <c r="R117" s="67">
        <f>Interventions!$E$13</f>
        <v>9344</v>
      </c>
      <c r="S117" s="67">
        <f>Interventions!$E$13</f>
        <v>9344</v>
      </c>
      <c r="T117" s="67">
        <f>Interventions!$E$13</f>
        <v>9344</v>
      </c>
      <c r="U117" s="67">
        <f>Interventions!$E$13</f>
        <v>9344</v>
      </c>
      <c r="V117" s="67">
        <f>Interventions!$E$13</f>
        <v>9344</v>
      </c>
      <c r="W117" s="67">
        <f>Interventions!$E$13</f>
        <v>9344</v>
      </c>
      <c r="X117" s="67">
        <f>Interventions!$E$13</f>
        <v>9344</v>
      </c>
      <c r="Y117" s="67">
        <f>Interventions!$E$13</f>
        <v>9344</v>
      </c>
      <c r="Z117" s="67">
        <f>Interventions!$E$13</f>
        <v>9344</v>
      </c>
      <c r="AA117" s="67">
        <f>Interventions!$E$13</f>
        <v>9344</v>
      </c>
      <c r="AB117" s="67">
        <f>Interventions!$E$13</f>
        <v>9344</v>
      </c>
      <c r="AC117" s="66">
        <f>SUM(D117:AB117)</f>
        <v>233600</v>
      </c>
      <c r="AD117" s="3" t="s">
        <v>12</v>
      </c>
    </row>
    <row r="118" spans="1:30" x14ac:dyDescent="0.25">
      <c r="A118" s="59" t="s">
        <v>36</v>
      </c>
      <c r="B118" s="59" t="s">
        <v>36</v>
      </c>
      <c r="C118" s="59"/>
      <c r="D118" s="67">
        <f>Interventions!$H$14</f>
        <v>4508.5150400000002</v>
      </c>
      <c r="E118" s="67">
        <f>Interventions!$H$14</f>
        <v>4508.5150400000002</v>
      </c>
      <c r="F118" s="67">
        <f>Interventions!$H$14</f>
        <v>4508.5150400000002</v>
      </c>
      <c r="G118" s="67">
        <f>Interventions!$H$14</f>
        <v>4508.5150400000002</v>
      </c>
      <c r="H118" s="67">
        <f>Interventions!$H$14</f>
        <v>4508.5150400000002</v>
      </c>
      <c r="I118" s="67">
        <f>Interventions!$H$14</f>
        <v>4508.5150400000002</v>
      </c>
      <c r="J118" s="67">
        <f>Interventions!$H$14</f>
        <v>4508.5150400000002</v>
      </c>
      <c r="K118" s="67">
        <f>Interventions!$H$14</f>
        <v>4508.5150400000002</v>
      </c>
      <c r="L118" s="67">
        <f>Interventions!$H$14</f>
        <v>4508.5150400000002</v>
      </c>
      <c r="M118" s="67">
        <f>Interventions!$H$14</f>
        <v>4508.5150400000002</v>
      </c>
      <c r="N118" s="67">
        <f>Interventions!$H$14</f>
        <v>4508.5150400000002</v>
      </c>
      <c r="O118" s="67">
        <f>Interventions!$H$14</f>
        <v>4508.5150400000002</v>
      </c>
      <c r="P118" s="67">
        <f>Interventions!$H$14</f>
        <v>4508.5150400000002</v>
      </c>
      <c r="Q118" s="67">
        <f>Interventions!$H$14</f>
        <v>4508.5150400000002</v>
      </c>
      <c r="R118" s="67">
        <f>Interventions!$H$14</f>
        <v>4508.5150400000002</v>
      </c>
      <c r="S118" s="67">
        <f>Interventions!$H$14</f>
        <v>4508.5150400000002</v>
      </c>
      <c r="T118" s="67">
        <f>Interventions!$H$14</f>
        <v>4508.5150400000002</v>
      </c>
      <c r="U118" s="67">
        <f>Interventions!$H$14</f>
        <v>4508.5150400000002</v>
      </c>
      <c r="V118" s="67">
        <f>Interventions!$H$14</f>
        <v>4508.5150400000002</v>
      </c>
      <c r="W118" s="67">
        <f>Interventions!$H$14</f>
        <v>4508.5150400000002</v>
      </c>
      <c r="X118" s="67">
        <f>Interventions!$H$14</f>
        <v>4508.5150400000002</v>
      </c>
      <c r="Y118" s="67">
        <f>Interventions!$H$14</f>
        <v>4508.5150400000002</v>
      </c>
      <c r="Z118" s="67">
        <f>Interventions!$H$14</f>
        <v>4508.5150400000002</v>
      </c>
      <c r="AA118" s="67">
        <f>Interventions!$H$14</f>
        <v>4508.5150400000002</v>
      </c>
      <c r="AB118" s="67">
        <f>Interventions!$H$14</f>
        <v>4508.5150400000002</v>
      </c>
      <c r="AC118" s="66">
        <f>SUM(D118:AB118)</f>
        <v>112712.87599999997</v>
      </c>
      <c r="AD118" s="3" t="s">
        <v>12</v>
      </c>
    </row>
    <row r="119" spans="1:30" x14ac:dyDescent="0.25">
      <c r="A119" s="307" t="s">
        <v>80</v>
      </c>
      <c r="B119" s="308"/>
      <c r="C119" s="81">
        <f>SUM(C115:C115)</f>
        <v>0</v>
      </c>
      <c r="D119" s="81">
        <f>D117-D118</f>
        <v>4835.4849599999998</v>
      </c>
      <c r="E119" s="81">
        <f t="shared" ref="E119" si="87">E117-E118</f>
        <v>4835.4849599999998</v>
      </c>
      <c r="F119" s="81">
        <f t="shared" ref="F119" si="88">F117-F118</f>
        <v>4835.4849599999998</v>
      </c>
      <c r="G119" s="81">
        <f t="shared" ref="G119" si="89">G117-G118</f>
        <v>4835.4849599999998</v>
      </c>
      <c r="H119" s="81">
        <f t="shared" ref="H119" si="90">H117-H118</f>
        <v>4835.4849599999998</v>
      </c>
      <c r="I119" s="81">
        <f t="shared" ref="I119" si="91">I117-I118</f>
        <v>4835.4849599999998</v>
      </c>
      <c r="J119" s="81">
        <f t="shared" ref="J119" si="92">J117-J118</f>
        <v>4835.4849599999998</v>
      </c>
      <c r="K119" s="81">
        <f t="shared" ref="K119" si="93">K117-K118</f>
        <v>4835.4849599999998</v>
      </c>
      <c r="L119" s="81">
        <f t="shared" ref="L119" si="94">L117-L118</f>
        <v>4835.4849599999998</v>
      </c>
      <c r="M119" s="81">
        <f t="shared" ref="M119" si="95">M117-M118</f>
        <v>4835.4849599999998</v>
      </c>
      <c r="N119" s="81">
        <f t="shared" ref="N119" si="96">N117-N118</f>
        <v>4835.4849599999998</v>
      </c>
      <c r="O119" s="81">
        <f t="shared" ref="O119" si="97">O117-O118</f>
        <v>4835.4849599999998</v>
      </c>
      <c r="P119" s="81">
        <f t="shared" ref="P119" si="98">P117-P118</f>
        <v>4835.4849599999998</v>
      </c>
      <c r="Q119" s="81">
        <f t="shared" ref="Q119" si="99">Q117-Q118</f>
        <v>4835.4849599999998</v>
      </c>
      <c r="R119" s="81">
        <f t="shared" ref="R119" si="100">R117-R118</f>
        <v>4835.4849599999998</v>
      </c>
      <c r="S119" s="81">
        <f t="shared" ref="S119" si="101">S117-S118</f>
        <v>4835.4849599999998</v>
      </c>
      <c r="T119" s="81">
        <f t="shared" ref="T119" si="102">T117-T118</f>
        <v>4835.4849599999998</v>
      </c>
      <c r="U119" s="81">
        <f t="shared" ref="U119" si="103">U117-U118</f>
        <v>4835.4849599999998</v>
      </c>
      <c r="V119" s="81">
        <f t="shared" ref="V119" si="104">V117-V118</f>
        <v>4835.4849599999998</v>
      </c>
      <c r="W119" s="81">
        <f t="shared" ref="W119" si="105">W117-W118</f>
        <v>4835.4849599999998</v>
      </c>
      <c r="X119" s="81">
        <f t="shared" ref="X119" si="106">X117-X118</f>
        <v>4835.4849599999998</v>
      </c>
      <c r="Y119" s="81">
        <f t="shared" ref="Y119" si="107">Y117-Y118</f>
        <v>4835.4849599999998</v>
      </c>
      <c r="Z119" s="81">
        <f t="shared" ref="Z119" si="108">Z117-Z118</f>
        <v>4835.4849599999998</v>
      </c>
      <c r="AA119" s="81">
        <f t="shared" ref="AA119" si="109">AA117-AA118</f>
        <v>4835.4849599999998</v>
      </c>
      <c r="AB119" s="81">
        <f t="shared" ref="AB119" si="110">AB117-AB118</f>
        <v>4835.4849599999998</v>
      </c>
      <c r="AC119" s="81">
        <f>AC117-AC118</f>
        <v>120887.12400000003</v>
      </c>
      <c r="AD119" s="6" t="s">
        <v>12</v>
      </c>
    </row>
    <row r="120" spans="1:30" x14ac:dyDescent="0.25">
      <c r="A120" s="132"/>
      <c r="B120" s="133" t="s">
        <v>81</v>
      </c>
      <c r="C120" s="134">
        <f t="shared" ref="C120:R120" si="111">(C119+C113)-C109</f>
        <v>-27361</v>
      </c>
      <c r="D120" s="134">
        <f t="shared" si="111"/>
        <v>5914.9753599999985</v>
      </c>
      <c r="E120" s="134">
        <f t="shared" si="111"/>
        <v>5929.3651200000004</v>
      </c>
      <c r="F120" s="134">
        <f t="shared" si="111"/>
        <v>5944.1146239999998</v>
      </c>
      <c r="G120" s="134">
        <f t="shared" si="111"/>
        <v>5959.2328655999991</v>
      </c>
      <c r="H120" s="134">
        <f t="shared" si="111"/>
        <v>5974.72906324</v>
      </c>
      <c r="I120" s="134">
        <f t="shared" si="111"/>
        <v>5990.6126658209996</v>
      </c>
      <c r="J120" s="134">
        <f t="shared" si="111"/>
        <v>6006.8933584665247</v>
      </c>
      <c r="K120" s="134">
        <f t="shared" si="111"/>
        <v>6023.5810684281878</v>
      </c>
      <c r="L120" s="134">
        <f t="shared" si="111"/>
        <v>6040.6859711388915</v>
      </c>
      <c r="M120" s="134">
        <f t="shared" si="111"/>
        <v>6058.218496417363</v>
      </c>
      <c r="N120" s="134">
        <f t="shared" si="111"/>
        <v>6076.1893348277972</v>
      </c>
      <c r="O120" s="134">
        <f t="shared" si="111"/>
        <v>6094.6094441984933</v>
      </c>
      <c r="P120" s="134">
        <f t="shared" si="111"/>
        <v>6113.4900563034553</v>
      </c>
      <c r="Q120" s="134">
        <f t="shared" si="111"/>
        <v>6132.8426837110419</v>
      </c>
      <c r="R120" s="134">
        <f t="shared" si="111"/>
        <v>6152.6791268038178</v>
      </c>
      <c r="S120" s="134">
        <f t="shared" ref="S120:W120" si="112">(S119+S113)-S109</f>
        <v>6173.0114809739134</v>
      </c>
      <c r="T120" s="134">
        <f t="shared" si="112"/>
        <v>6193.8521439982596</v>
      </c>
      <c r="U120" s="134">
        <f t="shared" si="112"/>
        <v>6215.2138235982184</v>
      </c>
      <c r="V120" s="134">
        <f t="shared" si="112"/>
        <v>6237.109545188172</v>
      </c>
      <c r="W120" s="134">
        <f t="shared" si="112"/>
        <v>6259.5526598178767</v>
      </c>
      <c r="X120" s="134">
        <f t="shared" ref="X120:AB120" si="113">(X119+X113)-X109</f>
        <v>6282.5568523133243</v>
      </c>
      <c r="Y120" s="134">
        <f t="shared" si="113"/>
        <v>6306.1361496211557</v>
      </c>
      <c r="Z120" s="134">
        <f t="shared" si="113"/>
        <v>6330.3049293616859</v>
      </c>
      <c r="AA120" s="134">
        <f t="shared" si="113"/>
        <v>6355.0779285957269</v>
      </c>
      <c r="AB120" s="134">
        <f t="shared" si="113"/>
        <v>6380.4702528106209</v>
      </c>
      <c r="AC120" s="134">
        <f>(AC119+AC113)-AC109</f>
        <v>125784.50500523557</v>
      </c>
      <c r="AD120" s="135" t="s">
        <v>12</v>
      </c>
    </row>
    <row r="121" spans="1:30" x14ac:dyDescent="0.25">
      <c r="A121" s="132"/>
      <c r="B121" s="133" t="s">
        <v>82</v>
      </c>
      <c r="C121" s="134">
        <f t="shared" ref="C121:R121" si="114">(C119)-C109</f>
        <v>-27361</v>
      </c>
      <c r="D121" s="134">
        <f t="shared" si="114"/>
        <v>2099.3849599999994</v>
      </c>
      <c r="E121" s="134">
        <f t="shared" si="114"/>
        <v>2099.3849599999994</v>
      </c>
      <c r="F121" s="134">
        <f t="shared" si="114"/>
        <v>2099.3849599999994</v>
      </c>
      <c r="G121" s="134">
        <f t="shared" si="114"/>
        <v>2099.3849599999994</v>
      </c>
      <c r="H121" s="134">
        <f t="shared" si="114"/>
        <v>2099.3849599999994</v>
      </c>
      <c r="I121" s="134">
        <f t="shared" si="114"/>
        <v>2099.3849599999994</v>
      </c>
      <c r="J121" s="134">
        <f t="shared" si="114"/>
        <v>2099.3849599999994</v>
      </c>
      <c r="K121" s="134">
        <f t="shared" si="114"/>
        <v>2099.3849599999994</v>
      </c>
      <c r="L121" s="134">
        <f t="shared" si="114"/>
        <v>2099.3849599999994</v>
      </c>
      <c r="M121" s="134">
        <f t="shared" si="114"/>
        <v>2099.3849599999994</v>
      </c>
      <c r="N121" s="134">
        <f t="shared" si="114"/>
        <v>2099.3849599999994</v>
      </c>
      <c r="O121" s="134">
        <f t="shared" si="114"/>
        <v>2099.3849599999994</v>
      </c>
      <c r="P121" s="134">
        <f t="shared" si="114"/>
        <v>2099.3849599999994</v>
      </c>
      <c r="Q121" s="134">
        <f t="shared" si="114"/>
        <v>2099.3849599999994</v>
      </c>
      <c r="R121" s="134">
        <f t="shared" si="114"/>
        <v>2099.3849599999994</v>
      </c>
      <c r="S121" s="134">
        <f t="shared" ref="S121:W121" si="115">(S119)-S109</f>
        <v>2099.3849599999994</v>
      </c>
      <c r="T121" s="134">
        <f t="shared" si="115"/>
        <v>2099.3849599999994</v>
      </c>
      <c r="U121" s="134">
        <f t="shared" si="115"/>
        <v>2099.3849599999994</v>
      </c>
      <c r="V121" s="134">
        <f t="shared" si="115"/>
        <v>2099.3849599999994</v>
      </c>
      <c r="W121" s="134">
        <f t="shared" si="115"/>
        <v>2099.3849599999994</v>
      </c>
      <c r="X121" s="134">
        <f t="shared" ref="X121:AB121" si="116">(X119)-X109</f>
        <v>2099.3849599999994</v>
      </c>
      <c r="Y121" s="134">
        <f t="shared" si="116"/>
        <v>2099.3849599999994</v>
      </c>
      <c r="Z121" s="134">
        <f t="shared" si="116"/>
        <v>2099.3849599999994</v>
      </c>
      <c r="AA121" s="134">
        <f t="shared" si="116"/>
        <v>2099.3849599999994</v>
      </c>
      <c r="AB121" s="134">
        <f t="shared" si="116"/>
        <v>2099.3849599999994</v>
      </c>
      <c r="AC121" s="134">
        <f>(AC119)-AC109</f>
        <v>25123.62400000004</v>
      </c>
      <c r="AD121" s="135" t="s">
        <v>12</v>
      </c>
    </row>
    <row r="122" spans="1:30" ht="13.5" customHeight="1" x14ac:dyDescent="0.25">
      <c r="A122" s="69" t="s">
        <v>83</v>
      </c>
      <c r="B122" s="70">
        <f>XIRR(C121:AB121, C$38:AB$38, 0.1)</f>
        <v>5.7941874861717216E-2</v>
      </c>
      <c r="D122" s="82"/>
      <c r="E122" s="71"/>
      <c r="F122" s="71"/>
      <c r="G122" s="71"/>
      <c r="H122" s="71"/>
      <c r="I122" s="71"/>
      <c r="J122" s="72"/>
    </row>
    <row r="123" spans="1:30" ht="13.5" customHeight="1" x14ac:dyDescent="0.25">
      <c r="A123" s="96" t="s">
        <v>85</v>
      </c>
      <c r="B123" s="73">
        <f>XIRR(C120:AB120, C$38:AB$38, 0.1)</f>
        <v>0.21704321503639223</v>
      </c>
      <c r="D123" s="82"/>
      <c r="E123" s="71"/>
      <c r="F123" s="71"/>
      <c r="G123" s="71"/>
      <c r="H123" s="71"/>
      <c r="I123" s="71"/>
      <c r="J123" s="72"/>
    </row>
    <row r="124" spans="1:30" x14ac:dyDescent="0.25">
      <c r="A124" s="97" t="s">
        <v>86</v>
      </c>
      <c r="B124" s="84">
        <f>XNPV(A$100,C119:AB119,C$104:AB$104)/XNPV(A$100,C109:AB109,C$104:AB$104)</f>
        <v>0.88892454591296688</v>
      </c>
      <c r="E124" s="85"/>
      <c r="F124" s="85"/>
      <c r="G124" s="85"/>
      <c r="H124" s="85"/>
      <c r="I124" s="85"/>
    </row>
    <row r="125" spans="1:30" x14ac:dyDescent="0.25">
      <c r="A125" s="96" t="s">
        <v>87</v>
      </c>
      <c r="B125" s="86">
        <f>(XNPV(A$100,C119:AB119,C$104:AB$104)+XNPV(A$100,C113:AB113,C$104:AB$104))/XNPV(A$100,C109:AB109,C$104:AB$104)</f>
        <v>1.6151217833756222</v>
      </c>
      <c r="E125" s="85"/>
      <c r="F125" s="85"/>
      <c r="G125" s="85"/>
      <c r="H125" s="85"/>
      <c r="I125" s="85"/>
    </row>
    <row r="126" spans="1:30" x14ac:dyDescent="0.25">
      <c r="A126" s="98" t="s">
        <v>84</v>
      </c>
      <c r="B126" s="74">
        <f>XNPV(A$100,C121:AB121,C$104:AB$104)</f>
        <v>-6114.8017765762343</v>
      </c>
      <c r="E126" s="85"/>
      <c r="F126" s="85"/>
      <c r="G126" s="85"/>
      <c r="H126" s="85"/>
      <c r="I126" s="85"/>
    </row>
    <row r="127" spans="1:30" x14ac:dyDescent="0.25">
      <c r="A127" s="96" t="s">
        <v>88</v>
      </c>
      <c r="B127" s="76">
        <f>XNPV(A$100,C120:AB120,C$104:AB$104)</f>
        <v>33862.997047473575</v>
      </c>
      <c r="E127" s="85"/>
      <c r="F127" s="85"/>
      <c r="G127" s="85"/>
      <c r="H127" s="85"/>
      <c r="I127" s="85"/>
    </row>
    <row r="128" spans="1:30" x14ac:dyDescent="0.25">
      <c r="A128" s="83" t="s">
        <v>76</v>
      </c>
      <c r="B128" s="74">
        <f>IF(P128,P103-C103)</f>
        <v>13</v>
      </c>
      <c r="C128" s="75">
        <f>C119/C109</f>
        <v>0</v>
      </c>
      <c r="D128" s="87">
        <f>SUM($C$119:D119)/SUM($C$109:D109)</f>
        <v>0.1606628200059142</v>
      </c>
      <c r="E128" s="87">
        <f>SUM($C$119:E119)/SUM($C$109:E109)</f>
        <v>0.29454850334417604</v>
      </c>
      <c r="F128" s="87">
        <f>SUM($C$119:F119)/SUM($C$109:F109)</f>
        <v>0.40783638924578219</v>
      </c>
      <c r="G128" s="87">
        <f>SUM($C$119:G119)/SUM($C$109:G109)</f>
        <v>0.50494029144715891</v>
      </c>
      <c r="H128" s="87">
        <f>SUM($C$119:H119)/SUM($C$109:H109)</f>
        <v>0.58909700668835219</v>
      </c>
      <c r="I128" s="87">
        <f>SUM($C$119:I119)/SUM($C$109:I109)</f>
        <v>0.66273413252439617</v>
      </c>
      <c r="J128" s="87">
        <f>SUM($C$119:J119)/SUM($C$109:J109)</f>
        <v>0.72770806708561153</v>
      </c>
      <c r="K128" s="87">
        <f>SUM($C$119:K119)/SUM($C$109:K109)</f>
        <v>0.78546267558446969</v>
      </c>
      <c r="L128" s="87">
        <f>SUM($C$119:L119)/SUM($C$109:L109)</f>
        <v>0.83713785160976373</v>
      </c>
      <c r="M128" s="87">
        <f>SUM($C$119:M119)/SUM($C$109:M109)</f>
        <v>0.88364551003252845</v>
      </c>
      <c r="N128" s="87">
        <f>SUM($C$119:N119)/SUM($C$109:N109)</f>
        <v>0.92572386765312509</v>
      </c>
      <c r="O128" s="87">
        <f>SUM($C$119:O119)/SUM($C$109:O109)</f>
        <v>0.96397692003548563</v>
      </c>
      <c r="P128" s="87">
        <f>SUM($C$119:P119)/SUM($C$109:P109)</f>
        <v>0.99890362003677136</v>
      </c>
      <c r="Q128" s="87">
        <f>SUM($C$119:Q119)/SUM($C$109:Q109)</f>
        <v>1.0309197617046164</v>
      </c>
      <c r="R128" s="87">
        <f>SUM($C$119:R119)/SUM($C$109:R109)</f>
        <v>1.060374612039034</v>
      </c>
      <c r="S128" s="87">
        <f>SUM($C$119:S119)/SUM($C$109:S109)</f>
        <v>1.0875637046554194</v>
      </c>
      <c r="T128" s="87">
        <f>SUM($C$119:T119)/SUM($C$109:T109)</f>
        <v>1.1127387904113317</v>
      </c>
      <c r="U128" s="87">
        <f>SUM($C$119:U119)/SUM($C$109:U109)</f>
        <v>1.1361156557561076</v>
      </c>
      <c r="V128" s="87">
        <f>SUM($C$119:V119)/SUM($C$109:V109)</f>
        <v>1.157880323490899</v>
      </c>
      <c r="W128" s="87">
        <f>SUM($C$119:W119)/SUM($C$109:W109)</f>
        <v>1.1781940133767042</v>
      </c>
      <c r="X128" s="87">
        <f>SUM($C$119:X119)/SUM($C$109:X109)</f>
        <v>1.1971971426247154</v>
      </c>
      <c r="Y128" s="87">
        <f>SUM($C$119:Y119)/SUM($C$109:Y109)</f>
        <v>1.2150125762947259</v>
      </c>
      <c r="Z128" s="87">
        <f>SUM($C$119:Z119)/SUM($C$109:Z109)</f>
        <v>1.2317482867120086</v>
      </c>
      <c r="AA128" s="87">
        <f>SUM($C$119:AA119)/SUM($C$109:AA109)</f>
        <v>1.2474995435753335</v>
      </c>
      <c r="AB128" s="87">
        <f>SUM($C$119:AB119)/SUM($C$109:AB109)</f>
        <v>1.262350728617897</v>
      </c>
    </row>
    <row r="129" spans="1:32" x14ac:dyDescent="0.25">
      <c r="A129" s="96" t="s">
        <v>89</v>
      </c>
      <c r="B129" s="76">
        <f>IF(H129,H103-C103)</f>
        <v>5</v>
      </c>
      <c r="C129" s="75">
        <f>(C119+C113)/C109</f>
        <v>0</v>
      </c>
      <c r="D129" s="87">
        <f>(SUM($C$119:D119)+SUM($C$113:D113))/SUM($C$109:D109)</f>
        <v>0.28743883497081113</v>
      </c>
      <c r="E129" s="87">
        <f>(SUM($C$119:E119)+SUM($C$113:E113))/SUM($C$109:E109)</f>
        <v>0.52740946602828853</v>
      </c>
      <c r="F129" s="87">
        <f>(SUM($C$119:F119)+SUM($C$113:F113))/SUM($C$109:F109)</f>
        <v>0.73087620796585828</v>
      </c>
      <c r="G129" s="87">
        <f>(SUM($C$119:G119)+SUM($C$113:G113))/SUM($C$109:G109)</f>
        <v>0.90567094899413669</v>
      </c>
      <c r="H129" s="87">
        <f>(SUM($C$119:H119)+SUM($C$113:H113))/SUM($C$109:H109)</f>
        <v>1.0575372984135571</v>
      </c>
      <c r="I129" s="87">
        <f>(SUM($C$119:I119)+SUM($C$113:I113))/SUM($C$109:I109)</f>
        <v>1.1907831790381611</v>
      </c>
      <c r="J129" s="87">
        <f>(SUM($C$119:J119)+SUM($C$113:J113))/SUM($C$109:J109)</f>
        <v>1.3087030930054486</v>
      </c>
      <c r="K129" s="87">
        <f>(SUM($C$119:K119)+SUM($C$113:K113))/SUM($C$109:K109)</f>
        <v>1.4138596324361872</v>
      </c>
      <c r="L129" s="87">
        <f>(SUM($C$119:L119)+SUM($C$113:L113))/SUM($C$109:L109)</f>
        <v>1.5082760921075642</v>
      </c>
      <c r="M129" s="87">
        <f>(SUM($C$119:M119)+SUM($C$113:M113))/SUM($C$109:M109)</f>
        <v>1.5935712984377761</v>
      </c>
      <c r="N129" s="87">
        <f>(SUM($C$119:N119)+SUM($C$113:N113))/SUM($C$109:N109)</f>
        <v>1.6710559160142746</v>
      </c>
      <c r="O129" s="87">
        <f>(SUM($C$119:O119)+SUM($C$113:O113))/SUM($C$109:O109)</f>
        <v>1.7418024888135117</v>
      </c>
      <c r="P129" s="87">
        <f>(SUM($C$119:P119)+SUM($C$113:P113))/SUM($C$109:P109)</f>
        <v>1.8066972099043188</v>
      </c>
      <c r="Q129" s="87">
        <f>(SUM($C$119:Q119)+SUM($C$113:Q113))/SUM($C$109:Q109)</f>
        <v>1.8664787488297334</v>
      </c>
      <c r="R129" s="87">
        <f>(SUM($C$119:R119)+SUM($C$113:R113))/SUM($C$109:R109)</f>
        <v>1.9217677605198145</v>
      </c>
      <c r="S129" s="87">
        <f>(SUM($C$119:S119)+SUM($C$113:S113))/SUM($C$109:S109)</f>
        <v>1.9730895845564929</v>
      </c>
      <c r="T129" s="87">
        <f>(SUM($C$119:T119)+SUM($C$113:T113))/SUM($C$109:T109)</f>
        <v>2.0208919002571757</v>
      </c>
      <c r="U129" s="87">
        <f>(SUM($C$119:U119)+SUM($C$113:U113))/SUM($C$109:U109)</f>
        <v>2.0655585986248277</v>
      </c>
      <c r="V129" s="87">
        <f>(SUM($C$119:V119)+SUM($C$113:V113))/SUM($C$109:V109)</f>
        <v>2.1074207843370707</v>
      </c>
      <c r="W129" s="87">
        <f>(SUM($C$119:W119)+SUM($C$113:W113))/SUM($C$109:W109)</f>
        <v>2.1467655774342189</v>
      </c>
      <c r="X129" s="87">
        <f>(SUM($C$119:X119)+SUM($C$113:X113))/SUM($C$109:X109)</f>
        <v>2.1838432115507747</v>
      </c>
      <c r="Y129" s="87">
        <f>(SUM($C$119:Y119)+SUM($C$113:Y113))/SUM($C$109:Y109)</f>
        <v>2.2188728013238217</v>
      </c>
      <c r="Z129" s="87">
        <f>(SUM($C$119:Z119)+SUM($C$113:Z113))/SUM($C$109:Z109)</f>
        <v>2.2520470612764365</v>
      </c>
      <c r="AA129" s="87">
        <f>(SUM($C$119:AA119)+SUM($C$113:AA113))/SUM($C$109:AA109)</f>
        <v>2.2835361920512112</v>
      </c>
      <c r="AB129" s="87">
        <f>(SUM($C$119:AB119)+SUM($C$113:AB113))/SUM($C$109:AB109)</f>
        <v>2.3134911005261447</v>
      </c>
    </row>
    <row r="133" spans="1:32" ht="26.25" x14ac:dyDescent="0.4">
      <c r="A133" s="107">
        <v>0.125</v>
      </c>
      <c r="B133" s="107" t="s">
        <v>79</v>
      </c>
    </row>
    <row r="134" spans="1:32" ht="23.25" customHeight="1" x14ac:dyDescent="0.25">
      <c r="A134" s="311" t="s">
        <v>142</v>
      </c>
      <c r="B134" s="312"/>
      <c r="C134" s="312"/>
      <c r="D134" s="312"/>
      <c r="E134" s="312"/>
      <c r="F134" s="312"/>
      <c r="G134" s="312"/>
      <c r="H134" s="312"/>
      <c r="I134" s="312"/>
      <c r="J134" s="312"/>
      <c r="K134" s="312"/>
      <c r="L134" s="312"/>
      <c r="M134" s="312"/>
      <c r="N134" s="312"/>
      <c r="O134" s="312"/>
      <c r="P134" s="312"/>
      <c r="Q134" s="312"/>
      <c r="R134" s="312"/>
      <c r="S134" s="312"/>
      <c r="T134" s="312"/>
      <c r="U134" s="312"/>
      <c r="V134" s="312"/>
      <c r="W134" s="312"/>
      <c r="X134" s="312"/>
      <c r="Y134" s="312"/>
      <c r="Z134" s="312"/>
      <c r="AA134" s="312"/>
      <c r="AB134" s="312"/>
      <c r="AC134" s="312"/>
      <c r="AD134" s="313"/>
    </row>
    <row r="135" spans="1:32" x14ac:dyDescent="0.25">
      <c r="A135" s="78"/>
      <c r="B135" s="78"/>
      <c r="C135" s="60" t="s">
        <v>8</v>
      </c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1" t="s">
        <v>9</v>
      </c>
    </row>
    <row r="136" spans="1:32" ht="15.75" customHeight="1" x14ac:dyDescent="0.25">
      <c r="A136" s="309" t="s">
        <v>131</v>
      </c>
      <c r="B136" s="310"/>
      <c r="C136" s="222"/>
      <c r="D136" s="1">
        <v>1</v>
      </c>
      <c r="E136" s="1">
        <v>2</v>
      </c>
      <c r="F136" s="1">
        <v>3</v>
      </c>
      <c r="G136" s="1">
        <v>4</v>
      </c>
      <c r="H136" s="1">
        <v>5</v>
      </c>
      <c r="I136" s="1">
        <v>6</v>
      </c>
      <c r="J136" s="1">
        <v>7</v>
      </c>
      <c r="K136" s="1">
        <v>8</v>
      </c>
      <c r="L136" s="1">
        <v>9</v>
      </c>
      <c r="M136" s="1">
        <v>10</v>
      </c>
      <c r="N136" s="1">
        <v>11</v>
      </c>
      <c r="O136" s="1">
        <v>12</v>
      </c>
      <c r="P136" s="1">
        <v>13</v>
      </c>
      <c r="Q136" s="1">
        <v>14</v>
      </c>
      <c r="R136" s="1">
        <v>15</v>
      </c>
      <c r="S136" s="1">
        <v>16</v>
      </c>
      <c r="T136" s="1">
        <v>17</v>
      </c>
      <c r="U136" s="1">
        <v>18</v>
      </c>
      <c r="V136" s="1">
        <v>19</v>
      </c>
      <c r="W136" s="1">
        <v>20</v>
      </c>
      <c r="X136" s="1">
        <v>21</v>
      </c>
      <c r="Y136" s="1">
        <v>22</v>
      </c>
      <c r="Z136" s="1">
        <v>23</v>
      </c>
      <c r="AA136" s="1">
        <v>24</v>
      </c>
      <c r="AB136" s="1">
        <v>25</v>
      </c>
      <c r="AC136" s="62" t="s">
        <v>78</v>
      </c>
      <c r="AD136" s="7"/>
    </row>
    <row r="137" spans="1:32" ht="16.5" customHeight="1" x14ac:dyDescent="0.25">
      <c r="A137" s="89"/>
      <c r="B137" s="90"/>
      <c r="C137" s="99">
        <v>44197</v>
      </c>
      <c r="D137" s="99">
        <v>44562</v>
      </c>
      <c r="E137" s="99">
        <v>44927</v>
      </c>
      <c r="F137" s="99">
        <v>45292</v>
      </c>
      <c r="G137" s="99">
        <v>45658</v>
      </c>
      <c r="H137" s="99">
        <v>46023</v>
      </c>
      <c r="I137" s="99">
        <v>46388</v>
      </c>
      <c r="J137" s="99">
        <v>46753</v>
      </c>
      <c r="K137" s="99">
        <v>47119</v>
      </c>
      <c r="L137" s="99">
        <v>47484</v>
      </c>
      <c r="M137" s="99">
        <v>47849</v>
      </c>
      <c r="N137" s="99">
        <v>48214</v>
      </c>
      <c r="O137" s="99">
        <v>48580</v>
      </c>
      <c r="P137" s="99">
        <v>48945</v>
      </c>
      <c r="Q137" s="99">
        <v>49310</v>
      </c>
      <c r="R137" s="99">
        <v>49675</v>
      </c>
      <c r="S137" s="99">
        <v>50041</v>
      </c>
      <c r="T137" s="99">
        <v>50406</v>
      </c>
      <c r="U137" s="99">
        <v>50771</v>
      </c>
      <c r="V137" s="99">
        <v>51136</v>
      </c>
      <c r="W137" s="99">
        <v>51502</v>
      </c>
      <c r="X137" s="99">
        <v>51867</v>
      </c>
      <c r="Y137" s="99">
        <v>52232</v>
      </c>
      <c r="Z137" s="99">
        <v>52597</v>
      </c>
      <c r="AA137" s="99">
        <v>52963</v>
      </c>
      <c r="AB137" s="99">
        <v>53328</v>
      </c>
      <c r="AC137" s="91"/>
      <c r="AD137" s="92"/>
    </row>
    <row r="138" spans="1:32" s="106" customFormat="1" ht="16.5" customHeight="1" x14ac:dyDescent="0.25">
      <c r="C138" s="101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3"/>
      <c r="AD138" s="104"/>
      <c r="AE138" s="105"/>
      <c r="AF138" s="105"/>
    </row>
    <row r="139" spans="1:32" x14ac:dyDescent="0.25">
      <c r="A139" s="305" t="s">
        <v>10</v>
      </c>
      <c r="B139" s="306"/>
      <c r="C139" s="223"/>
      <c r="D139" s="63"/>
      <c r="E139" s="63"/>
      <c r="F139" s="63"/>
      <c r="G139" s="63"/>
      <c r="H139" s="63"/>
      <c r="I139" s="63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</row>
    <row r="140" spans="1:32" x14ac:dyDescent="0.25">
      <c r="A140" s="224" t="s">
        <v>11</v>
      </c>
      <c r="B140" s="59"/>
      <c r="C140" s="88">
        <f>Interventions!$I$6</f>
        <v>27361</v>
      </c>
      <c r="D140" s="65"/>
      <c r="E140" s="65"/>
      <c r="F140" s="65"/>
      <c r="G140" s="65"/>
      <c r="H140" s="65"/>
      <c r="I140" s="6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66">
        <f>SUM(C140:AB140)</f>
        <v>27361</v>
      </c>
      <c r="AD140" s="3" t="s">
        <v>12</v>
      </c>
    </row>
    <row r="141" spans="1:32" x14ac:dyDescent="0.25">
      <c r="A141" s="59" t="s">
        <v>137</v>
      </c>
      <c r="B141" s="224"/>
      <c r="C141" s="93"/>
      <c r="D141" s="67">
        <f>Interventions!$I$7</f>
        <v>2736.1000000000004</v>
      </c>
      <c r="E141" s="67">
        <f>Interventions!$I$7</f>
        <v>2736.1000000000004</v>
      </c>
      <c r="F141" s="67">
        <f>Interventions!$I$7</f>
        <v>2736.1000000000004</v>
      </c>
      <c r="G141" s="67">
        <f>Interventions!$I$7</f>
        <v>2736.1000000000004</v>
      </c>
      <c r="H141" s="67">
        <f>Interventions!$I$7</f>
        <v>2736.1000000000004</v>
      </c>
      <c r="I141" s="67">
        <f>Interventions!$I$7</f>
        <v>2736.1000000000004</v>
      </c>
      <c r="J141" s="67">
        <f>Interventions!$I$7</f>
        <v>2736.1000000000004</v>
      </c>
      <c r="K141" s="67">
        <f>Interventions!$I$7</f>
        <v>2736.1000000000004</v>
      </c>
      <c r="L141" s="67">
        <f>Interventions!$I$7</f>
        <v>2736.1000000000004</v>
      </c>
      <c r="M141" s="67">
        <f>Interventions!$I$7</f>
        <v>2736.1000000000004</v>
      </c>
      <c r="N141" s="67">
        <f>Interventions!$I$7</f>
        <v>2736.1000000000004</v>
      </c>
      <c r="O141" s="67">
        <f>Interventions!$I$7</f>
        <v>2736.1000000000004</v>
      </c>
      <c r="P141" s="67">
        <f>Interventions!$I$7</f>
        <v>2736.1000000000004</v>
      </c>
      <c r="Q141" s="67">
        <f>Interventions!$I$7</f>
        <v>2736.1000000000004</v>
      </c>
      <c r="R141" s="67">
        <f>Interventions!$I$7</f>
        <v>2736.1000000000004</v>
      </c>
      <c r="S141" s="67">
        <f>Interventions!$I$7</f>
        <v>2736.1000000000004</v>
      </c>
      <c r="T141" s="67">
        <f>Interventions!$I$7</f>
        <v>2736.1000000000004</v>
      </c>
      <c r="U141" s="67">
        <f>Interventions!$I$7</f>
        <v>2736.1000000000004</v>
      </c>
      <c r="V141" s="67">
        <f>Interventions!$I$7</f>
        <v>2736.1000000000004</v>
      </c>
      <c r="W141" s="67">
        <f>Interventions!$I$7</f>
        <v>2736.1000000000004</v>
      </c>
      <c r="X141" s="67">
        <f>Interventions!$I$7</f>
        <v>2736.1000000000004</v>
      </c>
      <c r="Y141" s="67">
        <f>Interventions!$I$7</f>
        <v>2736.1000000000004</v>
      </c>
      <c r="Z141" s="67">
        <f>Interventions!$I$7</f>
        <v>2736.1000000000004</v>
      </c>
      <c r="AA141" s="67">
        <f>Interventions!$I$7</f>
        <v>2736.1000000000004</v>
      </c>
      <c r="AB141" s="67">
        <f>Interventions!$I$7</f>
        <v>2736.1000000000004</v>
      </c>
      <c r="AC141" s="66">
        <f>SUM(C141:AB141)</f>
        <v>68402.499999999985</v>
      </c>
      <c r="AD141" s="3" t="s">
        <v>12</v>
      </c>
    </row>
    <row r="142" spans="1:32" x14ac:dyDescent="0.25">
      <c r="A142" s="307" t="s">
        <v>80</v>
      </c>
      <c r="B142" s="308"/>
      <c r="C142" s="94">
        <f t="shared" ref="C142:W142" si="117">SUM(C140:C141)</f>
        <v>27361</v>
      </c>
      <c r="D142" s="94">
        <f t="shared" si="117"/>
        <v>2736.1000000000004</v>
      </c>
      <c r="E142" s="94">
        <f t="shared" si="117"/>
        <v>2736.1000000000004</v>
      </c>
      <c r="F142" s="94">
        <f t="shared" si="117"/>
        <v>2736.1000000000004</v>
      </c>
      <c r="G142" s="94">
        <f t="shared" si="117"/>
        <v>2736.1000000000004</v>
      </c>
      <c r="H142" s="94">
        <f t="shared" si="117"/>
        <v>2736.1000000000004</v>
      </c>
      <c r="I142" s="94">
        <f t="shared" si="117"/>
        <v>2736.1000000000004</v>
      </c>
      <c r="J142" s="94">
        <f t="shared" si="117"/>
        <v>2736.1000000000004</v>
      </c>
      <c r="K142" s="94">
        <f t="shared" si="117"/>
        <v>2736.1000000000004</v>
      </c>
      <c r="L142" s="94">
        <f t="shared" si="117"/>
        <v>2736.1000000000004</v>
      </c>
      <c r="M142" s="94">
        <f t="shared" si="117"/>
        <v>2736.1000000000004</v>
      </c>
      <c r="N142" s="94">
        <f t="shared" si="117"/>
        <v>2736.1000000000004</v>
      </c>
      <c r="O142" s="94">
        <f t="shared" si="117"/>
        <v>2736.1000000000004</v>
      </c>
      <c r="P142" s="94">
        <f t="shared" si="117"/>
        <v>2736.1000000000004</v>
      </c>
      <c r="Q142" s="94">
        <f t="shared" si="117"/>
        <v>2736.1000000000004</v>
      </c>
      <c r="R142" s="94">
        <f t="shared" si="117"/>
        <v>2736.1000000000004</v>
      </c>
      <c r="S142" s="94">
        <f t="shared" si="117"/>
        <v>2736.1000000000004</v>
      </c>
      <c r="T142" s="94">
        <f t="shared" si="117"/>
        <v>2736.1000000000004</v>
      </c>
      <c r="U142" s="94">
        <f t="shared" si="117"/>
        <v>2736.1000000000004</v>
      </c>
      <c r="V142" s="94">
        <f t="shared" si="117"/>
        <v>2736.1000000000004</v>
      </c>
      <c r="W142" s="94">
        <f t="shared" si="117"/>
        <v>2736.1000000000004</v>
      </c>
      <c r="X142" s="94">
        <f t="shared" ref="X142:AB142" si="118">SUM(X140:X141)</f>
        <v>2736.1000000000004</v>
      </c>
      <c r="Y142" s="94">
        <f t="shared" si="118"/>
        <v>2736.1000000000004</v>
      </c>
      <c r="Z142" s="94">
        <f t="shared" si="118"/>
        <v>2736.1000000000004</v>
      </c>
      <c r="AA142" s="94">
        <f t="shared" si="118"/>
        <v>2736.1000000000004</v>
      </c>
      <c r="AB142" s="94">
        <f t="shared" si="118"/>
        <v>2736.1000000000004</v>
      </c>
      <c r="AC142" s="95">
        <f>SUM(AC140:AC141)</f>
        <v>95763.499999999985</v>
      </c>
      <c r="AD142" s="6" t="s">
        <v>12</v>
      </c>
    </row>
    <row r="143" spans="1:32" x14ac:dyDescent="0.25">
      <c r="A143" s="305" t="s">
        <v>155</v>
      </c>
      <c r="B143" s="306"/>
      <c r="C143" s="237"/>
      <c r="D143" s="63"/>
      <c r="E143" s="63"/>
      <c r="F143" s="63"/>
      <c r="G143" s="63"/>
      <c r="H143" s="63"/>
      <c r="I143" s="63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</row>
    <row r="144" spans="1:32" x14ac:dyDescent="0.25">
      <c r="A144" s="59" t="s">
        <v>171</v>
      </c>
      <c r="B144" s="59"/>
      <c r="C144" s="59"/>
      <c r="D144" s="67">
        <f>'Carbon avoided'!E12</f>
        <v>575.59040000000005</v>
      </c>
      <c r="E144" s="67">
        <f>'Carbon avoided'!F12</f>
        <v>589.98016000000007</v>
      </c>
      <c r="F144" s="67">
        <f>'Carbon avoided'!G12</f>
        <v>604.72966399999996</v>
      </c>
      <c r="G144" s="67">
        <f>'Carbon avoided'!H12</f>
        <v>619.84790559999999</v>
      </c>
      <c r="H144" s="67">
        <f>'Carbon avoided'!I12</f>
        <v>635.34410323999998</v>
      </c>
      <c r="I144" s="67">
        <f>'Carbon avoided'!J12</f>
        <v>651.22770582099986</v>
      </c>
      <c r="J144" s="67">
        <f>'Carbon avoided'!K12</f>
        <v>667.5083984665248</v>
      </c>
      <c r="K144" s="67">
        <f>'Carbon avoided'!L12</f>
        <v>684.19610842818781</v>
      </c>
      <c r="L144" s="67">
        <f>'Carbon avoided'!M12</f>
        <v>701.30101113889248</v>
      </c>
      <c r="M144" s="67">
        <f>'Carbon avoided'!N12</f>
        <v>718.83353641736471</v>
      </c>
      <c r="N144" s="67">
        <f>'Carbon avoided'!O12</f>
        <v>736.80437482779871</v>
      </c>
      <c r="O144" s="67">
        <f>'Carbon avoided'!P12</f>
        <v>755.22448419849366</v>
      </c>
      <c r="P144" s="67">
        <f>'Carbon avoided'!Q12</f>
        <v>774.10509630345587</v>
      </c>
      <c r="Q144" s="67">
        <f>'Carbon avoided'!R12</f>
        <v>793.45772371104215</v>
      </c>
      <c r="R144" s="67">
        <f>'Carbon avoided'!S12</f>
        <v>813.29416680381814</v>
      </c>
      <c r="S144" s="67">
        <f>'Carbon avoided'!T12</f>
        <v>833.62652097391356</v>
      </c>
      <c r="T144" s="67">
        <f>'Carbon avoided'!U12</f>
        <v>854.46718399826136</v>
      </c>
      <c r="U144" s="67">
        <f>'Carbon avoided'!V12</f>
        <v>875.82886359821782</v>
      </c>
      <c r="V144" s="67">
        <f>'Carbon avoided'!W12</f>
        <v>897.72458518817314</v>
      </c>
      <c r="W144" s="67">
        <f>'Carbon avoided'!X12</f>
        <v>920.16769981787741</v>
      </c>
      <c r="X144" s="67">
        <f>'Carbon avoided'!Y12</f>
        <v>943.17189231332429</v>
      </c>
      <c r="Y144" s="67">
        <f>'Carbon avoided'!Z12</f>
        <v>966.75118962115732</v>
      </c>
      <c r="Z144" s="67">
        <f>'Carbon avoided'!AA12</f>
        <v>990.9199693616863</v>
      </c>
      <c r="AA144" s="67">
        <f>'Carbon avoided'!AB12</f>
        <v>1015.6929685957284</v>
      </c>
      <c r="AB144" s="67">
        <f>'Carbon avoided'!AC12</f>
        <v>1041.0852928106215</v>
      </c>
      <c r="AC144" s="66">
        <f>SUM(C144:AB144)</f>
        <v>19660.88100523554</v>
      </c>
      <c r="AD144" s="3" t="s">
        <v>12</v>
      </c>
    </row>
    <row r="145" spans="1:30" ht="12.75" customHeight="1" x14ac:dyDescent="0.25">
      <c r="A145" s="59" t="s">
        <v>175</v>
      </c>
      <c r="B145" s="59"/>
      <c r="C145" s="59"/>
      <c r="D145" s="67">
        <f>Interventions!$I$10</f>
        <v>3240</v>
      </c>
      <c r="E145" s="67">
        <f>Interventions!$I$10</f>
        <v>3240</v>
      </c>
      <c r="F145" s="67">
        <f>Interventions!$I$10</f>
        <v>3240</v>
      </c>
      <c r="G145" s="67">
        <f>Interventions!$I$10</f>
        <v>3240</v>
      </c>
      <c r="H145" s="67">
        <f>Interventions!$I$10</f>
        <v>3240</v>
      </c>
      <c r="I145" s="67">
        <f>Interventions!$I$10</f>
        <v>3240</v>
      </c>
      <c r="J145" s="67">
        <f>Interventions!$I$10</f>
        <v>3240</v>
      </c>
      <c r="K145" s="67">
        <f>Interventions!$I$10</f>
        <v>3240</v>
      </c>
      <c r="L145" s="67">
        <f>Interventions!$I$10</f>
        <v>3240</v>
      </c>
      <c r="M145" s="67">
        <f>Interventions!$I$10</f>
        <v>3240</v>
      </c>
      <c r="N145" s="67">
        <f>Interventions!$I$10</f>
        <v>3240</v>
      </c>
      <c r="O145" s="67">
        <f>Interventions!$I$10</f>
        <v>3240</v>
      </c>
      <c r="P145" s="67">
        <f>Interventions!$I$10</f>
        <v>3240</v>
      </c>
      <c r="Q145" s="67">
        <f>Interventions!$I$10</f>
        <v>3240</v>
      </c>
      <c r="R145" s="67">
        <f>Interventions!$I$10</f>
        <v>3240</v>
      </c>
      <c r="S145" s="67">
        <f>Interventions!$I$10</f>
        <v>3240</v>
      </c>
      <c r="T145" s="67">
        <f>Interventions!$I$10</f>
        <v>3240</v>
      </c>
      <c r="U145" s="67">
        <f>Interventions!$I$10</f>
        <v>3240</v>
      </c>
      <c r="V145" s="67">
        <f>Interventions!$I$10</f>
        <v>3240</v>
      </c>
      <c r="W145" s="67">
        <f>Interventions!$I$10</f>
        <v>3240</v>
      </c>
      <c r="X145" s="67">
        <f>Interventions!$I$10</f>
        <v>3240</v>
      </c>
      <c r="Y145" s="67">
        <f>Interventions!$I$10</f>
        <v>3240</v>
      </c>
      <c r="Z145" s="67">
        <f>Interventions!$I$10</f>
        <v>3240</v>
      </c>
      <c r="AA145" s="67">
        <f>Interventions!$I$10</f>
        <v>3240</v>
      </c>
      <c r="AB145" s="67">
        <f>Interventions!$I$10</f>
        <v>3240</v>
      </c>
      <c r="AC145" s="66">
        <f>SUM(C145:AB145)</f>
        <v>81000</v>
      </c>
      <c r="AD145" s="3" t="s">
        <v>12</v>
      </c>
    </row>
    <row r="146" spans="1:30" x14ac:dyDescent="0.25">
      <c r="A146" s="307" t="s">
        <v>80</v>
      </c>
      <c r="B146" s="308"/>
      <c r="C146" s="68">
        <f t="shared" ref="C146:R146" si="119">SUM(C144:C145)</f>
        <v>0</v>
      </c>
      <c r="D146" s="68">
        <f t="shared" si="119"/>
        <v>3815.5904</v>
      </c>
      <c r="E146" s="68">
        <f t="shared" si="119"/>
        <v>3829.9801600000001</v>
      </c>
      <c r="F146" s="68">
        <f t="shared" si="119"/>
        <v>3844.729664</v>
      </c>
      <c r="G146" s="68">
        <f t="shared" si="119"/>
        <v>3859.8479056000001</v>
      </c>
      <c r="H146" s="68">
        <f t="shared" si="119"/>
        <v>3875.3441032400001</v>
      </c>
      <c r="I146" s="68">
        <f t="shared" si="119"/>
        <v>3891.2277058209997</v>
      </c>
      <c r="J146" s="68">
        <f t="shared" si="119"/>
        <v>3907.5083984665248</v>
      </c>
      <c r="K146" s="68">
        <f t="shared" si="119"/>
        <v>3924.1961084281879</v>
      </c>
      <c r="L146" s="68">
        <f t="shared" si="119"/>
        <v>3941.3010111388926</v>
      </c>
      <c r="M146" s="68">
        <f t="shared" si="119"/>
        <v>3958.8335364173645</v>
      </c>
      <c r="N146" s="68">
        <f t="shared" si="119"/>
        <v>3976.8043748277987</v>
      </c>
      <c r="O146" s="68">
        <f t="shared" si="119"/>
        <v>3995.2244841984939</v>
      </c>
      <c r="P146" s="68">
        <f t="shared" si="119"/>
        <v>4014.1050963034559</v>
      </c>
      <c r="Q146" s="68">
        <f t="shared" si="119"/>
        <v>4033.457723711042</v>
      </c>
      <c r="R146" s="68">
        <f t="shared" si="119"/>
        <v>4053.2941668038184</v>
      </c>
      <c r="S146" s="68">
        <f t="shared" ref="S146:W146" si="120">SUM(S144:S145)</f>
        <v>4073.6265209739136</v>
      </c>
      <c r="T146" s="68">
        <f t="shared" si="120"/>
        <v>4094.4671839982611</v>
      </c>
      <c r="U146" s="68">
        <f t="shared" si="120"/>
        <v>4115.828863598218</v>
      </c>
      <c r="V146" s="68">
        <f t="shared" si="120"/>
        <v>4137.7245851881735</v>
      </c>
      <c r="W146" s="68">
        <f t="shared" si="120"/>
        <v>4160.1676998178773</v>
      </c>
      <c r="X146" s="68">
        <f t="shared" ref="X146:AB146" si="121">SUM(X144:X145)</f>
        <v>4183.171892313324</v>
      </c>
      <c r="Y146" s="68">
        <f t="shared" si="121"/>
        <v>4206.7511896211572</v>
      </c>
      <c r="Z146" s="68">
        <f t="shared" si="121"/>
        <v>4230.9199693616865</v>
      </c>
      <c r="AA146" s="68">
        <f t="shared" si="121"/>
        <v>4255.6929685957284</v>
      </c>
      <c r="AB146" s="68">
        <f t="shared" si="121"/>
        <v>4281.0852928106215</v>
      </c>
      <c r="AC146" s="68">
        <f>SUM(AC144:AC145)</f>
        <v>100660.88100523554</v>
      </c>
      <c r="AD146" s="6" t="s">
        <v>12</v>
      </c>
    </row>
    <row r="147" spans="1:30" x14ac:dyDescent="0.25">
      <c r="A147" s="305" t="s">
        <v>150</v>
      </c>
      <c r="B147" s="306"/>
      <c r="C147" s="237"/>
      <c r="D147" s="63"/>
      <c r="E147" s="63"/>
      <c r="F147" s="63"/>
      <c r="G147" s="63"/>
      <c r="H147" s="63"/>
      <c r="I147" s="63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</row>
    <row r="148" spans="1:30" x14ac:dyDescent="0.25">
      <c r="A148" s="224"/>
      <c r="B148" s="59"/>
      <c r="C148" s="59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6"/>
      <c r="AD148" s="3"/>
    </row>
    <row r="149" spans="1:30" x14ac:dyDescent="0.25">
      <c r="A149" s="238"/>
      <c r="B149" s="59"/>
      <c r="C149" s="59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6"/>
      <c r="AD149" s="3"/>
    </row>
    <row r="150" spans="1:30" ht="13.5" customHeight="1" x14ac:dyDescent="0.25">
      <c r="A150" s="238" t="s">
        <v>173</v>
      </c>
      <c r="B150" s="59"/>
      <c r="C150" s="59"/>
      <c r="D150" s="67">
        <f>Interventions!$E$13</f>
        <v>9344</v>
      </c>
      <c r="E150" s="67">
        <f>Interventions!$E$13</f>
        <v>9344</v>
      </c>
      <c r="F150" s="67">
        <f>Interventions!$E$13</f>
        <v>9344</v>
      </c>
      <c r="G150" s="67">
        <f>Interventions!$E$13</f>
        <v>9344</v>
      </c>
      <c r="H150" s="67">
        <f>Interventions!$E$13</f>
        <v>9344</v>
      </c>
      <c r="I150" s="67">
        <f>Interventions!$E$13</f>
        <v>9344</v>
      </c>
      <c r="J150" s="67">
        <f>Interventions!$E$13</f>
        <v>9344</v>
      </c>
      <c r="K150" s="67">
        <f>Interventions!$E$13</f>
        <v>9344</v>
      </c>
      <c r="L150" s="67">
        <f>Interventions!$E$13</f>
        <v>9344</v>
      </c>
      <c r="M150" s="67">
        <f>Interventions!$E$13</f>
        <v>9344</v>
      </c>
      <c r="N150" s="67">
        <f>Interventions!$E$13</f>
        <v>9344</v>
      </c>
      <c r="O150" s="67">
        <f>Interventions!$E$13</f>
        <v>9344</v>
      </c>
      <c r="P150" s="67">
        <f>Interventions!$E$13</f>
        <v>9344</v>
      </c>
      <c r="Q150" s="67">
        <f>Interventions!$E$13</f>
        <v>9344</v>
      </c>
      <c r="R150" s="67">
        <f>Interventions!$E$13</f>
        <v>9344</v>
      </c>
      <c r="S150" s="67">
        <f>Interventions!$E$13</f>
        <v>9344</v>
      </c>
      <c r="T150" s="67">
        <f>Interventions!$E$13</f>
        <v>9344</v>
      </c>
      <c r="U150" s="67">
        <f>Interventions!$E$13</f>
        <v>9344</v>
      </c>
      <c r="V150" s="67">
        <f>Interventions!$E$13</f>
        <v>9344</v>
      </c>
      <c r="W150" s="67">
        <f>Interventions!$E$13</f>
        <v>9344</v>
      </c>
      <c r="X150" s="67">
        <f>Interventions!$E$13</f>
        <v>9344</v>
      </c>
      <c r="Y150" s="67">
        <f>Interventions!$E$13</f>
        <v>9344</v>
      </c>
      <c r="Z150" s="67">
        <f>Interventions!$E$13</f>
        <v>9344</v>
      </c>
      <c r="AA150" s="67">
        <f>Interventions!$E$13</f>
        <v>9344</v>
      </c>
      <c r="AB150" s="67">
        <f>Interventions!$E$13</f>
        <v>9344</v>
      </c>
      <c r="AC150" s="66">
        <f>SUM(D150:AB150)</f>
        <v>233600</v>
      </c>
      <c r="AD150" s="3" t="s">
        <v>12</v>
      </c>
    </row>
    <row r="151" spans="1:30" x14ac:dyDescent="0.25">
      <c r="A151" s="59" t="s">
        <v>36</v>
      </c>
      <c r="B151" s="59" t="s">
        <v>36</v>
      </c>
      <c r="C151" s="59"/>
      <c r="D151" s="67">
        <f>Interventions!$I$14</f>
        <v>4508.5150400000002</v>
      </c>
      <c r="E151" s="67">
        <f>Interventions!$I$14</f>
        <v>4508.5150400000002</v>
      </c>
      <c r="F151" s="67">
        <f>Interventions!$I$14</f>
        <v>4508.5150400000002</v>
      </c>
      <c r="G151" s="67">
        <f>Interventions!$I$14</f>
        <v>4508.5150400000002</v>
      </c>
      <c r="H151" s="67">
        <f>Interventions!$I$14</f>
        <v>4508.5150400000002</v>
      </c>
      <c r="I151" s="67">
        <f>Interventions!$I$14</f>
        <v>4508.5150400000002</v>
      </c>
      <c r="J151" s="67">
        <f>Interventions!$I$14</f>
        <v>4508.5150400000002</v>
      </c>
      <c r="K151" s="67">
        <f>Interventions!$I$14</f>
        <v>4508.5150400000002</v>
      </c>
      <c r="L151" s="67">
        <f>Interventions!$I$14</f>
        <v>4508.5150400000002</v>
      </c>
      <c r="M151" s="67">
        <f>Interventions!$I$14</f>
        <v>4508.5150400000002</v>
      </c>
      <c r="N151" s="67">
        <f>Interventions!$I$14</f>
        <v>4508.5150400000002</v>
      </c>
      <c r="O151" s="67">
        <f>Interventions!$I$14</f>
        <v>4508.5150400000002</v>
      </c>
      <c r="P151" s="67">
        <f>Interventions!$I$14</f>
        <v>4508.5150400000002</v>
      </c>
      <c r="Q151" s="67">
        <f>Interventions!$I$14</f>
        <v>4508.5150400000002</v>
      </c>
      <c r="R151" s="67">
        <f>Interventions!$I$14</f>
        <v>4508.5150400000002</v>
      </c>
      <c r="S151" s="67">
        <f>Interventions!$I$14</f>
        <v>4508.5150400000002</v>
      </c>
      <c r="T151" s="67">
        <f>Interventions!$I$14</f>
        <v>4508.5150400000002</v>
      </c>
      <c r="U151" s="67">
        <f>Interventions!$I$14</f>
        <v>4508.5150400000002</v>
      </c>
      <c r="V151" s="67">
        <f>Interventions!$I$14</f>
        <v>4508.5150400000002</v>
      </c>
      <c r="W151" s="67">
        <f>Interventions!$I$14</f>
        <v>4508.5150400000002</v>
      </c>
      <c r="X151" s="67">
        <f>Interventions!$I$14</f>
        <v>4508.5150400000002</v>
      </c>
      <c r="Y151" s="67">
        <f>Interventions!$I$14</f>
        <v>4508.5150400000002</v>
      </c>
      <c r="Z151" s="67">
        <f>Interventions!$I$14</f>
        <v>4508.5150400000002</v>
      </c>
      <c r="AA151" s="67">
        <f>Interventions!$I$14</f>
        <v>4508.5150400000002</v>
      </c>
      <c r="AB151" s="67">
        <f>Interventions!$I$14</f>
        <v>4508.5150400000002</v>
      </c>
      <c r="AC151" s="66">
        <f>SUM(D151:AB151)</f>
        <v>112712.87599999997</v>
      </c>
      <c r="AD151" s="3" t="s">
        <v>12</v>
      </c>
    </row>
    <row r="152" spans="1:30" x14ac:dyDescent="0.25">
      <c r="A152" s="307" t="s">
        <v>80</v>
      </c>
      <c r="B152" s="308"/>
      <c r="C152" s="81">
        <f>SUM(C148:C148)</f>
        <v>0</v>
      </c>
      <c r="D152" s="81">
        <f>D150-D151</f>
        <v>4835.4849599999998</v>
      </c>
      <c r="E152" s="81">
        <f t="shared" ref="E152" si="122">E150-E151</f>
        <v>4835.4849599999998</v>
      </c>
      <c r="F152" s="81">
        <f t="shared" ref="F152" si="123">F150-F151</f>
        <v>4835.4849599999998</v>
      </c>
      <c r="G152" s="81">
        <f t="shared" ref="G152" si="124">G150-G151</f>
        <v>4835.4849599999998</v>
      </c>
      <c r="H152" s="81">
        <f t="shared" ref="H152" si="125">H150-H151</f>
        <v>4835.4849599999998</v>
      </c>
      <c r="I152" s="81">
        <f t="shared" ref="I152" si="126">I150-I151</f>
        <v>4835.4849599999998</v>
      </c>
      <c r="J152" s="81">
        <f t="shared" ref="J152" si="127">J150-J151</f>
        <v>4835.4849599999998</v>
      </c>
      <c r="K152" s="81">
        <f t="shared" ref="K152" si="128">K150-K151</f>
        <v>4835.4849599999998</v>
      </c>
      <c r="L152" s="81">
        <f t="shared" ref="L152" si="129">L150-L151</f>
        <v>4835.4849599999998</v>
      </c>
      <c r="M152" s="81">
        <f t="shared" ref="M152" si="130">M150-M151</f>
        <v>4835.4849599999998</v>
      </c>
      <c r="N152" s="81">
        <f t="shared" ref="N152" si="131">N150-N151</f>
        <v>4835.4849599999998</v>
      </c>
      <c r="O152" s="81">
        <f t="shared" ref="O152" si="132">O150-O151</f>
        <v>4835.4849599999998</v>
      </c>
      <c r="P152" s="81">
        <f t="shared" ref="P152" si="133">P150-P151</f>
        <v>4835.4849599999998</v>
      </c>
      <c r="Q152" s="81">
        <f t="shared" ref="Q152" si="134">Q150-Q151</f>
        <v>4835.4849599999998</v>
      </c>
      <c r="R152" s="81">
        <f t="shared" ref="R152" si="135">R150-R151</f>
        <v>4835.4849599999998</v>
      </c>
      <c r="S152" s="81">
        <f t="shared" ref="S152" si="136">S150-S151</f>
        <v>4835.4849599999998</v>
      </c>
      <c r="T152" s="81">
        <f t="shared" ref="T152" si="137">T150-T151</f>
        <v>4835.4849599999998</v>
      </c>
      <c r="U152" s="81">
        <f t="shared" ref="U152" si="138">U150-U151</f>
        <v>4835.4849599999998</v>
      </c>
      <c r="V152" s="81">
        <f t="shared" ref="V152" si="139">V150-V151</f>
        <v>4835.4849599999998</v>
      </c>
      <c r="W152" s="81">
        <f t="shared" ref="W152" si="140">W150-W151</f>
        <v>4835.4849599999998</v>
      </c>
      <c r="X152" s="81">
        <f t="shared" ref="X152" si="141">X150-X151</f>
        <v>4835.4849599999998</v>
      </c>
      <c r="Y152" s="81">
        <f t="shared" ref="Y152" si="142">Y150-Y151</f>
        <v>4835.4849599999998</v>
      </c>
      <c r="Z152" s="81">
        <f t="shared" ref="Z152" si="143">Z150-Z151</f>
        <v>4835.4849599999998</v>
      </c>
      <c r="AA152" s="81">
        <f t="shared" ref="AA152" si="144">AA150-AA151</f>
        <v>4835.4849599999998</v>
      </c>
      <c r="AB152" s="81">
        <f t="shared" ref="AB152" si="145">AB150-AB151</f>
        <v>4835.4849599999998</v>
      </c>
      <c r="AC152" s="81">
        <f>AC150-AC151</f>
        <v>120887.12400000003</v>
      </c>
      <c r="AD152" s="6" t="s">
        <v>12</v>
      </c>
    </row>
    <row r="153" spans="1:30" x14ac:dyDescent="0.25">
      <c r="A153" s="132"/>
      <c r="B153" s="133" t="s">
        <v>81</v>
      </c>
      <c r="C153" s="134">
        <f t="shared" ref="C153:R153" si="146">(C152+C146)-C142</f>
        <v>-27361</v>
      </c>
      <c r="D153" s="134">
        <f t="shared" si="146"/>
        <v>5914.9753599999985</v>
      </c>
      <c r="E153" s="134">
        <f t="shared" si="146"/>
        <v>5929.3651200000004</v>
      </c>
      <c r="F153" s="134">
        <f t="shared" si="146"/>
        <v>5944.1146239999998</v>
      </c>
      <c r="G153" s="134">
        <f t="shared" si="146"/>
        <v>5959.2328655999991</v>
      </c>
      <c r="H153" s="134">
        <f t="shared" si="146"/>
        <v>5974.72906324</v>
      </c>
      <c r="I153" s="134">
        <f t="shared" si="146"/>
        <v>5990.6126658209996</v>
      </c>
      <c r="J153" s="134">
        <f t="shared" si="146"/>
        <v>6006.8933584665247</v>
      </c>
      <c r="K153" s="134">
        <f t="shared" si="146"/>
        <v>6023.5810684281878</v>
      </c>
      <c r="L153" s="134">
        <f t="shared" si="146"/>
        <v>6040.6859711388915</v>
      </c>
      <c r="M153" s="134">
        <f t="shared" si="146"/>
        <v>6058.218496417363</v>
      </c>
      <c r="N153" s="134">
        <f t="shared" si="146"/>
        <v>6076.1893348277972</v>
      </c>
      <c r="O153" s="134">
        <f t="shared" si="146"/>
        <v>6094.6094441984933</v>
      </c>
      <c r="P153" s="134">
        <f t="shared" si="146"/>
        <v>6113.4900563034553</v>
      </c>
      <c r="Q153" s="134">
        <f t="shared" si="146"/>
        <v>6132.8426837110419</v>
      </c>
      <c r="R153" s="134">
        <f t="shared" si="146"/>
        <v>6152.6791268038178</v>
      </c>
      <c r="S153" s="134">
        <f t="shared" ref="S153:W153" si="147">(S152+S146)-S142</f>
        <v>6173.0114809739134</v>
      </c>
      <c r="T153" s="134">
        <f t="shared" si="147"/>
        <v>6193.8521439982596</v>
      </c>
      <c r="U153" s="134">
        <f t="shared" si="147"/>
        <v>6215.2138235982184</v>
      </c>
      <c r="V153" s="134">
        <f t="shared" si="147"/>
        <v>6237.109545188172</v>
      </c>
      <c r="W153" s="134">
        <f t="shared" si="147"/>
        <v>6259.5526598178767</v>
      </c>
      <c r="X153" s="134">
        <f t="shared" ref="X153:AB153" si="148">(X152+X146)-X142</f>
        <v>6282.5568523133243</v>
      </c>
      <c r="Y153" s="134">
        <f t="shared" si="148"/>
        <v>6306.1361496211557</v>
      </c>
      <c r="Z153" s="134">
        <f t="shared" si="148"/>
        <v>6330.3049293616859</v>
      </c>
      <c r="AA153" s="134">
        <f t="shared" si="148"/>
        <v>6355.0779285957269</v>
      </c>
      <c r="AB153" s="134">
        <f t="shared" si="148"/>
        <v>6380.4702528106209</v>
      </c>
      <c r="AC153" s="134">
        <f>(AC152+AC146)-AC142</f>
        <v>125784.50500523557</v>
      </c>
      <c r="AD153" s="135" t="s">
        <v>12</v>
      </c>
    </row>
    <row r="154" spans="1:30" x14ac:dyDescent="0.25">
      <c r="A154" s="132"/>
      <c r="B154" s="133" t="s">
        <v>82</v>
      </c>
      <c r="C154" s="134">
        <f t="shared" ref="C154:R154" si="149">(C152)-C142</f>
        <v>-27361</v>
      </c>
      <c r="D154" s="134">
        <f t="shared" si="149"/>
        <v>2099.3849599999994</v>
      </c>
      <c r="E154" s="134">
        <f t="shared" si="149"/>
        <v>2099.3849599999994</v>
      </c>
      <c r="F154" s="134">
        <f t="shared" si="149"/>
        <v>2099.3849599999994</v>
      </c>
      <c r="G154" s="134">
        <f t="shared" si="149"/>
        <v>2099.3849599999994</v>
      </c>
      <c r="H154" s="134">
        <f t="shared" si="149"/>
        <v>2099.3849599999994</v>
      </c>
      <c r="I154" s="134">
        <f t="shared" si="149"/>
        <v>2099.3849599999994</v>
      </c>
      <c r="J154" s="134">
        <f t="shared" si="149"/>
        <v>2099.3849599999994</v>
      </c>
      <c r="K154" s="134">
        <f t="shared" si="149"/>
        <v>2099.3849599999994</v>
      </c>
      <c r="L154" s="134">
        <f t="shared" si="149"/>
        <v>2099.3849599999994</v>
      </c>
      <c r="M154" s="134">
        <f t="shared" si="149"/>
        <v>2099.3849599999994</v>
      </c>
      <c r="N154" s="134">
        <f t="shared" si="149"/>
        <v>2099.3849599999994</v>
      </c>
      <c r="O154" s="134">
        <f t="shared" si="149"/>
        <v>2099.3849599999994</v>
      </c>
      <c r="P154" s="134">
        <f t="shared" si="149"/>
        <v>2099.3849599999994</v>
      </c>
      <c r="Q154" s="134">
        <f t="shared" si="149"/>
        <v>2099.3849599999994</v>
      </c>
      <c r="R154" s="134">
        <f t="shared" si="149"/>
        <v>2099.3849599999994</v>
      </c>
      <c r="S154" s="134">
        <f t="shared" ref="S154:W154" si="150">(S152)-S142</f>
        <v>2099.3849599999994</v>
      </c>
      <c r="T154" s="134">
        <f t="shared" si="150"/>
        <v>2099.3849599999994</v>
      </c>
      <c r="U154" s="134">
        <f t="shared" si="150"/>
        <v>2099.3849599999994</v>
      </c>
      <c r="V154" s="134">
        <f t="shared" si="150"/>
        <v>2099.3849599999994</v>
      </c>
      <c r="W154" s="134">
        <f t="shared" si="150"/>
        <v>2099.3849599999994</v>
      </c>
      <c r="X154" s="134">
        <f t="shared" ref="X154:AB154" si="151">(X152)-X142</f>
        <v>2099.3849599999994</v>
      </c>
      <c r="Y154" s="134">
        <f t="shared" si="151"/>
        <v>2099.3849599999994</v>
      </c>
      <c r="Z154" s="134">
        <f t="shared" si="151"/>
        <v>2099.3849599999994</v>
      </c>
      <c r="AA154" s="134">
        <f t="shared" si="151"/>
        <v>2099.3849599999994</v>
      </c>
      <c r="AB154" s="134">
        <f t="shared" si="151"/>
        <v>2099.3849599999994</v>
      </c>
      <c r="AC154" s="134">
        <f>(AC152)-AC142</f>
        <v>25123.62400000004</v>
      </c>
      <c r="AD154" s="135" t="s">
        <v>12</v>
      </c>
    </row>
    <row r="155" spans="1:30" ht="13.5" customHeight="1" x14ac:dyDescent="0.25">
      <c r="A155" s="69" t="s">
        <v>83</v>
      </c>
      <c r="B155" s="70">
        <f>XIRR(C154:AB154, C$38:AB$38, 0.1)</f>
        <v>5.7941874861717216E-2</v>
      </c>
      <c r="D155" s="82"/>
      <c r="E155" s="71"/>
      <c r="F155" s="71"/>
      <c r="G155" s="71"/>
      <c r="H155" s="71"/>
      <c r="I155" s="71"/>
      <c r="J155" s="72"/>
    </row>
    <row r="156" spans="1:30" ht="13.5" customHeight="1" x14ac:dyDescent="0.25">
      <c r="A156" s="96" t="s">
        <v>85</v>
      </c>
      <c r="B156" s="73">
        <f>XIRR(C153:AB153, C$38:AB$38, 0.1)</f>
        <v>0.21704321503639223</v>
      </c>
      <c r="D156" s="82"/>
      <c r="E156" s="71"/>
      <c r="F156" s="71"/>
      <c r="G156" s="71"/>
      <c r="H156" s="71"/>
      <c r="I156" s="71"/>
      <c r="J156" s="72"/>
    </row>
    <row r="157" spans="1:30" x14ac:dyDescent="0.25">
      <c r="A157" s="97" t="s">
        <v>86</v>
      </c>
      <c r="B157" s="84">
        <f>XNPV(A$133,C152:AB152,C$137:AB$137)/XNPV(A$133,C142:AB142,C$137:AB$137)</f>
        <v>0.76173614946195167</v>
      </c>
      <c r="E157" s="85"/>
      <c r="F157" s="85"/>
      <c r="G157" s="85"/>
      <c r="H157" s="85"/>
      <c r="I157" s="85"/>
    </row>
    <row r="158" spans="1:30" x14ac:dyDescent="0.25">
      <c r="A158" s="96" t="s">
        <v>87</v>
      </c>
      <c r="B158" s="86">
        <f>(XNPV(A$133,C152:AB152,C$137:AB$137)+XNPV(A$133,C146:AB146,C$137:AB$137))/XNPV(A$133,C142:AB142,C$137:AB$137)</f>
        <v>1.3800916169338333</v>
      </c>
      <c r="E158" s="85"/>
      <c r="F158" s="85"/>
      <c r="G158" s="85"/>
      <c r="H158" s="85"/>
      <c r="I158" s="85"/>
    </row>
    <row r="159" spans="1:30" x14ac:dyDescent="0.25">
      <c r="A159" s="98" t="s">
        <v>84</v>
      </c>
      <c r="B159" s="74">
        <f>XNPV(A$133,C154:AB154,C$137:AB$137)</f>
        <v>-11457.567353807468</v>
      </c>
      <c r="E159" s="85"/>
      <c r="F159" s="85"/>
      <c r="G159" s="85"/>
      <c r="H159" s="85"/>
      <c r="I159" s="85"/>
    </row>
    <row r="160" spans="1:30" x14ac:dyDescent="0.25">
      <c r="A160" s="96" t="s">
        <v>88</v>
      </c>
      <c r="B160" s="76">
        <f>XNPV(A$133,C153:AB153,C$137:AB$137)</f>
        <v>18277.742476681495</v>
      </c>
      <c r="E160" s="85"/>
      <c r="F160" s="85"/>
      <c r="G160" s="85"/>
      <c r="H160" s="85"/>
      <c r="I160" s="85"/>
    </row>
    <row r="161" spans="1:28" x14ac:dyDescent="0.25">
      <c r="A161" s="83" t="s">
        <v>76</v>
      </c>
      <c r="B161" s="74">
        <f>IF(P161,P136-C136)</f>
        <v>13</v>
      </c>
      <c r="C161" s="75">
        <f>C152/C142</f>
        <v>0</v>
      </c>
      <c r="D161" s="87">
        <f>SUM($C$152:D152)/SUM($C$142:D142)</f>
        <v>0.1606628200059142</v>
      </c>
      <c r="E161" s="87">
        <f>SUM($C$152:E152)/SUM($C$142:E142)</f>
        <v>0.29454850334417604</v>
      </c>
      <c r="F161" s="87">
        <f>SUM($C$152:F152)/SUM($C$142:F142)</f>
        <v>0.40783638924578219</v>
      </c>
      <c r="G161" s="87">
        <f>SUM($C$152:G152)/SUM($C$142:G142)</f>
        <v>0.50494029144715891</v>
      </c>
      <c r="H161" s="87">
        <f>SUM($C$152:H152)/SUM($C$142:H142)</f>
        <v>0.58909700668835219</v>
      </c>
      <c r="I161" s="87">
        <f>SUM($C$152:I152)/SUM($C$142:I142)</f>
        <v>0.66273413252439617</v>
      </c>
      <c r="J161" s="87">
        <f>SUM($C$152:J152)/SUM($C$142:J142)</f>
        <v>0.72770806708561153</v>
      </c>
      <c r="K161" s="87">
        <f>SUM($C$152:K152)/SUM($C$142:K142)</f>
        <v>0.78546267558446969</v>
      </c>
      <c r="L161" s="87">
        <f>SUM($C$152:L152)/SUM($C$142:L142)</f>
        <v>0.83713785160976373</v>
      </c>
      <c r="M161" s="87">
        <f>SUM($C$152:M152)/SUM($C$142:M142)</f>
        <v>0.88364551003252845</v>
      </c>
      <c r="N161" s="87">
        <f>SUM($C$152:N152)/SUM($C$142:N142)</f>
        <v>0.92572386765312509</v>
      </c>
      <c r="O161" s="87">
        <f>SUM($C$152:O152)/SUM($C$142:O142)</f>
        <v>0.96397692003548563</v>
      </c>
      <c r="P161" s="87">
        <f>SUM($C$152:P152)/SUM($C$142:P142)</f>
        <v>0.99890362003677136</v>
      </c>
      <c r="Q161" s="87">
        <f>SUM($C$152:Q152)/SUM($C$142:Q142)</f>
        <v>1.0309197617046164</v>
      </c>
      <c r="R161" s="87">
        <f>SUM($C$152:R152)/SUM($C$142:R142)</f>
        <v>1.060374612039034</v>
      </c>
      <c r="S161" s="87">
        <f>SUM($C$152:S152)/SUM($C$142:S142)</f>
        <v>1.0875637046554194</v>
      </c>
      <c r="T161" s="87">
        <f>SUM($C$152:T152)/SUM($C$142:T142)</f>
        <v>1.1127387904113317</v>
      </c>
      <c r="U161" s="87">
        <f>SUM($C$152:U152)/SUM($C$142:U142)</f>
        <v>1.1361156557561076</v>
      </c>
      <c r="V161" s="87">
        <f>SUM($C$152:V152)/SUM($C$142:V142)</f>
        <v>1.157880323490899</v>
      </c>
      <c r="W161" s="87">
        <f>SUM($C$152:W152)/SUM($C$142:W142)</f>
        <v>1.1781940133767042</v>
      </c>
      <c r="X161" s="87">
        <f>SUM($C$152:X152)/SUM($C$142:X142)</f>
        <v>1.1971971426247154</v>
      </c>
      <c r="Y161" s="87">
        <f>SUM($C$152:Y152)/SUM($C$142:Y142)</f>
        <v>1.2150125762947259</v>
      </c>
      <c r="Z161" s="87">
        <f>SUM($C$152:Z152)/SUM($C$142:Z142)</f>
        <v>1.2317482867120086</v>
      </c>
      <c r="AA161" s="87">
        <f>SUM($C$152:AA152)/SUM($C$142:AA142)</f>
        <v>1.2474995435753335</v>
      </c>
      <c r="AB161" s="87">
        <f>SUM($C$152:AB152)/SUM($C$142:AB142)</f>
        <v>1.262350728617897</v>
      </c>
    </row>
    <row r="162" spans="1:28" x14ac:dyDescent="0.25">
      <c r="A162" s="96" t="s">
        <v>89</v>
      </c>
      <c r="B162" s="76">
        <f>IF(H162,H136-C136)</f>
        <v>5</v>
      </c>
      <c r="C162" s="75">
        <f>(C152+C146)/C142</f>
        <v>0</v>
      </c>
      <c r="D162" s="87">
        <f>(SUM($C$152:D152)+SUM($C$146:D146))/SUM($C$142:D142)</f>
        <v>0.28743883497081113</v>
      </c>
      <c r="E162" s="87">
        <f>(SUM($C$152:E152)+SUM($C$146:E146))/SUM($C$142:E142)</f>
        <v>0.52740946602828853</v>
      </c>
      <c r="F162" s="87">
        <f>(SUM($C$152:F152)+SUM($C$146:F146))/SUM($C$142:F142)</f>
        <v>0.73087620796585828</v>
      </c>
      <c r="G162" s="87">
        <f>(SUM($C$152:G152)+SUM($C$146:G146))/SUM($C$142:G142)</f>
        <v>0.90567094899413669</v>
      </c>
      <c r="H162" s="87">
        <f>(SUM($C$152:H152)+SUM($C$146:H146))/SUM($C$142:H142)</f>
        <v>1.0575372984135571</v>
      </c>
      <c r="I162" s="87">
        <f>(SUM($C$152:I152)+SUM($C$146:I146))/SUM($C$142:I142)</f>
        <v>1.1907831790381611</v>
      </c>
      <c r="J162" s="87">
        <f>(SUM($C$152:J152)+SUM($C$146:J146))/SUM($C$142:J142)</f>
        <v>1.3087030930054486</v>
      </c>
      <c r="K162" s="87">
        <f>(SUM($C$152:K152)+SUM($C$146:K146))/SUM($C$142:K142)</f>
        <v>1.4138596324361872</v>
      </c>
      <c r="L162" s="87">
        <f>(SUM($C$152:L152)+SUM($C$146:L146))/SUM($C$142:L142)</f>
        <v>1.5082760921075642</v>
      </c>
      <c r="M162" s="87">
        <f>(SUM($C$152:M152)+SUM($C$146:M146))/SUM($C$142:M142)</f>
        <v>1.5935712984377761</v>
      </c>
      <c r="N162" s="87">
        <f>(SUM($C$152:N152)+SUM($C$146:N146))/SUM($C$142:N142)</f>
        <v>1.6710559160142746</v>
      </c>
      <c r="O162" s="87">
        <f>(SUM($C$152:O152)+SUM($C$146:O146))/SUM($C$142:O142)</f>
        <v>1.7418024888135117</v>
      </c>
      <c r="P162" s="87">
        <f>(SUM($C$152:P152)+SUM($C$146:P146))/SUM($C$142:P142)</f>
        <v>1.8066972099043188</v>
      </c>
      <c r="Q162" s="87">
        <f>(SUM($C$152:Q152)+SUM($C$146:Q146))/SUM($C$142:Q142)</f>
        <v>1.8664787488297334</v>
      </c>
      <c r="R162" s="87">
        <f>(SUM($C$152:R152)+SUM($C$146:R146))/SUM($C$142:R142)</f>
        <v>1.9217677605198145</v>
      </c>
      <c r="S162" s="87">
        <f>(SUM($C$152:S152)+SUM($C$146:S146))/SUM($C$142:S142)</f>
        <v>1.9730895845564929</v>
      </c>
      <c r="T162" s="87">
        <f>(SUM($C$152:T152)+SUM($C$146:T146))/SUM($C$142:T142)</f>
        <v>2.0208919002571757</v>
      </c>
      <c r="U162" s="87">
        <f>(SUM($C$152:U152)+SUM($C$146:U146))/SUM($C$142:U142)</f>
        <v>2.0655585986248277</v>
      </c>
      <c r="V162" s="87">
        <f>(SUM($C$152:V152)+SUM($C$146:V146))/SUM($C$142:V142)</f>
        <v>2.1074207843370707</v>
      </c>
      <c r="W162" s="87">
        <f>(SUM($C$152:W152)+SUM($C$146:W146))/SUM($C$142:W142)</f>
        <v>2.1467655774342189</v>
      </c>
      <c r="X162" s="87">
        <f>(SUM($C$152:X152)+SUM($C$146:X146))/SUM($C$142:X142)</f>
        <v>2.1838432115507747</v>
      </c>
      <c r="Y162" s="87">
        <f>(SUM($C$152:Y152)+SUM($C$146:Y146))/SUM($C$142:Y142)</f>
        <v>2.2188728013238217</v>
      </c>
      <c r="Z162" s="87">
        <f>(SUM($C$152:Z152)+SUM($C$146:Z146))/SUM($C$142:Z142)</f>
        <v>2.2520470612764365</v>
      </c>
      <c r="AA162" s="87">
        <f>(SUM($C$152:AA152)+SUM($C$146:AA146))/SUM($C$142:AA142)</f>
        <v>2.2835361920512112</v>
      </c>
      <c r="AB162" s="87">
        <f>(SUM($C$152:AB152)+SUM($C$146:AB146))/SUM($C$142:AB142)</f>
        <v>2.3134911005261447</v>
      </c>
    </row>
  </sheetData>
  <mergeCells count="40">
    <mergeCell ref="A14:B14"/>
    <mergeCell ref="A15:B15"/>
    <mergeCell ref="A20:B20"/>
    <mergeCell ref="A2:AD2"/>
    <mergeCell ref="A4:B4"/>
    <mergeCell ref="A7:B7"/>
    <mergeCell ref="A10:B10"/>
    <mergeCell ref="A11:B11"/>
    <mergeCell ref="A35:AD35"/>
    <mergeCell ref="A37:B37"/>
    <mergeCell ref="A40:B40"/>
    <mergeCell ref="A43:B43"/>
    <mergeCell ref="A44:B44"/>
    <mergeCell ref="A47:B47"/>
    <mergeCell ref="A48:B48"/>
    <mergeCell ref="A53:B53"/>
    <mergeCell ref="A68:AD68"/>
    <mergeCell ref="A70:B70"/>
    <mergeCell ref="A73:B73"/>
    <mergeCell ref="A76:B76"/>
    <mergeCell ref="A77:B77"/>
    <mergeCell ref="A80:B80"/>
    <mergeCell ref="A81:B81"/>
    <mergeCell ref="A86:B86"/>
    <mergeCell ref="A101:AD101"/>
    <mergeCell ref="A103:B103"/>
    <mergeCell ref="A106:B106"/>
    <mergeCell ref="A109:B109"/>
    <mergeCell ref="A110:B110"/>
    <mergeCell ref="A113:B113"/>
    <mergeCell ref="A114:B114"/>
    <mergeCell ref="A119:B119"/>
    <mergeCell ref="A134:AD134"/>
    <mergeCell ref="A147:B147"/>
    <mergeCell ref="A152:B152"/>
    <mergeCell ref="A136:B136"/>
    <mergeCell ref="A139:B139"/>
    <mergeCell ref="A142:B142"/>
    <mergeCell ref="A143:B143"/>
    <mergeCell ref="A146:B14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0"/>
  <sheetViews>
    <sheetView zoomScale="59" zoomScaleNormal="59" workbookViewId="0">
      <selection activeCell="L8" sqref="L8"/>
    </sheetView>
  </sheetViews>
  <sheetFormatPr defaultRowHeight="15" outlineLevelRow="1" x14ac:dyDescent="0.25"/>
  <cols>
    <col min="2" max="2" width="41.5703125" style="233" customWidth="1"/>
    <col min="3" max="3" width="33.5703125" style="233" customWidth="1"/>
    <col min="4" max="4" width="14.140625" style="227" customWidth="1"/>
    <col min="5" max="5" width="15.7109375" style="227" customWidth="1"/>
    <col min="6" max="6" width="20.7109375" style="227" customWidth="1"/>
    <col min="7" max="9" width="15.7109375" style="227" customWidth="1"/>
    <col min="11" max="11" width="22.42578125" customWidth="1"/>
  </cols>
  <sheetData>
    <row r="1" spans="1:16" ht="45" customHeight="1" x14ac:dyDescent="0.25">
      <c r="A1" s="152" t="s">
        <v>122</v>
      </c>
      <c r="B1" s="228"/>
      <c r="C1" s="229"/>
      <c r="D1" s="230"/>
      <c r="E1" s="230" t="s">
        <v>0</v>
      </c>
      <c r="F1" s="230" t="s">
        <v>123</v>
      </c>
      <c r="G1" s="230" t="s">
        <v>124</v>
      </c>
      <c r="H1" s="230" t="s">
        <v>14</v>
      </c>
      <c r="I1" s="230" t="s">
        <v>125</v>
      </c>
    </row>
    <row r="2" spans="1:16" ht="23.25" customHeight="1" x14ac:dyDescent="0.25">
      <c r="A2" s="152"/>
      <c r="B2" s="228"/>
      <c r="C2" s="229"/>
      <c r="D2" s="231" t="s">
        <v>13</v>
      </c>
      <c r="E2" s="230"/>
      <c r="F2" s="230"/>
      <c r="G2" s="230"/>
      <c r="H2" s="230"/>
      <c r="I2" s="230"/>
    </row>
    <row r="3" spans="1:16" ht="18.75" collapsed="1" x14ac:dyDescent="0.3">
      <c r="A3" s="225">
        <v>1</v>
      </c>
      <c r="B3" s="316" t="s">
        <v>131</v>
      </c>
      <c r="C3" s="316"/>
    </row>
    <row r="4" spans="1:16" ht="18.75" outlineLevel="1" x14ac:dyDescent="0.3">
      <c r="A4" s="225"/>
      <c r="B4" s="317" t="s">
        <v>10</v>
      </c>
      <c r="C4" s="317"/>
      <c r="K4" t="s">
        <v>133</v>
      </c>
      <c r="L4" s="264">
        <v>0.1</v>
      </c>
    </row>
    <row r="5" spans="1:16" ht="18.75" outlineLevel="1" x14ac:dyDescent="0.3">
      <c r="A5" s="225"/>
      <c r="B5" s="235" t="s">
        <v>126</v>
      </c>
    </row>
    <row r="6" spans="1:16" ht="18.75" outlineLevel="1" x14ac:dyDescent="0.3">
      <c r="A6" s="225"/>
      <c r="B6" s="233" t="s">
        <v>11</v>
      </c>
      <c r="D6" s="232" t="s">
        <v>12</v>
      </c>
      <c r="E6" s="234">
        <f>27361</f>
        <v>27361</v>
      </c>
      <c r="F6" s="234">
        <f>27361</f>
        <v>27361</v>
      </c>
      <c r="G6" s="234">
        <f>27361</f>
        <v>27361</v>
      </c>
      <c r="H6" s="234">
        <f>27361</f>
        <v>27361</v>
      </c>
      <c r="I6" s="234">
        <f>27361</f>
        <v>27361</v>
      </c>
    </row>
    <row r="7" spans="1:16" ht="18.75" outlineLevel="1" x14ac:dyDescent="0.3">
      <c r="A7" s="225"/>
      <c r="B7" s="233" t="s">
        <v>132</v>
      </c>
      <c r="D7" s="232" t="s">
        <v>12</v>
      </c>
      <c r="E7" s="234">
        <f>E6*$L$4</f>
        <v>2736.1000000000004</v>
      </c>
      <c r="F7" s="234">
        <f t="shared" ref="F7:I7" si="0">F6*$L$4</f>
        <v>2736.1000000000004</v>
      </c>
      <c r="G7" s="234">
        <f t="shared" si="0"/>
        <v>2736.1000000000004</v>
      </c>
      <c r="H7" s="234">
        <f t="shared" si="0"/>
        <v>2736.1000000000004</v>
      </c>
      <c r="I7" s="234">
        <f t="shared" si="0"/>
        <v>2736.1000000000004</v>
      </c>
    </row>
    <row r="8" spans="1:16" ht="18.75" outlineLevel="1" x14ac:dyDescent="0.3">
      <c r="A8" s="225"/>
      <c r="D8" s="232"/>
      <c r="E8" s="234"/>
      <c r="F8" s="234"/>
      <c r="G8" s="234"/>
      <c r="H8" s="234"/>
      <c r="I8" s="234"/>
    </row>
    <row r="9" spans="1:16" ht="18.75" outlineLevel="1" x14ac:dyDescent="0.3">
      <c r="A9" s="225"/>
      <c r="B9" s="235" t="s">
        <v>152</v>
      </c>
      <c r="D9" s="234"/>
      <c r="E9" s="234"/>
      <c r="F9" s="234"/>
      <c r="G9" s="234"/>
      <c r="H9" s="234"/>
      <c r="I9" s="234"/>
      <c r="K9" t="s">
        <v>156</v>
      </c>
      <c r="L9">
        <v>27</v>
      </c>
      <c r="M9" t="s">
        <v>157</v>
      </c>
    </row>
    <row r="10" spans="1:16" ht="18.75" outlineLevel="1" x14ac:dyDescent="0.3">
      <c r="A10" s="225"/>
      <c r="B10" s="235"/>
      <c r="D10" s="232" t="s">
        <v>12</v>
      </c>
      <c r="E10" s="234">
        <f>$L$9*$L$10*$L$11</f>
        <v>3240</v>
      </c>
      <c r="F10" s="234">
        <f t="shared" ref="F10:I10" si="1">$L$9*$L$10*$L$11</f>
        <v>3240</v>
      </c>
      <c r="G10" s="234">
        <f t="shared" si="1"/>
        <v>3240</v>
      </c>
      <c r="H10" s="234">
        <f t="shared" si="1"/>
        <v>3240</v>
      </c>
      <c r="I10" s="234">
        <f t="shared" si="1"/>
        <v>3240</v>
      </c>
      <c r="K10" t="s">
        <v>159</v>
      </c>
      <c r="L10">
        <v>12</v>
      </c>
    </row>
    <row r="11" spans="1:16" ht="18.75" outlineLevel="1" x14ac:dyDescent="0.3">
      <c r="A11" s="225"/>
      <c r="D11" s="232"/>
      <c r="E11" s="234"/>
      <c r="F11" s="234"/>
      <c r="G11" s="234"/>
      <c r="H11" s="234"/>
      <c r="I11" s="234"/>
      <c r="K11" t="s">
        <v>158</v>
      </c>
      <c r="L11">
        <v>10</v>
      </c>
    </row>
    <row r="12" spans="1:16" ht="18.75" outlineLevel="1" x14ac:dyDescent="0.3">
      <c r="A12" s="225"/>
      <c r="B12" s="235" t="s">
        <v>150</v>
      </c>
    </row>
    <row r="13" spans="1:16" ht="18.75" outlineLevel="1" x14ac:dyDescent="0.3">
      <c r="A13" s="225"/>
      <c r="B13" s="233" t="s">
        <v>173</v>
      </c>
      <c r="D13" s="232" t="s">
        <v>174</v>
      </c>
      <c r="E13" s="253">
        <f>$L$13*$P$13</f>
        <v>9344</v>
      </c>
      <c r="F13" s="253">
        <f>$L$13*$P$13</f>
        <v>9344</v>
      </c>
      <c r="G13" s="253">
        <f>$L$13*$P$13</f>
        <v>9344</v>
      </c>
      <c r="H13" s="253">
        <f>$L$13*$P$13</f>
        <v>9344</v>
      </c>
      <c r="I13" s="253">
        <f>$L$13*$P$13</f>
        <v>9344</v>
      </c>
      <c r="K13" t="s">
        <v>134</v>
      </c>
      <c r="L13">
        <v>11680</v>
      </c>
      <c r="O13" t="s">
        <v>182</v>
      </c>
      <c r="P13">
        <v>0.8</v>
      </c>
    </row>
    <row r="14" spans="1:16" ht="18.75" outlineLevel="1" x14ac:dyDescent="0.3">
      <c r="A14" s="225"/>
      <c r="B14" s="226" t="s">
        <v>36</v>
      </c>
      <c r="D14" s="232" t="s">
        <v>174</v>
      </c>
      <c r="E14" s="294">
        <f>$L$13*$P$14</f>
        <v>4703.1271999999999</v>
      </c>
      <c r="F14" s="294">
        <f>$L$13*$P$15</f>
        <v>5643.7526400000006</v>
      </c>
      <c r="G14" s="294">
        <f>$L$13*$P$16</f>
        <v>4508.5150400000002</v>
      </c>
      <c r="H14" s="294">
        <f>$L$13*$P$17</f>
        <v>4508.5150400000002</v>
      </c>
      <c r="I14" s="294">
        <f>$L$13*$P$18</f>
        <v>4508.5150400000002</v>
      </c>
      <c r="N14" t="s">
        <v>183</v>
      </c>
      <c r="O14" t="s">
        <v>181</v>
      </c>
      <c r="P14" s="295">
        <v>0.402665</v>
      </c>
    </row>
    <row r="15" spans="1:16" ht="18.75" customHeight="1" x14ac:dyDescent="0.25">
      <c r="E15" s="78"/>
      <c r="F15" s="78"/>
      <c r="G15" s="78"/>
      <c r="H15" s="78"/>
      <c r="I15" s="78"/>
      <c r="K15" t="s">
        <v>180</v>
      </c>
      <c r="L15">
        <v>1.232E-3</v>
      </c>
      <c r="N15" t="s">
        <v>184</v>
      </c>
      <c r="O15" t="s">
        <v>181</v>
      </c>
      <c r="P15" s="295">
        <v>0.48319800000000002</v>
      </c>
    </row>
    <row r="16" spans="1:16" ht="18.75" customHeight="1" x14ac:dyDescent="0.25">
      <c r="E16" s="78"/>
      <c r="F16" s="78"/>
      <c r="G16" s="78"/>
      <c r="H16" s="78"/>
      <c r="I16" s="78"/>
      <c r="N16" t="s">
        <v>185</v>
      </c>
      <c r="O16" t="s">
        <v>181</v>
      </c>
      <c r="P16" s="295">
        <v>0.38600299999999999</v>
      </c>
    </row>
    <row r="17" spans="5:16" ht="18.75" customHeight="1" x14ac:dyDescent="0.25">
      <c r="E17" s="78"/>
      <c r="F17" s="78"/>
      <c r="G17" s="78"/>
      <c r="H17" s="78"/>
      <c r="I17" s="78"/>
      <c r="N17" t="s">
        <v>186</v>
      </c>
      <c r="O17" t="s">
        <v>181</v>
      </c>
      <c r="P17" s="295">
        <v>0.38600299999999999</v>
      </c>
    </row>
    <row r="18" spans="5:16" ht="18.75" customHeight="1" x14ac:dyDescent="0.25">
      <c r="E18" s="78"/>
      <c r="F18" s="78"/>
      <c r="G18" s="78"/>
      <c r="H18" s="78"/>
      <c r="I18" s="78"/>
      <c r="N18" t="s">
        <v>187</v>
      </c>
      <c r="O18" t="s">
        <v>181</v>
      </c>
      <c r="P18" s="295">
        <v>0.38600299999999999</v>
      </c>
    </row>
    <row r="19" spans="5:16" ht="18.75" customHeight="1" x14ac:dyDescent="0.25"/>
    <row r="20" spans="5:16" ht="18.75" customHeight="1" x14ac:dyDescent="0.25"/>
  </sheetData>
  <mergeCells count="2">
    <mergeCell ref="B3:C3"/>
    <mergeCell ref="B4:C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2243-E769-4892-927C-81423448B817}">
  <dimension ref="A1:AE61"/>
  <sheetViews>
    <sheetView workbookViewId="0">
      <pane ySplit="1" topLeftCell="A35" activePane="bottomLeft" state="frozen"/>
      <selection pane="bottomLeft" activeCell="D43" sqref="D43"/>
    </sheetView>
  </sheetViews>
  <sheetFormatPr defaultRowHeight="15" x14ac:dyDescent="0.25"/>
  <cols>
    <col min="1" max="1" width="20.28515625" customWidth="1"/>
    <col min="2" max="2" width="16.28515625" customWidth="1"/>
    <col min="3" max="3" width="13.5703125" style="4" customWidth="1"/>
    <col min="6" max="6" width="9.5703125" bestFit="1" customWidth="1"/>
    <col min="7" max="7" width="11.7109375" bestFit="1" customWidth="1"/>
    <col min="8" max="30" width="9.5703125" bestFit="1" customWidth="1"/>
    <col min="31" max="31" width="9.140625" style="4"/>
  </cols>
  <sheetData>
    <row r="1" spans="1:31" ht="15.75" customHeight="1" x14ac:dyDescent="0.25">
      <c r="A1" s="319" t="s">
        <v>131</v>
      </c>
      <c r="B1" s="319"/>
      <c r="C1" s="246"/>
      <c r="E1" s="244">
        <v>44197</v>
      </c>
      <c r="F1" s="244">
        <v>44562</v>
      </c>
      <c r="G1" s="244">
        <v>44927</v>
      </c>
      <c r="H1" s="244">
        <v>45292</v>
      </c>
      <c r="I1" s="244">
        <v>45658</v>
      </c>
      <c r="J1" s="244">
        <v>46023</v>
      </c>
      <c r="K1" s="244">
        <v>46388</v>
      </c>
      <c r="L1" s="244">
        <v>46753</v>
      </c>
      <c r="M1" s="244">
        <v>47119</v>
      </c>
      <c r="N1" s="244">
        <v>47484</v>
      </c>
      <c r="O1" s="244">
        <v>47849</v>
      </c>
      <c r="P1" s="244">
        <v>48214</v>
      </c>
      <c r="Q1" s="244">
        <v>48580</v>
      </c>
      <c r="R1" s="244">
        <v>48945</v>
      </c>
      <c r="S1" s="244">
        <v>49310</v>
      </c>
      <c r="T1" s="244">
        <v>49675</v>
      </c>
      <c r="U1" s="244">
        <v>50041</v>
      </c>
      <c r="V1" s="244">
        <v>50406</v>
      </c>
      <c r="W1" s="244">
        <v>50771</v>
      </c>
      <c r="X1" s="244">
        <v>51136</v>
      </c>
      <c r="Y1" s="244">
        <v>51502</v>
      </c>
      <c r="Z1" s="244">
        <v>51867</v>
      </c>
      <c r="AA1" s="244">
        <v>52232</v>
      </c>
      <c r="AB1" s="244">
        <v>52597</v>
      </c>
      <c r="AC1" s="244">
        <v>52963</v>
      </c>
      <c r="AD1" s="244">
        <v>53328</v>
      </c>
      <c r="AE1" s="241"/>
    </row>
    <row r="2" spans="1:31" ht="14.25" customHeight="1" x14ac:dyDescent="0.25"/>
    <row r="3" spans="1:31" x14ac:dyDescent="0.25">
      <c r="A3" s="318" t="s">
        <v>149</v>
      </c>
      <c r="B3" s="318"/>
      <c r="C3" s="318"/>
      <c r="D3" s="243">
        <v>1.81</v>
      </c>
    </row>
    <row r="4" spans="1:31" x14ac:dyDescent="0.25">
      <c r="A4" s="245" t="s">
        <v>0</v>
      </c>
    </row>
    <row r="5" spans="1:31" x14ac:dyDescent="0.25">
      <c r="A5" s="4" t="s">
        <v>128</v>
      </c>
      <c r="E5" s="54">
        <f>'Minigrids - 1 item'!C10</f>
        <v>27361</v>
      </c>
      <c r="F5" s="54">
        <f>'Minigrids - 1 item'!D10</f>
        <v>2736.1000000000004</v>
      </c>
      <c r="G5" s="54">
        <f>'Minigrids - 1 item'!E10</f>
        <v>2736.1000000000004</v>
      </c>
      <c r="H5" s="54">
        <f>'Minigrids - 1 item'!F10</f>
        <v>2736.1000000000004</v>
      </c>
      <c r="I5" s="54">
        <f>'Minigrids - 1 item'!G10</f>
        <v>2736.1000000000004</v>
      </c>
      <c r="J5" s="54">
        <f>'Minigrids - 1 item'!H10</f>
        <v>2736.1000000000004</v>
      </c>
      <c r="K5" s="54">
        <f>'Minigrids - 1 item'!I10</f>
        <v>2736.1000000000004</v>
      </c>
      <c r="L5" s="54">
        <f>'Minigrids - 1 item'!J10</f>
        <v>2736.1000000000004</v>
      </c>
      <c r="M5" s="54">
        <f>'Minigrids - 1 item'!K10</f>
        <v>2736.1000000000004</v>
      </c>
      <c r="N5" s="54">
        <f>'Minigrids - 1 item'!L10</f>
        <v>2736.1000000000004</v>
      </c>
      <c r="O5" s="54">
        <f>'Minigrids - 1 item'!M10</f>
        <v>2736.1000000000004</v>
      </c>
      <c r="P5" s="54">
        <f>'Minigrids - 1 item'!N10</f>
        <v>2736.1000000000004</v>
      </c>
      <c r="Q5" s="54">
        <f>'Minigrids - 1 item'!O10</f>
        <v>2736.1000000000004</v>
      </c>
      <c r="R5" s="54">
        <f>'Minigrids - 1 item'!P10</f>
        <v>2736.1000000000004</v>
      </c>
      <c r="S5" s="54">
        <f>'Minigrids - 1 item'!Q10</f>
        <v>2736.1000000000004</v>
      </c>
      <c r="T5" s="54">
        <f>'Minigrids - 1 item'!R10</f>
        <v>2736.1000000000004</v>
      </c>
      <c r="U5" s="54">
        <f>'Minigrids - 1 item'!S10</f>
        <v>2736.1000000000004</v>
      </c>
      <c r="V5" s="54">
        <f>'Minigrids - 1 item'!T10</f>
        <v>2736.1000000000004</v>
      </c>
      <c r="W5" s="54">
        <f>'Minigrids - 1 item'!U10</f>
        <v>2736.1000000000004</v>
      </c>
      <c r="X5" s="54">
        <f>'Minigrids - 1 item'!V10</f>
        <v>2736.1000000000004</v>
      </c>
      <c r="Y5" s="54">
        <f>'Minigrids - 1 item'!W10</f>
        <v>2736.1000000000004</v>
      </c>
      <c r="Z5" s="54">
        <f>'Minigrids - 1 item'!X10</f>
        <v>2736.1000000000004</v>
      </c>
      <c r="AA5" s="54">
        <f>'Minigrids - 1 item'!Y10</f>
        <v>2736.1000000000004</v>
      </c>
      <c r="AB5" s="54">
        <f>'Minigrids - 1 item'!Z10</f>
        <v>2736.1000000000004</v>
      </c>
      <c r="AC5" s="54">
        <f>'Minigrids - 1 item'!AA10</f>
        <v>2736.1000000000004</v>
      </c>
      <c r="AD5" s="54">
        <f>'Minigrids - 1 item'!AB10</f>
        <v>2736.1000000000004</v>
      </c>
      <c r="AE5" s="4" t="s">
        <v>12</v>
      </c>
    </row>
    <row r="6" spans="1:31" x14ac:dyDescent="0.25">
      <c r="A6" s="4" t="s">
        <v>129</v>
      </c>
      <c r="E6" s="242">
        <f>'Minigrids - 1 item'!C20*$D$3</f>
        <v>0</v>
      </c>
      <c r="F6" s="242">
        <f>'Minigrids - 1 item'!D20*$D$3</f>
        <v>8399.9797680000011</v>
      </c>
      <c r="G6" s="242">
        <f>'Minigrids - 1 item'!E20*$D$3</f>
        <v>8399.9797680000011</v>
      </c>
      <c r="H6" s="242">
        <f>'Minigrids - 1 item'!F20*$D$3</f>
        <v>8399.9797680000011</v>
      </c>
      <c r="I6" s="242">
        <f>'Minigrids - 1 item'!G20*$D$3</f>
        <v>8399.9797680000011</v>
      </c>
      <c r="J6" s="242">
        <f>'Minigrids - 1 item'!H20*$D$3</f>
        <v>8399.9797680000011</v>
      </c>
      <c r="K6" s="242">
        <f>'Minigrids - 1 item'!I20*$D$3</f>
        <v>8399.9797680000011</v>
      </c>
      <c r="L6" s="242">
        <f>'Minigrids - 1 item'!J20*$D$3</f>
        <v>8399.9797680000011</v>
      </c>
      <c r="M6" s="242">
        <f>'Minigrids - 1 item'!K20*$D$3</f>
        <v>8399.9797680000011</v>
      </c>
      <c r="N6" s="242">
        <f>'Minigrids - 1 item'!L20*$D$3</f>
        <v>8399.9797680000011</v>
      </c>
      <c r="O6" s="242">
        <f>'Minigrids - 1 item'!M20*$D$3</f>
        <v>8399.9797680000011</v>
      </c>
      <c r="P6" s="242">
        <f>'Minigrids - 1 item'!N20*$D$3</f>
        <v>8399.9797680000011</v>
      </c>
      <c r="Q6" s="242">
        <f>'Minigrids - 1 item'!O20*$D$3</f>
        <v>8399.9797680000011</v>
      </c>
      <c r="R6" s="242">
        <f>'Minigrids - 1 item'!P20*$D$3</f>
        <v>8399.9797680000011</v>
      </c>
      <c r="S6" s="242">
        <f>'Minigrids - 1 item'!Q20*$D$3</f>
        <v>8399.9797680000011</v>
      </c>
      <c r="T6" s="242">
        <f>'Minigrids - 1 item'!R20*$D$3</f>
        <v>8399.9797680000011</v>
      </c>
      <c r="U6" s="242">
        <f>'Minigrids - 1 item'!S20*$D$3</f>
        <v>8399.9797680000011</v>
      </c>
      <c r="V6" s="242">
        <f>'Minigrids - 1 item'!T20*$D$3</f>
        <v>8399.9797680000011</v>
      </c>
      <c r="W6" s="242">
        <f>'Minigrids - 1 item'!U20*$D$3</f>
        <v>8399.9797680000011</v>
      </c>
      <c r="X6" s="242">
        <f>'Minigrids - 1 item'!V20*$D$3</f>
        <v>8399.9797680000011</v>
      </c>
      <c r="Y6" s="242">
        <f>'Minigrids - 1 item'!W20*$D$3</f>
        <v>8399.9797680000011</v>
      </c>
      <c r="Z6" s="242">
        <f>'Minigrids - 1 item'!X20*$D$3</f>
        <v>8399.9797680000011</v>
      </c>
      <c r="AA6" s="242">
        <f>'Minigrids - 1 item'!Y20*$D$3</f>
        <v>8399.9797680000011</v>
      </c>
      <c r="AB6" s="242">
        <f>'Minigrids - 1 item'!Z20*$D$3</f>
        <v>8399.9797680000011</v>
      </c>
      <c r="AC6" s="242">
        <f>'Minigrids - 1 item'!AA20*$D$3</f>
        <v>8399.9797680000011</v>
      </c>
      <c r="AD6" s="242">
        <f>'Minigrids - 1 item'!AB20*$D$3</f>
        <v>8399.9797680000011</v>
      </c>
      <c r="AE6" s="4" t="s">
        <v>12</v>
      </c>
    </row>
    <row r="7" spans="1:31" x14ac:dyDescent="0.25">
      <c r="A7" s="4" t="s">
        <v>130</v>
      </c>
      <c r="E7" s="242">
        <f>E6-E5</f>
        <v>-27361</v>
      </c>
      <c r="F7" s="242">
        <f>F6-F5</f>
        <v>5663.8797680000007</v>
      </c>
      <c r="G7" s="242">
        <f t="shared" ref="G7:X7" si="0">G6-G5</f>
        <v>5663.8797680000007</v>
      </c>
      <c r="H7" s="242">
        <f t="shared" si="0"/>
        <v>5663.8797680000007</v>
      </c>
      <c r="I7" s="242">
        <f t="shared" si="0"/>
        <v>5663.8797680000007</v>
      </c>
      <c r="J7" s="242">
        <f t="shared" si="0"/>
        <v>5663.8797680000007</v>
      </c>
      <c r="K7" s="242">
        <f t="shared" si="0"/>
        <v>5663.8797680000007</v>
      </c>
      <c r="L7" s="242">
        <f t="shared" si="0"/>
        <v>5663.8797680000007</v>
      </c>
      <c r="M7" s="242">
        <f t="shared" si="0"/>
        <v>5663.8797680000007</v>
      </c>
      <c r="N7" s="242">
        <f t="shared" si="0"/>
        <v>5663.8797680000007</v>
      </c>
      <c r="O7" s="242">
        <f t="shared" si="0"/>
        <v>5663.8797680000007</v>
      </c>
      <c r="P7" s="242">
        <f t="shared" si="0"/>
        <v>5663.8797680000007</v>
      </c>
      <c r="Q7" s="242">
        <f t="shared" si="0"/>
        <v>5663.8797680000007</v>
      </c>
      <c r="R7" s="242">
        <f t="shared" si="0"/>
        <v>5663.8797680000007</v>
      </c>
      <c r="S7" s="242">
        <f t="shared" si="0"/>
        <v>5663.8797680000007</v>
      </c>
      <c r="T7" s="242">
        <f t="shared" si="0"/>
        <v>5663.8797680000007</v>
      </c>
      <c r="U7" s="242">
        <f t="shared" si="0"/>
        <v>5663.8797680000007</v>
      </c>
      <c r="V7" s="242">
        <f t="shared" si="0"/>
        <v>5663.8797680000007</v>
      </c>
      <c r="W7" s="242">
        <f t="shared" si="0"/>
        <v>5663.8797680000007</v>
      </c>
      <c r="X7" s="242">
        <f t="shared" si="0"/>
        <v>5663.8797680000007</v>
      </c>
      <c r="Y7" s="242">
        <f t="shared" ref="Y7:AD7" si="1">Y6-Y5</f>
        <v>5663.8797680000007</v>
      </c>
      <c r="Z7" s="242">
        <f t="shared" si="1"/>
        <v>5663.8797680000007</v>
      </c>
      <c r="AA7" s="242">
        <f t="shared" si="1"/>
        <v>5663.8797680000007</v>
      </c>
      <c r="AB7" s="242">
        <f t="shared" si="1"/>
        <v>5663.8797680000007</v>
      </c>
      <c r="AC7" s="242">
        <f t="shared" si="1"/>
        <v>5663.8797680000007</v>
      </c>
      <c r="AD7" s="242">
        <f t="shared" si="1"/>
        <v>5663.8797680000007</v>
      </c>
      <c r="AE7" s="4" t="s">
        <v>12</v>
      </c>
    </row>
    <row r="9" spans="1:31" x14ac:dyDescent="0.25">
      <c r="A9" s="4" t="s">
        <v>84</v>
      </c>
      <c r="C9" s="12">
        <f>XNPV(B$11,E7:AD7,$E$1:$AD$1)</f>
        <v>52441.342037990653</v>
      </c>
    </row>
    <row r="10" spans="1:31" x14ac:dyDescent="0.25">
      <c r="A10" s="4" t="s">
        <v>83</v>
      </c>
      <c r="C10" s="247">
        <f>XIRR(E7:AD7,$E$1:$AD$1,0.1)</f>
        <v>0.20493981242179871</v>
      </c>
    </row>
    <row r="11" spans="1:31" x14ac:dyDescent="0.25">
      <c r="A11" s="4" t="s">
        <v>79</v>
      </c>
      <c r="B11">
        <v>0.05</v>
      </c>
    </row>
    <row r="12" spans="1:31" x14ac:dyDescent="0.25">
      <c r="A12" s="4"/>
    </row>
    <row r="13" spans="1:31" x14ac:dyDescent="0.25">
      <c r="A13" s="318" t="s">
        <v>149</v>
      </c>
      <c r="B13" s="318"/>
      <c r="C13" s="318"/>
      <c r="D13" s="243">
        <v>2.1800000000000002</v>
      </c>
    </row>
    <row r="14" spans="1:31" x14ac:dyDescent="0.25">
      <c r="A14" s="245" t="s">
        <v>123</v>
      </c>
    </row>
    <row r="15" spans="1:31" x14ac:dyDescent="0.25">
      <c r="A15" s="4" t="s">
        <v>128</v>
      </c>
      <c r="E15" s="54">
        <f>'Minigrids - 1 item'!C43</f>
        <v>27361</v>
      </c>
      <c r="F15" s="54">
        <f>'Minigrids - 1 item'!D43</f>
        <v>2736.1000000000004</v>
      </c>
      <c r="G15" s="54">
        <f>'Minigrids - 1 item'!E43</f>
        <v>2736.1000000000004</v>
      </c>
      <c r="H15" s="54">
        <f>'Minigrids - 1 item'!F43</f>
        <v>2736.1000000000004</v>
      </c>
      <c r="I15" s="54">
        <f>'Minigrids - 1 item'!G43</f>
        <v>2736.1000000000004</v>
      </c>
      <c r="J15" s="54">
        <f>'Minigrids - 1 item'!H43</f>
        <v>2736.1000000000004</v>
      </c>
      <c r="K15" s="54">
        <f>'Minigrids - 1 item'!I43</f>
        <v>2736.1000000000004</v>
      </c>
      <c r="L15" s="54">
        <f>'Minigrids - 1 item'!J43</f>
        <v>2736.1000000000004</v>
      </c>
      <c r="M15" s="54">
        <f>'Minigrids - 1 item'!K43</f>
        <v>2736.1000000000004</v>
      </c>
      <c r="N15" s="54">
        <f>'Minigrids - 1 item'!L43</f>
        <v>2736.1000000000004</v>
      </c>
      <c r="O15" s="54">
        <f>'Minigrids - 1 item'!M43</f>
        <v>2736.1000000000004</v>
      </c>
      <c r="P15" s="54">
        <f>'Minigrids - 1 item'!N43</f>
        <v>2736.1000000000004</v>
      </c>
      <c r="Q15" s="54">
        <f>'Minigrids - 1 item'!O43</f>
        <v>2736.1000000000004</v>
      </c>
      <c r="R15" s="54">
        <f>'Minigrids - 1 item'!P43</f>
        <v>2736.1000000000004</v>
      </c>
      <c r="S15" s="54">
        <f>'Minigrids - 1 item'!Q43</f>
        <v>2736.1000000000004</v>
      </c>
      <c r="T15" s="54">
        <f>'Minigrids - 1 item'!R43</f>
        <v>2736.1000000000004</v>
      </c>
      <c r="U15" s="54">
        <f>'Minigrids - 1 item'!S43</f>
        <v>2736.1000000000004</v>
      </c>
      <c r="V15" s="54">
        <f>'Minigrids - 1 item'!T43</f>
        <v>2736.1000000000004</v>
      </c>
      <c r="W15" s="54">
        <f>'Minigrids - 1 item'!U43</f>
        <v>2736.1000000000004</v>
      </c>
      <c r="X15" s="54">
        <f>'Minigrids - 1 item'!V43</f>
        <v>2736.1000000000004</v>
      </c>
      <c r="Y15" s="54">
        <f>'Minigrids - 1 item'!W43</f>
        <v>2736.1000000000004</v>
      </c>
      <c r="Z15" s="54">
        <f>'Minigrids - 1 item'!X43</f>
        <v>2736.1000000000004</v>
      </c>
      <c r="AA15" s="54">
        <f>'Minigrids - 1 item'!Y43</f>
        <v>2736.1000000000004</v>
      </c>
      <c r="AB15" s="54">
        <f>'Minigrids - 1 item'!Z43</f>
        <v>2736.1000000000004</v>
      </c>
      <c r="AC15" s="54">
        <f>'Minigrids - 1 item'!AA43</f>
        <v>2736.1000000000004</v>
      </c>
      <c r="AD15" s="54">
        <f>'Minigrids - 1 item'!AB43</f>
        <v>2736.1000000000004</v>
      </c>
      <c r="AE15" s="4" t="s">
        <v>12</v>
      </c>
    </row>
    <row r="16" spans="1:31" x14ac:dyDescent="0.25">
      <c r="A16" s="4" t="s">
        <v>129</v>
      </c>
      <c r="E16" s="57">
        <f>'Minigrids - 1 item'!C53*$D$13</f>
        <v>0</v>
      </c>
      <c r="F16" s="57">
        <f>'Minigrids - 1 item'!D53*$D$13</f>
        <v>8066.5392447999993</v>
      </c>
      <c r="G16" s="57">
        <f>'Minigrids - 1 item'!E53*$D$13</f>
        <v>8066.5392447999993</v>
      </c>
      <c r="H16" s="57">
        <f>'Minigrids - 1 item'!F53*$D$13</f>
        <v>8066.5392447999993</v>
      </c>
      <c r="I16" s="57">
        <f>'Minigrids - 1 item'!G53*$D$13</f>
        <v>8066.5392447999993</v>
      </c>
      <c r="J16" s="57">
        <f>'Minigrids - 1 item'!H53*$D$13</f>
        <v>8066.5392447999993</v>
      </c>
      <c r="K16" s="57">
        <f>'Minigrids - 1 item'!I53*$D$13</f>
        <v>8066.5392447999993</v>
      </c>
      <c r="L16" s="57">
        <f>'Minigrids - 1 item'!J53*$D$13</f>
        <v>8066.5392447999993</v>
      </c>
      <c r="M16" s="57">
        <f>'Minigrids - 1 item'!K53*$D$13</f>
        <v>8066.5392447999993</v>
      </c>
      <c r="N16" s="57">
        <f>'Minigrids - 1 item'!L53*$D$13</f>
        <v>8066.5392447999993</v>
      </c>
      <c r="O16" s="57">
        <f>'Minigrids - 1 item'!M53*$D$13</f>
        <v>8066.5392447999993</v>
      </c>
      <c r="P16" s="57">
        <f>'Minigrids - 1 item'!N53*$D$13</f>
        <v>8066.5392447999993</v>
      </c>
      <c r="Q16" s="57">
        <f>'Minigrids - 1 item'!O53*$D$13</f>
        <v>8066.5392447999993</v>
      </c>
      <c r="R16" s="57">
        <f>'Minigrids - 1 item'!P53*$D$13</f>
        <v>8066.5392447999993</v>
      </c>
      <c r="S16" s="57">
        <f>'Minigrids - 1 item'!Q53*$D$13</f>
        <v>8066.5392447999993</v>
      </c>
      <c r="T16" s="57">
        <f>'Minigrids - 1 item'!R53*$D$13</f>
        <v>8066.5392447999993</v>
      </c>
      <c r="U16" s="57">
        <f>'Minigrids - 1 item'!S53*$D$13</f>
        <v>8066.5392447999993</v>
      </c>
      <c r="V16" s="57">
        <f>'Minigrids - 1 item'!T53*$D$13</f>
        <v>8066.5392447999993</v>
      </c>
      <c r="W16" s="57">
        <f>'Minigrids - 1 item'!U53*$D$13</f>
        <v>8066.5392447999993</v>
      </c>
      <c r="X16" s="57">
        <f>'Minigrids - 1 item'!V53*$D$13</f>
        <v>8066.5392447999993</v>
      </c>
      <c r="Y16" s="57">
        <f>'Minigrids - 1 item'!W53*$D$13</f>
        <v>8066.5392447999993</v>
      </c>
      <c r="Z16" s="57">
        <f>'Minigrids - 1 item'!X53*$D$13</f>
        <v>8066.5392447999993</v>
      </c>
      <c r="AA16" s="57">
        <f>'Minigrids - 1 item'!Y53*$D$13</f>
        <v>8066.5392447999993</v>
      </c>
      <c r="AB16" s="57">
        <f>'Minigrids - 1 item'!Z53*$D$13</f>
        <v>8066.5392447999993</v>
      </c>
      <c r="AC16" s="57">
        <f>'Minigrids - 1 item'!AA53*$D$13</f>
        <v>8066.5392447999993</v>
      </c>
      <c r="AD16" s="57">
        <f>'Minigrids - 1 item'!AB53*$D$13</f>
        <v>8066.5392447999993</v>
      </c>
      <c r="AE16" s="4" t="s">
        <v>12</v>
      </c>
    </row>
    <row r="17" spans="1:31" x14ac:dyDescent="0.25">
      <c r="A17" s="4" t="s">
        <v>130</v>
      </c>
      <c r="E17" s="57">
        <f>E16-E15</f>
        <v>-27361</v>
      </c>
      <c r="F17" s="57">
        <f t="shared" ref="F17:X17" si="2">F16-F15</f>
        <v>5330.439244799999</v>
      </c>
      <c r="G17" s="57">
        <f t="shared" si="2"/>
        <v>5330.439244799999</v>
      </c>
      <c r="H17" s="57">
        <f t="shared" si="2"/>
        <v>5330.439244799999</v>
      </c>
      <c r="I17" s="57">
        <f t="shared" si="2"/>
        <v>5330.439244799999</v>
      </c>
      <c r="J17" s="57">
        <f t="shared" si="2"/>
        <v>5330.439244799999</v>
      </c>
      <c r="K17" s="57">
        <f t="shared" si="2"/>
        <v>5330.439244799999</v>
      </c>
      <c r="L17" s="57">
        <f t="shared" si="2"/>
        <v>5330.439244799999</v>
      </c>
      <c r="M17" s="57">
        <f t="shared" si="2"/>
        <v>5330.439244799999</v>
      </c>
      <c r="N17" s="57">
        <f t="shared" si="2"/>
        <v>5330.439244799999</v>
      </c>
      <c r="O17" s="57">
        <f t="shared" si="2"/>
        <v>5330.439244799999</v>
      </c>
      <c r="P17" s="57">
        <f t="shared" si="2"/>
        <v>5330.439244799999</v>
      </c>
      <c r="Q17" s="57">
        <f t="shared" si="2"/>
        <v>5330.439244799999</v>
      </c>
      <c r="R17" s="57">
        <f t="shared" si="2"/>
        <v>5330.439244799999</v>
      </c>
      <c r="S17" s="57">
        <f t="shared" si="2"/>
        <v>5330.439244799999</v>
      </c>
      <c r="T17" s="57">
        <f t="shared" si="2"/>
        <v>5330.439244799999</v>
      </c>
      <c r="U17" s="57">
        <f t="shared" si="2"/>
        <v>5330.439244799999</v>
      </c>
      <c r="V17" s="57">
        <f t="shared" si="2"/>
        <v>5330.439244799999</v>
      </c>
      <c r="W17" s="57">
        <f t="shared" si="2"/>
        <v>5330.439244799999</v>
      </c>
      <c r="X17" s="57">
        <f t="shared" si="2"/>
        <v>5330.439244799999</v>
      </c>
      <c r="Y17" s="57">
        <f t="shared" ref="Y17:AD17" si="3">Y16-Y15</f>
        <v>5330.439244799999</v>
      </c>
      <c r="Z17" s="57">
        <f t="shared" si="3"/>
        <v>5330.439244799999</v>
      </c>
      <c r="AA17" s="57">
        <f t="shared" si="3"/>
        <v>5330.439244799999</v>
      </c>
      <c r="AB17" s="57">
        <f t="shared" si="3"/>
        <v>5330.439244799999</v>
      </c>
      <c r="AC17" s="57">
        <f t="shared" si="3"/>
        <v>5330.439244799999</v>
      </c>
      <c r="AD17" s="57">
        <f t="shared" si="3"/>
        <v>5330.439244799999</v>
      </c>
      <c r="AE17" s="4" t="s">
        <v>12</v>
      </c>
    </row>
    <row r="19" spans="1:31" x14ac:dyDescent="0.25">
      <c r="A19" s="4" t="s">
        <v>84</v>
      </c>
      <c r="C19" s="12">
        <f>XNPV(B$21,E17:AD17,$E$1:$AD$1)</f>
        <v>22923.149544743868</v>
      </c>
    </row>
    <row r="20" spans="1:31" x14ac:dyDescent="0.25">
      <c r="A20" s="4" t="s">
        <v>83</v>
      </c>
      <c r="C20" s="247">
        <f>XIRR(E17:AD17,$E$1:$AD$1,0.1)</f>
        <v>0.192320054769516</v>
      </c>
    </row>
    <row r="21" spans="1:31" x14ac:dyDescent="0.25">
      <c r="A21" s="4" t="s">
        <v>79</v>
      </c>
      <c r="B21">
        <v>9.5000000000000001E-2</v>
      </c>
    </row>
    <row r="22" spans="1:31" x14ac:dyDescent="0.25">
      <c r="A22" s="4"/>
    </row>
    <row r="23" spans="1:31" x14ac:dyDescent="0.25">
      <c r="A23" s="318" t="s">
        <v>149</v>
      </c>
      <c r="B23" s="318"/>
      <c r="C23" s="318"/>
      <c r="D23" s="243">
        <v>1.73</v>
      </c>
    </row>
    <row r="24" spans="1:31" x14ac:dyDescent="0.25">
      <c r="A24" s="245" t="s">
        <v>124</v>
      </c>
    </row>
    <row r="25" spans="1:31" x14ac:dyDescent="0.25">
      <c r="A25" s="4" t="s">
        <v>128</v>
      </c>
      <c r="E25" s="54">
        <f>'Minigrids - 1 item'!C76</f>
        <v>27361</v>
      </c>
      <c r="F25" s="54">
        <f>'Minigrids - 1 item'!D76</f>
        <v>2736.1000000000004</v>
      </c>
      <c r="G25" s="54">
        <f>'Minigrids - 1 item'!E76</f>
        <v>2736.1000000000004</v>
      </c>
      <c r="H25" s="54">
        <f>'Minigrids - 1 item'!F76</f>
        <v>2736.1000000000004</v>
      </c>
      <c r="I25" s="54">
        <f>'Minigrids - 1 item'!G76</f>
        <v>2736.1000000000004</v>
      </c>
      <c r="J25" s="54">
        <f>'Minigrids - 1 item'!H76</f>
        <v>2736.1000000000004</v>
      </c>
      <c r="K25" s="54">
        <f>'Minigrids - 1 item'!I76</f>
        <v>2736.1000000000004</v>
      </c>
      <c r="L25" s="54">
        <f>'Minigrids - 1 item'!J76</f>
        <v>2736.1000000000004</v>
      </c>
      <c r="M25" s="54">
        <f>'Minigrids - 1 item'!K76</f>
        <v>2736.1000000000004</v>
      </c>
      <c r="N25" s="54">
        <f>'Minigrids - 1 item'!L76</f>
        <v>2736.1000000000004</v>
      </c>
      <c r="O25" s="54">
        <f>'Minigrids - 1 item'!M76</f>
        <v>2736.1000000000004</v>
      </c>
      <c r="P25" s="54">
        <f>'Minigrids - 1 item'!N76</f>
        <v>2736.1000000000004</v>
      </c>
      <c r="Q25" s="54">
        <f>'Minigrids - 1 item'!O76</f>
        <v>2736.1000000000004</v>
      </c>
      <c r="R25" s="54">
        <f>'Minigrids - 1 item'!P76</f>
        <v>2736.1000000000004</v>
      </c>
      <c r="S25" s="54">
        <f>'Minigrids - 1 item'!Q76</f>
        <v>2736.1000000000004</v>
      </c>
      <c r="T25" s="54">
        <f>'Minigrids - 1 item'!R76</f>
        <v>2736.1000000000004</v>
      </c>
      <c r="U25" s="54">
        <f>'Minigrids - 1 item'!S76</f>
        <v>2736.1000000000004</v>
      </c>
      <c r="V25" s="54">
        <f>'Minigrids - 1 item'!T76</f>
        <v>2736.1000000000004</v>
      </c>
      <c r="W25" s="54">
        <f>'Minigrids - 1 item'!U76</f>
        <v>2736.1000000000004</v>
      </c>
      <c r="X25" s="54">
        <f>'Minigrids - 1 item'!V76</f>
        <v>2736.1000000000004</v>
      </c>
      <c r="Y25" s="54">
        <f>'Minigrids - 1 item'!W76</f>
        <v>2736.1000000000004</v>
      </c>
      <c r="Z25" s="54">
        <f>'Minigrids - 1 item'!X76</f>
        <v>2736.1000000000004</v>
      </c>
      <c r="AA25" s="54">
        <f>'Minigrids - 1 item'!Y76</f>
        <v>2736.1000000000004</v>
      </c>
      <c r="AB25" s="54">
        <f>'Minigrids - 1 item'!Z76</f>
        <v>2736.1000000000004</v>
      </c>
      <c r="AC25" s="54">
        <f>'Minigrids - 1 item'!AA76</f>
        <v>2736.1000000000004</v>
      </c>
      <c r="AD25" s="54">
        <f>'Minigrids - 1 item'!AB76</f>
        <v>2736.1000000000004</v>
      </c>
      <c r="AE25" s="4" t="s">
        <v>12</v>
      </c>
    </row>
    <row r="26" spans="1:31" x14ac:dyDescent="0.25">
      <c r="A26" s="4" t="s">
        <v>129</v>
      </c>
      <c r="E26" s="57">
        <f>'Minigrids - 1 item'!C86*$D$23</f>
        <v>0</v>
      </c>
      <c r="F26" s="57">
        <f>'Minigrids - 1 item'!D86*$D$23</f>
        <v>8365.3889808000004</v>
      </c>
      <c r="G26" s="57">
        <f>'Minigrids - 1 item'!E86*$D$23</f>
        <v>8365.3889808000004</v>
      </c>
      <c r="H26" s="57">
        <f>'Minigrids - 1 item'!F86*$D$23</f>
        <v>8365.3889808000004</v>
      </c>
      <c r="I26" s="57">
        <f>'Minigrids - 1 item'!G86*$D$23</f>
        <v>8365.3889808000004</v>
      </c>
      <c r="J26" s="57">
        <f>'Minigrids - 1 item'!H86*$D$23</f>
        <v>8365.3889808000004</v>
      </c>
      <c r="K26" s="57">
        <f>'Minigrids - 1 item'!I86*$D$23</f>
        <v>8365.3889808000004</v>
      </c>
      <c r="L26" s="57">
        <f>'Minigrids - 1 item'!J86*$D$23</f>
        <v>8365.3889808000004</v>
      </c>
      <c r="M26" s="57">
        <f>'Minigrids - 1 item'!K86*$D$23</f>
        <v>8365.3889808000004</v>
      </c>
      <c r="N26" s="57">
        <f>'Minigrids - 1 item'!L86*$D$23</f>
        <v>8365.3889808000004</v>
      </c>
      <c r="O26" s="57">
        <f>'Minigrids - 1 item'!M86*$D$23</f>
        <v>8365.3889808000004</v>
      </c>
      <c r="P26" s="57">
        <f>'Minigrids - 1 item'!N86*$D$23</f>
        <v>8365.3889808000004</v>
      </c>
      <c r="Q26" s="57">
        <f>'Minigrids - 1 item'!O86*$D$23</f>
        <v>8365.3889808000004</v>
      </c>
      <c r="R26" s="57">
        <f>'Minigrids - 1 item'!P86*$D$23</f>
        <v>8365.3889808000004</v>
      </c>
      <c r="S26" s="57">
        <f>'Minigrids - 1 item'!Q86*$D$23</f>
        <v>8365.3889808000004</v>
      </c>
      <c r="T26" s="57">
        <f>'Minigrids - 1 item'!R86*$D$23</f>
        <v>8365.3889808000004</v>
      </c>
      <c r="U26" s="57">
        <f>'Minigrids - 1 item'!S86*$D$23</f>
        <v>8365.3889808000004</v>
      </c>
      <c r="V26" s="57">
        <f>'Minigrids - 1 item'!T86*$D$23</f>
        <v>8365.3889808000004</v>
      </c>
      <c r="W26" s="57">
        <f>'Minigrids - 1 item'!U86*$D$23</f>
        <v>8365.3889808000004</v>
      </c>
      <c r="X26" s="57">
        <f>'Minigrids - 1 item'!V86*$D$23</f>
        <v>8365.3889808000004</v>
      </c>
      <c r="Y26" s="57">
        <f>'Minigrids - 1 item'!W86*$D$23</f>
        <v>8365.3889808000004</v>
      </c>
      <c r="Z26" s="57">
        <f>'Minigrids - 1 item'!X86*$D$23</f>
        <v>8365.3889808000004</v>
      </c>
      <c r="AA26" s="57">
        <f>'Minigrids - 1 item'!Y86*$D$23</f>
        <v>8365.3889808000004</v>
      </c>
      <c r="AB26" s="57">
        <f>'Minigrids - 1 item'!Z86*$D$23</f>
        <v>8365.3889808000004</v>
      </c>
      <c r="AC26" s="57">
        <f>'Minigrids - 1 item'!AA86*$D$23</f>
        <v>8365.3889808000004</v>
      </c>
      <c r="AD26" s="57">
        <f>'Minigrids - 1 item'!AB86*$D$23</f>
        <v>8365.3889808000004</v>
      </c>
      <c r="AE26" s="4" t="s">
        <v>12</v>
      </c>
    </row>
    <row r="27" spans="1:31" x14ac:dyDescent="0.25">
      <c r="A27" s="4" t="s">
        <v>130</v>
      </c>
      <c r="E27" s="57">
        <f>E26-E25</f>
        <v>-27361</v>
      </c>
      <c r="F27" s="57">
        <f t="shared" ref="F27:X27" si="4">F26-F25</f>
        <v>5629.2889808</v>
      </c>
      <c r="G27" s="57">
        <f t="shared" si="4"/>
        <v>5629.2889808</v>
      </c>
      <c r="H27" s="57">
        <f t="shared" si="4"/>
        <v>5629.2889808</v>
      </c>
      <c r="I27" s="57">
        <f t="shared" si="4"/>
        <v>5629.2889808</v>
      </c>
      <c r="J27" s="57">
        <f t="shared" si="4"/>
        <v>5629.2889808</v>
      </c>
      <c r="K27" s="57">
        <f t="shared" si="4"/>
        <v>5629.2889808</v>
      </c>
      <c r="L27" s="57">
        <f t="shared" si="4"/>
        <v>5629.2889808</v>
      </c>
      <c r="M27" s="57">
        <f t="shared" si="4"/>
        <v>5629.2889808</v>
      </c>
      <c r="N27" s="57">
        <f t="shared" si="4"/>
        <v>5629.2889808</v>
      </c>
      <c r="O27" s="57">
        <f t="shared" si="4"/>
        <v>5629.2889808</v>
      </c>
      <c r="P27" s="57">
        <f t="shared" si="4"/>
        <v>5629.2889808</v>
      </c>
      <c r="Q27" s="57">
        <f t="shared" si="4"/>
        <v>5629.2889808</v>
      </c>
      <c r="R27" s="57">
        <f t="shared" si="4"/>
        <v>5629.2889808</v>
      </c>
      <c r="S27" s="57">
        <f t="shared" si="4"/>
        <v>5629.2889808</v>
      </c>
      <c r="T27" s="57">
        <f t="shared" si="4"/>
        <v>5629.2889808</v>
      </c>
      <c r="U27" s="57">
        <f t="shared" si="4"/>
        <v>5629.2889808</v>
      </c>
      <c r="V27" s="57">
        <f t="shared" si="4"/>
        <v>5629.2889808</v>
      </c>
      <c r="W27" s="57">
        <f t="shared" si="4"/>
        <v>5629.2889808</v>
      </c>
      <c r="X27" s="57">
        <f t="shared" si="4"/>
        <v>5629.2889808</v>
      </c>
      <c r="Y27" s="57">
        <f t="shared" ref="Y27:AD27" si="5">Y26-Y25</f>
        <v>5629.2889808</v>
      </c>
      <c r="Z27" s="57">
        <f t="shared" si="5"/>
        <v>5629.2889808</v>
      </c>
      <c r="AA27" s="57">
        <f t="shared" si="5"/>
        <v>5629.2889808</v>
      </c>
      <c r="AB27" s="57">
        <f t="shared" si="5"/>
        <v>5629.2889808</v>
      </c>
      <c r="AC27" s="57">
        <f t="shared" si="5"/>
        <v>5629.2889808</v>
      </c>
      <c r="AD27" s="57">
        <f t="shared" si="5"/>
        <v>5629.2889808</v>
      </c>
      <c r="AE27" s="4" t="s">
        <v>12</v>
      </c>
    </row>
    <row r="29" spans="1:31" x14ac:dyDescent="0.25">
      <c r="A29" s="4" t="s">
        <v>84</v>
      </c>
      <c r="C29" s="12">
        <f>XNPV(B$31,E27:AD27,$E$1:$AD$1)</f>
        <v>60557.774229647046</v>
      </c>
    </row>
    <row r="30" spans="1:31" x14ac:dyDescent="0.25">
      <c r="A30" s="4" t="s">
        <v>83</v>
      </c>
      <c r="C30" s="247">
        <f>XIRR(E27:AD27,$E$1:$AD$1,0.1)</f>
        <v>0.20363475680351259</v>
      </c>
    </row>
    <row r="31" spans="1:31" x14ac:dyDescent="0.25">
      <c r="A31" s="4" t="s">
        <v>79</v>
      </c>
      <c r="B31">
        <v>0.04</v>
      </c>
    </row>
    <row r="32" spans="1:31" x14ac:dyDescent="0.25">
      <c r="A32" s="4"/>
    </row>
    <row r="33" spans="1:31" x14ac:dyDescent="0.25">
      <c r="A33" s="318" t="s">
        <v>149</v>
      </c>
      <c r="B33" s="318"/>
      <c r="C33" s="318"/>
      <c r="D33" s="243">
        <v>1.73</v>
      </c>
    </row>
    <row r="34" spans="1:31" x14ac:dyDescent="0.25">
      <c r="A34" s="245" t="s">
        <v>14</v>
      </c>
    </row>
    <row r="35" spans="1:31" x14ac:dyDescent="0.25">
      <c r="A35" s="4" t="s">
        <v>128</v>
      </c>
      <c r="E35" s="54">
        <f>'Minigrids - 1 item'!C109</f>
        <v>27361</v>
      </c>
      <c r="F35" s="54">
        <f>'Minigrids - 1 item'!D109</f>
        <v>2736.1000000000004</v>
      </c>
      <c r="G35" s="54">
        <f>'Minigrids - 1 item'!E109</f>
        <v>2736.1000000000004</v>
      </c>
      <c r="H35" s="54">
        <f>'Minigrids - 1 item'!F109</f>
        <v>2736.1000000000004</v>
      </c>
      <c r="I35" s="54">
        <f>'Minigrids - 1 item'!G109</f>
        <v>2736.1000000000004</v>
      </c>
      <c r="J35" s="54">
        <f>'Minigrids - 1 item'!H109</f>
        <v>2736.1000000000004</v>
      </c>
      <c r="K35" s="54">
        <f>'Minigrids - 1 item'!I109</f>
        <v>2736.1000000000004</v>
      </c>
      <c r="L35" s="54">
        <f>'Minigrids - 1 item'!J109</f>
        <v>2736.1000000000004</v>
      </c>
      <c r="M35" s="54">
        <f>'Minigrids - 1 item'!K109</f>
        <v>2736.1000000000004</v>
      </c>
      <c r="N35" s="54">
        <f>'Minigrids - 1 item'!L109</f>
        <v>2736.1000000000004</v>
      </c>
      <c r="O35" s="54">
        <f>'Minigrids - 1 item'!M109</f>
        <v>2736.1000000000004</v>
      </c>
      <c r="P35" s="54">
        <f>'Minigrids - 1 item'!N109</f>
        <v>2736.1000000000004</v>
      </c>
      <c r="Q35" s="54">
        <f>'Minigrids - 1 item'!O109</f>
        <v>2736.1000000000004</v>
      </c>
      <c r="R35" s="54">
        <f>'Minigrids - 1 item'!P109</f>
        <v>2736.1000000000004</v>
      </c>
      <c r="S35" s="54">
        <f>'Minigrids - 1 item'!Q109</f>
        <v>2736.1000000000004</v>
      </c>
      <c r="T35" s="54">
        <f>'Minigrids - 1 item'!R109</f>
        <v>2736.1000000000004</v>
      </c>
      <c r="U35" s="54">
        <f>'Minigrids - 1 item'!S109</f>
        <v>2736.1000000000004</v>
      </c>
      <c r="V35" s="54">
        <f>'Minigrids - 1 item'!T109</f>
        <v>2736.1000000000004</v>
      </c>
      <c r="W35" s="54">
        <f>'Minigrids - 1 item'!U109</f>
        <v>2736.1000000000004</v>
      </c>
      <c r="X35" s="54">
        <f>'Minigrids - 1 item'!V109</f>
        <v>2736.1000000000004</v>
      </c>
      <c r="Y35" s="54">
        <f>'Minigrids - 1 item'!W109</f>
        <v>2736.1000000000004</v>
      </c>
      <c r="Z35" s="54">
        <f>'Minigrids - 1 item'!X109</f>
        <v>2736.1000000000004</v>
      </c>
      <c r="AA35" s="54">
        <f>'Minigrids - 1 item'!Y109</f>
        <v>2736.1000000000004</v>
      </c>
      <c r="AB35" s="54">
        <f>'Minigrids - 1 item'!Z109</f>
        <v>2736.1000000000004</v>
      </c>
      <c r="AC35" s="54">
        <f>'Minigrids - 1 item'!AA109</f>
        <v>2736.1000000000004</v>
      </c>
      <c r="AD35" s="54">
        <f>'Minigrids - 1 item'!AB109</f>
        <v>2736.1000000000004</v>
      </c>
      <c r="AE35" s="4" t="s">
        <v>12</v>
      </c>
    </row>
    <row r="36" spans="1:31" x14ac:dyDescent="0.25">
      <c r="A36" s="4" t="s">
        <v>129</v>
      </c>
      <c r="E36" s="57">
        <f>'Minigrids - 1 item'!C119*$D$33</f>
        <v>0</v>
      </c>
      <c r="F36" s="57">
        <f>'Minigrids - 1 item'!D119*$D$33</f>
        <v>8365.3889808000004</v>
      </c>
      <c r="G36" s="57">
        <f>'Minigrids - 1 item'!E119*$D$33</f>
        <v>8365.3889808000004</v>
      </c>
      <c r="H36" s="57">
        <f>'Minigrids - 1 item'!F119*$D$33</f>
        <v>8365.3889808000004</v>
      </c>
      <c r="I36" s="57">
        <f>'Minigrids - 1 item'!G119*$D$33</f>
        <v>8365.3889808000004</v>
      </c>
      <c r="J36" s="57">
        <f>'Minigrids - 1 item'!H119*$D$33</f>
        <v>8365.3889808000004</v>
      </c>
      <c r="K36" s="57">
        <f>'Minigrids - 1 item'!I119*$D$33</f>
        <v>8365.3889808000004</v>
      </c>
      <c r="L36" s="57">
        <f>'Minigrids - 1 item'!J119*$D$33</f>
        <v>8365.3889808000004</v>
      </c>
      <c r="M36" s="57">
        <f>'Minigrids - 1 item'!K119*$D$33</f>
        <v>8365.3889808000004</v>
      </c>
      <c r="N36" s="57">
        <f>'Minigrids - 1 item'!L119*$D$33</f>
        <v>8365.3889808000004</v>
      </c>
      <c r="O36" s="57">
        <f>'Minigrids - 1 item'!M119*$D$33</f>
        <v>8365.3889808000004</v>
      </c>
      <c r="P36" s="57">
        <f>'Minigrids - 1 item'!N119*$D$33</f>
        <v>8365.3889808000004</v>
      </c>
      <c r="Q36" s="57">
        <f>'Minigrids - 1 item'!O119*$D$33</f>
        <v>8365.3889808000004</v>
      </c>
      <c r="R36" s="57">
        <f>'Minigrids - 1 item'!P119*$D$33</f>
        <v>8365.3889808000004</v>
      </c>
      <c r="S36" s="57">
        <f>'Minigrids - 1 item'!Q119*$D$33</f>
        <v>8365.3889808000004</v>
      </c>
      <c r="T36" s="57">
        <f>'Minigrids - 1 item'!R119*$D$33</f>
        <v>8365.3889808000004</v>
      </c>
      <c r="U36" s="57">
        <f>'Minigrids - 1 item'!S119*$D$33</f>
        <v>8365.3889808000004</v>
      </c>
      <c r="V36" s="57">
        <f>'Minigrids - 1 item'!T119*$D$33</f>
        <v>8365.3889808000004</v>
      </c>
      <c r="W36" s="57">
        <f>'Minigrids - 1 item'!U119*$D$33</f>
        <v>8365.3889808000004</v>
      </c>
      <c r="X36" s="57">
        <f>'Minigrids - 1 item'!V119*$D$33</f>
        <v>8365.3889808000004</v>
      </c>
      <c r="Y36" s="57">
        <f>'Minigrids - 1 item'!W119*$D$33</f>
        <v>8365.3889808000004</v>
      </c>
      <c r="Z36" s="57">
        <f>'Minigrids - 1 item'!X119*$D$33</f>
        <v>8365.3889808000004</v>
      </c>
      <c r="AA36" s="57">
        <f>'Minigrids - 1 item'!Y119*$D$33</f>
        <v>8365.3889808000004</v>
      </c>
      <c r="AB36" s="57">
        <f>'Minigrids - 1 item'!Z119*$D$33</f>
        <v>8365.3889808000004</v>
      </c>
      <c r="AC36" s="57">
        <f>'Minigrids - 1 item'!AA119*$D$33</f>
        <v>8365.3889808000004</v>
      </c>
      <c r="AD36" s="57">
        <f>'Minigrids - 1 item'!AB119*$D$33</f>
        <v>8365.3889808000004</v>
      </c>
      <c r="AE36" s="4" t="s">
        <v>12</v>
      </c>
    </row>
    <row r="37" spans="1:31" x14ac:dyDescent="0.25">
      <c r="A37" s="4" t="s">
        <v>130</v>
      </c>
      <c r="E37" s="57">
        <f>E36-E35</f>
        <v>-27361</v>
      </c>
      <c r="F37" s="57">
        <f t="shared" ref="F37:X37" si="6">F36-F35</f>
        <v>5629.2889808</v>
      </c>
      <c r="G37" s="57">
        <f t="shared" si="6"/>
        <v>5629.2889808</v>
      </c>
      <c r="H37" s="57">
        <f t="shared" si="6"/>
        <v>5629.2889808</v>
      </c>
      <c r="I37" s="57">
        <f t="shared" si="6"/>
        <v>5629.2889808</v>
      </c>
      <c r="J37" s="57">
        <f t="shared" si="6"/>
        <v>5629.2889808</v>
      </c>
      <c r="K37" s="57">
        <f t="shared" si="6"/>
        <v>5629.2889808</v>
      </c>
      <c r="L37" s="57">
        <f t="shared" si="6"/>
        <v>5629.2889808</v>
      </c>
      <c r="M37" s="57">
        <f t="shared" si="6"/>
        <v>5629.2889808</v>
      </c>
      <c r="N37" s="57">
        <f t="shared" si="6"/>
        <v>5629.2889808</v>
      </c>
      <c r="O37" s="57">
        <f t="shared" si="6"/>
        <v>5629.2889808</v>
      </c>
      <c r="P37" s="57">
        <f t="shared" si="6"/>
        <v>5629.2889808</v>
      </c>
      <c r="Q37" s="57">
        <f t="shared" si="6"/>
        <v>5629.2889808</v>
      </c>
      <c r="R37" s="57">
        <f t="shared" si="6"/>
        <v>5629.2889808</v>
      </c>
      <c r="S37" s="57">
        <f t="shared" si="6"/>
        <v>5629.2889808</v>
      </c>
      <c r="T37" s="57">
        <f t="shared" si="6"/>
        <v>5629.2889808</v>
      </c>
      <c r="U37" s="57">
        <f t="shared" si="6"/>
        <v>5629.2889808</v>
      </c>
      <c r="V37" s="57">
        <f t="shared" si="6"/>
        <v>5629.2889808</v>
      </c>
      <c r="W37" s="57">
        <f t="shared" si="6"/>
        <v>5629.2889808</v>
      </c>
      <c r="X37" s="57">
        <f t="shared" si="6"/>
        <v>5629.2889808</v>
      </c>
      <c r="Y37" s="57">
        <f t="shared" ref="Y37:AD37" si="7">Y36-Y35</f>
        <v>5629.2889808</v>
      </c>
      <c r="Z37" s="57">
        <f t="shared" si="7"/>
        <v>5629.2889808</v>
      </c>
      <c r="AA37" s="57">
        <f t="shared" si="7"/>
        <v>5629.2889808</v>
      </c>
      <c r="AB37" s="57">
        <f t="shared" si="7"/>
        <v>5629.2889808</v>
      </c>
      <c r="AC37" s="57">
        <f t="shared" si="7"/>
        <v>5629.2889808</v>
      </c>
      <c r="AD37" s="57">
        <f t="shared" si="7"/>
        <v>5629.2889808</v>
      </c>
      <c r="AE37" s="4" t="s">
        <v>12</v>
      </c>
    </row>
    <row r="39" spans="1:31" x14ac:dyDescent="0.25">
      <c r="A39" s="4" t="s">
        <v>84</v>
      </c>
      <c r="C39" s="12">
        <f>XNPV(B$41,E37:AD37,$E$1:$AD$1)</f>
        <v>60557.774229647046</v>
      </c>
    </row>
    <row r="40" spans="1:31" x14ac:dyDescent="0.25">
      <c r="A40" s="4" t="s">
        <v>83</v>
      </c>
      <c r="C40" s="247">
        <f>XIRR(E37:AD37,$E$1:$AD$1,0.1)</f>
        <v>0.20363475680351259</v>
      </c>
    </row>
    <row r="41" spans="1:31" x14ac:dyDescent="0.25">
      <c r="A41" s="4" t="s">
        <v>79</v>
      </c>
      <c r="B41">
        <v>0.04</v>
      </c>
    </row>
    <row r="42" spans="1:31" x14ac:dyDescent="0.25">
      <c r="A42" s="4"/>
    </row>
    <row r="43" spans="1:31" x14ac:dyDescent="0.25">
      <c r="A43" s="318" t="s">
        <v>149</v>
      </c>
      <c r="B43" s="318"/>
      <c r="C43" s="318"/>
      <c r="D43" s="243">
        <v>1.73</v>
      </c>
    </row>
    <row r="44" spans="1:31" x14ac:dyDescent="0.25">
      <c r="A44" s="245" t="s">
        <v>125</v>
      </c>
    </row>
    <row r="45" spans="1:31" x14ac:dyDescent="0.25">
      <c r="A45" s="4" t="s">
        <v>128</v>
      </c>
      <c r="E45" s="54">
        <f>'Minigrids - 1 item'!C142</f>
        <v>27361</v>
      </c>
      <c r="F45" s="54">
        <f>'Minigrids - 1 item'!D142</f>
        <v>2736.1000000000004</v>
      </c>
      <c r="G45" s="54">
        <f>'Minigrids - 1 item'!E142</f>
        <v>2736.1000000000004</v>
      </c>
      <c r="H45" s="54">
        <f>'Minigrids - 1 item'!F142</f>
        <v>2736.1000000000004</v>
      </c>
      <c r="I45" s="54">
        <f>'Minigrids - 1 item'!G142</f>
        <v>2736.1000000000004</v>
      </c>
      <c r="J45" s="54">
        <f>'Minigrids - 1 item'!H142</f>
        <v>2736.1000000000004</v>
      </c>
      <c r="K45" s="54">
        <f>'Minigrids - 1 item'!I142</f>
        <v>2736.1000000000004</v>
      </c>
      <c r="L45" s="54">
        <f>'Minigrids - 1 item'!J142</f>
        <v>2736.1000000000004</v>
      </c>
      <c r="M45" s="54">
        <f>'Minigrids - 1 item'!K142</f>
        <v>2736.1000000000004</v>
      </c>
      <c r="N45" s="54">
        <f>'Minigrids - 1 item'!L142</f>
        <v>2736.1000000000004</v>
      </c>
      <c r="O45" s="54">
        <f>'Minigrids - 1 item'!M142</f>
        <v>2736.1000000000004</v>
      </c>
      <c r="P45" s="54">
        <f>'Minigrids - 1 item'!N142</f>
        <v>2736.1000000000004</v>
      </c>
      <c r="Q45" s="54">
        <f>'Minigrids - 1 item'!O142</f>
        <v>2736.1000000000004</v>
      </c>
      <c r="R45" s="54">
        <f>'Minigrids - 1 item'!P142</f>
        <v>2736.1000000000004</v>
      </c>
      <c r="S45" s="54">
        <f>'Minigrids - 1 item'!Q142</f>
        <v>2736.1000000000004</v>
      </c>
      <c r="T45" s="54">
        <f>'Minigrids - 1 item'!R142</f>
        <v>2736.1000000000004</v>
      </c>
      <c r="U45" s="54">
        <f>'Minigrids - 1 item'!S142</f>
        <v>2736.1000000000004</v>
      </c>
      <c r="V45" s="54">
        <f>'Minigrids - 1 item'!T142</f>
        <v>2736.1000000000004</v>
      </c>
      <c r="W45" s="54">
        <f>'Minigrids - 1 item'!U142</f>
        <v>2736.1000000000004</v>
      </c>
      <c r="X45" s="54">
        <f>'Minigrids - 1 item'!V142</f>
        <v>2736.1000000000004</v>
      </c>
      <c r="Y45" s="54">
        <f>'Minigrids - 1 item'!W142</f>
        <v>2736.1000000000004</v>
      </c>
      <c r="Z45" s="54">
        <f>'Minigrids - 1 item'!X142</f>
        <v>2736.1000000000004</v>
      </c>
      <c r="AA45" s="54">
        <f>'Minigrids - 1 item'!Y142</f>
        <v>2736.1000000000004</v>
      </c>
      <c r="AB45" s="54">
        <f>'Minigrids - 1 item'!Z142</f>
        <v>2736.1000000000004</v>
      </c>
      <c r="AC45" s="54">
        <f>'Minigrids - 1 item'!AA142</f>
        <v>2736.1000000000004</v>
      </c>
      <c r="AD45" s="54">
        <f>'Minigrids - 1 item'!AB142</f>
        <v>2736.1000000000004</v>
      </c>
      <c r="AE45" s="4" t="s">
        <v>12</v>
      </c>
    </row>
    <row r="46" spans="1:31" x14ac:dyDescent="0.25">
      <c r="A46" s="4" t="s">
        <v>129</v>
      </c>
      <c r="E46" s="57">
        <f>'Minigrids - 1 item'!C152*$D$43</f>
        <v>0</v>
      </c>
      <c r="F46" s="57">
        <f>'Minigrids - 1 item'!D152*$D$43</f>
        <v>8365.3889808000004</v>
      </c>
      <c r="G46" s="57">
        <f>'Minigrids - 1 item'!E152*$D$43</f>
        <v>8365.3889808000004</v>
      </c>
      <c r="H46" s="57">
        <f>'Minigrids - 1 item'!F152*$D$43</f>
        <v>8365.3889808000004</v>
      </c>
      <c r="I46" s="57">
        <f>'Minigrids - 1 item'!G152*$D$43</f>
        <v>8365.3889808000004</v>
      </c>
      <c r="J46" s="57">
        <f>'Minigrids - 1 item'!H152*$D$43</f>
        <v>8365.3889808000004</v>
      </c>
      <c r="K46" s="57">
        <f>'Minigrids - 1 item'!I152*$D$43</f>
        <v>8365.3889808000004</v>
      </c>
      <c r="L46" s="57">
        <f>'Minigrids - 1 item'!J152*$D$43</f>
        <v>8365.3889808000004</v>
      </c>
      <c r="M46" s="57">
        <f>'Minigrids - 1 item'!K152*$D$43</f>
        <v>8365.3889808000004</v>
      </c>
      <c r="N46" s="57">
        <f>'Minigrids - 1 item'!L152*$D$43</f>
        <v>8365.3889808000004</v>
      </c>
      <c r="O46" s="57">
        <f>'Minigrids - 1 item'!M152*$D$43</f>
        <v>8365.3889808000004</v>
      </c>
      <c r="P46" s="57">
        <f>'Minigrids - 1 item'!N152*$D$43</f>
        <v>8365.3889808000004</v>
      </c>
      <c r="Q46" s="57">
        <f>'Minigrids - 1 item'!O152*$D$43</f>
        <v>8365.3889808000004</v>
      </c>
      <c r="R46" s="57">
        <f>'Minigrids - 1 item'!P152*$D$43</f>
        <v>8365.3889808000004</v>
      </c>
      <c r="S46" s="57">
        <f>'Minigrids - 1 item'!Q152*$D$43</f>
        <v>8365.3889808000004</v>
      </c>
      <c r="T46" s="57">
        <f>'Minigrids - 1 item'!R152*$D$43</f>
        <v>8365.3889808000004</v>
      </c>
      <c r="U46" s="57">
        <f>'Minigrids - 1 item'!S152*$D$43</f>
        <v>8365.3889808000004</v>
      </c>
      <c r="V46" s="57">
        <f>'Minigrids - 1 item'!T152*$D$43</f>
        <v>8365.3889808000004</v>
      </c>
      <c r="W46" s="57">
        <f>'Minigrids - 1 item'!U152*$D$43</f>
        <v>8365.3889808000004</v>
      </c>
      <c r="X46" s="57">
        <f>'Minigrids - 1 item'!V152*$D$43</f>
        <v>8365.3889808000004</v>
      </c>
      <c r="Y46" s="57">
        <f>'Minigrids - 1 item'!W152*$D$43</f>
        <v>8365.3889808000004</v>
      </c>
      <c r="Z46" s="57">
        <f>'Minigrids - 1 item'!X152*$D$43</f>
        <v>8365.3889808000004</v>
      </c>
      <c r="AA46" s="57">
        <f>'Minigrids - 1 item'!Y152*$D$43</f>
        <v>8365.3889808000004</v>
      </c>
      <c r="AB46" s="57">
        <f>'Minigrids - 1 item'!Z152*$D$43</f>
        <v>8365.3889808000004</v>
      </c>
      <c r="AC46" s="57">
        <f>'Minigrids - 1 item'!AA152*$D$43</f>
        <v>8365.3889808000004</v>
      </c>
      <c r="AD46" s="57">
        <f>'Minigrids - 1 item'!AB152*$D$43</f>
        <v>8365.3889808000004</v>
      </c>
      <c r="AE46" s="4" t="s">
        <v>12</v>
      </c>
    </row>
    <row r="47" spans="1:31" x14ac:dyDescent="0.25">
      <c r="A47" s="4" t="s">
        <v>130</v>
      </c>
      <c r="E47" s="57">
        <f>E46-E45</f>
        <v>-27361</v>
      </c>
      <c r="F47" s="57">
        <f t="shared" ref="F47:X47" si="8">F46-F45</f>
        <v>5629.2889808</v>
      </c>
      <c r="G47" s="57">
        <f t="shared" si="8"/>
        <v>5629.2889808</v>
      </c>
      <c r="H47" s="57">
        <f t="shared" si="8"/>
        <v>5629.2889808</v>
      </c>
      <c r="I47" s="57">
        <f t="shared" si="8"/>
        <v>5629.2889808</v>
      </c>
      <c r="J47" s="57">
        <f t="shared" si="8"/>
        <v>5629.2889808</v>
      </c>
      <c r="K47" s="57">
        <f t="shared" si="8"/>
        <v>5629.2889808</v>
      </c>
      <c r="L47" s="57">
        <f t="shared" si="8"/>
        <v>5629.2889808</v>
      </c>
      <c r="M47" s="57">
        <f t="shared" si="8"/>
        <v>5629.2889808</v>
      </c>
      <c r="N47" s="57">
        <f t="shared" si="8"/>
        <v>5629.2889808</v>
      </c>
      <c r="O47" s="57">
        <f t="shared" si="8"/>
        <v>5629.2889808</v>
      </c>
      <c r="P47" s="57">
        <f t="shared" si="8"/>
        <v>5629.2889808</v>
      </c>
      <c r="Q47" s="57">
        <f t="shared" si="8"/>
        <v>5629.2889808</v>
      </c>
      <c r="R47" s="57">
        <f t="shared" si="8"/>
        <v>5629.2889808</v>
      </c>
      <c r="S47" s="57">
        <f t="shared" si="8"/>
        <v>5629.2889808</v>
      </c>
      <c r="T47" s="57">
        <f t="shared" si="8"/>
        <v>5629.2889808</v>
      </c>
      <c r="U47" s="57">
        <f t="shared" si="8"/>
        <v>5629.2889808</v>
      </c>
      <c r="V47" s="57">
        <f t="shared" si="8"/>
        <v>5629.2889808</v>
      </c>
      <c r="W47" s="57">
        <f t="shared" si="8"/>
        <v>5629.2889808</v>
      </c>
      <c r="X47" s="57">
        <f t="shared" si="8"/>
        <v>5629.2889808</v>
      </c>
      <c r="Y47" s="57">
        <f t="shared" ref="Y47:AD47" si="9">Y46-Y45</f>
        <v>5629.2889808</v>
      </c>
      <c r="Z47" s="57">
        <f t="shared" si="9"/>
        <v>5629.2889808</v>
      </c>
      <c r="AA47" s="57">
        <f t="shared" si="9"/>
        <v>5629.2889808</v>
      </c>
      <c r="AB47" s="57">
        <f t="shared" si="9"/>
        <v>5629.2889808</v>
      </c>
      <c r="AC47" s="57">
        <f t="shared" si="9"/>
        <v>5629.2889808</v>
      </c>
      <c r="AD47" s="57">
        <f t="shared" si="9"/>
        <v>5629.2889808</v>
      </c>
      <c r="AE47" s="4" t="s">
        <v>12</v>
      </c>
    </row>
    <row r="49" spans="1:3" x14ac:dyDescent="0.25">
      <c r="A49" s="4" t="s">
        <v>84</v>
      </c>
      <c r="C49" s="12">
        <f>XNPV(B$51,E47:AD47,$E$1:$AD$1)</f>
        <v>60557.774229647046</v>
      </c>
    </row>
    <row r="50" spans="1:3" x14ac:dyDescent="0.25">
      <c r="A50" s="4" t="s">
        <v>83</v>
      </c>
      <c r="C50" s="247">
        <f>XIRR(E47:AD47,$E$1:$AD$1,0.1)</f>
        <v>0.20363475680351259</v>
      </c>
    </row>
    <row r="51" spans="1:3" x14ac:dyDescent="0.25">
      <c r="A51" s="4" t="s">
        <v>79</v>
      </c>
      <c r="B51">
        <v>0.04</v>
      </c>
    </row>
    <row r="55" spans="1:3" x14ac:dyDescent="0.25">
      <c r="B55" s="240" t="s">
        <v>83</v>
      </c>
      <c r="C55" s="240" t="s">
        <v>84</v>
      </c>
    </row>
    <row r="56" spans="1:3" x14ac:dyDescent="0.25">
      <c r="A56" s="245" t="s">
        <v>0</v>
      </c>
      <c r="B56" s="248">
        <f>C10</f>
        <v>0.20493981242179871</v>
      </c>
      <c r="C56" s="52">
        <f>C9</f>
        <v>52441.342037990653</v>
      </c>
    </row>
    <row r="57" spans="1:3" x14ac:dyDescent="0.25">
      <c r="A57" s="245" t="s">
        <v>123</v>
      </c>
      <c r="B57" s="268">
        <f>C20</f>
        <v>0.192320054769516</v>
      </c>
      <c r="C57" s="52">
        <f>C19</f>
        <v>22923.149544743868</v>
      </c>
    </row>
    <row r="58" spans="1:3" x14ac:dyDescent="0.25">
      <c r="A58" s="245" t="s">
        <v>124</v>
      </c>
      <c r="B58" s="248">
        <f>C30</f>
        <v>0.20363475680351259</v>
      </c>
      <c r="C58" s="52">
        <f>C29</f>
        <v>60557.774229647046</v>
      </c>
    </row>
    <row r="59" spans="1:3" x14ac:dyDescent="0.25">
      <c r="A59" s="245" t="s">
        <v>14</v>
      </c>
      <c r="B59" s="248">
        <f>C40</f>
        <v>0.20363475680351259</v>
      </c>
      <c r="C59" s="52">
        <f>C39</f>
        <v>60557.774229647046</v>
      </c>
    </row>
    <row r="60" spans="1:3" x14ac:dyDescent="0.25">
      <c r="A60" s="245" t="s">
        <v>125</v>
      </c>
      <c r="B60" s="248">
        <f>C50</f>
        <v>0.20363475680351259</v>
      </c>
      <c r="C60" s="52">
        <f>C49</f>
        <v>60557.774229647046</v>
      </c>
    </row>
    <row r="61" spans="1:3" x14ac:dyDescent="0.25">
      <c r="C61" s="249"/>
    </row>
  </sheetData>
  <mergeCells count="6">
    <mergeCell ref="A43:C43"/>
    <mergeCell ref="A3:C3"/>
    <mergeCell ref="A1:B1"/>
    <mergeCell ref="A13:C13"/>
    <mergeCell ref="A23:C23"/>
    <mergeCell ref="A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 of Results</vt:lpstr>
      <vt:lpstr>Minigrids - BF</vt:lpstr>
      <vt:lpstr>Minigrids - GH</vt:lpstr>
      <vt:lpstr>Minigrids - CIV</vt:lpstr>
      <vt:lpstr>Minigrids - ML</vt:lpstr>
      <vt:lpstr>Minigrids - SN</vt:lpstr>
      <vt:lpstr>Minigrids - 1 item</vt:lpstr>
      <vt:lpstr>Interventions</vt:lpstr>
      <vt:lpstr>Minigrids - Parity</vt:lpstr>
      <vt:lpstr>Minigrids -20% revenues</vt:lpstr>
      <vt:lpstr>Carbon avoided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Marco Guzzetti</cp:lastModifiedBy>
  <dcterms:created xsi:type="dcterms:W3CDTF">2015-06-05T18:17:20Z</dcterms:created>
  <dcterms:modified xsi:type="dcterms:W3CDTF">2021-11-09T11:26:25Z</dcterms:modified>
</cp:coreProperties>
</file>