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5.xml" ContentType="application/vnd.openxmlformats-officedocument.spreadsheetml.worksheet+xml"/>
  <Override PartName="/xl/sharedStrings.xml" ContentType="application/vnd.openxmlformats-officedocument.spreadsheetml.sharedStrings+xml"/>
  <Override PartName="/xl/comments3.xml" ContentType="application/vnd.openxmlformats-officedocument.spreadsheetml.comments+xml"/>
  <Override PartName="/xl/externalLinks/externalLink1.xml" ContentType="application/vnd.openxmlformats-officedocument.spreadsheetml.externalLink+xml"/>
  <Override PartName="/xl/comments1.xml" ContentType="application/vnd.openxmlformats-officedocument.spreadsheetml.comments+xml"/>
  <Override PartName="/docProps/core.xml" ContentType="application/vnd.openxmlformats-package.core-properties+xml"/>
  <Override PartName="/xl/comments2.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C\Desktop\Submission - 26-3-21\"/>
    </mc:Choice>
  </mc:AlternateContent>
  <bookViews>
    <workbookView xWindow="0" yWindow="0" windowWidth="19200" windowHeight="6760"/>
  </bookViews>
  <sheets>
    <sheet name="Budget" sheetId="1" r:id="rId1"/>
    <sheet name="Flood Benefits" sheetId="2" r:id="rId2"/>
    <sheet name="Health Benefits" sheetId="3" r:id="rId3"/>
    <sheet name="Time Benefits" sheetId="4" r:id="rId4"/>
    <sheet name="Economic Analysis" sheetId="5" r:id="rId5"/>
  </sheets>
  <externalReferences>
    <externalReference r:id="rId6"/>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6" i="5" l="1"/>
  <c r="E19" i="5" s="1"/>
  <c r="F16" i="5"/>
  <c r="F19" i="5" s="1"/>
  <c r="G16" i="5"/>
  <c r="H16" i="5"/>
  <c r="I16" i="5"/>
  <c r="J16" i="5"/>
  <c r="K16" i="5"/>
  <c r="L16" i="5"/>
  <c r="L19" i="5" s="1"/>
  <c r="M16" i="5"/>
  <c r="M19" i="5" s="1"/>
  <c r="N16" i="5"/>
  <c r="N19" i="5" s="1"/>
  <c r="O16" i="5"/>
  <c r="P16" i="5"/>
  <c r="Q16" i="5"/>
  <c r="R16" i="5"/>
  <c r="S16" i="5"/>
  <c r="T16" i="5"/>
  <c r="T19" i="5" s="1"/>
  <c r="U16" i="5"/>
  <c r="U19" i="5" s="1"/>
  <c r="V16" i="5"/>
  <c r="V19" i="5" s="1"/>
  <c r="W16" i="5"/>
  <c r="X16" i="5"/>
  <c r="Y16" i="5"/>
  <c r="Z16" i="5"/>
  <c r="AA16" i="5"/>
  <c r="AB16" i="5"/>
  <c r="AB19" i="5" s="1"/>
  <c r="AC16" i="5"/>
  <c r="AC19" i="5" s="1"/>
  <c r="AD16" i="5"/>
  <c r="AD19" i="5" s="1"/>
  <c r="AE16" i="5"/>
  <c r="AF16" i="5"/>
  <c r="AG16" i="5"/>
  <c r="AH16" i="5"/>
  <c r="E17" i="5"/>
  <c r="F17" i="5"/>
  <c r="G17" i="5"/>
  <c r="H17" i="5"/>
  <c r="H19" i="5" s="1"/>
  <c r="I17" i="5"/>
  <c r="J17" i="5"/>
  <c r="K17" i="5"/>
  <c r="L17" i="5"/>
  <c r="M17" i="5"/>
  <c r="N17" i="5"/>
  <c r="O17" i="5"/>
  <c r="P17" i="5"/>
  <c r="P19" i="5" s="1"/>
  <c r="Q17" i="5"/>
  <c r="R17" i="5"/>
  <c r="S17" i="5"/>
  <c r="T17" i="5"/>
  <c r="U17" i="5"/>
  <c r="V17" i="5"/>
  <c r="W17" i="5"/>
  <c r="X17" i="5"/>
  <c r="X19" i="5" s="1"/>
  <c r="Y17" i="5"/>
  <c r="Z17" i="5"/>
  <c r="AA17" i="5"/>
  <c r="AB17" i="5"/>
  <c r="AC17" i="5"/>
  <c r="AD17" i="5"/>
  <c r="AE17" i="5"/>
  <c r="AF17" i="5"/>
  <c r="AF19" i="5" s="1"/>
  <c r="AG17" i="5"/>
  <c r="AH17" i="5"/>
  <c r="E18" i="5"/>
  <c r="F18" i="5"/>
  <c r="G18" i="5"/>
  <c r="H18" i="5"/>
  <c r="I18" i="5"/>
  <c r="J18" i="5"/>
  <c r="K18" i="5"/>
  <c r="L18" i="5"/>
  <c r="M18" i="5"/>
  <c r="N18" i="5"/>
  <c r="O18" i="5"/>
  <c r="P18" i="5"/>
  <c r="Q18" i="5"/>
  <c r="R18" i="5"/>
  <c r="S18" i="5"/>
  <c r="T18" i="5"/>
  <c r="U18" i="5"/>
  <c r="V18" i="5"/>
  <c r="W18" i="5"/>
  <c r="X18" i="5"/>
  <c r="Y18" i="5"/>
  <c r="Z18" i="5"/>
  <c r="AA18" i="5"/>
  <c r="AB18" i="5"/>
  <c r="AC18" i="5"/>
  <c r="AD18" i="5"/>
  <c r="AE18" i="5"/>
  <c r="AF18" i="5"/>
  <c r="AG18" i="5"/>
  <c r="AH18" i="5"/>
  <c r="D19" i="5"/>
  <c r="G19" i="5"/>
  <c r="I19" i="5"/>
  <c r="I25" i="5" s="1"/>
  <c r="J19" i="5"/>
  <c r="J25" i="5" s="1"/>
  <c r="K19" i="5"/>
  <c r="K25" i="5" s="1"/>
  <c r="O19" i="5"/>
  <c r="Q19" i="5"/>
  <c r="Q25" i="5" s="1"/>
  <c r="R19" i="5"/>
  <c r="R25" i="5" s="1"/>
  <c r="S19" i="5"/>
  <c r="S25" i="5" s="1"/>
  <c r="W19" i="5"/>
  <c r="Y19" i="5"/>
  <c r="Y25" i="5" s="1"/>
  <c r="Z19" i="5"/>
  <c r="Z25" i="5" s="1"/>
  <c r="AA19" i="5"/>
  <c r="AA25" i="5" s="1"/>
  <c r="AE19" i="5"/>
  <c r="AG19" i="5"/>
  <c r="AG25" i="5" s="1"/>
  <c r="AH19" i="5"/>
  <c r="AH25" i="5" s="1"/>
  <c r="D23" i="5"/>
  <c r="G25" i="5"/>
  <c r="O25" i="5"/>
  <c r="W25" i="5"/>
  <c r="AE25" i="5"/>
  <c r="C13" i="4"/>
  <c r="D18" i="4"/>
  <c r="E18" i="4" s="1"/>
  <c r="D19" i="4"/>
  <c r="E19" i="4" s="1"/>
  <c r="F19" i="4" s="1"/>
  <c r="G19" i="4" s="1"/>
  <c r="H19" i="4" s="1"/>
  <c r="I19" i="4" s="1"/>
  <c r="J19" i="4" s="1"/>
  <c r="K19" i="4" s="1"/>
  <c r="L19" i="4" s="1"/>
  <c r="M19" i="4" s="1"/>
  <c r="N19" i="4" s="1"/>
  <c r="O19" i="4" s="1"/>
  <c r="P19" i="4" s="1"/>
  <c r="Q19" i="4" s="1"/>
  <c r="R19" i="4" s="1"/>
  <c r="S19" i="4" s="1"/>
  <c r="T19" i="4" s="1"/>
  <c r="U19" i="4" s="1"/>
  <c r="V19" i="4" s="1"/>
  <c r="W19" i="4" s="1"/>
  <c r="X19" i="4" s="1"/>
  <c r="Y19" i="4" s="1"/>
  <c r="Z19" i="4" s="1"/>
  <c r="AA19" i="4" s="1"/>
  <c r="AB19" i="4" s="1"/>
  <c r="AC19" i="4" s="1"/>
  <c r="AD19" i="4" s="1"/>
  <c r="AE19" i="4" s="1"/>
  <c r="AF19" i="4" s="1"/>
  <c r="AG19" i="4" s="1"/>
  <c r="D20" i="4"/>
  <c r="E20" i="4" s="1"/>
  <c r="F20" i="4" s="1"/>
  <c r="G20" i="4" s="1"/>
  <c r="H20" i="4" s="1"/>
  <c r="I20" i="4" s="1"/>
  <c r="J20" i="4" s="1"/>
  <c r="K20" i="4" s="1"/>
  <c r="L20" i="4" s="1"/>
  <c r="M20" i="4" s="1"/>
  <c r="N20" i="4" s="1"/>
  <c r="O20" i="4" s="1"/>
  <c r="P20" i="4" s="1"/>
  <c r="Q20" i="4" s="1"/>
  <c r="R20" i="4" s="1"/>
  <c r="S20" i="4" s="1"/>
  <c r="T20" i="4" s="1"/>
  <c r="U20" i="4" s="1"/>
  <c r="V20" i="4" s="1"/>
  <c r="W20" i="4" s="1"/>
  <c r="X20" i="4" s="1"/>
  <c r="Y20" i="4" s="1"/>
  <c r="Z20" i="4" s="1"/>
  <c r="AA20" i="4" s="1"/>
  <c r="AB20" i="4" s="1"/>
  <c r="AC20" i="4" s="1"/>
  <c r="AD20" i="4" s="1"/>
  <c r="AE20" i="4" s="1"/>
  <c r="AF20" i="4" s="1"/>
  <c r="AG20" i="4" s="1"/>
  <c r="D21" i="4"/>
  <c r="E21" i="4" s="1"/>
  <c r="F21" i="4" s="1"/>
  <c r="G21" i="4" s="1"/>
  <c r="H21" i="4" s="1"/>
  <c r="I21" i="4" s="1"/>
  <c r="J21" i="4" s="1"/>
  <c r="K21" i="4" s="1"/>
  <c r="L21" i="4" s="1"/>
  <c r="M21" i="4" s="1"/>
  <c r="N21" i="4" s="1"/>
  <c r="O21" i="4" s="1"/>
  <c r="P21" i="4" s="1"/>
  <c r="Q21" i="4" s="1"/>
  <c r="R21" i="4" s="1"/>
  <c r="S21" i="4" s="1"/>
  <c r="T21" i="4" s="1"/>
  <c r="U21" i="4" s="1"/>
  <c r="V21" i="4" s="1"/>
  <c r="W21" i="4" s="1"/>
  <c r="X21" i="4" s="1"/>
  <c r="Y21" i="4" s="1"/>
  <c r="Z21" i="4" s="1"/>
  <c r="AA21" i="4" s="1"/>
  <c r="AB21" i="4" s="1"/>
  <c r="AC21" i="4" s="1"/>
  <c r="AD21" i="4" s="1"/>
  <c r="AE21" i="4" s="1"/>
  <c r="AF21" i="4" s="1"/>
  <c r="AG21" i="4" s="1"/>
  <c r="D22" i="4"/>
  <c r="E22" i="4" s="1"/>
  <c r="F22" i="4" s="1"/>
  <c r="G22" i="4" s="1"/>
  <c r="H22" i="4" s="1"/>
  <c r="I22" i="4" s="1"/>
  <c r="J22" i="4" s="1"/>
  <c r="K22" i="4" s="1"/>
  <c r="L22" i="4" s="1"/>
  <c r="M22" i="4" s="1"/>
  <c r="N22" i="4" s="1"/>
  <c r="O22" i="4" s="1"/>
  <c r="P22" i="4" s="1"/>
  <c r="Q22" i="4" s="1"/>
  <c r="R22" i="4" s="1"/>
  <c r="S22" i="4" s="1"/>
  <c r="T22" i="4" s="1"/>
  <c r="U22" i="4" s="1"/>
  <c r="V22" i="4" s="1"/>
  <c r="W22" i="4" s="1"/>
  <c r="X22" i="4" s="1"/>
  <c r="Y22" i="4" s="1"/>
  <c r="Z22" i="4" s="1"/>
  <c r="AA22" i="4" s="1"/>
  <c r="AB22" i="4" s="1"/>
  <c r="AC22" i="4" s="1"/>
  <c r="AD22" i="4" s="1"/>
  <c r="AE22" i="4" s="1"/>
  <c r="AF22" i="4" s="1"/>
  <c r="AG22" i="4" s="1"/>
  <c r="D23" i="4"/>
  <c r="E23" i="4" s="1"/>
  <c r="F23" i="4" s="1"/>
  <c r="G23" i="4" s="1"/>
  <c r="H23" i="4" s="1"/>
  <c r="I23" i="4" s="1"/>
  <c r="J23" i="4" s="1"/>
  <c r="K23" i="4" s="1"/>
  <c r="L23" i="4" s="1"/>
  <c r="M23" i="4" s="1"/>
  <c r="N23" i="4" s="1"/>
  <c r="O23" i="4" s="1"/>
  <c r="P23" i="4" s="1"/>
  <c r="Q23" i="4" s="1"/>
  <c r="R23" i="4" s="1"/>
  <c r="S23" i="4" s="1"/>
  <c r="T23" i="4" s="1"/>
  <c r="U23" i="4" s="1"/>
  <c r="V23" i="4" s="1"/>
  <c r="W23" i="4" s="1"/>
  <c r="X23" i="4" s="1"/>
  <c r="Y23" i="4" s="1"/>
  <c r="Z23" i="4" s="1"/>
  <c r="AA23" i="4" s="1"/>
  <c r="AB23" i="4" s="1"/>
  <c r="AC23" i="4" s="1"/>
  <c r="AD23" i="4" s="1"/>
  <c r="AE23" i="4" s="1"/>
  <c r="AF23" i="4" s="1"/>
  <c r="AG23" i="4" s="1"/>
  <c r="C24" i="4"/>
  <c r="C28" i="4"/>
  <c r="D28" i="4"/>
  <c r="D29" i="4" s="1"/>
  <c r="C29" i="4"/>
  <c r="C5" i="3"/>
  <c r="C7" i="3"/>
  <c r="C10" i="3"/>
  <c r="E15" i="3"/>
  <c r="F15" i="3" s="1"/>
  <c r="E16" i="3"/>
  <c r="E17" i="3" s="1"/>
  <c r="F16" i="3"/>
  <c r="G16" i="3" s="1"/>
  <c r="H16" i="3" s="1"/>
  <c r="I16" i="3" s="1"/>
  <c r="J16" i="3" s="1"/>
  <c r="K16" i="3" s="1"/>
  <c r="L16" i="3" s="1"/>
  <c r="M16" i="3" s="1"/>
  <c r="N16" i="3" s="1"/>
  <c r="O16" i="3" s="1"/>
  <c r="P16" i="3" s="1"/>
  <c r="Q16" i="3" s="1"/>
  <c r="R16" i="3" s="1"/>
  <c r="S16" i="3" s="1"/>
  <c r="T16" i="3" s="1"/>
  <c r="U16" i="3" s="1"/>
  <c r="V16" i="3" s="1"/>
  <c r="W16" i="3" s="1"/>
  <c r="X16" i="3" s="1"/>
  <c r="Y16" i="3" s="1"/>
  <c r="Z16" i="3" s="1"/>
  <c r="AA16" i="3" s="1"/>
  <c r="AB16" i="3" s="1"/>
  <c r="AC16" i="3" s="1"/>
  <c r="AD16" i="3" s="1"/>
  <c r="AE16" i="3" s="1"/>
  <c r="AF16" i="3" s="1"/>
  <c r="AG16" i="3" s="1"/>
  <c r="AH16" i="3" s="1"/>
  <c r="D17" i="3"/>
  <c r="E19" i="3"/>
  <c r="E21" i="3"/>
  <c r="F25" i="3"/>
  <c r="C5" i="2"/>
  <c r="C7" i="2" s="1"/>
  <c r="C10" i="2" s="1"/>
  <c r="C11" i="2" s="1"/>
  <c r="I18" i="2"/>
  <c r="E19" i="2"/>
  <c r="I19" i="2" s="1"/>
  <c r="F19" i="2"/>
  <c r="F20" i="2" s="1"/>
  <c r="F21" i="2" s="1"/>
  <c r="G19" i="2"/>
  <c r="G20" i="2" s="1"/>
  <c r="G21" i="2" s="1"/>
  <c r="H19" i="2"/>
  <c r="H20" i="2" s="1"/>
  <c r="H21" i="2" s="1"/>
  <c r="F8" i="1"/>
  <c r="G8" i="1"/>
  <c r="G13" i="1" s="1"/>
  <c r="G15" i="1" s="1"/>
  <c r="H8" i="1"/>
  <c r="H13" i="1" s="1"/>
  <c r="H15" i="1" s="1"/>
  <c r="I8" i="1"/>
  <c r="F9" i="1"/>
  <c r="G9" i="1"/>
  <c r="H9" i="1"/>
  <c r="I9" i="1"/>
  <c r="F10" i="1"/>
  <c r="G10" i="1"/>
  <c r="H10" i="1"/>
  <c r="I10" i="1"/>
  <c r="F11" i="1"/>
  <c r="G11" i="1"/>
  <c r="H11" i="1"/>
  <c r="I11" i="1"/>
  <c r="F12" i="1"/>
  <c r="G12" i="1"/>
  <c r="H12" i="1"/>
  <c r="I12" i="1"/>
  <c r="E13" i="1"/>
  <c r="F13" i="1"/>
  <c r="F15" i="1" s="1"/>
  <c r="I13" i="1"/>
  <c r="F14" i="1"/>
  <c r="G14" i="1"/>
  <c r="H14" i="1"/>
  <c r="I14" i="1"/>
  <c r="E15" i="1"/>
  <c r="I15" i="1"/>
  <c r="J15" i="1"/>
  <c r="K15" i="1"/>
  <c r="L15" i="1"/>
  <c r="M15" i="1"/>
  <c r="N15" i="1" s="1"/>
  <c r="O15" i="1" s="1"/>
  <c r="P15" i="1" s="1"/>
  <c r="Q15" i="1" s="1"/>
  <c r="R15" i="1" s="1"/>
  <c r="S15" i="1" s="1"/>
  <c r="T15" i="1" s="1"/>
  <c r="U15" i="1" s="1"/>
  <c r="V15" i="1" s="1"/>
  <c r="W15" i="1" s="1"/>
  <c r="X15" i="1" s="1"/>
  <c r="Y15" i="1" s="1"/>
  <c r="Z15" i="1" s="1"/>
  <c r="AA15" i="1" s="1"/>
  <c r="AB15" i="1" s="1"/>
  <c r="AC15" i="1" s="1"/>
  <c r="AD15" i="1" s="1"/>
  <c r="AE15" i="1" s="1"/>
  <c r="AF15" i="1" s="1"/>
  <c r="AG15" i="1" s="1"/>
  <c r="AH15" i="1" s="1"/>
  <c r="AI15" i="1" s="1"/>
  <c r="D17" i="1"/>
  <c r="F30" i="1" s="1"/>
  <c r="G30" i="1" s="1"/>
  <c r="J20" i="1"/>
  <c r="K20" i="1" s="1"/>
  <c r="L20" i="1" s="1"/>
  <c r="M20" i="1" s="1"/>
  <c r="N20" i="1" s="1"/>
  <c r="O20" i="1" s="1"/>
  <c r="P20" i="1" s="1"/>
  <c r="Q20" i="1" s="1"/>
  <c r="R20" i="1" s="1"/>
  <c r="S20" i="1" s="1"/>
  <c r="T20" i="1" s="1"/>
  <c r="U20" i="1" s="1"/>
  <c r="V20" i="1" s="1"/>
  <c r="W20" i="1" s="1"/>
  <c r="X20" i="1" s="1"/>
  <c r="Y20" i="1" s="1"/>
  <c r="Z20" i="1" s="1"/>
  <c r="AA20" i="1" s="1"/>
  <c r="AB20" i="1" s="1"/>
  <c r="AC20" i="1" s="1"/>
  <c r="AD20" i="1" s="1"/>
  <c r="AE20" i="1" s="1"/>
  <c r="AF20" i="1" s="1"/>
  <c r="AG20" i="1" s="1"/>
  <c r="AH20" i="1" s="1"/>
  <c r="AI20" i="1" s="1"/>
  <c r="E28" i="1"/>
  <c r="E29" i="1"/>
  <c r="E30" i="1"/>
  <c r="AB25" i="5" l="1"/>
  <c r="T25" i="5"/>
  <c r="L25" i="5"/>
  <c r="AF25" i="5"/>
  <c r="X25" i="5"/>
  <c r="P25" i="5"/>
  <c r="H25" i="5"/>
  <c r="AD25" i="5"/>
  <c r="V25" i="5"/>
  <c r="N25" i="5"/>
  <c r="F25" i="5"/>
  <c r="AC25" i="5"/>
  <c r="U25" i="5"/>
  <c r="M25" i="5"/>
  <c r="E25" i="5"/>
  <c r="E24" i="4"/>
  <c r="F18" i="4"/>
  <c r="D24" i="4"/>
  <c r="F17" i="3"/>
  <c r="G15" i="3"/>
  <c r="F19" i="3"/>
  <c r="F21" i="3" s="1"/>
  <c r="F23" i="3" s="1"/>
  <c r="J19" i="2"/>
  <c r="K19" i="2" s="1"/>
  <c r="L19" i="2" s="1"/>
  <c r="M19" i="2" s="1"/>
  <c r="N19" i="2" s="1"/>
  <c r="O19" i="2" s="1"/>
  <c r="P19" i="2" s="1"/>
  <c r="Q19" i="2" s="1"/>
  <c r="R19" i="2" s="1"/>
  <c r="S19" i="2" s="1"/>
  <c r="T19" i="2" s="1"/>
  <c r="U19" i="2" s="1"/>
  <c r="V19" i="2" s="1"/>
  <c r="W19" i="2" s="1"/>
  <c r="X19" i="2" s="1"/>
  <c r="Y19" i="2" s="1"/>
  <c r="Z19" i="2" s="1"/>
  <c r="AA19" i="2" s="1"/>
  <c r="AB19" i="2" s="1"/>
  <c r="AC19" i="2" s="1"/>
  <c r="AD19" i="2" s="1"/>
  <c r="AE19" i="2" s="1"/>
  <c r="AF19" i="2" s="1"/>
  <c r="B27" i="2"/>
  <c r="C27" i="2" s="1"/>
  <c r="D27" i="2" s="1"/>
  <c r="E20" i="2"/>
  <c r="H30" i="1"/>
  <c r="G33" i="1"/>
  <c r="F21" i="5" s="1"/>
  <c r="F26" i="5" s="1"/>
  <c r="F33" i="1"/>
  <c r="E21" i="5" s="1"/>
  <c r="E26" i="5" s="1"/>
  <c r="E23" i="5" l="1"/>
  <c r="E28" i="5" s="1"/>
  <c r="F23" i="5"/>
  <c r="F28" i="5" s="1"/>
  <c r="F24" i="4"/>
  <c r="G18" i="4"/>
  <c r="E27" i="4"/>
  <c r="E26" i="4"/>
  <c r="E28" i="4" s="1"/>
  <c r="E29" i="4" s="1"/>
  <c r="G19" i="3"/>
  <c r="G21" i="3" s="1"/>
  <c r="G17" i="3"/>
  <c r="G23" i="3" s="1"/>
  <c r="G24" i="3" s="1"/>
  <c r="G25" i="3" s="1"/>
  <c r="H15" i="3"/>
  <c r="I20" i="2"/>
  <c r="E21" i="2"/>
  <c r="I21" i="2" s="1"/>
  <c r="D28" i="2"/>
  <c r="D29" i="2" s="1"/>
  <c r="E27" i="2"/>
  <c r="I30" i="1"/>
  <c r="H33" i="1"/>
  <c r="G21" i="5" s="1"/>
  <c r="G23" i="5" l="1"/>
  <c r="G28" i="5" s="1"/>
  <c r="G26" i="5"/>
  <c r="E29" i="5"/>
  <c r="E30" i="5" s="1"/>
  <c r="G24" i="4"/>
  <c r="H18" i="4"/>
  <c r="F26" i="4"/>
  <c r="F27" i="4"/>
  <c r="H19" i="3"/>
  <c r="H21" i="3" s="1"/>
  <c r="H17" i="3"/>
  <c r="H23" i="3" s="1"/>
  <c r="H24" i="3" s="1"/>
  <c r="H25" i="3" s="1"/>
  <c r="I15" i="3"/>
  <c r="E28" i="2"/>
  <c r="E29" i="2" s="1"/>
  <c r="F27" i="2"/>
  <c r="I33" i="1"/>
  <c r="H21" i="5" s="1"/>
  <c r="J30" i="1"/>
  <c r="H26" i="5" l="1"/>
  <c r="H23" i="5"/>
  <c r="H28" i="5" s="1"/>
  <c r="F29" i="5"/>
  <c r="F30" i="5" s="1"/>
  <c r="F28" i="4"/>
  <c r="F29" i="4" s="1"/>
  <c r="H24" i="4"/>
  <c r="I18" i="4"/>
  <c r="G27" i="4"/>
  <c r="G26" i="4"/>
  <c r="G28" i="4" s="1"/>
  <c r="G29" i="4" s="1"/>
  <c r="J15" i="3"/>
  <c r="I17" i="3"/>
  <c r="I23" i="3" s="1"/>
  <c r="I24" i="3" s="1"/>
  <c r="I25" i="3" s="1"/>
  <c r="I19" i="3"/>
  <c r="I21" i="3" s="1"/>
  <c r="F28" i="2"/>
  <c r="F29" i="2" s="1"/>
  <c r="G27" i="2"/>
  <c r="J33" i="1"/>
  <c r="I21" i="5" s="1"/>
  <c r="K30" i="1"/>
  <c r="I26" i="5" l="1"/>
  <c r="I23" i="5"/>
  <c r="I28" i="5" s="1"/>
  <c r="G29" i="5"/>
  <c r="G30" i="5" s="1"/>
  <c r="I24" i="4"/>
  <c r="J18" i="4"/>
  <c r="H26" i="4"/>
  <c r="H28" i="4" s="1"/>
  <c r="H29" i="4" s="1"/>
  <c r="H27" i="4"/>
  <c r="J19" i="3"/>
  <c r="J21" i="3" s="1"/>
  <c r="J17" i="3"/>
  <c r="J23" i="3" s="1"/>
  <c r="J24" i="3" s="1"/>
  <c r="J25" i="3" s="1"/>
  <c r="K15" i="3"/>
  <c r="H27" i="2"/>
  <c r="G28" i="2"/>
  <c r="G29" i="2" s="1"/>
  <c r="K33" i="1"/>
  <c r="J21" i="5" s="1"/>
  <c r="L30" i="1"/>
  <c r="H29" i="5" l="1"/>
  <c r="H30" i="5" s="1"/>
  <c r="J26" i="5"/>
  <c r="J23" i="5"/>
  <c r="J28" i="5" s="1"/>
  <c r="I26" i="4"/>
  <c r="I28" i="4" s="1"/>
  <c r="I29" i="4" s="1"/>
  <c r="I27" i="4"/>
  <c r="K18" i="4"/>
  <c r="J24" i="4"/>
  <c r="L15" i="3"/>
  <c r="K19" i="3"/>
  <c r="K21" i="3" s="1"/>
  <c r="K17" i="3"/>
  <c r="K23" i="3" s="1"/>
  <c r="K24" i="3" s="1"/>
  <c r="K25" i="3" s="1"/>
  <c r="I27" i="2"/>
  <c r="H28" i="2"/>
  <c r="H29" i="2" s="1"/>
  <c r="M30" i="1"/>
  <c r="L33" i="1"/>
  <c r="K21" i="5" s="1"/>
  <c r="J29" i="5" l="1"/>
  <c r="J30" i="5" s="1"/>
  <c r="K26" i="5"/>
  <c r="K23" i="5"/>
  <c r="K28" i="5" s="1"/>
  <c r="I29" i="5"/>
  <c r="I30" i="5" s="1"/>
  <c r="J26" i="4"/>
  <c r="J27" i="4"/>
  <c r="L18" i="4"/>
  <c r="K24" i="4"/>
  <c r="M15" i="3"/>
  <c r="L17" i="3"/>
  <c r="L23" i="3" s="1"/>
  <c r="L24" i="3" s="1"/>
  <c r="L25" i="3" s="1"/>
  <c r="L19" i="3"/>
  <c r="L21" i="3" s="1"/>
  <c r="J27" i="2"/>
  <c r="I28" i="2"/>
  <c r="I29" i="2" s="1"/>
  <c r="N30" i="1"/>
  <c r="M33" i="1"/>
  <c r="L21" i="5" s="1"/>
  <c r="K29" i="5" l="1"/>
  <c r="L26" i="5"/>
  <c r="L23" i="5"/>
  <c r="L28" i="5" s="1"/>
  <c r="M18" i="4"/>
  <c r="L24" i="4"/>
  <c r="K26" i="4"/>
  <c r="K27" i="4"/>
  <c r="J28" i="4"/>
  <c r="J29" i="4" s="1"/>
  <c r="M17" i="3"/>
  <c r="M23" i="3" s="1"/>
  <c r="M24" i="3" s="1"/>
  <c r="M25" i="3" s="1"/>
  <c r="N15" i="3"/>
  <c r="M19" i="3"/>
  <c r="M21" i="3" s="1"/>
  <c r="J28" i="2"/>
  <c r="J29" i="2" s="1"/>
  <c r="K27" i="2"/>
  <c r="O30" i="1"/>
  <c r="N33" i="1"/>
  <c r="M21" i="5" s="1"/>
  <c r="L29" i="5" l="1"/>
  <c r="L30" i="5" s="1"/>
  <c r="M26" i="5"/>
  <c r="M23" i="5"/>
  <c r="M28" i="5" s="1"/>
  <c r="B75" i="5"/>
  <c r="B58" i="5"/>
  <c r="K30" i="5"/>
  <c r="B40" i="5"/>
  <c r="K28" i="4"/>
  <c r="K29" i="4" s="1"/>
  <c r="L27" i="4"/>
  <c r="L26" i="4"/>
  <c r="N18" i="4"/>
  <c r="M24" i="4"/>
  <c r="N19" i="3"/>
  <c r="N21" i="3" s="1"/>
  <c r="O15" i="3"/>
  <c r="N17" i="3"/>
  <c r="N23" i="3" s="1"/>
  <c r="N24" i="3" s="1"/>
  <c r="N25" i="3" s="1"/>
  <c r="K28" i="2"/>
  <c r="K29" i="2" s="1"/>
  <c r="L27" i="2"/>
  <c r="P30" i="1"/>
  <c r="O33" i="1"/>
  <c r="N21" i="5" s="1"/>
  <c r="B48" i="5" l="1"/>
  <c r="G48" i="5"/>
  <c r="B66" i="5"/>
  <c r="G66" i="5"/>
  <c r="B83" i="5"/>
  <c r="G83" i="5"/>
  <c r="N26" i="5"/>
  <c r="N23" i="5"/>
  <c r="N28" i="5" s="1"/>
  <c r="M29" i="5"/>
  <c r="M30" i="5" s="1"/>
  <c r="N24" i="4"/>
  <c r="O18" i="4"/>
  <c r="L28" i="4"/>
  <c r="L29" i="4" s="1"/>
  <c r="M27" i="4"/>
  <c r="M26" i="4"/>
  <c r="M28" i="4" s="1"/>
  <c r="M29" i="4" s="1"/>
  <c r="O19" i="3"/>
  <c r="O21" i="3" s="1"/>
  <c r="P15" i="3"/>
  <c r="O17" i="3"/>
  <c r="O23" i="3" s="1"/>
  <c r="O24" i="3" s="1"/>
  <c r="O25" i="3" s="1"/>
  <c r="L28" i="2"/>
  <c r="L29" i="2" s="1"/>
  <c r="M27" i="2"/>
  <c r="Q30" i="1"/>
  <c r="P33" i="1"/>
  <c r="O21" i="5" s="1"/>
  <c r="N29" i="5" l="1"/>
  <c r="N30" i="5" s="1"/>
  <c r="O23" i="5"/>
  <c r="O28" i="5" s="1"/>
  <c r="O26" i="5"/>
  <c r="O24" i="4"/>
  <c r="P18" i="4"/>
  <c r="N27" i="4"/>
  <c r="N26" i="4"/>
  <c r="N28" i="4" s="1"/>
  <c r="N29" i="4" s="1"/>
  <c r="P17" i="3"/>
  <c r="P23" i="3" s="1"/>
  <c r="P24" i="3" s="1"/>
  <c r="P25" i="3" s="1"/>
  <c r="Q15" i="3"/>
  <c r="P19" i="3"/>
  <c r="P21" i="3" s="1"/>
  <c r="M28" i="2"/>
  <c r="M29" i="2" s="1"/>
  <c r="N27" i="2"/>
  <c r="Q33" i="1"/>
  <c r="P21" i="5" s="1"/>
  <c r="R30" i="1"/>
  <c r="P26" i="5" l="1"/>
  <c r="P23" i="5"/>
  <c r="P28" i="5" s="1"/>
  <c r="O29" i="5"/>
  <c r="O30" i="5" s="1"/>
  <c r="O27" i="4"/>
  <c r="O26" i="4"/>
  <c r="P24" i="4"/>
  <c r="Q18" i="4"/>
  <c r="R15" i="3"/>
  <c r="Q19" i="3"/>
  <c r="Q21" i="3" s="1"/>
  <c r="Q17" i="3"/>
  <c r="Q23" i="3" s="1"/>
  <c r="Q24" i="3" s="1"/>
  <c r="Q25" i="3" s="1"/>
  <c r="N28" i="2"/>
  <c r="N29" i="2" s="1"/>
  <c r="O27" i="2"/>
  <c r="R33" i="1"/>
  <c r="Q21" i="5" s="1"/>
  <c r="S30" i="1"/>
  <c r="Q26" i="5" l="1"/>
  <c r="Q23" i="5"/>
  <c r="Q28" i="5" s="1"/>
  <c r="Q29" i="5" s="1"/>
  <c r="Q30" i="5" s="1"/>
  <c r="P29" i="5"/>
  <c r="P30" i="5" s="1"/>
  <c r="Q24" i="4"/>
  <c r="R18" i="4"/>
  <c r="P27" i="4"/>
  <c r="P26" i="4"/>
  <c r="P28" i="4" s="1"/>
  <c r="P29" i="4" s="1"/>
  <c r="O28" i="4"/>
  <c r="O29" i="4" s="1"/>
  <c r="R19" i="3"/>
  <c r="R21" i="3" s="1"/>
  <c r="S15" i="3"/>
  <c r="R17" i="3"/>
  <c r="R23" i="3" s="1"/>
  <c r="R24" i="3" s="1"/>
  <c r="R25" i="3" s="1"/>
  <c r="P27" i="2"/>
  <c r="O28" i="2"/>
  <c r="O29" i="2" s="1"/>
  <c r="S33" i="1"/>
  <c r="R21" i="5" s="1"/>
  <c r="T30" i="1"/>
  <c r="R26" i="5" l="1"/>
  <c r="R23" i="5"/>
  <c r="R28" i="5" s="1"/>
  <c r="R29" i="5" s="1"/>
  <c r="R30" i="5" s="1"/>
  <c r="Q26" i="4"/>
  <c r="Q28" i="4" s="1"/>
  <c r="Q29" i="4" s="1"/>
  <c r="Q27" i="4"/>
  <c r="S18" i="4"/>
  <c r="R24" i="4"/>
  <c r="S19" i="3"/>
  <c r="S21" i="3" s="1"/>
  <c r="S17" i="3"/>
  <c r="S23" i="3" s="1"/>
  <c r="S24" i="3" s="1"/>
  <c r="S25" i="3" s="1"/>
  <c r="T15" i="3"/>
  <c r="Q27" i="2"/>
  <c r="P28" i="2"/>
  <c r="P29" i="2" s="1"/>
  <c r="U30" i="1"/>
  <c r="T33" i="1"/>
  <c r="S21" i="5" s="1"/>
  <c r="S26" i="5" l="1"/>
  <c r="B77" i="5" s="1"/>
  <c r="S23" i="5"/>
  <c r="S28" i="5" s="1"/>
  <c r="R26" i="4"/>
  <c r="R27" i="4"/>
  <c r="T18" i="4"/>
  <c r="S24" i="4"/>
  <c r="U15" i="3"/>
  <c r="T17" i="3"/>
  <c r="T23" i="3" s="1"/>
  <c r="T24" i="3" s="1"/>
  <c r="T25" i="3" s="1"/>
  <c r="T19" i="3"/>
  <c r="T21" i="3" s="1"/>
  <c r="R27" i="2"/>
  <c r="Q28" i="2"/>
  <c r="Q29" i="2" s="1"/>
  <c r="V30" i="1"/>
  <c r="U33" i="1"/>
  <c r="T21" i="5" s="1"/>
  <c r="T26" i="5" l="1"/>
  <c r="T23" i="5"/>
  <c r="T28" i="5" s="1"/>
  <c r="G85" i="5"/>
  <c r="B85" i="5"/>
  <c r="S29" i="5"/>
  <c r="S30" i="5" s="1"/>
  <c r="B76" i="5" s="1"/>
  <c r="B73" i="5"/>
  <c r="B74" i="5"/>
  <c r="R28" i="4"/>
  <c r="R29" i="4" s="1"/>
  <c r="S26" i="4"/>
  <c r="S28" i="4" s="1"/>
  <c r="S29" i="4" s="1"/>
  <c r="S27" i="4"/>
  <c r="U18" i="4"/>
  <c r="T24" i="4"/>
  <c r="U17" i="3"/>
  <c r="U23" i="3" s="1"/>
  <c r="U24" i="3" s="1"/>
  <c r="U25" i="3" s="1"/>
  <c r="V15" i="3"/>
  <c r="U19" i="3"/>
  <c r="U21" i="3" s="1"/>
  <c r="S27" i="2"/>
  <c r="R28" i="2"/>
  <c r="R29" i="2" s="1"/>
  <c r="W30" i="1"/>
  <c r="V33" i="1"/>
  <c r="U21" i="5" s="1"/>
  <c r="B82" i="5" l="1"/>
  <c r="G82" i="5"/>
  <c r="G81" i="5"/>
  <c r="B81" i="5"/>
  <c r="B84" i="5"/>
  <c r="G84" i="5"/>
  <c r="U26" i="5"/>
  <c r="U23" i="5"/>
  <c r="U28" i="5" s="1"/>
  <c r="U29" i="5" s="1"/>
  <c r="U30" i="5" s="1"/>
  <c r="T29" i="5"/>
  <c r="T30" i="5" s="1"/>
  <c r="T27" i="4"/>
  <c r="T26" i="4"/>
  <c r="T28" i="4" s="1"/>
  <c r="T29" i="4" s="1"/>
  <c r="V18" i="4"/>
  <c r="U24" i="4"/>
  <c r="V17" i="3"/>
  <c r="V23" i="3" s="1"/>
  <c r="V24" i="3" s="1"/>
  <c r="V25" i="3" s="1"/>
  <c r="W15" i="3"/>
  <c r="V19" i="3"/>
  <c r="V21" i="3" s="1"/>
  <c r="S28" i="2"/>
  <c r="S29" i="2" s="1"/>
  <c r="T27" i="2"/>
  <c r="X30" i="1"/>
  <c r="W33" i="1"/>
  <c r="V21" i="5" s="1"/>
  <c r="V26" i="5" l="1"/>
  <c r="V23" i="5"/>
  <c r="V28" i="5" s="1"/>
  <c r="V29" i="5" s="1"/>
  <c r="V30" i="5" s="1"/>
  <c r="U27" i="4"/>
  <c r="U26" i="4"/>
  <c r="U28" i="4" s="1"/>
  <c r="U29" i="4" s="1"/>
  <c r="V24" i="4"/>
  <c r="W18" i="4"/>
  <c r="W19" i="3"/>
  <c r="W21" i="3" s="1"/>
  <c r="W17" i="3"/>
  <c r="W23" i="3" s="1"/>
  <c r="W24" i="3" s="1"/>
  <c r="W25" i="3" s="1"/>
  <c r="X15" i="3"/>
  <c r="T28" i="2"/>
  <c r="T29" i="2" s="1"/>
  <c r="U27" i="2"/>
  <c r="Y30" i="1"/>
  <c r="X33" i="1"/>
  <c r="W21" i="5" s="1"/>
  <c r="W23" i="5" l="1"/>
  <c r="W28" i="5" s="1"/>
  <c r="W29" i="5" s="1"/>
  <c r="W30" i="5" s="1"/>
  <c r="W26" i="5"/>
  <c r="W24" i="4"/>
  <c r="X18" i="4"/>
  <c r="V26" i="4"/>
  <c r="V27" i="4"/>
  <c r="X19" i="3"/>
  <c r="X21" i="3" s="1"/>
  <c r="X17" i="3"/>
  <c r="X23" i="3" s="1"/>
  <c r="X24" i="3" s="1"/>
  <c r="X25" i="3" s="1"/>
  <c r="Y15" i="3"/>
  <c r="U28" i="2"/>
  <c r="U29" i="2" s="1"/>
  <c r="V27" i="2"/>
  <c r="Y33" i="1"/>
  <c r="X21" i="5" s="1"/>
  <c r="Z30" i="1"/>
  <c r="X26" i="5" l="1"/>
  <c r="B60" i="5" s="1"/>
  <c r="X23" i="5"/>
  <c r="X28" i="5" s="1"/>
  <c r="W27" i="4"/>
  <c r="W26" i="4"/>
  <c r="W28" i="4" s="1"/>
  <c r="W29" i="4" s="1"/>
  <c r="V28" i="4"/>
  <c r="V29" i="4" s="1"/>
  <c r="X24" i="4"/>
  <c r="Y18" i="4"/>
  <c r="Z15" i="3"/>
  <c r="Y17" i="3"/>
  <c r="Y23" i="3" s="1"/>
  <c r="Y24" i="3" s="1"/>
  <c r="Y25" i="3" s="1"/>
  <c r="Y19" i="3"/>
  <c r="Y21" i="3" s="1"/>
  <c r="V28" i="2"/>
  <c r="V29" i="2" s="1"/>
  <c r="W27" i="2"/>
  <c r="Z33" i="1"/>
  <c r="Y21" i="5" s="1"/>
  <c r="AA30" i="1"/>
  <c r="Y26" i="5" l="1"/>
  <c r="Y23" i="5"/>
  <c r="Y28" i="5" s="1"/>
  <c r="X29" i="5"/>
  <c r="X30" i="5" s="1"/>
  <c r="B59" i="5" s="1"/>
  <c r="B56" i="5"/>
  <c r="B57" i="5"/>
  <c r="B68" i="5"/>
  <c r="G68" i="5"/>
  <c r="Y24" i="4"/>
  <c r="Z18" i="4"/>
  <c r="X27" i="4"/>
  <c r="X26" i="4"/>
  <c r="X28" i="4" s="1"/>
  <c r="X29" i="4" s="1"/>
  <c r="Z19" i="3"/>
  <c r="Z21" i="3" s="1"/>
  <c r="Z17" i="3"/>
  <c r="Z23" i="3" s="1"/>
  <c r="Z24" i="3" s="1"/>
  <c r="Z25" i="3" s="1"/>
  <c r="AA15" i="3"/>
  <c r="X27" i="2"/>
  <c r="W28" i="2"/>
  <c r="W29" i="2" s="1"/>
  <c r="AA33" i="1"/>
  <c r="Z21" i="5" s="1"/>
  <c r="AB30" i="1"/>
  <c r="B65" i="5" l="1"/>
  <c r="G65" i="5"/>
  <c r="B64" i="5"/>
  <c r="G64" i="5"/>
  <c r="G67" i="5"/>
  <c r="B67" i="5"/>
  <c r="Y29" i="5"/>
  <c r="Y30" i="5" s="1"/>
  <c r="Z26" i="5"/>
  <c r="Z23" i="5"/>
  <c r="Z28" i="5" s="1"/>
  <c r="Y26" i="4"/>
  <c r="Y27" i="4"/>
  <c r="AA18" i="4"/>
  <c r="Z24" i="4"/>
  <c r="AA19" i="3"/>
  <c r="AA21" i="3" s="1"/>
  <c r="AB15" i="3"/>
  <c r="AA17" i="3"/>
  <c r="AA23" i="3" s="1"/>
  <c r="AA24" i="3" s="1"/>
  <c r="AA25" i="3" s="1"/>
  <c r="Y27" i="2"/>
  <c r="X28" i="2"/>
  <c r="X29" i="2" s="1"/>
  <c r="AC30" i="1"/>
  <c r="AB33" i="1"/>
  <c r="AA21" i="5" s="1"/>
  <c r="AA26" i="5" l="1"/>
  <c r="AA23" i="5"/>
  <c r="AA28" i="5" s="1"/>
  <c r="AA29" i="5" s="1"/>
  <c r="AA30" i="5" s="1"/>
  <c r="Z29" i="5"/>
  <c r="Z30" i="5" s="1"/>
  <c r="Z26" i="4"/>
  <c r="Z28" i="4" s="1"/>
  <c r="Z29" i="4" s="1"/>
  <c r="Z27" i="4"/>
  <c r="Y28" i="4"/>
  <c r="Y29" i="4" s="1"/>
  <c r="AA24" i="4"/>
  <c r="AB18" i="4"/>
  <c r="AC15" i="3"/>
  <c r="AB19" i="3"/>
  <c r="AB21" i="3" s="1"/>
  <c r="AB17" i="3"/>
  <c r="AB23" i="3" s="1"/>
  <c r="AB24" i="3" s="1"/>
  <c r="AB25" i="3" s="1"/>
  <c r="Z27" i="2"/>
  <c r="Y28" i="2"/>
  <c r="Y29" i="2" s="1"/>
  <c r="AC33" i="1"/>
  <c r="AB21" i="5" s="1"/>
  <c r="AD30" i="1"/>
  <c r="AB26" i="5" l="1"/>
  <c r="AB23" i="5"/>
  <c r="AB28" i="5" s="1"/>
  <c r="AB29" i="5" s="1"/>
  <c r="AB30" i="5" s="1"/>
  <c r="AC18" i="4"/>
  <c r="AB24" i="4"/>
  <c r="AA27" i="4"/>
  <c r="AA26" i="4"/>
  <c r="AA28" i="4" s="1"/>
  <c r="AA29" i="4" s="1"/>
  <c r="AC17" i="3"/>
  <c r="AC23" i="3" s="1"/>
  <c r="AC24" i="3" s="1"/>
  <c r="AC25" i="3" s="1"/>
  <c r="AD15" i="3"/>
  <c r="AC19" i="3"/>
  <c r="AC21" i="3" s="1"/>
  <c r="AA27" i="2"/>
  <c r="Z28" i="2"/>
  <c r="Z29" i="2" s="1"/>
  <c r="AE30" i="1"/>
  <c r="AD33" i="1"/>
  <c r="AC21" i="5" s="1"/>
  <c r="AC26" i="5" l="1"/>
  <c r="AC23" i="5"/>
  <c r="AC28" i="5" s="1"/>
  <c r="AC29" i="5" s="1"/>
  <c r="AC30" i="5" s="1"/>
  <c r="AC24" i="4"/>
  <c r="AD18" i="4"/>
  <c r="AB27" i="4"/>
  <c r="AB26" i="4"/>
  <c r="AB28" i="4" s="1"/>
  <c r="AB29" i="4" s="1"/>
  <c r="AD19" i="3"/>
  <c r="AD21" i="3" s="1"/>
  <c r="AE15" i="3"/>
  <c r="AD17" i="3"/>
  <c r="AD23" i="3" s="1"/>
  <c r="AD24" i="3" s="1"/>
  <c r="AD25" i="3" s="1"/>
  <c r="AA28" i="2"/>
  <c r="AA29" i="2" s="1"/>
  <c r="AB27" i="2"/>
  <c r="AF30" i="1"/>
  <c r="AE33" i="1"/>
  <c r="AD21" i="5" s="1"/>
  <c r="AD26" i="5" l="1"/>
  <c r="AD23" i="5"/>
  <c r="AD28" i="5" s="1"/>
  <c r="AD29" i="5" s="1"/>
  <c r="AD30" i="5" s="1"/>
  <c r="AD24" i="4"/>
  <c r="AE18" i="4"/>
  <c r="AC27" i="4"/>
  <c r="AC26" i="4"/>
  <c r="AC28" i="4" s="1"/>
  <c r="AC29" i="4" s="1"/>
  <c r="AE19" i="3"/>
  <c r="AE21" i="3" s="1"/>
  <c r="AE17" i="3"/>
  <c r="AE23" i="3" s="1"/>
  <c r="AE24" i="3" s="1"/>
  <c r="AE25" i="3" s="1"/>
  <c r="AF15" i="3"/>
  <c r="AB28" i="2"/>
  <c r="AB29" i="2" s="1"/>
  <c r="AC27" i="2"/>
  <c r="AG30" i="1"/>
  <c r="AF33" i="1"/>
  <c r="AE21" i="5" s="1"/>
  <c r="AE23" i="5" l="1"/>
  <c r="AE28" i="5" s="1"/>
  <c r="AE29" i="5" s="1"/>
  <c r="AE30" i="5" s="1"/>
  <c r="AE26" i="5"/>
  <c r="AF18" i="4"/>
  <c r="AE24" i="4"/>
  <c r="AD27" i="4"/>
  <c r="AD26" i="4"/>
  <c r="AD28" i="4" s="1"/>
  <c r="AD29" i="4" s="1"/>
  <c r="AF17" i="3"/>
  <c r="AF23" i="3" s="1"/>
  <c r="AF24" i="3" s="1"/>
  <c r="AF25" i="3" s="1"/>
  <c r="AG15" i="3"/>
  <c r="AF19" i="3"/>
  <c r="AF21" i="3" s="1"/>
  <c r="AC28" i="2"/>
  <c r="AC29" i="2" s="1"/>
  <c r="AD27" i="2"/>
  <c r="AG33" i="1"/>
  <c r="AF21" i="5" s="1"/>
  <c r="AH30" i="1"/>
  <c r="AF26" i="5" l="1"/>
  <c r="AF23" i="5"/>
  <c r="AF28" i="5" s="1"/>
  <c r="AF29" i="5" s="1"/>
  <c r="AF30" i="5" s="1"/>
  <c r="AE27" i="4"/>
  <c r="AE26" i="4"/>
  <c r="AE28" i="4" s="1"/>
  <c r="AE29" i="4" s="1"/>
  <c r="AF24" i="4"/>
  <c r="AG18" i="4"/>
  <c r="AG24" i="4" s="1"/>
  <c r="AH15" i="3"/>
  <c r="AG19" i="3"/>
  <c r="AG21" i="3" s="1"/>
  <c r="AG17" i="3"/>
  <c r="AG23" i="3" s="1"/>
  <c r="AG24" i="3" s="1"/>
  <c r="AG25" i="3" s="1"/>
  <c r="AE27" i="2"/>
  <c r="AD28" i="2"/>
  <c r="AD29" i="2" s="1"/>
  <c r="AH33" i="1"/>
  <c r="AG21" i="5" s="1"/>
  <c r="AI30" i="1"/>
  <c r="AI33" i="1" s="1"/>
  <c r="AH21" i="5" s="1"/>
  <c r="AH26" i="5" l="1"/>
  <c r="AH23" i="5"/>
  <c r="AH28" i="5" s="1"/>
  <c r="AG26" i="5"/>
  <c r="AG23" i="5"/>
  <c r="AG28" i="5" s="1"/>
  <c r="AG29" i="5" s="1"/>
  <c r="AG30" i="5" s="1"/>
  <c r="AG26" i="4"/>
  <c r="AG28" i="4" s="1"/>
  <c r="AG29" i="4" s="1"/>
  <c r="AG27" i="4"/>
  <c r="AF26" i="4"/>
  <c r="AF28" i="4" s="1"/>
  <c r="AF29" i="4" s="1"/>
  <c r="AF27" i="4"/>
  <c r="AH19" i="3"/>
  <c r="AH21" i="3" s="1"/>
  <c r="AH17" i="3"/>
  <c r="AH23" i="3" s="1"/>
  <c r="AH24" i="3" s="1"/>
  <c r="AH25" i="3" s="1"/>
  <c r="AF27" i="2"/>
  <c r="AF28" i="2" s="1"/>
  <c r="AF29" i="2" s="1"/>
  <c r="AE28" i="2"/>
  <c r="AE29" i="2" s="1"/>
  <c r="AH29" i="5" l="1"/>
  <c r="AH30" i="5" s="1"/>
  <c r="B41" i="5" s="1"/>
  <c r="B39" i="5"/>
  <c r="B38" i="5"/>
  <c r="B42" i="5"/>
  <c r="B46" i="5" l="1"/>
  <c r="G46" i="5"/>
  <c r="B47" i="5"/>
  <c r="G47" i="5"/>
  <c r="B50" i="5"/>
  <c r="G50" i="5"/>
  <c r="G49" i="5"/>
  <c r="B49" i="5"/>
</calcChain>
</file>

<file path=xl/comments1.xml><?xml version="1.0" encoding="utf-8"?>
<comments xmlns="http://schemas.openxmlformats.org/spreadsheetml/2006/main">
  <authors>
    <author>User</author>
  </authors>
  <commentList>
    <comment ref="B25" authorId="0" shapeId="0">
      <text>
        <r>
          <rPr>
            <b/>
            <sz val="9"/>
            <color indexed="81"/>
            <rFont val="Tahoma"/>
            <family val="2"/>
          </rPr>
          <t>User:</t>
        </r>
        <r>
          <rPr>
            <sz val="9"/>
            <color indexed="81"/>
            <rFont val="Tahoma"/>
            <family val="2"/>
          </rPr>
          <t xml:space="preserve">
The overheads are estimated as at 2021 and are expected to grow with time at the inflation rate</t>
        </r>
      </text>
    </comment>
    <comment ref="B26" authorId="0" shapeId="0">
      <text>
        <r>
          <rPr>
            <b/>
            <sz val="9"/>
            <color indexed="81"/>
            <rFont val="Tahoma"/>
            <family val="2"/>
          </rPr>
          <t>User:</t>
        </r>
        <r>
          <rPr>
            <sz val="9"/>
            <color indexed="81"/>
            <rFont val="Tahoma"/>
            <family val="2"/>
          </rPr>
          <t xml:space="preserve">
The overheads are estimated as at 2016 and are expected to grow with time at the inflation rate</t>
        </r>
      </text>
    </comment>
    <comment ref="E26" authorId="0" shapeId="0">
      <text>
        <r>
          <rPr>
            <b/>
            <sz val="9"/>
            <color indexed="81"/>
            <rFont val="Tahoma"/>
            <family val="2"/>
          </rPr>
          <t>User:</t>
        </r>
        <r>
          <rPr>
            <sz val="9"/>
            <color indexed="81"/>
            <rFont val="Tahoma"/>
            <family val="2"/>
          </rPr>
          <t xml:space="preserve">
= usd 45,000million per month * 12 months * 5% of office space</t>
        </r>
      </text>
    </comment>
    <comment ref="E27" authorId="0" shapeId="0">
      <text>
        <r>
          <rPr>
            <b/>
            <sz val="9"/>
            <color indexed="81"/>
            <rFont val="Tahoma"/>
            <family val="2"/>
          </rPr>
          <t>User:</t>
        </r>
        <r>
          <rPr>
            <sz val="9"/>
            <color indexed="81"/>
            <rFont val="Tahoma"/>
            <family val="2"/>
          </rPr>
          <t xml:space="preserve">
50 staff * Avg salary of usd 1000 * 12 months * 5% of staff time</t>
        </r>
      </text>
    </comment>
    <comment ref="E28" authorId="0" shapeId="0">
      <text>
        <r>
          <rPr>
            <b/>
            <sz val="9"/>
            <color indexed="81"/>
            <rFont val="Tahoma"/>
            <family val="2"/>
          </rPr>
          <t>User:</t>
        </r>
        <r>
          <rPr>
            <sz val="9"/>
            <color indexed="81"/>
            <rFont val="Tahoma"/>
            <family val="2"/>
          </rPr>
          <t xml:space="preserve">
3 vehicles, worth USD 
50,000 each, depreciated over 5 years (20% pa), and used for the project only 5% of the time.</t>
        </r>
      </text>
    </comment>
    <comment ref="E29" authorId="0" shapeId="0">
      <text>
        <r>
          <rPr>
            <b/>
            <sz val="9"/>
            <color indexed="81"/>
            <rFont val="Tahoma"/>
            <family val="2"/>
          </rPr>
          <t xml:space="preserve">User:
</t>
        </r>
        <r>
          <rPr>
            <sz val="9"/>
            <color indexed="81"/>
            <rFont val="Tahoma"/>
            <family val="2"/>
          </rPr>
          <t>Utilities estimated at USD 200pm for 12 months</t>
        </r>
      </text>
    </comment>
  </commentList>
</comments>
</file>

<file path=xl/comments2.xml><?xml version="1.0" encoding="utf-8"?>
<comments xmlns="http://schemas.openxmlformats.org/spreadsheetml/2006/main">
  <authors>
    <author>User</author>
  </authors>
  <commentList>
    <comment ref="A5" authorId="0" shapeId="0">
      <text>
        <r>
          <rPr>
            <b/>
            <sz val="9"/>
            <color indexed="81"/>
            <rFont val="Tahoma"/>
            <family val="2"/>
          </rPr>
          <t>User:</t>
        </r>
        <r>
          <rPr>
            <sz val="9"/>
            <color indexed="81"/>
            <rFont val="Tahoma"/>
            <family val="2"/>
          </rPr>
          <t xml:space="preserve">
SEI (2009): The 1997/98 floods affected almost 1 million people and were estimated to have total economic costs of $0.850 to $1.213 billion arising from damage to infrastructure (roads buildings and communications), public health effects (including fatalities) and loss of crops</t>
        </r>
      </text>
    </comment>
    <comment ref="A6" authorId="0" shapeId="0">
      <text>
        <r>
          <rPr>
            <b/>
            <sz val="9"/>
            <color indexed="81"/>
            <rFont val="Tahoma"/>
            <family val="2"/>
          </rPr>
          <t>User:</t>
        </r>
        <r>
          <rPr>
            <sz val="9"/>
            <color indexed="81"/>
            <rFont val="Tahoma"/>
            <family val="2"/>
          </rPr>
          <t xml:space="preserve">
Source: https://www.centralbank.go.ke/index.php/rate-and-statistics/exchange-rates-2?yr=2009</t>
        </r>
      </text>
    </comment>
    <comment ref="A8" authorId="0" shapeId="0">
      <text>
        <r>
          <rPr>
            <b/>
            <sz val="9"/>
            <color indexed="81"/>
            <rFont val="Tahoma"/>
            <family val="2"/>
          </rPr>
          <t>User:</t>
        </r>
        <r>
          <rPr>
            <sz val="9"/>
            <color indexed="81"/>
            <rFont val="Tahoma"/>
            <family val="2"/>
          </rPr>
          <t xml:space="preserve">
Source:- http://www.knbs.or.ke/index.php?option=com_phocadownload&amp;view=category&amp;id=8&amp;Itemid=562 </t>
        </r>
      </text>
    </comment>
    <comment ref="A9" authorId="0" shapeId="0">
      <text>
        <r>
          <rPr>
            <b/>
            <sz val="9"/>
            <color indexed="81"/>
            <rFont val="Tahoma"/>
            <family val="2"/>
          </rPr>
          <t>User:</t>
        </r>
        <r>
          <rPr>
            <sz val="9"/>
            <color indexed="81"/>
            <rFont val="Tahoma"/>
            <family val="2"/>
          </rPr>
          <t xml:space="preserve">
Source:- http://www.knbs.or.ke/index.php?option=com_phocadownload&amp;view=category&amp;id=8&amp;Itemid=562 </t>
        </r>
      </text>
    </comment>
    <comment ref="A10" authorId="0" shapeId="0">
      <text>
        <r>
          <rPr>
            <b/>
            <sz val="9"/>
            <color indexed="81"/>
            <rFont val="Tahoma"/>
            <family val="2"/>
          </rPr>
          <t>User:</t>
        </r>
        <r>
          <rPr>
            <sz val="9"/>
            <color indexed="81"/>
            <rFont val="Tahoma"/>
            <family val="2"/>
          </rPr>
          <t xml:space="preserve">
Adjusted for the inflation</t>
        </r>
      </text>
    </comment>
    <comment ref="A12" authorId="0" shapeId="0">
      <text>
        <r>
          <rPr>
            <b/>
            <sz val="9"/>
            <color indexed="81"/>
            <rFont val="Tahoma"/>
            <family val="2"/>
          </rPr>
          <t>User:</t>
        </r>
        <r>
          <rPr>
            <sz val="9"/>
            <color indexed="81"/>
            <rFont val="Tahoma"/>
            <family val="2"/>
          </rPr>
          <t xml:space="preserve">
Exchange rate as at 2nd February 2021. Source: https://www.centralbank.go.ke/rates/forex-exchange-rates/. The exchange rate is assumed to remain fixed over the years.</t>
        </r>
      </text>
    </comment>
    <comment ref="A14" authorId="0" shapeId="0">
      <text>
        <r>
          <rPr>
            <b/>
            <sz val="9"/>
            <color indexed="81"/>
            <rFont val="Tahoma"/>
            <family val="2"/>
          </rPr>
          <t>User:</t>
        </r>
        <r>
          <rPr>
            <sz val="9"/>
            <color indexed="81"/>
            <rFont val="Tahoma"/>
            <family val="2"/>
          </rPr>
          <t xml:space="preserve">
Avg annual Inflation rate for the last 5 years - 2015 to 2019. Source - https://www.statista.com/statistics/451115/inflation-rate-in-kenya/</t>
        </r>
      </text>
    </comment>
    <comment ref="A15" authorId="0" shapeId="0">
      <text>
        <r>
          <rPr>
            <b/>
            <sz val="9"/>
            <color indexed="81"/>
            <rFont val="Tahoma"/>
            <family val="2"/>
          </rPr>
          <t>User:</t>
        </r>
        <r>
          <rPr>
            <sz val="9"/>
            <color indexed="81"/>
            <rFont val="Tahoma"/>
            <family val="2"/>
          </rPr>
          <t xml:space="preserve">
Source: https://data.worldbank.org/indicator/SP.POP.GROW?locations=KE</t>
        </r>
      </text>
    </comment>
    <comment ref="A18" authorId="0" shapeId="0">
      <text>
        <r>
          <rPr>
            <b/>
            <sz val="9"/>
            <color indexed="81"/>
            <rFont val="Tahoma"/>
            <family val="2"/>
          </rPr>
          <t>User:</t>
        </r>
        <r>
          <rPr>
            <sz val="9"/>
            <color indexed="81"/>
            <rFont val="Tahoma"/>
            <family val="2"/>
          </rPr>
          <t xml:space="preserve">
The population affected by floods are assumed to to be the total number of persons living in the targeted areas as at 2019 census.</t>
        </r>
      </text>
    </comment>
    <comment ref="A20" authorId="0" shapeId="0">
      <text>
        <r>
          <rPr>
            <b/>
            <sz val="9"/>
            <color indexed="81"/>
            <rFont val="Tahoma"/>
            <family val="2"/>
          </rPr>
          <t>User:</t>
        </r>
        <r>
          <rPr>
            <sz val="9"/>
            <color indexed="81"/>
            <rFont val="Tahoma"/>
            <family val="2"/>
          </rPr>
          <t xml:space="preserve">
Its assumed that the households in the affected areas will only manage to salvage 5% of the propertys and valuables and that 95% which could be immovable would be lost.</t>
        </r>
      </text>
    </comment>
    <comment ref="A21" authorId="0" shapeId="0">
      <text>
        <r>
          <rPr>
            <b/>
            <sz val="9"/>
            <color indexed="81"/>
            <rFont val="Tahoma"/>
            <family val="2"/>
          </rPr>
          <t>User:</t>
        </r>
        <r>
          <rPr>
            <sz val="9"/>
            <color indexed="81"/>
            <rFont val="Tahoma"/>
            <family val="2"/>
          </rPr>
          <t xml:space="preserve">
Of the total costs saved, a conservative estimate of 5% is attributed to the project</t>
        </r>
      </text>
    </comment>
    <comment ref="A27" authorId="0" shapeId="0">
      <text>
        <r>
          <rPr>
            <b/>
            <sz val="9"/>
            <color indexed="81"/>
            <rFont val="Tahoma"/>
            <family val="2"/>
          </rPr>
          <t>User:</t>
        </r>
        <r>
          <rPr>
            <sz val="9"/>
            <color indexed="81"/>
            <rFont val="Tahoma"/>
            <family val="2"/>
          </rPr>
          <t xml:space="preserve">
Its assumed that the number of beneficiaries will grow over time at the annual national population growth rate.</t>
        </r>
      </text>
    </comment>
  </commentList>
</comments>
</file>

<file path=xl/comments3.xml><?xml version="1.0" encoding="utf-8"?>
<comments xmlns="http://schemas.openxmlformats.org/spreadsheetml/2006/main">
  <authors>
    <author>User</author>
  </authors>
  <commentList>
    <comment ref="A5" authorId="0" shapeId="0">
      <text>
        <r>
          <rPr>
            <b/>
            <sz val="9"/>
            <color indexed="81"/>
            <rFont val="Tahoma"/>
            <family val="2"/>
          </rPr>
          <t>User:</t>
        </r>
        <r>
          <rPr>
            <sz val="9"/>
            <color indexed="81"/>
            <rFont val="Tahoma"/>
            <family val="2"/>
          </rPr>
          <t xml:space="preserve">
Avg annual Inflation rate for the last 60 months - Aug 2011 to July 2016. Source Central Bank of Kenya https://www.centralbank.go.ke/index.php/balance-of-payment-statistics/inflationrates</t>
        </r>
      </text>
    </comment>
    <comment ref="A6" authorId="0" shapeId="0">
      <text>
        <r>
          <rPr>
            <b/>
            <sz val="9"/>
            <color indexed="81"/>
            <rFont val="Tahoma"/>
            <family val="2"/>
          </rPr>
          <t>User:</t>
        </r>
        <r>
          <rPr>
            <sz val="9"/>
            <color indexed="81"/>
            <rFont val="Tahoma"/>
            <family val="2"/>
          </rPr>
          <t xml:space="preserve">
Source: Cook, J., Kimuyu, P., &amp; Whittington, D. (May 2015). The Costs of Coping with Poor Water Supply in Rural Kenya. Environment for Development, Discussion Paper Series. Retrieved August 30, 2016, from http://www.rff.org/files/sharepoint/WorkImages/Download/EfD-DP-15-09.pdf</t>
        </r>
      </text>
    </comment>
    <comment ref="A7" authorId="0" shapeId="0">
      <text>
        <r>
          <rPr>
            <b/>
            <sz val="9"/>
            <color indexed="81"/>
            <rFont val="Tahoma"/>
            <family val="2"/>
          </rPr>
          <t>User:</t>
        </r>
        <r>
          <rPr>
            <sz val="9"/>
            <color indexed="81"/>
            <rFont val="Tahoma"/>
            <family val="2"/>
          </rPr>
          <t xml:space="preserve">
The causes of diarrhea
are complex, however, and these costs should not be attributed entirely to poor water and
sanitation. For lack of a better estimate, we attribute half of these costs to water and sanitation</t>
        </r>
      </text>
    </comment>
    <comment ref="A8" authorId="0" shapeId="0">
      <text>
        <r>
          <rPr>
            <b/>
            <sz val="9"/>
            <color indexed="81"/>
            <rFont val="Tahoma"/>
            <family val="2"/>
          </rPr>
          <t>User:</t>
        </r>
        <r>
          <rPr>
            <sz val="9"/>
            <color indexed="81"/>
            <rFont val="Tahoma"/>
            <family val="2"/>
          </rPr>
          <t xml:space="preserve">
Source: http://data.worldbank.org/indicator/SP.POP.GROW?locations=KE</t>
        </r>
      </text>
    </comment>
    <comment ref="A9" authorId="0" shapeId="0">
      <text>
        <r>
          <rPr>
            <b/>
            <sz val="9"/>
            <color indexed="81"/>
            <rFont val="Tahoma"/>
            <family val="2"/>
          </rPr>
          <t>User:</t>
        </r>
        <r>
          <rPr>
            <sz val="9"/>
            <color indexed="81"/>
            <rFont val="Tahoma"/>
            <family val="2"/>
          </rPr>
          <t xml:space="preserve">
According to Cook, Kimuyu, &amp; Whittington (2015), only 7.5% of the sampled households reported diarrhea cases and spent money for treatment. The project team took a conservative approach and used 3% as the proportion of the targeted population who, through the project, will prevented from getting diarrheo and spending money for treatment.</t>
        </r>
      </text>
    </comment>
    <comment ref="A11" authorId="0" shapeId="0">
      <text>
        <r>
          <rPr>
            <b/>
            <sz val="9"/>
            <color indexed="81"/>
            <rFont val="Tahoma"/>
            <family val="2"/>
          </rPr>
          <t>User:</t>
        </r>
        <r>
          <rPr>
            <sz val="9"/>
            <color indexed="81"/>
            <rFont val="Tahoma"/>
            <family val="2"/>
          </rPr>
          <t xml:space="preserve">
Exchange rate as at 26th Aug 2016. Source: https://www.centralbank.go.ke/index.php/rate-and-statistics/exchange-rates-2. The exchange rate is assumed to remain fixed over the years.</t>
        </r>
      </text>
    </comment>
    <comment ref="B19" authorId="0" shapeId="0">
      <text>
        <r>
          <rPr>
            <b/>
            <sz val="9"/>
            <color indexed="81"/>
            <rFont val="Tahoma"/>
            <family val="2"/>
          </rPr>
          <t>User:</t>
        </r>
        <r>
          <rPr>
            <sz val="9"/>
            <color indexed="81"/>
            <rFont val="Tahoma"/>
            <family val="2"/>
          </rPr>
          <t xml:space="preserve">
The springs can supply upto 1.6 million people and its assumed that the number of beneficiaries will grow over time at the average annual national population growth rate.</t>
        </r>
      </text>
    </comment>
    <comment ref="B20" authorId="0" shapeId="0">
      <text>
        <r>
          <rPr>
            <b/>
            <sz val="9"/>
            <color indexed="81"/>
            <rFont val="Tahoma"/>
            <family val="2"/>
          </rPr>
          <t>User:</t>
        </r>
        <r>
          <rPr>
            <sz val="9"/>
            <color indexed="81"/>
            <rFont val="Tahoma"/>
            <family val="2"/>
          </rPr>
          <t xml:space="preserve">
The supply from the boreholes is assumed to be adequate for only about 36,500 individuals and this is what was taken to do the calculation for the boreholes. This figures has also been held constant all through.</t>
        </r>
      </text>
    </comment>
    <comment ref="A24" authorId="0" shapeId="0">
      <text>
        <r>
          <rPr>
            <b/>
            <sz val="9"/>
            <color indexed="81"/>
            <rFont val="Tahoma"/>
            <family val="2"/>
          </rPr>
          <t>User:</t>
        </r>
        <r>
          <rPr>
            <sz val="9"/>
            <color indexed="81"/>
            <rFont val="Tahoma"/>
            <family val="2"/>
          </rPr>
          <t xml:space="preserve">
The impact of the project is expected from year 2 and is assumed to remain constant all through</t>
        </r>
      </text>
    </comment>
    <comment ref="A25" authorId="0" shapeId="0">
      <text>
        <r>
          <rPr>
            <b/>
            <sz val="9"/>
            <color indexed="81"/>
            <rFont val="Tahoma"/>
            <family val="2"/>
          </rPr>
          <t>User:</t>
        </r>
        <r>
          <rPr>
            <sz val="9"/>
            <color indexed="81"/>
            <rFont val="Tahoma"/>
            <family val="2"/>
          </rPr>
          <t xml:space="preserve">
The impact of the project is expected to be felt starting year 2. The exchange rate is assumed to remain constant over time</t>
        </r>
      </text>
    </comment>
  </commentList>
</comments>
</file>

<file path=xl/comments4.xml><?xml version="1.0" encoding="utf-8"?>
<comments xmlns="http://schemas.openxmlformats.org/spreadsheetml/2006/main">
  <authors>
    <author>User</author>
  </authors>
  <commentList>
    <comment ref="A5" authorId="0" shapeId="0">
      <text>
        <r>
          <rPr>
            <b/>
            <sz val="9"/>
            <color indexed="81"/>
            <rFont val="Tahoma"/>
            <family val="2"/>
          </rPr>
          <t>User:</t>
        </r>
        <r>
          <rPr>
            <sz val="9"/>
            <color indexed="81"/>
            <rFont val="Tahoma"/>
            <family val="2"/>
          </rPr>
          <t xml:space="preserve">
Source: Cook, J., Kimuyu, P., &amp; Whittington, D. (May 2015). The Costs of Coping with Poor Water Supply in Rural Kenya. Environment for Development, Discussion Paper Series. Retrieved August 30, 2016, from http://www.rff.org/files/sharepoint/WorkImages/Download/EfD-DP-15-09.pdf
Page 21</t>
        </r>
      </text>
    </comment>
    <comment ref="A6" authorId="0" shapeId="0">
      <text>
        <r>
          <rPr>
            <b/>
            <sz val="9"/>
            <color indexed="81"/>
            <rFont val="Tahoma"/>
            <family val="2"/>
          </rPr>
          <t>User:</t>
        </r>
        <r>
          <rPr>
            <sz val="9"/>
            <color indexed="81"/>
            <rFont val="Tahoma"/>
            <family val="2"/>
          </rPr>
          <t xml:space="preserve">
Source: Cook, J., Kimuyu, P., &amp; Whittington, D. (May 2015). The Costs of Coping with Poor Water Supply in Rural Kenya. Environment for Development, Discussion Paper Series. Retrieved August 30, 2016, from http://www.rff.org/files/sharepoint/WorkImages/Download/EfD-DP-15-09.pdf
Page 21</t>
        </r>
      </text>
    </comment>
    <comment ref="A9" authorId="0" shapeId="0">
      <text>
        <r>
          <rPr>
            <b/>
            <sz val="9"/>
            <color indexed="81"/>
            <rFont val="Tahoma"/>
            <family val="2"/>
          </rPr>
          <t>User:</t>
        </r>
        <r>
          <rPr>
            <sz val="9"/>
            <color indexed="81"/>
            <rFont val="Tahoma"/>
            <family val="2"/>
          </rPr>
          <t xml:space="preserve">
project team assumed that at 10% of the population will significantly reduce the time to the water sources and wait time to almost zero.</t>
        </r>
      </text>
    </comment>
    <comment ref="A10" authorId="0" shapeId="0">
      <text>
        <r>
          <rPr>
            <b/>
            <sz val="9"/>
            <color indexed="81"/>
            <rFont val="Tahoma"/>
            <family val="2"/>
          </rPr>
          <t>User:</t>
        </r>
        <r>
          <rPr>
            <sz val="9"/>
            <color indexed="81"/>
            <rFont val="Tahoma"/>
            <family val="2"/>
          </rPr>
          <t xml:space="preserve">
Source: http://data.worldbank.org/indicator/SP.POP.GROW?locations=KE</t>
        </r>
      </text>
    </comment>
    <comment ref="A11" authorId="0" shapeId="0">
      <text>
        <r>
          <rPr>
            <b/>
            <sz val="9"/>
            <color indexed="81"/>
            <rFont val="Tahoma"/>
            <family val="2"/>
          </rPr>
          <t>User:</t>
        </r>
        <r>
          <rPr>
            <sz val="9"/>
            <color indexed="81"/>
            <rFont val="Tahoma"/>
            <family val="2"/>
          </rPr>
          <t xml:space="preserve">
Exchange rate as at 26th Aug 2016. Source: https://www.centralbank.go.ke/index.php/rate-and-statistics/exchange-rates-2. The exchange rate is assumed to remain fixed over the years.</t>
        </r>
      </text>
    </comment>
    <comment ref="A12" authorId="0" shapeId="0">
      <text>
        <r>
          <rPr>
            <b/>
            <sz val="9"/>
            <color indexed="81"/>
            <rFont val="Tahoma"/>
            <family val="2"/>
          </rPr>
          <t>User:</t>
        </r>
        <r>
          <rPr>
            <sz val="9"/>
            <color indexed="81"/>
            <rFont val="Tahoma"/>
            <family val="2"/>
          </rPr>
          <t xml:space="preserve">
The team took a conservative figure of 10% as the percentage of costs saved and fully attributable to the project initiatives</t>
        </r>
      </text>
    </comment>
    <comment ref="A13" authorId="0" shapeId="0">
      <text>
        <r>
          <rPr>
            <b/>
            <sz val="9"/>
            <color indexed="81"/>
            <rFont val="Tahoma"/>
            <family val="2"/>
          </rPr>
          <t>User:</t>
        </r>
        <r>
          <rPr>
            <sz val="9"/>
            <color indexed="81"/>
            <rFont val="Tahoma"/>
            <family val="2"/>
          </rPr>
          <t xml:space="preserve">
Avg annual Inflation rate for the last 60 months - Aug 2011 to July 2016. Source Central Bank of Kenya https://www.centralbank.go.ke/index.php/balance-of-payment-statistics/inflationrates</t>
        </r>
      </text>
    </comment>
  </commentList>
</comments>
</file>

<file path=xl/comments5.xml><?xml version="1.0" encoding="utf-8"?>
<comments xmlns="http://schemas.openxmlformats.org/spreadsheetml/2006/main">
  <authors>
    <author>User</author>
  </authors>
  <commentList>
    <comment ref="A6" authorId="0" shapeId="0">
      <text>
        <r>
          <rPr>
            <b/>
            <sz val="9"/>
            <color indexed="81"/>
            <rFont val="Tahoma"/>
            <family val="2"/>
          </rPr>
          <t>User:</t>
        </r>
        <r>
          <rPr>
            <sz val="9"/>
            <color indexed="81"/>
            <rFont val="Tahoma"/>
            <family val="2"/>
          </rPr>
          <t xml:space="preserve">
Avg annual Inflation rate for the last 5 years - 2015 to 2019. Source - https://www.statista.com/statistics/451115/inflation-rate-in-kenya/</t>
        </r>
      </text>
    </comment>
    <comment ref="A7" authorId="0" shapeId="0">
      <text>
        <r>
          <rPr>
            <b/>
            <sz val="9"/>
            <color indexed="81"/>
            <rFont val="Tahoma"/>
            <family val="2"/>
          </rPr>
          <t>User:</t>
        </r>
        <r>
          <rPr>
            <sz val="9"/>
            <color indexed="81"/>
            <rFont val="Tahoma"/>
            <family val="2"/>
          </rPr>
          <t xml:space="preserve">
Source: https://data.worldbank.org/indicator/SP.POP.GROW?locations=KE</t>
        </r>
      </text>
    </comment>
    <comment ref="A8" authorId="0" shapeId="0">
      <text>
        <r>
          <rPr>
            <b/>
            <sz val="9"/>
            <color indexed="81"/>
            <rFont val="Tahoma"/>
            <family val="2"/>
          </rPr>
          <t>User:</t>
        </r>
        <r>
          <rPr>
            <sz val="9"/>
            <color indexed="81"/>
            <rFont val="Tahoma"/>
            <family val="2"/>
          </rPr>
          <t xml:space="preserve">
Exchange rate as at 2nd February 2021. Source: https://www.centralbank.go.ke/rates/forex-exchange-rates/. The exchange rate is assumed to remain fixed over the years.</t>
        </r>
      </text>
    </comment>
    <comment ref="A9" authorId="0" shapeId="0">
      <text>
        <r>
          <rPr>
            <b/>
            <sz val="9"/>
            <color indexed="81"/>
            <rFont val="Tahoma"/>
            <family val="2"/>
          </rPr>
          <t>User:</t>
        </r>
        <r>
          <rPr>
            <sz val="9"/>
            <color indexed="81"/>
            <rFont val="Tahoma"/>
            <family val="2"/>
          </rPr>
          <t xml:space="preserve">
Roskan G (2015):Estimating the Economic Opportunity Cost of Capital for Kenya.
In his study, Roskan estimated discount rate ranges from 10% to 14.5% in real terms. As a conclusion, a 12% real discount rate is an appropriate rate for Kenya to be used in project evaluation, and investment decision making</t>
        </r>
      </text>
    </comment>
    <comment ref="A21" authorId="0" shapeId="0">
      <text>
        <r>
          <rPr>
            <b/>
            <sz val="9"/>
            <color indexed="81"/>
            <rFont val="Tahoma"/>
            <family val="2"/>
          </rPr>
          <t>User:</t>
        </r>
        <r>
          <rPr>
            <sz val="9"/>
            <color indexed="81"/>
            <rFont val="Tahoma"/>
            <family val="2"/>
          </rPr>
          <t xml:space="preserve">
Picked from the Budget sheet</t>
        </r>
      </text>
    </comment>
  </commentList>
</comments>
</file>

<file path=xl/sharedStrings.xml><?xml version="1.0" encoding="utf-8"?>
<sst xmlns="http://schemas.openxmlformats.org/spreadsheetml/2006/main" count="210" uniqueCount="132">
  <si>
    <t>TOTAL COSTS OF THE PROJECT</t>
  </si>
  <si>
    <t>Totals</t>
  </si>
  <si>
    <t>Utilities</t>
  </si>
  <si>
    <t>Gok vehicles</t>
  </si>
  <si>
    <t>Staff time</t>
  </si>
  <si>
    <t>Office space</t>
  </si>
  <si>
    <t>Year</t>
  </si>
  <si>
    <t>Government of Kenya provision - Overheads</t>
  </si>
  <si>
    <t>Maintance of the installed infrastructure</t>
  </si>
  <si>
    <t>Avg. Infation rate over last five years</t>
  </si>
  <si>
    <t>Project total</t>
  </si>
  <si>
    <t>AE fees</t>
  </si>
  <si>
    <t xml:space="preserve">Total </t>
  </si>
  <si>
    <t>Contigency</t>
  </si>
  <si>
    <t>Project management costs</t>
  </si>
  <si>
    <t>Component 3</t>
  </si>
  <si>
    <t>Component 2</t>
  </si>
  <si>
    <t>Component 1</t>
  </si>
  <si>
    <t>USD</t>
  </si>
  <si>
    <t>Total (Yr 1 - yr 5)</t>
  </si>
  <si>
    <t>Unit price</t>
  </si>
  <si>
    <t>Qty</t>
  </si>
  <si>
    <t>Item</t>
  </si>
  <si>
    <t>BUDGET</t>
  </si>
  <si>
    <t>The exchange rate is assumed to remain fixed over the years.</t>
  </si>
  <si>
    <t>The per capita costs of floods is assumed to be constant over the years with zero variability</t>
  </si>
  <si>
    <t>The impact of the project is expected to be felt starting the year 2018 and the impact level is assumed to remain constant all through the years</t>
  </si>
  <si>
    <t>Nairobi and Mombasa will not benefit from the Early Warning System envisaged by the project in regards to floods control</t>
  </si>
  <si>
    <t>Its assumed that the number of beneficiaries will grow over time at the average annual national population growth rate</t>
  </si>
  <si>
    <t>SEI (2009): The 1997/98 floods affected almost 1 million people and were estimated to have total economic costs of $0.8 to $1.2 billion arising from damage to infrastructure (roads buildings and communications), public health effects (including fatalities) and loss of crops</t>
  </si>
  <si>
    <t>Notes/Assumptions</t>
  </si>
  <si>
    <t>Costs saved per annum (USD)</t>
  </si>
  <si>
    <t>Costs saved per annum (Kshs)</t>
  </si>
  <si>
    <t>Beneficiaries</t>
  </si>
  <si>
    <t>Calculation of benefits</t>
  </si>
  <si>
    <t xml:space="preserve">Floods related costs saved and wholly attributable to the project </t>
  </si>
  <si>
    <t>Flood related cost saved</t>
  </si>
  <si>
    <t>Number of beneficiaries targerted</t>
  </si>
  <si>
    <t>Population affected by floods</t>
  </si>
  <si>
    <t>Totals - Yr 0</t>
  </si>
  <si>
    <t>Machakos</t>
  </si>
  <si>
    <t>Kiambu</t>
  </si>
  <si>
    <t>Nyandarua</t>
  </si>
  <si>
    <t>Nairobi</t>
  </si>
  <si>
    <t>Proportion</t>
  </si>
  <si>
    <t>Avg annual popn growth rate for Kenya for the last 5 years (2015- 2019)</t>
  </si>
  <si>
    <t>Avg. Infation rate over last 5 years (2015 - 2019)</t>
  </si>
  <si>
    <t>Counties around the Athi Basin affected by floods- Nairobi, Taita Taveta, Kilifi and Mombasa</t>
  </si>
  <si>
    <t>Current exchange rate - US Dollar to Kshs</t>
  </si>
  <si>
    <t>Per capita costs of floods (USD) in 2009 (in real terms)</t>
  </si>
  <si>
    <t>Per capita costs of floods (Kshs) in 2009 in (real terms)</t>
  </si>
  <si>
    <t>Kenya CPI 2019</t>
  </si>
  <si>
    <t>Kenya CPI 2009</t>
  </si>
  <si>
    <t>Per capita costs of floods (Kshs)as reported in 2009 (nominal terms)</t>
  </si>
  <si>
    <t>Mean Exchange rate - US Dollar to Kshs in 2009</t>
  </si>
  <si>
    <t>Per capita costs of floods in USD as reported in 2009</t>
  </si>
  <si>
    <t>General parameters</t>
  </si>
  <si>
    <t>FLOOD RELATED BENEFITS</t>
  </si>
  <si>
    <t>Main reference document: - Cook, J., Kimuyu, P., &amp; Whittington, D. (May 2015). The Costs of Coping with Poor Water Supply in Rural Kenya. Environment for Development, Discussion Paper Series. Retrieved August 30, 2016, from http://www.rff.org/files/sharepoint/WorkImages/Download/EfD-DP-15-09.pdf</t>
  </si>
  <si>
    <t>Diarrhoea treatment costs averted per annum (USD)</t>
  </si>
  <si>
    <t>Diarrhoea treatment costs averted per annum (Kshs)</t>
  </si>
  <si>
    <t>Proportion of population who will be saved from diarrhoea</t>
  </si>
  <si>
    <t>Total</t>
  </si>
  <si>
    <t>Borehole - area</t>
  </si>
  <si>
    <t>Springs - area</t>
  </si>
  <si>
    <t>Population that will benefit from the project interventions</t>
  </si>
  <si>
    <t>Population in the targeted areas (Nairobi, Nyandarua, Machakos, Kiambu)</t>
  </si>
  <si>
    <t>Source</t>
  </si>
  <si>
    <t>Calculation of benefits (Costs saved)</t>
  </si>
  <si>
    <t>Number of weeks in a year</t>
  </si>
  <si>
    <t>Population to benefit from interventions</t>
  </si>
  <si>
    <t>Avg annual popn growth rate for Kenya for the last 10 years (2006 - 2015)</t>
  </si>
  <si>
    <t>Diarrhea costs attributable to water and sanitation</t>
  </si>
  <si>
    <t>Weekly costs of treating diarrhea (USD) per individual</t>
  </si>
  <si>
    <t>Avg. Infation rate over last 60 months (Aug 2011 - July 2016)</t>
  </si>
  <si>
    <t>DIARRHEA TREATMENT SAVINGS</t>
  </si>
  <si>
    <t>Totals (USD)</t>
  </si>
  <si>
    <t>Totals (Kshs)</t>
  </si>
  <si>
    <t>During wet season</t>
  </si>
  <si>
    <t>During dry season</t>
  </si>
  <si>
    <t>Costs saved per annum</t>
  </si>
  <si>
    <t>Pipeline</t>
  </si>
  <si>
    <t>Sand dams</t>
  </si>
  <si>
    <t>Water pans</t>
  </si>
  <si>
    <t>Springs</t>
  </si>
  <si>
    <t>Boreholes</t>
  </si>
  <si>
    <t>Rain water harvesting through suply of tanks</t>
  </si>
  <si>
    <t>Population benefiting from the intiative (1 month/person)</t>
  </si>
  <si>
    <t>Attribution factor</t>
  </si>
  <si>
    <t xml:space="preserve">Percentage of population expected to reduce their travel costs to zero </t>
  </si>
  <si>
    <t>Number of wet months in a year</t>
  </si>
  <si>
    <t>Number of dry months in year</t>
  </si>
  <si>
    <t>Costs per month during the wet month (Kshs)</t>
  </si>
  <si>
    <t>Costs per month during the dry month (Kshs)</t>
  </si>
  <si>
    <t>TRAVEL TIME REDUCTION BENEFITS</t>
  </si>
  <si>
    <t>The results are positive all through indicating that the projects is very viable</t>
  </si>
  <si>
    <t>NOTES/ASSUMPTION</t>
  </si>
  <si>
    <t>Benefits-Costs Ratio</t>
  </si>
  <si>
    <t>AEV</t>
  </si>
  <si>
    <t>Discounted payback period</t>
  </si>
  <si>
    <t>IRR</t>
  </si>
  <si>
    <t>NPV</t>
  </si>
  <si>
    <t>Scenario 1  - Zero inflation rate</t>
  </si>
  <si>
    <t>Base case scenario - Inflation - 8.375%</t>
  </si>
  <si>
    <t>Scenario 2 - Discount rate - 14.5%</t>
  </si>
  <si>
    <t>Scenario 1 - discount rate - 10%</t>
  </si>
  <si>
    <t>Base case scenario - Discount rate - 12%</t>
  </si>
  <si>
    <t>Sensitivity Analysis - Inflation rate</t>
  </si>
  <si>
    <t>Sensitivity Analysis - Discount rate</t>
  </si>
  <si>
    <t>Benefits/Costs Ratio</t>
  </si>
  <si>
    <t>15 years</t>
  </si>
  <si>
    <t>20 years</t>
  </si>
  <si>
    <t>Base case scenario - Inflation - 6.156%</t>
  </si>
  <si>
    <t>Results</t>
  </si>
  <si>
    <t>30 Years</t>
  </si>
  <si>
    <t>RESULTS AND SENSITIVITY ANALYSIS</t>
  </si>
  <si>
    <t>Annual Equivalent Value (AEV)</t>
  </si>
  <si>
    <t>Cummulative PV of cashflows</t>
  </si>
  <si>
    <t>Present value of cashflows</t>
  </si>
  <si>
    <t>PV of Costs (Cash outflows)</t>
  </si>
  <si>
    <t>PV of Benefits (Cash Inflows)</t>
  </si>
  <si>
    <t>Net cash-flow</t>
  </si>
  <si>
    <t>Costs (Cash out-flows)</t>
  </si>
  <si>
    <t>Time benefits</t>
  </si>
  <si>
    <t>Health benefits</t>
  </si>
  <si>
    <t>Flood benefits</t>
  </si>
  <si>
    <t>Benefits (Cash inflows)</t>
  </si>
  <si>
    <t>Yrs</t>
  </si>
  <si>
    <t>KSHS</t>
  </si>
  <si>
    <t>ECONOMIC ANALYSIS</t>
  </si>
  <si>
    <t>Discount rate</t>
  </si>
  <si>
    <t>GENERAL PARAMETERS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</si>
</sst>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00_);_(* \(#,##0.00\);_(* &quot;-&quot;??_);_(@_)"/>
    <numFmt numFmtId="165" formatCode="_(* #,##0_);_(* \(#,##0\);_(* &quot;-&quot;??_);_(@_)"/>
    <numFmt numFmtId="166" formatCode="#,##0.0"/>
    <numFmt numFmtId="167" formatCode="0.000%"/>
  </numFmts>
  <fonts count="19"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u/>
      <sz val="11"/>
      <color rgb="FFFF0000"/>
      <name val="Calibri"/>
      <family val="2"/>
      <scheme val="minor"/>
    </font>
    <font>
      <b/>
      <sz val="11"/>
      <name val="Calibri"/>
      <family val="2"/>
      <scheme val="minor"/>
    </font>
    <font>
      <sz val="11"/>
      <name val="Calibri"/>
      <family val="2"/>
    </font>
    <font>
      <b/>
      <u/>
      <sz val="11"/>
      <color theme="1"/>
      <name val="Calibri"/>
      <family val="2"/>
      <scheme val="minor"/>
    </font>
    <font>
      <b/>
      <sz val="11"/>
      <color theme="4"/>
      <name val="Calibri"/>
      <family val="2"/>
      <scheme val="minor"/>
    </font>
    <font>
      <b/>
      <sz val="9"/>
      <color indexed="81"/>
      <name val="Tahoma"/>
      <family val="2"/>
    </font>
    <font>
      <sz val="9"/>
      <color indexed="81"/>
      <name val="Tahoma"/>
      <family val="2"/>
    </font>
    <font>
      <b/>
      <u/>
      <sz val="11"/>
      <color theme="3"/>
      <name val="Calibri"/>
      <family val="2"/>
      <scheme val="minor"/>
    </font>
    <font>
      <sz val="11"/>
      <name val="Calibri"/>
      <family val="2"/>
      <scheme val="minor"/>
    </font>
    <font>
      <sz val="11"/>
      <color theme="4"/>
      <name val="Calibri"/>
      <family val="2"/>
      <scheme val="minor"/>
    </font>
    <font>
      <u/>
      <sz val="11"/>
      <color theme="1"/>
      <name val="Calibri"/>
      <family val="2"/>
      <scheme val="minor"/>
    </font>
    <font>
      <b/>
      <u/>
      <sz val="14"/>
      <color theme="1"/>
      <name val="Calibri"/>
      <family val="2"/>
      <scheme val="minor"/>
    </font>
    <font>
      <sz val="11"/>
      <color theme="8" tint="-0.249977111117893"/>
      <name val="Calibri"/>
      <family val="2"/>
      <scheme val="minor"/>
    </font>
    <font>
      <b/>
      <sz val="12"/>
      <color rgb="FF6A6A6A"/>
      <name val="Arial"/>
      <family val="2"/>
    </font>
  </fonts>
  <fills count="7">
    <fill>
      <patternFill patternType="none"/>
    </fill>
    <fill>
      <patternFill patternType="gray125"/>
    </fill>
    <fill>
      <patternFill patternType="solid">
        <fgColor rgb="FFFFFF00"/>
        <bgColor indexed="64"/>
      </patternFill>
    </fill>
    <fill>
      <patternFill patternType="solid">
        <fgColor theme="4" tint="0.39997558519241921"/>
        <bgColor indexed="64"/>
      </patternFill>
    </fill>
    <fill>
      <patternFill patternType="solid">
        <fgColor rgb="FFFFC000"/>
        <bgColor indexed="64"/>
      </patternFill>
    </fill>
    <fill>
      <patternFill patternType="solid">
        <fgColor theme="9" tint="0.39997558519241921"/>
        <bgColor indexed="64"/>
      </patternFill>
    </fill>
    <fill>
      <patternFill patternType="solid">
        <fgColor theme="3" tint="0.59999389629810485"/>
        <bgColor indexed="64"/>
      </patternFill>
    </fill>
  </fills>
  <borders count="27">
    <border>
      <left/>
      <right/>
      <top/>
      <bottom/>
      <diagonal/>
    </border>
    <border>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style="thin">
        <color indexed="64"/>
      </right>
      <top/>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36">
    <xf numFmtId="0" fontId="0" fillId="0" borderId="0" xfId="0"/>
    <xf numFmtId="0" fontId="0" fillId="0" borderId="0" xfId="0" applyFont="1"/>
    <xf numFmtId="0" fontId="0" fillId="0" borderId="0" xfId="0" applyFont="1" applyFill="1"/>
    <xf numFmtId="0" fontId="0" fillId="0" borderId="0" xfId="0" applyFont="1" applyAlignment="1">
      <alignment wrapText="1"/>
    </xf>
    <xf numFmtId="165" fontId="0" fillId="0" borderId="0" xfId="1" applyNumberFormat="1" applyFont="1"/>
    <xf numFmtId="166" fontId="0" fillId="0" borderId="0" xfId="0" applyNumberFormat="1" applyFont="1" applyFill="1"/>
    <xf numFmtId="166" fontId="0" fillId="0" borderId="0" xfId="0" applyNumberFormat="1" applyFont="1"/>
    <xf numFmtId="0" fontId="0" fillId="0" borderId="0" xfId="0" applyFont="1" applyAlignment="1">
      <alignment horizontal="right"/>
    </xf>
    <xf numFmtId="3" fontId="4" fillId="0" borderId="0" xfId="0" applyNumberFormat="1" applyFont="1" applyBorder="1"/>
    <xf numFmtId="0" fontId="2" fillId="0" borderId="0" xfId="0" applyFont="1"/>
    <xf numFmtId="0" fontId="2" fillId="0" borderId="0" xfId="0" applyFont="1" applyFill="1"/>
    <xf numFmtId="164" fontId="2" fillId="0" borderId="0" xfId="0" applyNumberFormat="1" applyFont="1"/>
    <xf numFmtId="43" fontId="2" fillId="0" borderId="0" xfId="1" applyFont="1"/>
    <xf numFmtId="3" fontId="0" fillId="0" borderId="0" xfId="0" applyNumberFormat="1" applyFont="1"/>
    <xf numFmtId="3" fontId="2" fillId="0" borderId="0" xfId="0" applyNumberFormat="1" applyFont="1"/>
    <xf numFmtId="9" fontId="5" fillId="0" borderId="0" xfId="0" applyNumberFormat="1" applyFont="1"/>
    <xf numFmtId="0" fontId="5" fillId="0" borderId="0" xfId="0" applyFont="1"/>
    <xf numFmtId="3" fontId="0" fillId="0" borderId="0" xfId="0" applyNumberFormat="1" applyFont="1" applyFill="1"/>
    <xf numFmtId="0" fontId="3" fillId="0" borderId="0" xfId="0" applyFont="1" applyAlignment="1">
      <alignment wrapText="1"/>
    </xf>
    <xf numFmtId="43" fontId="3" fillId="0" borderId="1" xfId="1" applyFont="1" applyBorder="1"/>
    <xf numFmtId="0" fontId="6" fillId="0" borderId="0" xfId="0" applyFont="1" applyAlignment="1">
      <alignment wrapText="1"/>
    </xf>
    <xf numFmtId="3" fontId="0" fillId="0" borderId="2" xfId="0" applyNumberFormat="1" applyFont="1" applyBorder="1"/>
    <xf numFmtId="164" fontId="3" fillId="0" borderId="2" xfId="0" applyNumberFormat="1" applyFont="1" applyFill="1" applyBorder="1"/>
    <xf numFmtId="0" fontId="4" fillId="0" borderId="0" xfId="0" applyFont="1"/>
    <xf numFmtId="43" fontId="7" fillId="0" borderId="0" xfId="1" applyFont="1" applyBorder="1" applyAlignment="1">
      <alignment horizontal="right"/>
    </xf>
    <xf numFmtId="0" fontId="7" fillId="0" borderId="0" xfId="0" applyFont="1"/>
    <xf numFmtId="3" fontId="8" fillId="0" borderId="0" xfId="0" applyNumberFormat="1" applyFont="1"/>
    <xf numFmtId="0" fontId="8" fillId="0" borderId="0" xfId="0" applyFont="1" applyFill="1"/>
    <xf numFmtId="10" fontId="0" fillId="0" borderId="0" xfId="0" applyNumberFormat="1" applyFont="1"/>
    <xf numFmtId="0" fontId="9" fillId="0" borderId="0" xfId="0" applyFont="1" applyFill="1"/>
    <xf numFmtId="3" fontId="3" fillId="2" borderId="3" xfId="0" applyNumberFormat="1" applyFont="1" applyFill="1" applyBorder="1"/>
    <xf numFmtId="3" fontId="3" fillId="2" borderId="4" xfId="0" applyNumberFormat="1" applyFont="1" applyFill="1" applyBorder="1"/>
    <xf numFmtId="3" fontId="3" fillId="2" borderId="5" xfId="0" applyNumberFormat="1" applyFont="1" applyFill="1" applyBorder="1"/>
    <xf numFmtId="3" fontId="3" fillId="2" borderId="4" xfId="0" applyNumberFormat="1" applyFont="1" applyFill="1" applyBorder="1" applyAlignment="1">
      <alignment wrapText="1"/>
    </xf>
    <xf numFmtId="0" fontId="3" fillId="2" borderId="6" xfId="0" applyFont="1" applyFill="1" applyBorder="1"/>
    <xf numFmtId="0" fontId="3" fillId="2" borderId="4" xfId="0" applyFont="1" applyFill="1" applyBorder="1" applyAlignment="1">
      <alignment wrapText="1"/>
    </xf>
    <xf numFmtId="0" fontId="0" fillId="0" borderId="7" xfId="0" applyFont="1" applyBorder="1"/>
    <xf numFmtId="43" fontId="0" fillId="0" borderId="3" xfId="1" applyFont="1" applyBorder="1"/>
    <xf numFmtId="3" fontId="0" fillId="3" borderId="8" xfId="0" applyNumberFormat="1" applyFont="1" applyFill="1" applyBorder="1"/>
    <xf numFmtId="3" fontId="0" fillId="3" borderId="9" xfId="0" applyNumberFormat="1" applyFont="1" applyFill="1" applyBorder="1"/>
    <xf numFmtId="3" fontId="0" fillId="3" borderId="10" xfId="0" applyNumberFormat="1" applyFont="1" applyFill="1" applyBorder="1"/>
    <xf numFmtId="3" fontId="0" fillId="3" borderId="11" xfId="0" applyNumberFormat="1" applyFont="1" applyFill="1" applyBorder="1"/>
    <xf numFmtId="0" fontId="0" fillId="3" borderId="12" xfId="0" applyFont="1" applyFill="1" applyBorder="1"/>
    <xf numFmtId="0" fontId="0" fillId="3" borderId="13" xfId="0" applyFont="1" applyFill="1" applyBorder="1"/>
    <xf numFmtId="0" fontId="0" fillId="0" borderId="14" xfId="0" applyFont="1" applyBorder="1"/>
    <xf numFmtId="3" fontId="0" fillId="0" borderId="2" xfId="0" applyNumberFormat="1" applyFont="1" applyFill="1" applyBorder="1"/>
    <xf numFmtId="3" fontId="0" fillId="0" borderId="15" xfId="0" applyNumberFormat="1" applyFont="1" applyFill="1" applyBorder="1"/>
    <xf numFmtId="0" fontId="0" fillId="0" borderId="15" xfId="0" applyFont="1" applyBorder="1"/>
    <xf numFmtId="0" fontId="0" fillId="0" borderId="16" xfId="0" applyFont="1" applyBorder="1" applyAlignment="1">
      <alignment wrapText="1"/>
    </xf>
    <xf numFmtId="3" fontId="0" fillId="4" borderId="17" xfId="0" applyNumberFormat="1" applyFont="1" applyFill="1" applyBorder="1" applyAlignment="1">
      <alignment wrapText="1"/>
    </xf>
    <xf numFmtId="0" fontId="0" fillId="4" borderId="16" xfId="0" applyFont="1" applyFill="1" applyBorder="1" applyAlignment="1">
      <alignment wrapText="1"/>
    </xf>
    <xf numFmtId="43" fontId="0" fillId="4" borderId="3" xfId="1" applyFont="1" applyFill="1" applyBorder="1"/>
    <xf numFmtId="3" fontId="0" fillId="4" borderId="18" xfId="0" applyNumberFormat="1" applyFont="1" applyFill="1" applyBorder="1"/>
    <xf numFmtId="0" fontId="0" fillId="4" borderId="17" xfId="0" applyFont="1" applyFill="1" applyBorder="1" applyAlignment="1">
      <alignment wrapText="1"/>
    </xf>
    <xf numFmtId="3" fontId="0" fillId="0" borderId="19" xfId="0" applyNumberFormat="1" applyFont="1" applyBorder="1"/>
    <xf numFmtId="3" fontId="0" fillId="0" borderId="20" xfId="0" applyNumberFormat="1" applyFont="1" applyBorder="1"/>
    <xf numFmtId="3" fontId="0" fillId="0" borderId="21" xfId="0" applyNumberFormat="1" applyFont="1" applyFill="1" applyBorder="1"/>
    <xf numFmtId="0" fontId="0" fillId="0" borderId="21" xfId="0" applyFont="1" applyBorder="1"/>
    <xf numFmtId="0" fontId="0" fillId="0" borderId="17" xfId="0" applyFont="1" applyBorder="1" applyAlignment="1">
      <alignment wrapText="1"/>
    </xf>
    <xf numFmtId="3" fontId="0" fillId="0" borderId="3" xfId="0" applyNumberFormat="1" applyFont="1" applyBorder="1"/>
    <xf numFmtId="3" fontId="0" fillId="0" borderId="19" xfId="0" applyNumberFormat="1" applyFont="1" applyFill="1" applyBorder="1"/>
    <xf numFmtId="0" fontId="0" fillId="0" borderId="17" xfId="0" applyFont="1" applyBorder="1" applyAlignment="1">
      <alignment vertical="top" wrapText="1"/>
    </xf>
    <xf numFmtId="3" fontId="0" fillId="0" borderId="18" xfId="0" applyNumberFormat="1" applyFont="1" applyFill="1" applyBorder="1"/>
    <xf numFmtId="3" fontId="0" fillId="3" borderId="22" xfId="0" applyNumberFormat="1" applyFont="1" applyFill="1" applyBorder="1"/>
    <xf numFmtId="3" fontId="0" fillId="3" borderId="3" xfId="0" applyNumberFormat="1" applyFont="1" applyFill="1" applyBorder="1"/>
    <xf numFmtId="0" fontId="0" fillId="3" borderId="3" xfId="0" applyFont="1" applyFill="1" applyBorder="1"/>
    <xf numFmtId="0" fontId="0" fillId="3" borderId="3" xfId="0" applyFont="1" applyFill="1" applyBorder="1" applyAlignment="1">
      <alignment wrapText="1"/>
    </xf>
    <xf numFmtId="0" fontId="0" fillId="3" borderId="14" xfId="0" applyFont="1" applyFill="1" applyBorder="1"/>
    <xf numFmtId="0" fontId="0" fillId="3" borderId="23" xfId="0" applyFont="1" applyFill="1" applyBorder="1"/>
    <xf numFmtId="0" fontId="0" fillId="3" borderId="23" xfId="0" applyFont="1" applyFill="1" applyBorder="1" applyAlignment="1">
      <alignment wrapText="1"/>
    </xf>
    <xf numFmtId="0" fontId="0" fillId="3" borderId="24" xfId="0" applyFont="1" applyFill="1" applyBorder="1"/>
    <xf numFmtId="0" fontId="0" fillId="5" borderId="0" xfId="0" applyFont="1" applyFill="1" applyAlignment="1">
      <alignment horizontal="center"/>
    </xf>
    <xf numFmtId="0" fontId="0" fillId="0" borderId="0" xfId="0" applyAlignment="1">
      <alignment vertical="top" wrapText="1"/>
    </xf>
    <xf numFmtId="0" fontId="12" fillId="0" borderId="0" xfId="0" applyFont="1" applyBorder="1"/>
    <xf numFmtId="0" fontId="3" fillId="0" borderId="0" xfId="0" applyFont="1"/>
    <xf numFmtId="164" fontId="3" fillId="0" borderId="0" xfId="0" applyNumberFormat="1" applyFont="1"/>
    <xf numFmtId="43" fontId="3" fillId="0" borderId="0" xfId="1" applyFont="1"/>
    <xf numFmtId="43" fontId="1" fillId="0" borderId="0" xfId="1" applyFont="1"/>
    <xf numFmtId="165" fontId="3" fillId="0" borderId="0" xfId="1" applyNumberFormat="1" applyFont="1"/>
    <xf numFmtId="165" fontId="3" fillId="0" borderId="0" xfId="0" applyNumberFormat="1" applyFont="1"/>
    <xf numFmtId="0" fontId="8" fillId="0" borderId="0" xfId="0" applyFont="1"/>
    <xf numFmtId="0" fontId="8" fillId="0" borderId="0" xfId="0" applyFont="1" applyAlignment="1"/>
    <xf numFmtId="165" fontId="0" fillId="0" borderId="0" xfId="0" applyNumberFormat="1" applyFont="1"/>
    <xf numFmtId="164" fontId="0" fillId="0" borderId="0" xfId="0" applyNumberFormat="1"/>
    <xf numFmtId="9" fontId="13" fillId="0" borderId="25" xfId="0" applyNumberFormat="1" applyFont="1" applyBorder="1"/>
    <xf numFmtId="9" fontId="0" fillId="0" borderId="25" xfId="0" applyNumberFormat="1" applyBorder="1"/>
    <xf numFmtId="165" fontId="1" fillId="0" borderId="0" xfId="1" applyNumberFormat="1" applyFont="1"/>
    <xf numFmtId="165" fontId="0" fillId="0" borderId="0" xfId="0" applyNumberFormat="1"/>
    <xf numFmtId="43" fontId="0" fillId="0" borderId="0" xfId="1" applyFont="1"/>
    <xf numFmtId="0" fontId="3" fillId="0" borderId="25" xfId="0" applyFont="1" applyBorder="1"/>
    <xf numFmtId="0" fontId="0" fillId="0" borderId="0" xfId="0" applyFill="1"/>
    <xf numFmtId="43" fontId="0" fillId="0" borderId="0" xfId="1" applyFont="1" applyFill="1"/>
    <xf numFmtId="0" fontId="14" fillId="0" borderId="0" xfId="0" applyFont="1"/>
    <xf numFmtId="167" fontId="0" fillId="0" borderId="0" xfId="0" applyNumberFormat="1" applyFont="1"/>
    <xf numFmtId="3" fontId="3" fillId="0" borderId="0" xfId="0" applyNumberFormat="1" applyFont="1"/>
    <xf numFmtId="0" fontId="14" fillId="0" borderId="0" xfId="0" applyFont="1" applyFill="1"/>
    <xf numFmtId="0" fontId="2" fillId="0" borderId="0" xfId="0" applyFont="1" applyBorder="1"/>
    <xf numFmtId="0" fontId="15" fillId="0" borderId="0" xfId="0" applyFont="1"/>
    <xf numFmtId="0" fontId="8" fillId="0" borderId="0" xfId="0" applyFont="1" applyBorder="1"/>
    <xf numFmtId="0" fontId="16" fillId="0" borderId="0" xfId="0" applyFont="1" applyBorder="1"/>
    <xf numFmtId="10" fontId="0" fillId="0" borderId="0" xfId="0" applyNumberFormat="1"/>
    <xf numFmtId="165" fontId="3" fillId="0" borderId="2" xfId="1" applyNumberFormat="1" applyFont="1" applyBorder="1"/>
    <xf numFmtId="165" fontId="1" fillId="0" borderId="0" xfId="1" applyNumberFormat="1" applyFont="1" applyBorder="1"/>
    <xf numFmtId="164" fontId="3" fillId="0" borderId="0" xfId="0" applyNumberFormat="1" applyFont="1" applyBorder="1"/>
    <xf numFmtId="43" fontId="1" fillId="0" borderId="0" xfId="1" applyFont="1" applyBorder="1"/>
    <xf numFmtId="165" fontId="0" fillId="0" borderId="0" xfId="1" applyNumberFormat="1" applyFont="1" applyFill="1"/>
    <xf numFmtId="0" fontId="0" fillId="0" borderId="0" xfId="0" applyNumberFormat="1"/>
    <xf numFmtId="0" fontId="17" fillId="0" borderId="0" xfId="0" applyFont="1" applyBorder="1"/>
    <xf numFmtId="9" fontId="2" fillId="0" borderId="0" xfId="0" applyNumberFormat="1" applyFont="1"/>
    <xf numFmtId="0" fontId="18" fillId="0" borderId="0" xfId="0" applyFont="1"/>
    <xf numFmtId="165" fontId="3" fillId="0" borderId="0" xfId="1" applyNumberFormat="1" applyFont="1" applyBorder="1"/>
    <xf numFmtId="165" fontId="1" fillId="0" borderId="0" xfId="1" applyNumberFormat="1" applyFont="1" applyFill="1"/>
    <xf numFmtId="167" fontId="0" fillId="0" borderId="0" xfId="2" applyNumberFormat="1" applyFont="1"/>
    <xf numFmtId="9" fontId="0" fillId="0" borderId="0" xfId="2" applyFont="1" applyFill="1" applyBorder="1"/>
    <xf numFmtId="3" fontId="0" fillId="0" borderId="0" xfId="0" applyNumberFormat="1" applyFont="1" applyFill="1" applyBorder="1"/>
    <xf numFmtId="3" fontId="0" fillId="0" borderId="0" xfId="0" applyNumberFormat="1" applyFont="1" applyBorder="1"/>
    <xf numFmtId="0" fontId="0" fillId="0" borderId="0" xfId="0" applyBorder="1"/>
    <xf numFmtId="0" fontId="0" fillId="0" borderId="2" xfId="0" applyBorder="1"/>
    <xf numFmtId="0" fontId="12" fillId="0" borderId="2" xfId="0" applyFont="1" applyBorder="1"/>
    <xf numFmtId="0" fontId="3" fillId="0" borderId="0" xfId="0" applyFont="1" applyFill="1"/>
    <xf numFmtId="9" fontId="0" fillId="0" borderId="0" xfId="2" applyFont="1"/>
    <xf numFmtId="9" fontId="0" fillId="0" borderId="0" xfId="0" applyNumberFormat="1"/>
    <xf numFmtId="0" fontId="12" fillId="6" borderId="0" xfId="0" applyFont="1" applyFill="1" applyBorder="1"/>
    <xf numFmtId="0" fontId="8" fillId="0" borderId="0" xfId="0" applyFont="1" applyAlignment="1">
      <alignment wrapText="1"/>
    </xf>
    <xf numFmtId="164" fontId="0" fillId="0" borderId="0" xfId="0" applyNumberFormat="1" applyBorder="1"/>
    <xf numFmtId="165" fontId="0" fillId="0" borderId="0" xfId="0" applyNumberFormat="1" applyBorder="1"/>
    <xf numFmtId="164" fontId="0" fillId="0" borderId="2" xfId="0" applyNumberFormat="1" applyBorder="1"/>
    <xf numFmtId="0" fontId="0" fillId="0" borderId="26" xfId="0" applyBorder="1"/>
    <xf numFmtId="164" fontId="13" fillId="0" borderId="0" xfId="0" applyNumberFormat="1" applyFont="1"/>
    <xf numFmtId="3" fontId="0" fillId="0" borderId="0" xfId="0" applyNumberFormat="1"/>
    <xf numFmtId="164" fontId="3" fillId="0" borderId="2" xfId="0" applyNumberFormat="1" applyFont="1" applyBorder="1"/>
    <xf numFmtId="0" fontId="3" fillId="0" borderId="2" xfId="0" applyFont="1" applyBorder="1"/>
    <xf numFmtId="0" fontId="8" fillId="0" borderId="0" xfId="0" applyFont="1" applyAlignment="1">
      <alignment horizontal="center"/>
    </xf>
    <xf numFmtId="0" fontId="3" fillId="0" borderId="0" xfId="0" applyFont="1" applyBorder="1"/>
    <xf numFmtId="0" fontId="12" fillId="5" borderId="0" xfId="0" applyFont="1" applyFill="1" applyBorder="1" applyAlignment="1">
      <alignment horizontal="center"/>
    </xf>
    <xf numFmtId="9" fontId="0" fillId="0" borderId="0" xfId="0" applyNumberFormat="1" applyFont="1" applyFill="1"/>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CA%20FP%20-%20E&amp;FA%20-%20Revised%20water%20proposal%20-February%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iled budget"/>
      <sheetName val="Notes and Assumptions"/>
      <sheetName val="AE fees"/>
      <sheetName val="Budget"/>
      <sheetName val="Flood benefits"/>
      <sheetName val="Health benefits"/>
      <sheetName val="Time benefits"/>
      <sheetName val="Economic Analysis"/>
    </sheetNames>
    <sheetDataSet>
      <sheetData sheetId="0">
        <row r="27">
          <cell r="G27">
            <v>1262824.5</v>
          </cell>
          <cell r="H27">
            <v>1203794.5</v>
          </cell>
          <cell r="I27">
            <v>210664.5</v>
          </cell>
          <cell r="J27">
            <v>67464.5</v>
          </cell>
        </row>
        <row r="39">
          <cell r="G39">
            <v>3558737.83</v>
          </cell>
          <cell r="H39">
            <v>765710.7300000001</v>
          </cell>
          <cell r="I39">
            <v>427835.76</v>
          </cell>
          <cell r="J39">
            <v>242666.93999999997</v>
          </cell>
        </row>
        <row r="66">
          <cell r="G66">
            <v>237733.75</v>
          </cell>
          <cell r="H66">
            <v>784576.75</v>
          </cell>
          <cell r="I66">
            <v>336226.75</v>
          </cell>
          <cell r="J66">
            <v>411776.75</v>
          </cell>
        </row>
        <row r="77">
          <cell r="G77">
            <v>286780</v>
          </cell>
          <cell r="H77">
            <v>67780</v>
          </cell>
          <cell r="I77">
            <v>42780</v>
          </cell>
          <cell r="J77">
            <v>42630</v>
          </cell>
        </row>
        <row r="78">
          <cell r="G78">
            <v>30000</v>
          </cell>
          <cell r="H78">
            <v>10000</v>
          </cell>
          <cell r="I78">
            <v>10000</v>
          </cell>
          <cell r="J78">
            <v>0</v>
          </cell>
        </row>
      </sheetData>
      <sheetData sheetId="1"/>
      <sheetData sheetId="2">
        <row r="41">
          <cell r="C41">
            <v>246290</v>
          </cell>
          <cell r="D41">
            <v>176120</v>
          </cell>
          <cell r="E41">
            <v>126120</v>
          </cell>
          <cell r="F41">
            <v>261120</v>
          </cell>
        </row>
      </sheetData>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65"/>
  <sheetViews>
    <sheetView tabSelected="1" topLeftCell="A4" workbookViewId="0">
      <selection activeCell="I21" sqref="I21"/>
    </sheetView>
  </sheetViews>
  <sheetFormatPr defaultColWidth="9.1796875" defaultRowHeight="14.5" x14ac:dyDescent="0.35"/>
  <cols>
    <col min="1" max="1" width="5" style="1" customWidth="1"/>
    <col min="2" max="2" width="42.54296875" style="3" customWidth="1"/>
    <col min="3" max="3" width="5" style="1" customWidth="1"/>
    <col min="4" max="4" width="11.26953125" style="1" bestFit="1" customWidth="1"/>
    <col min="5" max="5" width="16" style="2" bestFit="1" customWidth="1"/>
    <col min="6" max="10" width="16.81640625" style="1" bestFit="1" customWidth="1"/>
    <col min="11" max="19" width="15.7265625" style="1" bestFit="1" customWidth="1"/>
    <col min="20" max="20" width="13.26953125" style="1" bestFit="1" customWidth="1"/>
    <col min="21" max="35" width="11.1796875" style="1" bestFit="1" customWidth="1"/>
    <col min="36" max="16384" width="9.1796875" style="1"/>
  </cols>
  <sheetData>
    <row r="1" spans="1:39" x14ac:dyDescent="0.35">
      <c r="B1" s="18" t="s">
        <v>23</v>
      </c>
    </row>
    <row r="3" spans="1:39" x14ac:dyDescent="0.35">
      <c r="A3" s="71" t="s">
        <v>18</v>
      </c>
      <c r="B3" s="71"/>
      <c r="C3" s="71"/>
      <c r="D3" s="71"/>
      <c r="E3" s="71"/>
      <c r="F3" s="71"/>
      <c r="G3" s="71"/>
      <c r="H3" s="71"/>
      <c r="I3" s="71"/>
      <c r="J3" s="71"/>
      <c r="K3" s="71"/>
      <c r="L3" s="71"/>
      <c r="M3" s="71"/>
      <c r="N3" s="71"/>
      <c r="O3" s="71"/>
      <c r="P3" s="71"/>
      <c r="Q3" s="71"/>
      <c r="R3" s="71"/>
      <c r="S3" s="71"/>
    </row>
    <row r="5" spans="1:39" ht="15" thickBot="1" x14ac:dyDescent="0.4">
      <c r="F5" s="1">
        <v>1</v>
      </c>
      <c r="G5" s="1">
        <v>2</v>
      </c>
      <c r="H5" s="1">
        <v>3</v>
      </c>
      <c r="I5" s="1">
        <v>4</v>
      </c>
      <c r="J5" s="1">
        <v>5</v>
      </c>
      <c r="K5" s="1">
        <v>6</v>
      </c>
      <c r="L5" s="1">
        <v>7</v>
      </c>
      <c r="M5" s="1">
        <v>8</v>
      </c>
      <c r="N5" s="1">
        <v>9</v>
      </c>
      <c r="O5" s="1">
        <v>10</v>
      </c>
      <c r="P5" s="1">
        <v>11</v>
      </c>
      <c r="Q5" s="1">
        <v>12</v>
      </c>
      <c r="R5" s="1">
        <v>13</v>
      </c>
      <c r="S5" s="1">
        <v>14</v>
      </c>
      <c r="T5" s="1">
        <v>15</v>
      </c>
      <c r="U5" s="1">
        <v>16</v>
      </c>
      <c r="V5" s="1">
        <v>17</v>
      </c>
      <c r="W5" s="1">
        <v>18</v>
      </c>
      <c r="X5" s="1">
        <v>19</v>
      </c>
      <c r="Y5" s="1">
        <v>20</v>
      </c>
      <c r="Z5" s="1">
        <v>21</v>
      </c>
      <c r="AA5" s="1">
        <v>22</v>
      </c>
      <c r="AB5" s="1">
        <v>23</v>
      </c>
      <c r="AC5" s="1">
        <v>24</v>
      </c>
      <c r="AD5" s="1">
        <v>25</v>
      </c>
      <c r="AE5" s="1">
        <v>26</v>
      </c>
      <c r="AF5" s="1">
        <v>27</v>
      </c>
      <c r="AG5" s="1">
        <v>28</v>
      </c>
      <c r="AH5" s="1">
        <v>29</v>
      </c>
      <c r="AI5" s="1">
        <v>30</v>
      </c>
    </row>
    <row r="6" spans="1:39" x14ac:dyDescent="0.35">
      <c r="A6" s="70"/>
      <c r="B6" s="69" t="s">
        <v>22</v>
      </c>
      <c r="C6" s="68" t="s">
        <v>21</v>
      </c>
      <c r="D6" s="68" t="s">
        <v>20</v>
      </c>
      <c r="E6" s="68" t="s">
        <v>19</v>
      </c>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row>
    <row r="7" spans="1:39" x14ac:dyDescent="0.35">
      <c r="A7" s="67"/>
      <c r="B7" s="66"/>
      <c r="C7" s="65"/>
      <c r="D7" s="65" t="s">
        <v>18</v>
      </c>
      <c r="E7" s="65"/>
      <c r="F7" s="64"/>
      <c r="G7" s="64"/>
      <c r="H7" s="64"/>
      <c r="I7" s="64"/>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row>
    <row r="8" spans="1:39" x14ac:dyDescent="0.35">
      <c r="A8" s="44"/>
      <c r="B8" s="61" t="s">
        <v>17</v>
      </c>
      <c r="C8" s="57"/>
      <c r="D8" s="57"/>
      <c r="E8" s="56"/>
      <c r="F8" s="55">
        <f>'[1]Detailed budget'!G27</f>
        <v>1262824.5</v>
      </c>
      <c r="G8" s="55">
        <f>'[1]Detailed budget'!H27</f>
        <v>1203794.5</v>
      </c>
      <c r="H8" s="55">
        <f>'[1]Detailed budget'!I27</f>
        <v>210664.5</v>
      </c>
      <c r="I8" s="55">
        <f>'[1]Detailed budget'!J27</f>
        <v>67464.5</v>
      </c>
      <c r="J8" s="62"/>
      <c r="K8" s="59"/>
    </row>
    <row r="9" spans="1:39" x14ac:dyDescent="0.35">
      <c r="A9" s="44"/>
      <c r="B9" s="61" t="s">
        <v>16</v>
      </c>
      <c r="C9" s="57"/>
      <c r="D9" s="57"/>
      <c r="E9" s="56"/>
      <c r="F9" s="55">
        <f>'[1]Detailed budget'!G39</f>
        <v>3558737.83</v>
      </c>
      <c r="G9" s="55">
        <f>'[1]Detailed budget'!H39</f>
        <v>765710.7300000001</v>
      </c>
      <c r="H9" s="55">
        <f>'[1]Detailed budget'!I39</f>
        <v>427835.76</v>
      </c>
      <c r="I9" s="55">
        <f>'[1]Detailed budget'!J39</f>
        <v>242666.93999999997</v>
      </c>
      <c r="J9" s="60"/>
      <c r="K9" s="59"/>
    </row>
    <row r="10" spans="1:39" x14ac:dyDescent="0.35">
      <c r="A10" s="44"/>
      <c r="B10" s="58" t="s">
        <v>15</v>
      </c>
      <c r="C10" s="57"/>
      <c r="D10" s="57"/>
      <c r="E10" s="56"/>
      <c r="F10" s="55">
        <f>'[1]Detailed budget'!G66</f>
        <v>237733.75</v>
      </c>
      <c r="G10" s="55">
        <f>'[1]Detailed budget'!H66</f>
        <v>784576.75</v>
      </c>
      <c r="H10" s="55">
        <f>'[1]Detailed budget'!I66</f>
        <v>336226.75</v>
      </c>
      <c r="I10" s="55">
        <f>'[1]Detailed budget'!J66</f>
        <v>411776.75</v>
      </c>
      <c r="J10" s="54"/>
      <c r="K10" s="37"/>
    </row>
    <row r="11" spans="1:39" x14ac:dyDescent="0.35">
      <c r="A11" s="44"/>
      <c r="B11" s="53" t="s">
        <v>14</v>
      </c>
      <c r="C11" s="53"/>
      <c r="D11" s="53"/>
      <c r="E11" s="49"/>
      <c r="F11" s="49">
        <f>'[1]Detailed budget'!G77</f>
        <v>286780</v>
      </c>
      <c r="G11" s="49">
        <f>'[1]Detailed budget'!H77</f>
        <v>67780</v>
      </c>
      <c r="H11" s="49">
        <f>'[1]Detailed budget'!I77</f>
        <v>42780</v>
      </c>
      <c r="I11" s="49">
        <f>'[1]Detailed budget'!J77</f>
        <v>42630</v>
      </c>
      <c r="J11" s="52"/>
      <c r="K11" s="51"/>
    </row>
    <row r="12" spans="1:39" x14ac:dyDescent="0.35">
      <c r="A12" s="44"/>
      <c r="B12" s="50" t="s">
        <v>13</v>
      </c>
      <c r="C12" s="50"/>
      <c r="D12" s="50"/>
      <c r="E12" s="49"/>
      <c r="F12" s="49">
        <f>'[1]Detailed budget'!G78</f>
        <v>30000</v>
      </c>
      <c r="G12" s="49">
        <f>'[1]Detailed budget'!H78</f>
        <v>10000</v>
      </c>
      <c r="H12" s="49">
        <f>'[1]Detailed budget'!I78</f>
        <v>10000</v>
      </c>
      <c r="I12" s="49">
        <f>'[1]Detailed budget'!J78</f>
        <v>0</v>
      </c>
      <c r="J12" s="49"/>
      <c r="K12" s="49"/>
    </row>
    <row r="13" spans="1:39" ht="15" thickBot="1" x14ac:dyDescent="0.4">
      <c r="A13" s="44"/>
      <c r="B13" s="48" t="s">
        <v>12</v>
      </c>
      <c r="C13" s="47"/>
      <c r="D13" s="47"/>
      <c r="E13" s="46">
        <f>SUM(E8:E12)</f>
        <v>0</v>
      </c>
      <c r="F13" s="46">
        <f>SUM(F8:F12)</f>
        <v>5376076.0800000001</v>
      </c>
      <c r="G13" s="46">
        <f>SUM(G8:G12)</f>
        <v>2831861.98</v>
      </c>
      <c r="H13" s="46">
        <f>SUM(H8:H12)</f>
        <v>1027507.01</v>
      </c>
      <c r="I13" s="46">
        <f>SUM(I8:I12)</f>
        <v>764538.19</v>
      </c>
      <c r="J13" s="45"/>
      <c r="K13" s="37">
        <v>0</v>
      </c>
    </row>
    <row r="14" spans="1:39" ht="15" thickBot="1" x14ac:dyDescent="0.4">
      <c r="A14" s="44"/>
      <c r="B14" s="43" t="s">
        <v>11</v>
      </c>
      <c r="C14" s="42"/>
      <c r="D14" s="42"/>
      <c r="E14" s="41"/>
      <c r="F14" s="40">
        <f>'[1]AE fees'!C41</f>
        <v>246290</v>
      </c>
      <c r="G14" s="39">
        <f>'[1]AE fees'!D41</f>
        <v>176120</v>
      </c>
      <c r="H14" s="39">
        <f>'[1]AE fees'!E41</f>
        <v>126120</v>
      </c>
      <c r="I14" s="39">
        <f>'[1]AE fees'!F41</f>
        <v>261120</v>
      </c>
      <c r="J14" s="38">
        <v>0</v>
      </c>
      <c r="K14" s="37">
        <v>0</v>
      </c>
    </row>
    <row r="15" spans="1:39" ht="15" thickBot="1" x14ac:dyDescent="0.4">
      <c r="A15" s="36"/>
      <c r="B15" s="35" t="s">
        <v>10</v>
      </c>
      <c r="C15" s="34"/>
      <c r="D15" s="34"/>
      <c r="E15" s="33">
        <f>SUM(E14:E14)</f>
        <v>0</v>
      </c>
      <c r="F15" s="32">
        <f>SUM(F13:F14)</f>
        <v>5622366.0800000001</v>
      </c>
      <c r="G15" s="32">
        <f>SUM(G13:G14)</f>
        <v>3007981.98</v>
      </c>
      <c r="H15" s="32">
        <f>SUM(H13:H14)</f>
        <v>1153627.01</v>
      </c>
      <c r="I15" s="32">
        <f>SUM(I13:I14)</f>
        <v>1025658.19</v>
      </c>
      <c r="J15" s="31">
        <f>SUM(J14:J14)</f>
        <v>0</v>
      </c>
      <c r="K15" s="30">
        <f>SUM(K8:K10)</f>
        <v>0</v>
      </c>
      <c r="L15" s="30">
        <f>K15</f>
        <v>0</v>
      </c>
      <c r="M15" s="30">
        <f>L15</f>
        <v>0</v>
      </c>
      <c r="N15" s="30">
        <f>M15</f>
        <v>0</v>
      </c>
      <c r="O15" s="30">
        <f>N15</f>
        <v>0</v>
      </c>
      <c r="P15" s="30">
        <f>O15</f>
        <v>0</v>
      </c>
      <c r="Q15" s="30">
        <f>P15</f>
        <v>0</v>
      </c>
      <c r="R15" s="30">
        <f>Q15</f>
        <v>0</v>
      </c>
      <c r="S15" s="30">
        <f>R15</f>
        <v>0</v>
      </c>
      <c r="T15" s="30">
        <f>S15</f>
        <v>0</v>
      </c>
      <c r="U15" s="30">
        <f>T15</f>
        <v>0</v>
      </c>
      <c r="V15" s="30">
        <f>U15</f>
        <v>0</v>
      </c>
      <c r="W15" s="30">
        <f>V15</f>
        <v>0</v>
      </c>
      <c r="X15" s="30">
        <f>W15</f>
        <v>0</v>
      </c>
      <c r="Y15" s="30">
        <f>X15</f>
        <v>0</v>
      </c>
      <c r="Z15" s="30">
        <f>Y15</f>
        <v>0</v>
      </c>
      <c r="AA15" s="30">
        <f>Z15</f>
        <v>0</v>
      </c>
      <c r="AB15" s="30">
        <f>AA15</f>
        <v>0</v>
      </c>
      <c r="AC15" s="30">
        <f>AB15</f>
        <v>0</v>
      </c>
      <c r="AD15" s="30">
        <f>AC15</f>
        <v>0</v>
      </c>
      <c r="AE15" s="30">
        <f>AD15</f>
        <v>0</v>
      </c>
      <c r="AF15" s="30">
        <f>AE15</f>
        <v>0</v>
      </c>
      <c r="AG15" s="30">
        <f>AF15</f>
        <v>0</v>
      </c>
      <c r="AH15" s="30">
        <f>AG15</f>
        <v>0</v>
      </c>
      <c r="AI15" s="30">
        <f>AH15</f>
        <v>0</v>
      </c>
      <c r="AJ15" s="30"/>
      <c r="AK15" s="30"/>
      <c r="AL15" s="30"/>
      <c r="AM15" s="30"/>
    </row>
    <row r="16" spans="1:39" x14ac:dyDescent="0.35">
      <c r="F16" s="13"/>
      <c r="G16" s="13"/>
      <c r="H16" s="13"/>
      <c r="I16" s="13"/>
      <c r="J16" s="13"/>
    </row>
    <row r="17" spans="2:39" x14ac:dyDescent="0.35">
      <c r="B17" s="29" t="s">
        <v>9</v>
      </c>
      <c r="D17" s="28">
        <f>'Economic Analysis'!C6</f>
        <v>6.1559999999999997E-2</v>
      </c>
      <c r="F17" s="13"/>
      <c r="G17" s="13"/>
      <c r="H17" s="13"/>
      <c r="I17" s="13"/>
      <c r="J17" s="13"/>
    </row>
    <row r="18" spans="2:39" x14ac:dyDescent="0.35">
      <c r="F18" s="13"/>
      <c r="G18" s="13"/>
      <c r="H18" s="13"/>
      <c r="I18" s="2"/>
      <c r="J18" s="13"/>
      <c r="K18" s="13"/>
      <c r="L18" s="13"/>
      <c r="M18" s="2"/>
      <c r="N18" s="13"/>
      <c r="O18" s="13"/>
      <c r="P18" s="13"/>
      <c r="Q18" s="2"/>
      <c r="R18" s="13"/>
      <c r="S18" s="13"/>
      <c r="T18" s="2"/>
      <c r="U18" s="13"/>
      <c r="V18" s="13"/>
      <c r="W18" s="2"/>
      <c r="X18" s="13"/>
      <c r="Y18" s="13"/>
      <c r="Z18" s="2"/>
      <c r="AA18" s="13"/>
      <c r="AB18" s="13"/>
      <c r="AC18" s="2"/>
      <c r="AD18" s="13"/>
      <c r="AE18" s="13"/>
      <c r="AF18" s="2"/>
      <c r="AG18" s="13"/>
      <c r="AH18" s="13"/>
      <c r="AI18" s="2"/>
      <c r="AJ18" s="13"/>
      <c r="AK18" s="13"/>
      <c r="AL18" s="2"/>
      <c r="AM18" s="13"/>
    </row>
    <row r="19" spans="2:39" x14ac:dyDescent="0.35">
      <c r="F19" s="13"/>
      <c r="G19" s="13"/>
      <c r="H19" s="13"/>
      <c r="I19" s="2"/>
      <c r="J19" s="13"/>
      <c r="K19" s="13"/>
      <c r="L19" s="13"/>
      <c r="M19" s="2"/>
      <c r="N19" s="13"/>
      <c r="O19" s="13"/>
      <c r="P19" s="13"/>
      <c r="Q19" s="2"/>
      <c r="R19" s="13"/>
      <c r="S19" s="13"/>
      <c r="T19" s="2"/>
      <c r="U19" s="13"/>
      <c r="V19" s="13"/>
      <c r="W19" s="2"/>
      <c r="X19" s="13"/>
      <c r="Y19" s="13"/>
      <c r="Z19" s="2"/>
      <c r="AA19" s="13"/>
      <c r="AB19" s="13"/>
      <c r="AC19" s="2"/>
      <c r="AD19" s="13"/>
      <c r="AE19" s="13"/>
      <c r="AF19" s="2"/>
      <c r="AG19" s="13"/>
      <c r="AH19" s="13"/>
      <c r="AI19" s="2"/>
      <c r="AJ19" s="13"/>
      <c r="AK19" s="13"/>
      <c r="AL19" s="2"/>
      <c r="AM19" s="13"/>
    </row>
    <row r="20" spans="2:39" x14ac:dyDescent="0.35">
      <c r="B20" s="3" t="s">
        <v>8</v>
      </c>
      <c r="F20" s="13">
        <v>0</v>
      </c>
      <c r="G20" s="13">
        <v>0</v>
      </c>
      <c r="H20" s="13">
        <v>0</v>
      </c>
      <c r="I20" s="13">
        <v>0</v>
      </c>
      <c r="J20" s="13">
        <f>58500000/'Economic Analysis'!C8</f>
        <v>531783.85758737393</v>
      </c>
      <c r="K20" s="13">
        <f>J20</f>
        <v>531783.85758737393</v>
      </c>
      <c r="L20" s="13">
        <f>K20</f>
        <v>531783.85758737393</v>
      </c>
      <c r="M20" s="13">
        <f>L20</f>
        <v>531783.85758737393</v>
      </c>
      <c r="N20" s="13">
        <f>M20</f>
        <v>531783.85758737393</v>
      </c>
      <c r="O20" s="13">
        <f>N20</f>
        <v>531783.85758737393</v>
      </c>
      <c r="P20" s="13">
        <f>O20</f>
        <v>531783.85758737393</v>
      </c>
      <c r="Q20" s="13">
        <f>P20</f>
        <v>531783.85758737393</v>
      </c>
      <c r="R20" s="13">
        <f>Q20</f>
        <v>531783.85758737393</v>
      </c>
      <c r="S20" s="13">
        <f>R20</f>
        <v>531783.85758737393</v>
      </c>
      <c r="T20" s="13">
        <f>S20</f>
        <v>531783.85758737393</v>
      </c>
      <c r="U20" s="13">
        <f>T20</f>
        <v>531783.85758737393</v>
      </c>
      <c r="V20" s="13">
        <f>U20</f>
        <v>531783.85758737393</v>
      </c>
      <c r="W20" s="13">
        <f>V20</f>
        <v>531783.85758737393</v>
      </c>
      <c r="X20" s="13">
        <f>W20</f>
        <v>531783.85758737393</v>
      </c>
      <c r="Y20" s="13">
        <f>X20</f>
        <v>531783.85758737393</v>
      </c>
      <c r="Z20" s="13">
        <f>Y20</f>
        <v>531783.85758737393</v>
      </c>
      <c r="AA20" s="13">
        <f>Z20</f>
        <v>531783.85758737393</v>
      </c>
      <c r="AB20" s="13">
        <f>AA20</f>
        <v>531783.85758737393</v>
      </c>
      <c r="AC20" s="13">
        <f>AB20</f>
        <v>531783.85758737393</v>
      </c>
      <c r="AD20" s="13">
        <f>AC20</f>
        <v>531783.85758737393</v>
      </c>
      <c r="AE20" s="13">
        <f>AD20</f>
        <v>531783.85758737393</v>
      </c>
      <c r="AF20" s="13">
        <f>AE20</f>
        <v>531783.85758737393</v>
      </c>
      <c r="AG20" s="13">
        <f>AF20</f>
        <v>531783.85758737393</v>
      </c>
      <c r="AH20" s="13">
        <f>AG20</f>
        <v>531783.85758737393</v>
      </c>
      <c r="AI20" s="13">
        <f>AH20</f>
        <v>531783.85758737393</v>
      </c>
      <c r="AJ20" s="13"/>
      <c r="AK20" s="13"/>
      <c r="AL20" s="13"/>
      <c r="AM20" s="13"/>
    </row>
    <row r="21" spans="2:39" x14ac:dyDescent="0.35">
      <c r="F21" s="13"/>
      <c r="G21" s="13"/>
      <c r="H21" s="13"/>
      <c r="I21" s="2"/>
      <c r="J21" s="13"/>
      <c r="K21" s="13"/>
      <c r="L21" s="13"/>
      <c r="M21" s="2"/>
      <c r="N21" s="13"/>
      <c r="O21" s="13"/>
      <c r="P21" s="13"/>
      <c r="Q21" s="2"/>
      <c r="R21" s="13"/>
      <c r="S21" s="13"/>
      <c r="T21" s="2"/>
      <c r="U21" s="13"/>
      <c r="V21" s="13"/>
      <c r="W21" s="2"/>
      <c r="X21" s="13"/>
      <c r="Y21" s="13"/>
      <c r="Z21" s="2"/>
      <c r="AA21" s="13"/>
      <c r="AB21" s="13"/>
      <c r="AC21" s="2"/>
      <c r="AD21" s="13"/>
      <c r="AE21" s="13"/>
      <c r="AF21" s="2"/>
      <c r="AG21" s="13"/>
      <c r="AH21" s="13"/>
      <c r="AI21" s="2"/>
      <c r="AJ21" s="13"/>
      <c r="AK21" s="13"/>
      <c r="AL21" s="2"/>
      <c r="AM21" s="13"/>
    </row>
    <row r="22" spans="2:39" x14ac:dyDescent="0.35">
      <c r="F22" s="13"/>
      <c r="G22" s="13"/>
      <c r="H22" s="13"/>
      <c r="I22" s="2"/>
      <c r="J22" s="13"/>
      <c r="K22" s="13"/>
      <c r="L22" s="13"/>
      <c r="M22" s="2"/>
      <c r="N22" s="13"/>
      <c r="O22" s="13"/>
      <c r="P22" s="13"/>
      <c r="Q22" s="2"/>
      <c r="R22" s="13"/>
      <c r="S22" s="13"/>
      <c r="T22" s="2"/>
      <c r="U22" s="13"/>
      <c r="V22" s="13"/>
      <c r="W22" s="2"/>
      <c r="X22" s="13"/>
      <c r="Y22" s="13"/>
      <c r="Z22" s="2"/>
      <c r="AA22" s="13"/>
      <c r="AB22" s="13"/>
      <c r="AC22" s="2"/>
      <c r="AD22" s="13"/>
      <c r="AE22" s="13"/>
      <c r="AF22" s="2"/>
      <c r="AG22" s="13"/>
      <c r="AH22" s="13"/>
      <c r="AI22" s="2"/>
      <c r="AJ22" s="13"/>
      <c r="AK22" s="13"/>
      <c r="AL22" s="2"/>
      <c r="AM22" s="13"/>
    </row>
    <row r="23" spans="2:39" x14ac:dyDescent="0.35">
      <c r="F23" s="13"/>
      <c r="G23" s="13"/>
      <c r="H23" s="13"/>
      <c r="I23" s="2"/>
      <c r="J23" s="13"/>
      <c r="K23" s="13"/>
      <c r="L23" s="13"/>
      <c r="M23" s="2"/>
      <c r="N23" s="13"/>
      <c r="O23" s="13"/>
      <c r="P23" s="13"/>
      <c r="Q23" s="2"/>
      <c r="R23" s="13"/>
      <c r="S23" s="13"/>
      <c r="T23" s="2"/>
      <c r="U23" s="13"/>
      <c r="V23" s="13"/>
      <c r="W23" s="2"/>
      <c r="X23" s="13"/>
      <c r="Y23" s="13"/>
      <c r="Z23" s="2"/>
      <c r="AA23" s="13"/>
      <c r="AB23" s="13"/>
      <c r="AC23" s="2"/>
      <c r="AD23" s="13"/>
      <c r="AE23" s="13"/>
      <c r="AF23" s="2"/>
      <c r="AG23" s="13"/>
      <c r="AH23" s="13"/>
      <c r="AI23" s="2"/>
      <c r="AJ23" s="13"/>
      <c r="AK23" s="13"/>
      <c r="AL23" s="2"/>
      <c r="AM23" s="13"/>
    </row>
    <row r="24" spans="2:39" x14ac:dyDescent="0.35">
      <c r="F24" s="13"/>
      <c r="G24" s="13"/>
      <c r="H24" s="13"/>
      <c r="I24" s="2"/>
      <c r="J24" s="13"/>
      <c r="K24" s="13"/>
      <c r="L24" s="13"/>
      <c r="M24" s="2"/>
      <c r="N24" s="13"/>
      <c r="O24" s="13"/>
      <c r="P24" s="13"/>
      <c r="Q24" s="2"/>
      <c r="R24" s="13"/>
      <c r="S24" s="13"/>
      <c r="T24" s="2"/>
      <c r="U24" s="13"/>
      <c r="V24" s="13"/>
      <c r="W24" s="2"/>
      <c r="X24" s="13"/>
      <c r="Y24" s="13"/>
      <c r="Z24" s="2"/>
      <c r="AA24" s="13"/>
      <c r="AB24" s="13"/>
      <c r="AC24" s="2"/>
      <c r="AD24" s="13"/>
      <c r="AE24" s="13"/>
      <c r="AF24" s="2"/>
      <c r="AG24" s="13"/>
      <c r="AH24" s="13"/>
      <c r="AI24" s="2"/>
      <c r="AJ24" s="13"/>
      <c r="AK24" s="13"/>
      <c r="AL24" s="2"/>
      <c r="AM24" s="13"/>
    </row>
    <row r="25" spans="2:39" x14ac:dyDescent="0.35">
      <c r="B25" s="18" t="s">
        <v>7</v>
      </c>
      <c r="D25" s="1" t="s">
        <v>6</v>
      </c>
      <c r="E25" s="27">
        <v>0</v>
      </c>
      <c r="F25" s="26">
        <v>1</v>
      </c>
      <c r="G25" s="27">
        <v>2</v>
      </c>
      <c r="H25" s="26">
        <v>3</v>
      </c>
      <c r="I25" s="27">
        <v>4</v>
      </c>
      <c r="J25" s="26">
        <v>5</v>
      </c>
      <c r="K25" s="27">
        <v>6</v>
      </c>
      <c r="L25" s="26">
        <v>7</v>
      </c>
      <c r="M25" s="27">
        <v>8</v>
      </c>
      <c r="N25" s="26">
        <v>9</v>
      </c>
      <c r="O25" s="27">
        <v>10</v>
      </c>
      <c r="P25" s="26">
        <v>11</v>
      </c>
      <c r="Q25" s="27">
        <v>12</v>
      </c>
      <c r="R25" s="26">
        <v>13</v>
      </c>
      <c r="S25" s="27">
        <v>14</v>
      </c>
      <c r="T25" s="27">
        <v>15</v>
      </c>
      <c r="U25" s="26">
        <v>16</v>
      </c>
      <c r="V25" s="27">
        <v>17</v>
      </c>
      <c r="W25" s="27">
        <v>18</v>
      </c>
      <c r="X25" s="26">
        <v>19</v>
      </c>
      <c r="Y25" s="27">
        <v>20</v>
      </c>
      <c r="Z25" s="27">
        <v>21</v>
      </c>
      <c r="AA25" s="26">
        <v>22</v>
      </c>
      <c r="AB25" s="27">
        <v>23</v>
      </c>
      <c r="AC25" s="27">
        <v>24</v>
      </c>
      <c r="AD25" s="26">
        <v>25</v>
      </c>
      <c r="AE25" s="27">
        <v>26</v>
      </c>
      <c r="AF25" s="27">
        <v>27</v>
      </c>
      <c r="AG25" s="26">
        <v>28</v>
      </c>
      <c r="AH25" s="27">
        <v>29</v>
      </c>
      <c r="AI25" s="27">
        <v>30</v>
      </c>
      <c r="AJ25" s="26"/>
      <c r="AK25" s="27"/>
      <c r="AL25" s="27"/>
      <c r="AM25" s="26"/>
    </row>
    <row r="26" spans="2:39" x14ac:dyDescent="0.35">
      <c r="B26" s="25"/>
      <c r="C26" s="1" t="s">
        <v>5</v>
      </c>
      <c r="E26" s="24">
        <v>27000</v>
      </c>
      <c r="F26" s="13"/>
      <c r="G26" s="13"/>
      <c r="H26" s="13"/>
      <c r="I26" s="13"/>
      <c r="J26" s="13"/>
    </row>
    <row r="27" spans="2:39" x14ac:dyDescent="0.35">
      <c r="C27" s="1" t="s">
        <v>4</v>
      </c>
      <c r="E27" s="24">
        <v>30000</v>
      </c>
      <c r="F27" s="13"/>
      <c r="G27" s="13"/>
      <c r="H27" s="13"/>
      <c r="I27" s="13"/>
      <c r="J27" s="13"/>
    </row>
    <row r="28" spans="2:39" x14ac:dyDescent="0.35">
      <c r="C28" s="1" t="s">
        <v>3</v>
      </c>
      <c r="E28" s="24">
        <f>3*50000*0.2*0.05</f>
        <v>1500</v>
      </c>
      <c r="F28" s="13"/>
      <c r="G28" s="13"/>
      <c r="H28" s="13"/>
      <c r="I28" s="13"/>
      <c r="J28" s="13"/>
    </row>
    <row r="29" spans="2:39" x14ac:dyDescent="0.35">
      <c r="C29" s="1" t="s">
        <v>2</v>
      </c>
      <c r="E29" s="24">
        <f>200*12</f>
        <v>2400</v>
      </c>
      <c r="F29" s="13"/>
      <c r="G29" s="13"/>
      <c r="H29" s="13"/>
      <c r="I29" s="13"/>
      <c r="J29" s="13"/>
    </row>
    <row r="30" spans="2:39" x14ac:dyDescent="0.35">
      <c r="C30" s="23" t="s">
        <v>1</v>
      </c>
      <c r="E30" s="22">
        <f>SUM(E26:E29)</f>
        <v>60900</v>
      </c>
      <c r="F30" s="21">
        <f>E30*(1+$D$17)</f>
        <v>64649.004000000001</v>
      </c>
      <c r="G30" s="21">
        <f>F30*(1+$D$17)</f>
        <v>68628.796686240006</v>
      </c>
      <c r="H30" s="21">
        <f>G30*(1+$D$17)</f>
        <v>72853.585410244952</v>
      </c>
      <c r="I30" s="21">
        <f>H30*(1+$D$17)</f>
        <v>77338.452128099641</v>
      </c>
      <c r="J30" s="21">
        <f>I30*(1+$D$17)</f>
        <v>82099.407241105466</v>
      </c>
      <c r="K30" s="21">
        <f>J30*(1+$D$17)</f>
        <v>87153.446750867923</v>
      </c>
      <c r="L30" s="21">
        <f>K30*(1+$D$17)</f>
        <v>92518.612932851363</v>
      </c>
      <c r="M30" s="21">
        <f>L30*(1+$D$17)</f>
        <v>98214.058744997703</v>
      </c>
      <c r="N30" s="21">
        <f>M30*(1+$D$17)</f>
        <v>104260.11620133977</v>
      </c>
      <c r="O30" s="21">
        <f>N30*(1+$D$17)</f>
        <v>110678.36895469425</v>
      </c>
      <c r="P30" s="21">
        <f>O30*(1+$D$17)</f>
        <v>117491.72934754523</v>
      </c>
      <c r="Q30" s="21">
        <f>P30*(1+$D$17)</f>
        <v>124724.52020618012</v>
      </c>
      <c r="R30" s="21">
        <f>Q30*(1+$D$17)</f>
        <v>132402.56167007258</v>
      </c>
      <c r="S30" s="21">
        <f>R30*(1+$D$17)</f>
        <v>140553.26336648225</v>
      </c>
      <c r="T30" s="21">
        <f>S30*(1+$D$17)</f>
        <v>149205.72225932291</v>
      </c>
      <c r="U30" s="21">
        <f>T30*(1+$D$17)</f>
        <v>158390.82652160682</v>
      </c>
      <c r="V30" s="21">
        <f>U30*(1+$D$17)</f>
        <v>168141.36580227694</v>
      </c>
      <c r="W30" s="21">
        <f>V30*(1+$D$17)</f>
        <v>178492.14828106511</v>
      </c>
      <c r="X30" s="21">
        <f>W30*(1+$D$17)</f>
        <v>189480.12492924748</v>
      </c>
      <c r="Y30" s="21">
        <f>X30*(1+$D$17)</f>
        <v>201144.52141989197</v>
      </c>
      <c r="Z30" s="21">
        <f>Y30*(1+$D$17)</f>
        <v>213526.97815850054</v>
      </c>
      <c r="AA30" s="21">
        <f>Z30*(1+$D$17)</f>
        <v>226671.69893393785</v>
      </c>
      <c r="AB30" s="21">
        <f>AA30*(1+$D$17)</f>
        <v>240625.60872031108</v>
      </c>
      <c r="AC30" s="21">
        <f>AB30*(1+$D$17)</f>
        <v>255438.52119313343</v>
      </c>
      <c r="AD30" s="21">
        <f>AC30*(1+$D$17)</f>
        <v>271163.31655778276</v>
      </c>
      <c r="AE30" s="21">
        <f>AD30*(1+$D$17)</f>
        <v>287856.1303250799</v>
      </c>
      <c r="AF30" s="21">
        <f>AE30*(1+$D$17)</f>
        <v>305576.55370789184</v>
      </c>
      <c r="AG30" s="21">
        <f>AF30*(1+$D$17)</f>
        <v>324387.84635414969</v>
      </c>
      <c r="AH30" s="21">
        <f>AG30*(1+$D$17)</f>
        <v>344357.16217571119</v>
      </c>
      <c r="AI30" s="21">
        <f>AH30*(1+$D$17)</f>
        <v>365555.78907924797</v>
      </c>
      <c r="AJ30" s="21"/>
      <c r="AK30" s="21"/>
      <c r="AL30" s="21"/>
      <c r="AM30" s="21"/>
    </row>
    <row r="31" spans="2:39" x14ac:dyDescent="0.35">
      <c r="F31" s="13"/>
      <c r="G31" s="13"/>
      <c r="H31" s="13"/>
      <c r="I31" s="13"/>
      <c r="J31" s="13"/>
    </row>
    <row r="32" spans="2:39" x14ac:dyDescent="0.35">
      <c r="F32" s="13"/>
      <c r="G32" s="13"/>
      <c r="H32" s="13"/>
      <c r="I32" s="13"/>
      <c r="J32" s="13"/>
    </row>
    <row r="33" spans="2:39" ht="15" thickBot="1" x14ac:dyDescent="0.4">
      <c r="B33" s="20" t="s">
        <v>0</v>
      </c>
      <c r="F33" s="19">
        <f>F30+F15+F20</f>
        <v>5687015.0839999998</v>
      </c>
      <c r="G33" s="19">
        <f>G30+G15+G20</f>
        <v>3076610.77668624</v>
      </c>
      <c r="H33" s="19">
        <f>H30+H15+H20</f>
        <v>1226480.595410245</v>
      </c>
      <c r="I33" s="19">
        <f>I30+I15+I20</f>
        <v>1102996.6421280997</v>
      </c>
      <c r="J33" s="19">
        <f>J30+J15+J20</f>
        <v>613883.26482847938</v>
      </c>
      <c r="K33" s="19">
        <f>K30+K15+K20</f>
        <v>618937.30433824181</v>
      </c>
      <c r="L33" s="19">
        <f>L30+L15+L20</f>
        <v>624302.47052022535</v>
      </c>
      <c r="M33" s="19">
        <f>M30+M15+M20</f>
        <v>629997.91633237165</v>
      </c>
      <c r="N33" s="19">
        <f>N30+N15+N20</f>
        <v>636043.97378871369</v>
      </c>
      <c r="O33" s="19">
        <f>O30+O15+O20</f>
        <v>642462.22654206818</v>
      </c>
      <c r="P33" s="19">
        <f>P30+P15+P20</f>
        <v>649275.58693491912</v>
      </c>
      <c r="Q33" s="19">
        <f>Q30+Q15+Q20</f>
        <v>656508.3777935541</v>
      </c>
      <c r="R33" s="19">
        <f>R30+R15+R20</f>
        <v>664186.41925744654</v>
      </c>
      <c r="S33" s="19">
        <f>S30+S15+S20</f>
        <v>672337.12095385615</v>
      </c>
      <c r="T33" s="19">
        <f>T30+T15+T20</f>
        <v>680989.57984669681</v>
      </c>
      <c r="U33" s="19">
        <f>U30+U15+U20</f>
        <v>690174.6841089807</v>
      </c>
      <c r="V33" s="19">
        <f>V30+V15+V20</f>
        <v>699925.22338965093</v>
      </c>
      <c r="W33" s="19">
        <f>W30+W15+W20</f>
        <v>710276.0058684391</v>
      </c>
      <c r="X33" s="19">
        <f>X30+X15+X20</f>
        <v>721263.98251662147</v>
      </c>
      <c r="Y33" s="19">
        <f>Y30+Y15+Y20</f>
        <v>732928.3790072659</v>
      </c>
      <c r="Z33" s="19">
        <f>Z30+Z15+Z20</f>
        <v>745310.83574587444</v>
      </c>
      <c r="AA33" s="19">
        <f>AA30+AA15+AA20</f>
        <v>758455.55652131175</v>
      </c>
      <c r="AB33" s="19">
        <f>AB30+AB15+AB20</f>
        <v>772409.46630768501</v>
      </c>
      <c r="AC33" s="19">
        <f>AC30+AC15+AC20</f>
        <v>787222.37878050737</v>
      </c>
      <c r="AD33" s="19">
        <f>AD30+AD15+AD20</f>
        <v>802947.17414515675</v>
      </c>
      <c r="AE33" s="19">
        <f>AE30+AE15+AE20</f>
        <v>819639.98791245383</v>
      </c>
      <c r="AF33" s="19">
        <f>AF30+AF15+AF20</f>
        <v>837360.41129526577</v>
      </c>
      <c r="AG33" s="19">
        <f>AG30+AG15+AG20</f>
        <v>856171.70394152356</v>
      </c>
      <c r="AH33" s="19">
        <f>AH30+AH15+AH20</f>
        <v>876141.01976308506</v>
      </c>
      <c r="AI33" s="19">
        <f>AI30+AI15+AI20</f>
        <v>897339.64666662191</v>
      </c>
      <c r="AJ33" s="19"/>
      <c r="AK33" s="19"/>
      <c r="AL33" s="19"/>
      <c r="AM33" s="19"/>
    </row>
    <row r="34" spans="2:39" x14ac:dyDescent="0.35">
      <c r="E34" s="17"/>
    </row>
    <row r="35" spans="2:39" x14ac:dyDescent="0.35">
      <c r="B35" s="18"/>
      <c r="E35" s="17"/>
    </row>
    <row r="36" spans="2:39" x14ac:dyDescent="0.35">
      <c r="E36" s="17"/>
      <c r="F36" s="13"/>
      <c r="G36" s="4"/>
      <c r="I36" s="13"/>
    </row>
    <row r="37" spans="2:39" x14ac:dyDescent="0.35">
      <c r="G37" s="4"/>
    </row>
    <row r="38" spans="2:39" x14ac:dyDescent="0.35">
      <c r="G38" s="4"/>
    </row>
    <row r="39" spans="2:39" x14ac:dyDescent="0.35">
      <c r="G39" s="4"/>
      <c r="I39" s="13"/>
    </row>
    <row r="40" spans="2:39" x14ac:dyDescent="0.35">
      <c r="C40" s="7"/>
      <c r="D40" s="10"/>
      <c r="E40" s="16"/>
      <c r="F40" s="15"/>
      <c r="G40" s="4"/>
      <c r="I40" s="13"/>
    </row>
    <row r="41" spans="2:39" x14ac:dyDescent="0.35">
      <c r="D41" s="10"/>
      <c r="E41" s="9"/>
      <c r="F41" s="14"/>
      <c r="G41" s="4"/>
      <c r="I41" s="13"/>
    </row>
    <row r="42" spans="2:39" x14ac:dyDescent="0.35">
      <c r="D42" s="10"/>
      <c r="E42" s="9"/>
      <c r="F42" s="12"/>
      <c r="G42" s="4"/>
    </row>
    <row r="43" spans="2:39" x14ac:dyDescent="0.35">
      <c r="D43" s="10"/>
      <c r="E43" s="9"/>
      <c r="F43" s="12"/>
      <c r="G43" s="4"/>
    </row>
    <row r="44" spans="2:39" x14ac:dyDescent="0.35">
      <c r="D44" s="10"/>
      <c r="E44" s="9"/>
      <c r="F44" s="11"/>
      <c r="G44" s="4"/>
    </row>
    <row r="45" spans="2:39" x14ac:dyDescent="0.35">
      <c r="D45" s="10"/>
      <c r="E45" s="9"/>
      <c r="F45" s="11"/>
      <c r="G45" s="4"/>
    </row>
    <row r="46" spans="2:39" x14ac:dyDescent="0.35">
      <c r="D46" s="10"/>
      <c r="E46" s="9"/>
      <c r="F46" s="8"/>
      <c r="G46" s="4"/>
    </row>
    <row r="47" spans="2:39" x14ac:dyDescent="0.35">
      <c r="E47" s="1"/>
      <c r="G47" s="4"/>
    </row>
    <row r="48" spans="2:39" x14ac:dyDescent="0.35">
      <c r="G48" s="4"/>
    </row>
    <row r="49" spans="2:7" x14ac:dyDescent="0.35">
      <c r="B49" s="1"/>
      <c r="C49" s="7"/>
      <c r="D49" s="6"/>
      <c r="E49" s="5"/>
      <c r="G49" s="4"/>
    </row>
    <row r="50" spans="2:7" x14ac:dyDescent="0.35">
      <c r="B50" s="1"/>
      <c r="D50" s="6"/>
      <c r="E50" s="5"/>
      <c r="G50" s="4"/>
    </row>
    <row r="51" spans="2:7" x14ac:dyDescent="0.35">
      <c r="G51" s="4"/>
    </row>
    <row r="52" spans="2:7" x14ac:dyDescent="0.35">
      <c r="G52" s="4"/>
    </row>
    <row r="53" spans="2:7" x14ac:dyDescent="0.35">
      <c r="G53" s="4"/>
    </row>
    <row r="54" spans="2:7" x14ac:dyDescent="0.35">
      <c r="G54" s="4"/>
    </row>
    <row r="55" spans="2:7" x14ac:dyDescent="0.35">
      <c r="G55" s="4"/>
    </row>
    <row r="56" spans="2:7" x14ac:dyDescent="0.35">
      <c r="G56" s="4"/>
    </row>
    <row r="57" spans="2:7" x14ac:dyDescent="0.35">
      <c r="G57" s="4"/>
    </row>
    <row r="58" spans="2:7" x14ac:dyDescent="0.35">
      <c r="G58" s="4"/>
    </row>
    <row r="59" spans="2:7" x14ac:dyDescent="0.35">
      <c r="G59" s="4"/>
    </row>
    <row r="60" spans="2:7" x14ac:dyDescent="0.35">
      <c r="G60" s="4"/>
    </row>
    <row r="61" spans="2:7" x14ac:dyDescent="0.35">
      <c r="G61" s="4"/>
    </row>
    <row r="62" spans="2:7" x14ac:dyDescent="0.35">
      <c r="G62" s="4"/>
    </row>
    <row r="63" spans="2:7" x14ac:dyDescent="0.35">
      <c r="G63" s="4"/>
    </row>
    <row r="64" spans="2:7" x14ac:dyDescent="0.35">
      <c r="G64" s="4"/>
    </row>
    <row r="65" spans="7:7" x14ac:dyDescent="0.35">
      <c r="G65" s="4"/>
    </row>
  </sheetData>
  <mergeCells count="1">
    <mergeCell ref="A3:S3"/>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F38"/>
  <sheetViews>
    <sheetView workbookViewId="0">
      <selection sqref="A1:XFD1048576"/>
    </sheetView>
  </sheetViews>
  <sheetFormatPr defaultRowHeight="14.5" x14ac:dyDescent="0.35"/>
  <cols>
    <col min="1" max="1" width="37.453125" customWidth="1"/>
    <col min="2" max="2" width="27.81640625" customWidth="1"/>
    <col min="3" max="3" width="16.81640625" bestFit="1" customWidth="1"/>
    <col min="4" max="8" width="16.08984375" bestFit="1" customWidth="1"/>
    <col min="9" max="9" width="18.7265625" customWidth="1"/>
    <col min="10" max="32" width="16.08984375" bestFit="1" customWidth="1"/>
  </cols>
  <sheetData>
    <row r="2" spans="1:7" ht="18.5" x14ac:dyDescent="0.45">
      <c r="A2" s="99" t="s">
        <v>57</v>
      </c>
    </row>
    <row r="3" spans="1:7" x14ac:dyDescent="0.35">
      <c r="A3" s="98"/>
    </row>
    <row r="4" spans="1:7" x14ac:dyDescent="0.35">
      <c r="A4" s="73" t="s">
        <v>56</v>
      </c>
      <c r="C4" s="97"/>
      <c r="D4" s="97"/>
    </row>
    <row r="5" spans="1:7" x14ac:dyDescent="0.35">
      <c r="A5" s="96" t="s">
        <v>55</v>
      </c>
      <c r="C5" s="76">
        <f>(850000000+1213000000/2)/1000000</f>
        <v>1456.5</v>
      </c>
      <c r="D5" s="76"/>
    </row>
    <row r="6" spans="1:7" x14ac:dyDescent="0.35">
      <c r="A6" s="96" t="s">
        <v>54</v>
      </c>
      <c r="C6" s="76">
        <v>77.339536507936543</v>
      </c>
      <c r="D6" s="76"/>
    </row>
    <row r="7" spans="1:7" x14ac:dyDescent="0.35">
      <c r="A7" s="96" t="s">
        <v>53</v>
      </c>
      <c r="C7" s="76">
        <f>C5*C6</f>
        <v>112645.03492380958</v>
      </c>
      <c r="D7" s="76"/>
    </row>
    <row r="8" spans="1:7" x14ac:dyDescent="0.35">
      <c r="A8" s="10" t="s">
        <v>52</v>
      </c>
      <c r="C8" s="88">
        <v>102.09549604613399</v>
      </c>
      <c r="D8" s="88"/>
    </row>
    <row r="9" spans="1:7" x14ac:dyDescent="0.35">
      <c r="A9" s="10" t="s">
        <v>51</v>
      </c>
      <c r="C9" s="88">
        <v>159.59888770696253</v>
      </c>
      <c r="D9" s="88"/>
    </row>
    <row r="10" spans="1:7" x14ac:dyDescent="0.35">
      <c r="A10" s="10" t="s">
        <v>50</v>
      </c>
      <c r="C10" s="75">
        <f>C7*C9/C8</f>
        <v>176090.25839326164</v>
      </c>
      <c r="D10" s="88"/>
    </row>
    <row r="11" spans="1:7" x14ac:dyDescent="0.35">
      <c r="A11" s="10" t="s">
        <v>49</v>
      </c>
      <c r="C11" s="75">
        <f>C10/C6</f>
        <v>2276.8465696092107</v>
      </c>
      <c r="D11" s="88"/>
    </row>
    <row r="12" spans="1:7" x14ac:dyDescent="0.35">
      <c r="A12" s="95" t="s">
        <v>48</v>
      </c>
      <c r="C12" s="94">
        <v>110.00709999999999</v>
      </c>
      <c r="D12" s="88"/>
    </row>
    <row r="13" spans="1:7" x14ac:dyDescent="0.35">
      <c r="A13" s="9" t="s">
        <v>47</v>
      </c>
    </row>
    <row r="14" spans="1:7" x14ac:dyDescent="0.35">
      <c r="A14" s="92" t="s">
        <v>46</v>
      </c>
      <c r="C14" s="93">
        <v>6.1559999999999997E-2</v>
      </c>
      <c r="E14" s="90"/>
      <c r="F14" s="90"/>
      <c r="G14" s="90"/>
    </row>
    <row r="15" spans="1:7" x14ac:dyDescent="0.35">
      <c r="A15" s="92" t="s">
        <v>45</v>
      </c>
      <c r="C15" s="28">
        <v>2.3800000000000002E-2</v>
      </c>
      <c r="E15" s="91"/>
      <c r="F15" s="91"/>
      <c r="G15" s="90"/>
    </row>
    <row r="16" spans="1:7" x14ac:dyDescent="0.35">
      <c r="A16" s="74"/>
      <c r="C16" s="74"/>
      <c r="E16" s="90"/>
      <c r="F16" s="90"/>
      <c r="G16" s="90"/>
    </row>
    <row r="17" spans="1:32" x14ac:dyDescent="0.35">
      <c r="D17" s="89" t="s">
        <v>44</v>
      </c>
      <c r="E17" s="74" t="s">
        <v>43</v>
      </c>
      <c r="F17" s="74" t="s">
        <v>42</v>
      </c>
      <c r="G17" s="74" t="s">
        <v>41</v>
      </c>
      <c r="H17" s="74" t="s">
        <v>40</v>
      </c>
      <c r="I17" s="74" t="s">
        <v>39</v>
      </c>
      <c r="J17" s="80">
        <v>1</v>
      </c>
      <c r="K17" s="80">
        <v>2</v>
      </c>
      <c r="L17" s="80">
        <v>3</v>
      </c>
      <c r="M17" s="80">
        <v>4</v>
      </c>
      <c r="N17" s="80">
        <v>5</v>
      </c>
      <c r="O17" s="80">
        <v>6</v>
      </c>
      <c r="P17" s="80">
        <v>7</v>
      </c>
      <c r="Q17" s="80">
        <v>8</v>
      </c>
      <c r="R17" s="80">
        <v>9</v>
      </c>
      <c r="S17" s="80">
        <v>10</v>
      </c>
      <c r="T17" s="80">
        <v>11</v>
      </c>
      <c r="U17" s="80">
        <v>12</v>
      </c>
      <c r="V17" s="80">
        <v>13</v>
      </c>
      <c r="W17" s="80">
        <v>14</v>
      </c>
      <c r="X17" s="80">
        <v>15</v>
      </c>
      <c r="Y17" s="80">
        <v>16</v>
      </c>
      <c r="Z17" s="80">
        <v>17</v>
      </c>
      <c r="AA17" s="80">
        <v>18</v>
      </c>
      <c r="AB17" s="80">
        <v>19</v>
      </c>
      <c r="AC17" s="80">
        <v>20</v>
      </c>
      <c r="AD17" s="80">
        <v>21</v>
      </c>
      <c r="AE17" s="80">
        <v>22</v>
      </c>
      <c r="AF17" s="80">
        <v>23</v>
      </c>
    </row>
    <row r="18" spans="1:32" x14ac:dyDescent="0.35">
      <c r="A18" s="74" t="s">
        <v>38</v>
      </c>
      <c r="D18" s="85">
        <v>1</v>
      </c>
      <c r="E18" s="88">
        <v>3983242.9715339402</v>
      </c>
      <c r="F18" s="4">
        <v>10970</v>
      </c>
      <c r="G18" s="4">
        <v>20500</v>
      </c>
      <c r="H18" s="4">
        <v>161300</v>
      </c>
      <c r="I18" s="82">
        <f>SUM(E18:H18)</f>
        <v>4176012.9715339402</v>
      </c>
    </row>
    <row r="19" spans="1:32" x14ac:dyDescent="0.35">
      <c r="A19" s="74" t="s">
        <v>37</v>
      </c>
      <c r="D19" s="85">
        <v>0.1</v>
      </c>
      <c r="E19" s="83">
        <f>E18*D19</f>
        <v>398324.29715339403</v>
      </c>
      <c r="F19" s="87">
        <f>F18*D19</f>
        <v>1097</v>
      </c>
      <c r="G19" s="87">
        <f>G18*D19</f>
        <v>2050</v>
      </c>
      <c r="H19" s="87">
        <f>H18*D19</f>
        <v>16130</v>
      </c>
      <c r="I19" s="82">
        <f>SUM(E19:H19)</f>
        <v>417601.29715339403</v>
      </c>
      <c r="J19" s="86">
        <f>I19*(1+$C$15)</f>
        <v>427540.20802564482</v>
      </c>
      <c r="K19" s="86">
        <f>J19*(1+$C$15)</f>
        <v>437715.66497665521</v>
      </c>
      <c r="L19" s="86">
        <f>K19*(1+$C$15)</f>
        <v>448133.29780309962</v>
      </c>
      <c r="M19" s="86">
        <f>L19*(1+$C$15)</f>
        <v>458798.87029081339</v>
      </c>
      <c r="N19" s="86">
        <f>M19*(1+$C$15)</f>
        <v>469718.28340373479</v>
      </c>
      <c r="O19" s="86">
        <f>N19*(1+$C$15)</f>
        <v>480897.57854874368</v>
      </c>
      <c r="P19" s="86">
        <f>O19*(1+$C$15)</f>
        <v>492342.94091820379</v>
      </c>
      <c r="Q19" s="86">
        <f>P19*(1+$C$15)</f>
        <v>504060.70291205705</v>
      </c>
      <c r="R19" s="86">
        <f>Q19*(1+$C$15)</f>
        <v>516057.34764136403</v>
      </c>
      <c r="S19" s="86">
        <f>R19*(1+$C$15)</f>
        <v>528339.51251522847</v>
      </c>
      <c r="T19" s="86">
        <f>S19*(1+$C$15)</f>
        <v>540913.99291309097</v>
      </c>
      <c r="U19" s="86">
        <f>T19*(1+$C$15)</f>
        <v>553787.74594442255</v>
      </c>
      <c r="V19" s="86">
        <f>U19*(1+$C$15)</f>
        <v>566967.89429789979</v>
      </c>
      <c r="W19" s="86">
        <f>V19*(1+$C$15)</f>
        <v>580461.73018218984</v>
      </c>
      <c r="X19" s="86">
        <f>W19*(1+$C$15)</f>
        <v>594276.71936052595</v>
      </c>
      <c r="Y19" s="86">
        <f>X19*(1+$C$15)</f>
        <v>608420.50528130645</v>
      </c>
      <c r="Z19" s="86">
        <f>Y19*(1+$C$15)</f>
        <v>622900.91330700158</v>
      </c>
      <c r="AA19" s="86">
        <f>Z19*(1+$C$15)</f>
        <v>637725.95504370821</v>
      </c>
      <c r="AB19" s="86">
        <f>AA19*(1+$C$15)</f>
        <v>652903.83277374844</v>
      </c>
      <c r="AC19" s="86">
        <f>AB19*(1+$C$15)</f>
        <v>668442.94399376365</v>
      </c>
      <c r="AD19" s="86">
        <f>AC19*(1+$C$15)</f>
        <v>684351.8860608153</v>
      </c>
      <c r="AE19" s="86">
        <f>AD19*(1+$C$15)</f>
        <v>700639.46094906272</v>
      </c>
      <c r="AF19" s="86">
        <f>AE19*(1+$C$15)</f>
        <v>717314.68011965044</v>
      </c>
    </row>
    <row r="20" spans="1:32" x14ac:dyDescent="0.35">
      <c r="A20" s="74" t="s">
        <v>36</v>
      </c>
      <c r="D20" s="85">
        <v>0.05</v>
      </c>
      <c r="E20" s="83">
        <f>E19*$C$5*$D$20</f>
        <v>29007966.940195918</v>
      </c>
      <c r="F20" s="83">
        <f>F19*$C$5*$D$20</f>
        <v>79889.025000000009</v>
      </c>
      <c r="G20" s="83">
        <f>G19*$C$5*$D$20</f>
        <v>149291.25</v>
      </c>
      <c r="H20" s="83">
        <f>H19*$C$5*$D$20</f>
        <v>1174667.25</v>
      </c>
      <c r="I20" s="82">
        <f>SUM(E20:H20)</f>
        <v>30411814.465195917</v>
      </c>
    </row>
    <row r="21" spans="1:32" x14ac:dyDescent="0.35">
      <c r="A21" s="74" t="s">
        <v>35</v>
      </c>
      <c r="D21" s="84">
        <v>0.05</v>
      </c>
      <c r="E21" s="83">
        <f>E20*$D$21</f>
        <v>1450398.347009796</v>
      </c>
      <c r="F21" s="83">
        <f>F20*$D$21</f>
        <v>3994.4512500000005</v>
      </c>
      <c r="G21" s="83">
        <f>G20*$D$21</f>
        <v>7464.5625</v>
      </c>
      <c r="H21" s="83">
        <f>H20*$D$21</f>
        <v>58733.362500000003</v>
      </c>
      <c r="I21" s="82">
        <f>SUM(E21:H21)</f>
        <v>1520590.7232597959</v>
      </c>
    </row>
    <row r="25" spans="1:32" x14ac:dyDescent="0.35">
      <c r="A25" s="73" t="s">
        <v>34</v>
      </c>
      <c r="B25" s="81"/>
      <c r="C25" s="81"/>
      <c r="D25" s="81"/>
      <c r="E25" s="81"/>
      <c r="F25" s="81"/>
    </row>
    <row r="26" spans="1:32" x14ac:dyDescent="0.35">
      <c r="A26" s="74" t="s">
        <v>6</v>
      </c>
      <c r="B26" s="80">
        <v>0</v>
      </c>
      <c r="C26" s="80">
        <v>1</v>
      </c>
      <c r="D26" s="80">
        <v>2</v>
      </c>
      <c r="E26" s="80">
        <v>3</v>
      </c>
      <c r="F26" s="80">
        <v>4</v>
      </c>
      <c r="G26" s="80">
        <v>5</v>
      </c>
      <c r="H26" s="80">
        <v>6</v>
      </c>
      <c r="I26" s="80">
        <v>7</v>
      </c>
      <c r="J26" s="80">
        <v>8</v>
      </c>
      <c r="K26" s="80">
        <v>9</v>
      </c>
      <c r="L26" s="80">
        <v>10</v>
      </c>
      <c r="M26" s="80">
        <v>11</v>
      </c>
      <c r="N26" s="80">
        <v>12</v>
      </c>
      <c r="O26" s="80">
        <v>13</v>
      </c>
      <c r="P26" s="80">
        <v>14</v>
      </c>
      <c r="Q26" s="80">
        <v>15</v>
      </c>
      <c r="R26" s="80">
        <v>16</v>
      </c>
      <c r="S26" s="80">
        <v>17</v>
      </c>
      <c r="T26" s="80">
        <v>18</v>
      </c>
      <c r="U26" s="80">
        <v>19</v>
      </c>
      <c r="V26" s="80">
        <v>20</v>
      </c>
      <c r="W26" s="80">
        <v>21</v>
      </c>
      <c r="X26" s="80">
        <v>22</v>
      </c>
      <c r="Y26" s="80">
        <v>23</v>
      </c>
      <c r="Z26" s="80">
        <v>24</v>
      </c>
      <c r="AA26" s="80">
        <v>25</v>
      </c>
      <c r="AB26" s="80">
        <v>26</v>
      </c>
      <c r="AC26" s="80">
        <v>27</v>
      </c>
      <c r="AD26" s="80">
        <v>28</v>
      </c>
      <c r="AE26" s="80">
        <v>29</v>
      </c>
      <c r="AF26" s="80">
        <v>30</v>
      </c>
    </row>
    <row r="27" spans="1:32" x14ac:dyDescent="0.35">
      <c r="A27" s="74" t="s">
        <v>33</v>
      </c>
      <c r="B27" s="79">
        <f>I19</f>
        <v>417601.29715339403</v>
      </c>
      <c r="C27" s="78">
        <f>B27*(1+$C$15)</f>
        <v>427540.20802564482</v>
      </c>
      <c r="D27" s="78">
        <f>C27*(1+$C$15)</f>
        <v>437715.66497665521</v>
      </c>
      <c r="E27" s="78">
        <f>D27*(1+$C$15)</f>
        <v>448133.29780309962</v>
      </c>
      <c r="F27" s="78">
        <f>E27*(1+$C$15)</f>
        <v>458798.87029081339</v>
      </c>
      <c r="G27" s="78">
        <f>F27*(1+$C$15)</f>
        <v>469718.28340373479</v>
      </c>
      <c r="H27" s="78">
        <f>G27*(1+$C$15)</f>
        <v>480897.57854874368</v>
      </c>
      <c r="I27" s="78">
        <f>H27*(1+$C$15)</f>
        <v>492342.94091820379</v>
      </c>
      <c r="J27" s="78">
        <f>I27*(1+$C$15)</f>
        <v>504060.70291205705</v>
      </c>
      <c r="K27" s="78">
        <f>J27*(1+$C$15)</f>
        <v>516057.34764136403</v>
      </c>
      <c r="L27" s="78">
        <f>K27*(1+$C$15)</f>
        <v>528339.51251522847</v>
      </c>
      <c r="M27" s="78">
        <f>L27*(1+$C$15)</f>
        <v>540913.99291309097</v>
      </c>
      <c r="N27" s="78">
        <f>M27*(1+$C$15)</f>
        <v>553787.74594442255</v>
      </c>
      <c r="O27" s="78">
        <f>N27*(1+$C$15)</f>
        <v>566967.89429789979</v>
      </c>
      <c r="P27" s="78">
        <f>O27*(1+$C$15)</f>
        <v>580461.73018218984</v>
      </c>
      <c r="Q27" s="78">
        <f>P27*(1+$C$15)</f>
        <v>594276.71936052595</v>
      </c>
      <c r="R27" s="78">
        <f>Q27*(1+$C$15)</f>
        <v>608420.50528130645</v>
      </c>
      <c r="S27" s="78">
        <f>R27*(1+$C$15)</f>
        <v>622900.91330700158</v>
      </c>
      <c r="T27" s="78">
        <f>S27*(1+$C$15)</f>
        <v>637725.95504370821</v>
      </c>
      <c r="U27" s="78">
        <f>T27*(1+$C$15)</f>
        <v>652903.83277374844</v>
      </c>
      <c r="V27" s="78">
        <f>U27*(1+$C$15)</f>
        <v>668442.94399376365</v>
      </c>
      <c r="W27" s="78">
        <f>V27*(1+$C$15)</f>
        <v>684351.8860608153</v>
      </c>
      <c r="X27" s="78">
        <f>W27*(1+$C$15)</f>
        <v>700639.46094906272</v>
      </c>
      <c r="Y27" s="78">
        <f>X27*(1+$C$15)</f>
        <v>717314.68011965044</v>
      </c>
      <c r="Z27" s="78">
        <f>Y27*(1+$C$15)</f>
        <v>734386.76950649812</v>
      </c>
      <c r="AA27" s="78">
        <f>Z27*(1+$C$15)</f>
        <v>751865.1746207528</v>
      </c>
      <c r="AB27" s="78">
        <f>AA27*(1+$C$15)</f>
        <v>769759.5657767267</v>
      </c>
      <c r="AC27" s="78">
        <f>AB27*(1+$C$15)</f>
        <v>788079.84344221279</v>
      </c>
      <c r="AD27" s="78">
        <f>AC27*(1+$C$15)</f>
        <v>806836.14371613751</v>
      </c>
      <c r="AE27" s="78">
        <f>AD27*(1+$C$15)</f>
        <v>826038.84393658163</v>
      </c>
      <c r="AF27" s="78">
        <f>AE27*(1+$C$15)</f>
        <v>845698.56842227234</v>
      </c>
    </row>
    <row r="28" spans="1:32" x14ac:dyDescent="0.35">
      <c r="A28" s="74" t="s">
        <v>32</v>
      </c>
      <c r="B28" s="76">
        <v>0</v>
      </c>
      <c r="C28" s="76">
        <v>0</v>
      </c>
      <c r="D28" s="77">
        <f>D27*$C$10*$D$20*$D$21</f>
        <v>192693661.37129393</v>
      </c>
      <c r="E28" s="77">
        <f>E27*$C$10*$D$20*$D$21</f>
        <v>197279770.5119307</v>
      </c>
      <c r="F28" s="77">
        <f>F27*$C$10*$D$20*$D$21</f>
        <v>201975029.05011463</v>
      </c>
      <c r="G28" s="77">
        <f>G27*$C$10*$D$20*$D$21</f>
        <v>206782034.74150744</v>
      </c>
      <c r="H28" s="77">
        <f>H27*$C$10*$D$20*$D$21</f>
        <v>211703447.16835532</v>
      </c>
      <c r="I28" s="77">
        <f>I27*$C$10*$D$20*$D$21</f>
        <v>216741989.21096218</v>
      </c>
      <c r="J28" s="77">
        <f>J27*$C$10*$D$20*$D$21</f>
        <v>221900448.55418307</v>
      </c>
      <c r="K28" s="77">
        <f>K27*$C$10*$D$20*$D$21</f>
        <v>227181679.22977263</v>
      </c>
      <c r="L28" s="77">
        <f>L27*$C$10*$D$20*$D$21</f>
        <v>232588603.19544122</v>
      </c>
      <c r="M28" s="77">
        <f>M27*$C$10*$D$20*$D$21</f>
        <v>238124211.95149276</v>
      </c>
      <c r="N28" s="77">
        <f>N27*$C$10*$D$20*$D$21</f>
        <v>243791568.19593826</v>
      </c>
      <c r="O28" s="77">
        <f>O27*$C$10*$D$20*$D$21</f>
        <v>249593807.5190016</v>
      </c>
      <c r="P28" s="77">
        <f>P27*$C$10*$D$20*$D$21</f>
        <v>255534140.13795388</v>
      </c>
      <c r="Q28" s="77">
        <f>Q27*$C$10*$D$20*$D$21</f>
        <v>261615852.67323714</v>
      </c>
      <c r="R28" s="77">
        <f>R27*$C$10*$D$20*$D$21</f>
        <v>267842309.9668602</v>
      </c>
      <c r="S28" s="77">
        <f>S27*$C$10*$D$20*$D$21</f>
        <v>274216956.94407147</v>
      </c>
      <c r="T28" s="77">
        <f>T27*$C$10*$D$20*$D$21</f>
        <v>280743320.51934034</v>
      </c>
      <c r="U28" s="77">
        <f>U27*$C$10*$D$20*$D$21</f>
        <v>287425011.54770064</v>
      </c>
      <c r="V28" s="77">
        <f>V27*$C$10*$D$20*$D$21</f>
        <v>294265726.82253593</v>
      </c>
      <c r="W28" s="77">
        <f>W27*$C$10*$D$20*$D$21</f>
        <v>301269251.12091231</v>
      </c>
      <c r="X28" s="77">
        <f>X27*$C$10*$D$20*$D$21</f>
        <v>308439459.29759002</v>
      </c>
      <c r="Y28" s="77">
        <f>Y27*$C$10*$D$20*$D$21</f>
        <v>315780318.4288727</v>
      </c>
      <c r="Z28" s="77">
        <f>Z27*$C$10*$D$20*$D$21</f>
        <v>323295890.00747991</v>
      </c>
      <c r="AA28" s="77">
        <f>AA27*$C$10*$D$20*$D$21</f>
        <v>330990332.18965793</v>
      </c>
      <c r="AB28" s="77">
        <f>AB27*$C$10*$D$20*$D$21</f>
        <v>338867902.09577179</v>
      </c>
      <c r="AC28" s="77">
        <f>AC27*$C$10*$D$20*$D$21</f>
        <v>346932958.16565114</v>
      </c>
      <c r="AD28" s="77">
        <f>AD27*$C$10*$D$20*$D$21</f>
        <v>355189962.56999362</v>
      </c>
      <c r="AE28" s="77">
        <f>AE27*$C$10*$D$20*$D$21</f>
        <v>363643483.67915952</v>
      </c>
      <c r="AF28" s="77">
        <f>AF27*$C$10*$D$20*$D$21</f>
        <v>372298198.59072351</v>
      </c>
    </row>
    <row r="29" spans="1:32" x14ac:dyDescent="0.35">
      <c r="A29" s="74" t="s">
        <v>31</v>
      </c>
      <c r="B29" s="76"/>
      <c r="C29" s="76">
        <v>0</v>
      </c>
      <c r="D29" s="75">
        <f>D28/$C$12</f>
        <v>1751647.4970369544</v>
      </c>
      <c r="E29" s="75">
        <f>E28/$C$12</f>
        <v>1793336.7074664338</v>
      </c>
      <c r="F29" s="75">
        <f>F28/$C$12</f>
        <v>1836018.1211041345</v>
      </c>
      <c r="G29" s="75">
        <f>G28/$C$12</f>
        <v>1879715.3523864136</v>
      </c>
      <c r="H29" s="75">
        <f>H28/$C$12</f>
        <v>1924452.5777732104</v>
      </c>
      <c r="I29" s="75">
        <f>I28/$C$12</f>
        <v>1970254.5491242127</v>
      </c>
      <c r="J29" s="75">
        <f>J28/$C$12</f>
        <v>2017146.6073933688</v>
      </c>
      <c r="K29" s="75">
        <f>K28/$C$12</f>
        <v>2065154.6966493311</v>
      </c>
      <c r="L29" s="75">
        <f>L28/$C$12</f>
        <v>2114305.3784295851</v>
      </c>
      <c r="M29" s="75">
        <f>M28/$C$12</f>
        <v>2164625.84643621</v>
      </c>
      <c r="N29" s="75">
        <f>N28/$C$12</f>
        <v>2216143.9415813913</v>
      </c>
      <c r="O29" s="75">
        <f>O28/$C$12</f>
        <v>2268888.1673910287</v>
      </c>
      <c r="P29" s="75">
        <f>P28/$C$12</f>
        <v>2322887.7057749354</v>
      </c>
      <c r="Q29" s="75">
        <f>Q28/$C$12</f>
        <v>2378172.4331723787</v>
      </c>
      <c r="R29" s="75">
        <f>R28/$C$12</f>
        <v>2434772.9370818813</v>
      </c>
      <c r="S29" s="75">
        <f>S28/$C$12</f>
        <v>2492720.53298443</v>
      </c>
      <c r="T29" s="75">
        <f>T28/$C$12</f>
        <v>2552047.2816694593</v>
      </c>
      <c r="U29" s="75">
        <f>U28/$C$12</f>
        <v>2612786.0069731921</v>
      </c>
      <c r="V29" s="75">
        <f>V28/$C$12</f>
        <v>2674970.3139391541</v>
      </c>
      <c r="W29" s="75">
        <f>W28/$C$12</f>
        <v>2738634.6074109063</v>
      </c>
      <c r="X29" s="75">
        <f>X28/$C$12</f>
        <v>2803814.1110672858</v>
      </c>
      <c r="Y29" s="75">
        <f>Y28/$C$12</f>
        <v>2870544.8869106877</v>
      </c>
      <c r="Z29" s="75">
        <f>Z28/$C$12</f>
        <v>2938863.8552191625</v>
      </c>
      <c r="AA29" s="75">
        <f>AA28/$C$12</f>
        <v>3008808.8149733786</v>
      </c>
      <c r="AB29" s="75">
        <f>AB28/$C$12</f>
        <v>3080418.4647697448</v>
      </c>
      <c r="AC29" s="75">
        <f>AC28/$C$12</f>
        <v>3153732.4242312647</v>
      </c>
      <c r="AD29" s="75">
        <f>AD28/$C$12</f>
        <v>3228791.2559279688</v>
      </c>
      <c r="AE29" s="75">
        <f>AE28/$C$12</f>
        <v>3305636.4878190546</v>
      </c>
      <c r="AF29" s="75">
        <f>AF28/$C$12</f>
        <v>3384310.6362291481</v>
      </c>
    </row>
    <row r="30" spans="1:32" x14ac:dyDescent="0.35">
      <c r="A30" s="74"/>
    </row>
    <row r="32" spans="1:32" x14ac:dyDescent="0.35">
      <c r="A32" s="73" t="s">
        <v>30</v>
      </c>
    </row>
    <row r="33" spans="1:7" x14ac:dyDescent="0.35">
      <c r="A33" t="s">
        <v>29</v>
      </c>
      <c r="B33" s="72"/>
      <c r="C33" s="72"/>
      <c r="D33" s="72"/>
      <c r="E33" s="72"/>
      <c r="F33" s="72"/>
      <c r="G33" s="72"/>
    </row>
    <row r="34" spans="1:7" x14ac:dyDescent="0.35">
      <c r="A34" t="s">
        <v>28</v>
      </c>
    </row>
    <row r="35" spans="1:7" x14ac:dyDescent="0.35">
      <c r="A35" s="1" t="s">
        <v>27</v>
      </c>
    </row>
    <row r="36" spans="1:7" x14ac:dyDescent="0.35">
      <c r="A36" t="s">
        <v>26</v>
      </c>
    </row>
    <row r="37" spans="1:7" x14ac:dyDescent="0.35">
      <c r="A37" s="9" t="s">
        <v>25</v>
      </c>
    </row>
    <row r="38" spans="1:7" x14ac:dyDescent="0.35">
      <c r="A38" t="s">
        <v>24</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O47"/>
  <sheetViews>
    <sheetView workbookViewId="0">
      <selection sqref="A1:XFD1048576"/>
    </sheetView>
  </sheetViews>
  <sheetFormatPr defaultRowHeight="14.5" x14ac:dyDescent="0.35"/>
  <cols>
    <col min="1" max="1" width="29.81640625" customWidth="1"/>
    <col min="2" max="2" width="33.453125" customWidth="1"/>
    <col min="3" max="3" width="14.26953125" bestFit="1" customWidth="1"/>
    <col min="4" max="11" width="14.453125" bestFit="1" customWidth="1"/>
    <col min="12" max="18" width="14.26953125" bestFit="1" customWidth="1"/>
    <col min="19" max="19" width="15.26953125" bestFit="1" customWidth="1"/>
    <col min="20" max="34" width="11.08984375" bestFit="1" customWidth="1"/>
  </cols>
  <sheetData>
    <row r="2" spans="1:41" ht="18.5" x14ac:dyDescent="0.45">
      <c r="A2" s="99" t="s">
        <v>75</v>
      </c>
      <c r="C2" s="109"/>
    </row>
    <row r="3" spans="1:41" ht="18.5" x14ac:dyDescent="0.45">
      <c r="A3" s="99"/>
    </row>
    <row r="4" spans="1:41" x14ac:dyDescent="0.35">
      <c r="A4" s="73" t="s">
        <v>56</v>
      </c>
    </row>
    <row r="5" spans="1:41" x14ac:dyDescent="0.35">
      <c r="A5" s="92" t="s">
        <v>74</v>
      </c>
      <c r="C5" s="93">
        <f>'Economic Analysis'!C6</f>
        <v>6.1559999999999997E-2</v>
      </c>
    </row>
    <row r="6" spans="1:41" x14ac:dyDescent="0.35">
      <c r="A6" s="107" t="s">
        <v>73</v>
      </c>
      <c r="C6">
        <v>4.74</v>
      </c>
    </row>
    <row r="7" spans="1:41" x14ac:dyDescent="0.35">
      <c r="A7" s="107" t="s">
        <v>72</v>
      </c>
      <c r="C7">
        <f>C6*50%</f>
        <v>2.37</v>
      </c>
    </row>
    <row r="8" spans="1:41" x14ac:dyDescent="0.35">
      <c r="A8" s="92" t="s">
        <v>71</v>
      </c>
      <c r="C8" s="28">
        <v>2.6800000000000001E-2</v>
      </c>
    </row>
    <row r="9" spans="1:41" x14ac:dyDescent="0.35">
      <c r="A9" s="107" t="s">
        <v>70</v>
      </c>
      <c r="C9" s="108">
        <v>0.03</v>
      </c>
    </row>
    <row r="10" spans="1:41" x14ac:dyDescent="0.35">
      <c r="A10" s="107" t="s">
        <v>69</v>
      </c>
      <c r="C10" s="106">
        <f>12*4</f>
        <v>48</v>
      </c>
    </row>
    <row r="11" spans="1:41" x14ac:dyDescent="0.35">
      <c r="A11" s="95" t="s">
        <v>48</v>
      </c>
      <c r="C11" s="1">
        <v>110.7</v>
      </c>
    </row>
    <row r="13" spans="1:41" x14ac:dyDescent="0.35">
      <c r="A13" s="73" t="s">
        <v>68</v>
      </c>
    </row>
    <row r="14" spans="1:41" x14ac:dyDescent="0.35">
      <c r="B14" s="74" t="s">
        <v>67</v>
      </c>
      <c r="C14" s="74" t="s">
        <v>6</v>
      </c>
      <c r="D14" s="80">
        <v>0</v>
      </c>
      <c r="E14" s="80">
        <v>1</v>
      </c>
      <c r="F14" s="80">
        <v>2</v>
      </c>
      <c r="G14" s="80">
        <v>3</v>
      </c>
      <c r="H14" s="80">
        <v>4</v>
      </c>
      <c r="I14" s="80">
        <v>5</v>
      </c>
      <c r="J14" s="80">
        <v>6</v>
      </c>
      <c r="K14" s="80">
        <v>7</v>
      </c>
      <c r="L14" s="80">
        <v>8</v>
      </c>
      <c r="M14" s="80">
        <v>9</v>
      </c>
      <c r="N14" s="80">
        <v>10</v>
      </c>
      <c r="O14" s="80">
        <v>11</v>
      </c>
      <c r="P14" s="80">
        <v>12</v>
      </c>
      <c r="Q14" s="80">
        <v>13</v>
      </c>
      <c r="R14" s="80">
        <v>14</v>
      </c>
      <c r="S14" s="80">
        <v>15</v>
      </c>
      <c r="T14" s="80">
        <v>16</v>
      </c>
      <c r="U14" s="80">
        <v>17</v>
      </c>
      <c r="V14" s="80">
        <v>18</v>
      </c>
      <c r="W14" s="80">
        <v>19</v>
      </c>
      <c r="X14" s="80">
        <v>20</v>
      </c>
      <c r="Y14" s="80">
        <v>21</v>
      </c>
      <c r="Z14" s="80">
        <v>22</v>
      </c>
      <c r="AA14" s="80">
        <v>23</v>
      </c>
      <c r="AB14" s="80">
        <v>24</v>
      </c>
      <c r="AC14" s="80">
        <v>25</v>
      </c>
      <c r="AD14" s="80">
        <v>26</v>
      </c>
      <c r="AE14" s="80">
        <v>27</v>
      </c>
      <c r="AF14" s="80">
        <v>28</v>
      </c>
      <c r="AG14" s="80">
        <v>29</v>
      </c>
      <c r="AH14" s="80">
        <v>30</v>
      </c>
      <c r="AI14" s="80"/>
      <c r="AJ14" s="80"/>
      <c r="AK14" s="80"/>
      <c r="AL14" s="80"/>
      <c r="AM14" s="80"/>
      <c r="AN14" s="80"/>
      <c r="AO14" s="80"/>
    </row>
    <row r="15" spans="1:41" x14ac:dyDescent="0.35">
      <c r="A15" s="1" t="s">
        <v>66</v>
      </c>
      <c r="B15" s="90" t="s">
        <v>64</v>
      </c>
      <c r="C15" s="90"/>
      <c r="D15" s="86">
        <v>30800</v>
      </c>
      <c r="E15" s="86">
        <f>D15*(1+$C$8)</f>
        <v>31625.439999999999</v>
      </c>
      <c r="F15" s="86">
        <f>E15*(1+$C$8)</f>
        <v>32473.001791999995</v>
      </c>
      <c r="G15" s="86">
        <f>F15*(1+$C$8)</f>
        <v>33343.278240025596</v>
      </c>
      <c r="H15" s="86">
        <f>G15*(1+$C$8)</f>
        <v>34236.87809685828</v>
      </c>
      <c r="I15" s="86">
        <f>H15*(1+$C$8)</f>
        <v>35154.42642985408</v>
      </c>
      <c r="J15" s="86">
        <f>I15*(1+$C$8)</f>
        <v>36096.565058174165</v>
      </c>
      <c r="K15" s="86">
        <f>J15*(1+$C$8)</f>
        <v>37063.953001733229</v>
      </c>
      <c r="L15" s="86">
        <f>K15*(1+$C$8)</f>
        <v>38057.266942179675</v>
      </c>
      <c r="M15" s="86">
        <f>L15*(1+$C$8)</f>
        <v>39077.201696230084</v>
      </c>
      <c r="N15" s="86">
        <f>M15*(1+$C$8)</f>
        <v>40124.470701689046</v>
      </c>
      <c r="O15" s="86">
        <f>N15*(1+$C$8)</f>
        <v>41199.806516494311</v>
      </c>
      <c r="P15" s="86">
        <f>O15*(1+$C$8)</f>
        <v>42303.961331136357</v>
      </c>
      <c r="Q15" s="86">
        <f>P15*(1+$C$8)</f>
        <v>43437.707494810806</v>
      </c>
      <c r="R15" s="86">
        <f>Q15*(1+$C$8)</f>
        <v>44601.838055671731</v>
      </c>
      <c r="S15" s="86">
        <f>R15*(1+$C$8)</f>
        <v>45797.167315563733</v>
      </c>
      <c r="T15" s="86">
        <f>S15*(1+$C$8)</f>
        <v>47024.531399620835</v>
      </c>
      <c r="U15" s="86">
        <f>T15*(1+$C$8)</f>
        <v>48284.78884113067</v>
      </c>
      <c r="V15" s="86">
        <f>U15*(1+$C$8)</f>
        <v>49578.82118207297</v>
      </c>
      <c r="W15" s="86">
        <f>V15*(1+$C$8)</f>
        <v>50907.533589752522</v>
      </c>
      <c r="X15" s="86">
        <f>W15*(1+$C$8)</f>
        <v>52271.855489957888</v>
      </c>
      <c r="Y15" s="86">
        <f>X15*(1+$C$8)</f>
        <v>53672.741217088755</v>
      </c>
      <c r="Z15" s="86">
        <f>Y15*(1+$C$8)</f>
        <v>55111.170681706732</v>
      </c>
      <c r="AA15" s="86">
        <f>Z15*(1+$C$8)</f>
        <v>56588.150055976468</v>
      </c>
      <c r="AB15" s="86">
        <f>AA15*(1+$C$8)</f>
        <v>58104.712477476634</v>
      </c>
      <c r="AC15" s="86">
        <f>AB15*(1+$C$8)</f>
        <v>59661.918771873003</v>
      </c>
      <c r="AD15" s="86">
        <f>AC15*(1+$C$8)</f>
        <v>61260.858194959197</v>
      </c>
      <c r="AE15" s="86">
        <f>AD15*(1+$C$8)</f>
        <v>62902.649194584097</v>
      </c>
      <c r="AF15" s="86">
        <f>AE15*(1+$C$8)</f>
        <v>64588.440192998947</v>
      </c>
      <c r="AG15" s="86">
        <f>AF15*(1+$C$8)</f>
        <v>66319.41039017131</v>
      </c>
      <c r="AH15" s="86">
        <f>AG15*(1+$C$8)</f>
        <v>68096.7705886279</v>
      </c>
      <c r="AI15" s="86"/>
      <c r="AJ15" s="86"/>
      <c r="AK15" s="86"/>
      <c r="AL15" s="86"/>
      <c r="AM15" s="86"/>
      <c r="AN15" s="86"/>
      <c r="AO15" s="86"/>
    </row>
    <row r="16" spans="1:41" x14ac:dyDescent="0.35">
      <c r="A16" s="1"/>
      <c r="B16" s="90" t="s">
        <v>63</v>
      </c>
      <c r="C16" s="90"/>
      <c r="D16" s="105">
        <v>27600</v>
      </c>
      <c r="E16" s="86">
        <f>D16*(1+$C$8)</f>
        <v>28339.679999999997</v>
      </c>
      <c r="F16" s="86">
        <f>E16*(1+$C$8)</f>
        <v>29099.183423999995</v>
      </c>
      <c r="G16" s="86">
        <f>F16*(1+$C$8)</f>
        <v>29879.041539763195</v>
      </c>
      <c r="H16" s="86">
        <f>G16*(1+$C$8)</f>
        <v>30679.799853028846</v>
      </c>
      <c r="I16" s="86">
        <f>H16*(1+$C$8)</f>
        <v>31502.018489090016</v>
      </c>
      <c r="J16" s="86">
        <f>I16*(1+$C$8)</f>
        <v>32346.272584597627</v>
      </c>
      <c r="K16" s="86">
        <f>J16*(1+$C$8)</f>
        <v>33213.152689864844</v>
      </c>
      <c r="L16" s="86">
        <f>K16*(1+$C$8)</f>
        <v>34103.265181953218</v>
      </c>
      <c r="M16" s="86">
        <f>L16*(1+$C$8)</f>
        <v>35017.232688829565</v>
      </c>
      <c r="N16" s="86">
        <f>M16*(1+$C$8)</f>
        <v>35955.694524890197</v>
      </c>
      <c r="O16" s="86">
        <f>N16*(1+$C$8)</f>
        <v>36919.307138157252</v>
      </c>
      <c r="P16" s="86">
        <f>O16*(1+$C$8)</f>
        <v>37908.744569459865</v>
      </c>
      <c r="Q16" s="86">
        <f>P16*(1+$C$8)</f>
        <v>38924.698923921387</v>
      </c>
      <c r="R16" s="86">
        <f>Q16*(1+$C$8)</f>
        <v>39967.880855082476</v>
      </c>
      <c r="S16" s="86">
        <f>R16*(1+$C$8)</f>
        <v>41039.020061998686</v>
      </c>
      <c r="T16" s="86">
        <f>S16*(1+$C$8)</f>
        <v>42138.865799660249</v>
      </c>
      <c r="U16" s="86">
        <f>T16*(1+$C$8)</f>
        <v>43268.187403091142</v>
      </c>
      <c r="V16" s="86">
        <f>U16*(1+$C$8)</f>
        <v>44427.77482549398</v>
      </c>
      <c r="W16" s="86">
        <f>V16*(1+$C$8)</f>
        <v>45618.439190817218</v>
      </c>
      <c r="X16" s="86">
        <f>W16*(1+$C$8)</f>
        <v>46841.013361131118</v>
      </c>
      <c r="Y16" s="86">
        <f>X16*(1+$C$8)</f>
        <v>48096.352519209431</v>
      </c>
      <c r="Z16" s="86">
        <f>Y16*(1+$C$8)</f>
        <v>49385.334766724241</v>
      </c>
      <c r="AA16" s="86">
        <f>Z16*(1+$C$8)</f>
        <v>50708.861738472449</v>
      </c>
      <c r="AB16" s="86">
        <f>AA16*(1+$C$8)</f>
        <v>52067.859233063507</v>
      </c>
      <c r="AC16" s="86">
        <f>AB16*(1+$C$8)</f>
        <v>53463.277860509603</v>
      </c>
      <c r="AD16" s="86">
        <f>AC16*(1+$C$8)</f>
        <v>54896.093707171254</v>
      </c>
      <c r="AE16" s="86">
        <f>AD16*(1+$C$8)</f>
        <v>56367.30901852344</v>
      </c>
      <c r="AF16" s="86">
        <f>AE16*(1+$C$8)</f>
        <v>57877.952900219861</v>
      </c>
      <c r="AG16" s="86">
        <f>AF16*(1+$C$8)</f>
        <v>59429.082037945751</v>
      </c>
      <c r="AH16" s="86">
        <f>AG16*(1+$C$8)</f>
        <v>61021.781436562691</v>
      </c>
      <c r="AI16" s="86"/>
      <c r="AJ16" s="86"/>
      <c r="AK16" s="86"/>
      <c r="AL16" s="86"/>
      <c r="AM16" s="86"/>
      <c r="AN16" s="86"/>
      <c r="AO16" s="86"/>
    </row>
    <row r="17" spans="1:41" x14ac:dyDescent="0.35">
      <c r="A17" s="74" t="s">
        <v>62</v>
      </c>
      <c r="D17" s="101">
        <f>SUM(D14:D16)</f>
        <v>58400</v>
      </c>
      <c r="E17" s="101">
        <f>SUM(E14:E16)</f>
        <v>59966.119999999995</v>
      </c>
      <c r="F17" s="101">
        <f>SUM(F14:F16)</f>
        <v>61574.185215999991</v>
      </c>
      <c r="G17" s="101">
        <f>SUM(G14:G16)</f>
        <v>63225.319779788791</v>
      </c>
      <c r="H17" s="101">
        <f>SUM(H14:H16)</f>
        <v>64920.677949887126</v>
      </c>
      <c r="I17" s="101">
        <f>SUM(I14:I16)</f>
        <v>66661.444918944093</v>
      </c>
      <c r="J17" s="101">
        <f>SUM(J14:J16)</f>
        <v>68448.837642771789</v>
      </c>
      <c r="K17" s="101">
        <f>SUM(K14:K16)</f>
        <v>70284.105691598073</v>
      </c>
      <c r="L17" s="101">
        <f>SUM(L14:L16)</f>
        <v>72168.532124132893</v>
      </c>
      <c r="M17" s="101">
        <f>SUM(M14:M16)</f>
        <v>74103.434385059649</v>
      </c>
      <c r="N17" s="101">
        <f>SUM(N14:N16)</f>
        <v>76090.165226579236</v>
      </c>
      <c r="O17" s="101">
        <f>SUM(O14:O16)</f>
        <v>78130.113654651563</v>
      </c>
      <c r="P17" s="101">
        <f>SUM(P14:P16)</f>
        <v>80224.705900596222</v>
      </c>
      <c r="Q17" s="101">
        <f>SUM(Q14:Q16)</f>
        <v>82375.406418732193</v>
      </c>
      <c r="R17" s="101">
        <f>SUM(R14:R16)</f>
        <v>84583.718910754207</v>
      </c>
      <c r="S17" s="101">
        <f>SUM(S14:S16)</f>
        <v>86851.187377562426</v>
      </c>
      <c r="T17" s="101">
        <f>SUM(T14:T16)</f>
        <v>89179.397199281084</v>
      </c>
      <c r="U17" s="101">
        <f>SUM(U14:U16)</f>
        <v>91569.97624422182</v>
      </c>
      <c r="V17" s="101">
        <f>SUM(V14:V16)</f>
        <v>94024.596007566957</v>
      </c>
      <c r="W17" s="101">
        <f>SUM(W14:W16)</f>
        <v>96544.972780569748</v>
      </c>
      <c r="X17" s="101">
        <f>SUM(X14:X16)</f>
        <v>99132.868851089006</v>
      </c>
      <c r="Y17" s="101">
        <f>SUM(Y14:Y16)</f>
        <v>101790.09373629818</v>
      </c>
      <c r="Z17" s="101">
        <f>SUM(Z14:Z16)</f>
        <v>104518.50544843098</v>
      </c>
      <c r="AA17" s="101">
        <f>SUM(AA14:AA16)</f>
        <v>107320.01179444892</v>
      </c>
      <c r="AB17" s="101">
        <f>SUM(AB14:AB16)</f>
        <v>110196.57171054014</v>
      </c>
      <c r="AC17" s="101">
        <f>SUM(AC14:AC16)</f>
        <v>113150.19663238261</v>
      </c>
      <c r="AD17" s="101">
        <f>SUM(AD14:AD16)</f>
        <v>116182.95190213044</v>
      </c>
      <c r="AE17" s="101">
        <f>SUM(AE14:AE16)</f>
        <v>119296.95821310754</v>
      </c>
      <c r="AF17" s="101">
        <f>SUM(AF14:AF16)</f>
        <v>122494.39309321881</v>
      </c>
      <c r="AG17" s="101">
        <f>SUM(AG14:AG16)</f>
        <v>125777.49242811705</v>
      </c>
      <c r="AH17" s="101">
        <f>SUM(AH14:AH16)</f>
        <v>129148.55202519058</v>
      </c>
      <c r="AI17" s="101"/>
      <c r="AJ17" s="101"/>
      <c r="AK17" s="101"/>
      <c r="AL17" s="101"/>
      <c r="AM17" s="101"/>
      <c r="AN17" s="101"/>
      <c r="AO17" s="101"/>
    </row>
    <row r="18" spans="1:41" x14ac:dyDescent="0.35">
      <c r="A18" s="74"/>
      <c r="E18" s="104"/>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row>
    <row r="19" spans="1:41" x14ac:dyDescent="0.35">
      <c r="A19" s="1" t="s">
        <v>65</v>
      </c>
      <c r="B19" s="90" t="s">
        <v>64</v>
      </c>
      <c r="E19" s="102">
        <f>E15</f>
        <v>31625.439999999999</v>
      </c>
      <c r="F19" s="102">
        <f>F15</f>
        <v>32473.001791999995</v>
      </c>
      <c r="G19" s="102">
        <f>G15</f>
        <v>33343.278240025596</v>
      </c>
      <c r="H19" s="102">
        <f>H15</f>
        <v>34236.87809685828</v>
      </c>
      <c r="I19" s="102">
        <f>I15</f>
        <v>35154.42642985408</v>
      </c>
      <c r="J19" s="102">
        <f>J15</f>
        <v>36096.565058174165</v>
      </c>
      <c r="K19" s="102">
        <f>K15</f>
        <v>37063.953001733229</v>
      </c>
      <c r="L19" s="102">
        <f>L15</f>
        <v>38057.266942179675</v>
      </c>
      <c r="M19" s="102">
        <f>M15</f>
        <v>39077.201696230084</v>
      </c>
      <c r="N19" s="102">
        <f>N15</f>
        <v>40124.470701689046</v>
      </c>
      <c r="O19" s="102">
        <f>O15</f>
        <v>41199.806516494311</v>
      </c>
      <c r="P19" s="102">
        <f>P15</f>
        <v>42303.961331136357</v>
      </c>
      <c r="Q19" s="102">
        <f>Q15</f>
        <v>43437.707494810806</v>
      </c>
      <c r="R19" s="102">
        <f>R15</f>
        <v>44601.838055671731</v>
      </c>
      <c r="S19" s="102">
        <f>S15</f>
        <v>45797.167315563733</v>
      </c>
      <c r="T19" s="102">
        <f>T15</f>
        <v>47024.531399620835</v>
      </c>
      <c r="U19" s="102">
        <f>U15</f>
        <v>48284.78884113067</v>
      </c>
      <c r="V19" s="102">
        <f>V15</f>
        <v>49578.82118207297</v>
      </c>
      <c r="W19" s="102">
        <f>W15</f>
        <v>50907.533589752522</v>
      </c>
      <c r="X19" s="102">
        <f>X15</f>
        <v>52271.855489957888</v>
      </c>
      <c r="Y19" s="102">
        <f>Y15</f>
        <v>53672.741217088755</v>
      </c>
      <c r="Z19" s="102">
        <f>Z15</f>
        <v>55111.170681706732</v>
      </c>
      <c r="AA19" s="102">
        <f>AA15</f>
        <v>56588.150055976468</v>
      </c>
      <c r="AB19" s="102">
        <f>AB15</f>
        <v>58104.712477476634</v>
      </c>
      <c r="AC19" s="102">
        <f>AC15</f>
        <v>59661.918771873003</v>
      </c>
      <c r="AD19" s="102">
        <f>AD15</f>
        <v>61260.858194959197</v>
      </c>
      <c r="AE19" s="102">
        <f>AE15</f>
        <v>62902.649194584097</v>
      </c>
      <c r="AF19" s="102">
        <f>AF15</f>
        <v>64588.440192998947</v>
      </c>
      <c r="AG19" s="102">
        <f>AG15</f>
        <v>66319.41039017131</v>
      </c>
      <c r="AH19" s="102">
        <f>AH15</f>
        <v>68096.7705886279</v>
      </c>
      <c r="AI19" s="102"/>
      <c r="AJ19" s="102"/>
      <c r="AK19" s="102"/>
      <c r="AL19" s="102"/>
      <c r="AM19" s="102"/>
      <c r="AN19" s="102"/>
      <c r="AO19" s="102"/>
    </row>
    <row r="20" spans="1:41" x14ac:dyDescent="0.35">
      <c r="A20" s="74"/>
      <c r="B20" s="90" t="s">
        <v>63</v>
      </c>
      <c r="E20" s="102">
        <v>27600</v>
      </c>
      <c r="F20" s="102">
        <v>28428</v>
      </c>
      <c r="G20" s="102">
        <v>29280.84</v>
      </c>
      <c r="H20" s="102">
        <v>30159.265199999998</v>
      </c>
      <c r="I20" s="102">
        <v>31064.043156</v>
      </c>
      <c r="J20" s="102">
        <v>31995.964450680003</v>
      </c>
      <c r="K20" s="102">
        <v>32955.843384200401</v>
      </c>
      <c r="L20" s="102">
        <v>33944.518685726413</v>
      </c>
      <c r="M20" s="102">
        <v>25000</v>
      </c>
      <c r="N20" s="102">
        <v>25000</v>
      </c>
      <c r="O20" s="102">
        <v>25000</v>
      </c>
      <c r="P20" s="102">
        <v>25000</v>
      </c>
      <c r="Q20" s="102">
        <v>25000</v>
      </c>
      <c r="R20" s="102">
        <v>25000</v>
      </c>
      <c r="S20" s="102">
        <v>25000</v>
      </c>
      <c r="T20" s="102">
        <v>25000</v>
      </c>
      <c r="U20" s="102">
        <v>25000</v>
      </c>
      <c r="V20" s="102">
        <v>25000</v>
      </c>
      <c r="W20" s="102">
        <v>25000</v>
      </c>
      <c r="X20" s="102">
        <v>25000</v>
      </c>
      <c r="Y20" s="102">
        <v>25000</v>
      </c>
      <c r="Z20" s="102">
        <v>25000</v>
      </c>
      <c r="AA20" s="102">
        <v>25000</v>
      </c>
      <c r="AB20" s="102">
        <v>25000</v>
      </c>
      <c r="AC20" s="102">
        <v>25000</v>
      </c>
      <c r="AD20" s="102">
        <v>25000</v>
      </c>
      <c r="AE20" s="102">
        <v>25000</v>
      </c>
      <c r="AF20" s="102">
        <v>25000</v>
      </c>
      <c r="AG20" s="102">
        <v>25000</v>
      </c>
      <c r="AH20" s="102">
        <v>25000</v>
      </c>
      <c r="AI20" s="102"/>
      <c r="AJ20" s="102"/>
      <c r="AK20" s="102"/>
      <c r="AL20" s="102"/>
      <c r="AM20" s="102"/>
      <c r="AN20" s="102"/>
      <c r="AO20" s="102"/>
    </row>
    <row r="21" spans="1:41" x14ac:dyDescent="0.35">
      <c r="A21" s="74" t="s">
        <v>62</v>
      </c>
      <c r="B21" s="90"/>
      <c r="E21" s="101">
        <f>SUM(E19:E20)</f>
        <v>59225.440000000002</v>
      </c>
      <c r="F21" s="101">
        <f>SUM(F19:F20)</f>
        <v>60901.001791999995</v>
      </c>
      <c r="G21" s="101">
        <f>SUM(G19:G20)</f>
        <v>62624.118240025593</v>
      </c>
      <c r="H21" s="101">
        <f>SUM(H19:H20)</f>
        <v>64396.143296858281</v>
      </c>
      <c r="I21" s="101">
        <f>SUM(I19:I20)</f>
        <v>66218.46958585408</v>
      </c>
      <c r="J21" s="101">
        <f>SUM(J19:J20)</f>
        <v>68092.529508854175</v>
      </c>
      <c r="K21" s="101">
        <f>SUM(K19:K20)</f>
        <v>70019.796385933631</v>
      </c>
      <c r="L21" s="101">
        <f>SUM(L19:L20)</f>
        <v>72001.785627906094</v>
      </c>
      <c r="M21" s="101">
        <f>SUM(M19:M20)</f>
        <v>64077.201696230084</v>
      </c>
      <c r="N21" s="101">
        <f>SUM(N19:N20)</f>
        <v>65124.470701689046</v>
      </c>
      <c r="O21" s="101">
        <f>SUM(O19:O20)</f>
        <v>66199.806516494311</v>
      </c>
      <c r="P21" s="101">
        <f>SUM(P19:P20)</f>
        <v>67303.96133113635</v>
      </c>
      <c r="Q21" s="101">
        <f>SUM(Q19:Q20)</f>
        <v>68437.707494810806</v>
      </c>
      <c r="R21" s="101">
        <f>SUM(R19:R20)</f>
        <v>69601.838055671731</v>
      </c>
      <c r="S21" s="101">
        <f>SUM(S19:S20)</f>
        <v>70797.16731556374</v>
      </c>
      <c r="T21" s="101">
        <f>SUM(T19:T20)</f>
        <v>72024.531399620842</v>
      </c>
      <c r="U21" s="101">
        <f>SUM(U19:U20)</f>
        <v>73284.788841130678</v>
      </c>
      <c r="V21" s="101">
        <f>SUM(V19:V20)</f>
        <v>74578.821182072978</v>
      </c>
      <c r="W21" s="101">
        <f>SUM(W19:W20)</f>
        <v>75907.533589752522</v>
      </c>
      <c r="X21" s="101">
        <f>SUM(X19:X20)</f>
        <v>77271.855489957888</v>
      </c>
      <c r="Y21" s="101">
        <f>SUM(Y19:Y20)</f>
        <v>78672.741217088755</v>
      </c>
      <c r="Z21" s="101">
        <f>SUM(Z19:Z20)</f>
        <v>80111.170681706732</v>
      </c>
      <c r="AA21" s="101">
        <f>SUM(AA19:AA20)</f>
        <v>81588.150055976468</v>
      </c>
      <c r="AB21" s="101">
        <f>SUM(AB19:AB20)</f>
        <v>83104.712477476627</v>
      </c>
      <c r="AC21" s="101">
        <f>SUM(AC19:AC20)</f>
        <v>84661.918771872995</v>
      </c>
      <c r="AD21" s="101">
        <f>SUM(AD19:AD20)</f>
        <v>86260.858194959204</v>
      </c>
      <c r="AE21" s="101">
        <f>SUM(AE19:AE20)</f>
        <v>87902.649194584097</v>
      </c>
      <c r="AF21" s="101">
        <f>SUM(AF19:AF20)</f>
        <v>89588.44019299894</v>
      </c>
      <c r="AG21" s="101">
        <f>SUM(AG19:AG20)</f>
        <v>91319.41039017131</v>
      </c>
      <c r="AH21" s="101">
        <f>SUM(AH19:AH20)</f>
        <v>93096.7705886279</v>
      </c>
      <c r="AI21" s="101"/>
      <c r="AJ21" s="101"/>
      <c r="AK21" s="101"/>
      <c r="AL21" s="101"/>
      <c r="AM21" s="101"/>
      <c r="AN21" s="101"/>
      <c r="AO21" s="101"/>
    </row>
    <row r="22" spans="1:41" x14ac:dyDescent="0.35">
      <c r="E22" s="74"/>
      <c r="F22" s="75"/>
      <c r="G22" s="75"/>
      <c r="H22" s="75"/>
      <c r="I22" s="75"/>
      <c r="J22" s="75"/>
      <c r="K22" s="75"/>
      <c r="L22" s="75"/>
      <c r="M22" s="75"/>
      <c r="N22" s="75"/>
      <c r="O22" s="75"/>
      <c r="P22" s="75"/>
      <c r="Q22" s="75"/>
      <c r="R22" s="75"/>
      <c r="T22" s="75"/>
      <c r="U22" s="75"/>
      <c r="W22" s="75"/>
      <c r="X22" s="75"/>
      <c r="Z22" s="75"/>
      <c r="AA22" s="75"/>
      <c r="AC22" s="75"/>
      <c r="AD22" s="75"/>
      <c r="AF22" s="75"/>
      <c r="AG22" s="75"/>
      <c r="AI22" s="75"/>
      <c r="AJ22" s="75"/>
      <c r="AL22" s="75"/>
      <c r="AM22" s="75"/>
      <c r="AO22" s="75"/>
    </row>
    <row r="23" spans="1:41" x14ac:dyDescent="0.35">
      <c r="A23" t="s">
        <v>61</v>
      </c>
      <c r="E23" s="77">
        <v>0</v>
      </c>
      <c r="F23" s="75">
        <f>F21*$C$9</f>
        <v>1827.0300537599999</v>
      </c>
      <c r="G23" s="79">
        <f>G17*$C$9</f>
        <v>1896.7595933936636</v>
      </c>
      <c r="H23" s="79">
        <f>H17*$C$9</f>
        <v>1947.6203384966136</v>
      </c>
      <c r="I23" s="79">
        <f>I17*$C$9</f>
        <v>1999.8433475683228</v>
      </c>
      <c r="J23" s="79">
        <f>J17*$C$9</f>
        <v>2053.4651292831536</v>
      </c>
      <c r="K23" s="79">
        <f>K17*$C$9</f>
        <v>2108.523170747942</v>
      </c>
      <c r="L23" s="79">
        <f>L17*$C$9</f>
        <v>2165.0559637239867</v>
      </c>
      <c r="M23" s="79">
        <f>M17*$C$9</f>
        <v>2223.1030315517892</v>
      </c>
      <c r="N23" s="79">
        <f>N17*$C$9</f>
        <v>2282.7049567973768</v>
      </c>
      <c r="O23" s="79">
        <f>O17*$C$9</f>
        <v>2343.9034096395467</v>
      </c>
      <c r="P23" s="79">
        <f>P17*$C$9</f>
        <v>2406.7411770178865</v>
      </c>
      <c r="Q23" s="79">
        <f>Q17*$C$9</f>
        <v>2471.2621925619655</v>
      </c>
      <c r="R23" s="79">
        <f>R17*$C$9</f>
        <v>2537.511567322626</v>
      </c>
      <c r="S23" s="79">
        <f>S17*$C$9</f>
        <v>2605.5356213268728</v>
      </c>
      <c r="T23" s="79">
        <f>T17*$C$9</f>
        <v>2675.3819159784325</v>
      </c>
      <c r="U23" s="79">
        <f>U17*$C$9</f>
        <v>2747.0992873266546</v>
      </c>
      <c r="V23" s="79">
        <f>V17*$C$9</f>
        <v>2820.7378802270086</v>
      </c>
      <c r="W23" s="79">
        <f>W17*$C$9</f>
        <v>2896.3491834170923</v>
      </c>
      <c r="X23" s="79">
        <f>X17*$C$9</f>
        <v>2973.9860655326702</v>
      </c>
      <c r="Y23" s="79">
        <f>Y17*$C$9</f>
        <v>3053.7028120889454</v>
      </c>
      <c r="Z23" s="79">
        <f>Z17*$C$9</f>
        <v>3135.5551634529293</v>
      </c>
      <c r="AA23" s="79">
        <f>AA17*$C$9</f>
        <v>3219.6003538334676</v>
      </c>
      <c r="AB23" s="79">
        <f>AB17*$C$9</f>
        <v>3305.8971513162041</v>
      </c>
      <c r="AC23" s="79">
        <f>AC17*$C$9</f>
        <v>3394.505898971478</v>
      </c>
      <c r="AD23" s="79">
        <f>AD17*$C$9</f>
        <v>3485.488557063913</v>
      </c>
      <c r="AE23" s="79">
        <f>AE17*$C$9</f>
        <v>3578.908746393226</v>
      </c>
      <c r="AF23" s="79">
        <f>AF17*$C$9</f>
        <v>3674.8317927965641</v>
      </c>
      <c r="AG23" s="79">
        <f>AG17*$C$9</f>
        <v>3773.3247728435113</v>
      </c>
      <c r="AH23" s="79">
        <f>AH17*$C$9</f>
        <v>3874.4565607557174</v>
      </c>
      <c r="AI23" s="79"/>
      <c r="AJ23" s="79"/>
      <c r="AK23" s="79"/>
      <c r="AL23" s="79"/>
      <c r="AM23" s="79"/>
      <c r="AN23" s="79"/>
      <c r="AO23" s="79"/>
    </row>
    <row r="24" spans="1:41" x14ac:dyDescent="0.35">
      <c r="A24" s="74" t="s">
        <v>60</v>
      </c>
      <c r="E24" s="88">
        <v>0</v>
      </c>
      <c r="F24" s="87">
        <v>0</v>
      </c>
      <c r="G24" s="83">
        <f>$C$7*G23*$C$10*$C$11</f>
        <v>23886333.607832074</v>
      </c>
      <c r="H24" s="87">
        <f>$C$7*H23*$C$10*$C$11</f>
        <v>24526834.770606387</v>
      </c>
      <c r="I24" s="87">
        <f>$C$7*I23*$C$10*$C$11</f>
        <v>25184491.239584524</v>
      </c>
      <c r="J24" s="87">
        <f>$C$7*J23*$C$10*$C$11</f>
        <v>25859762.776972748</v>
      </c>
      <c r="K24" s="87">
        <f>$C$7*K23*$C$10*$C$11</f>
        <v>26553121.466604449</v>
      </c>
      <c r="L24" s="87">
        <f>$C$7*L23*$C$10*$C$11</f>
        <v>27265052.044159748</v>
      </c>
      <c r="M24" s="87">
        <f>$C$7*M23*$C$10*$C$11</f>
        <v>27996052.236235004</v>
      </c>
      <c r="N24" s="87">
        <f>$C$7*N23*$C$10*$C$11</f>
        <v>28746633.108499341</v>
      </c>
      <c r="O24" s="87">
        <f>$C$7*O23*$C$10*$C$11</f>
        <v>29517319.42318185</v>
      </c>
      <c r="P24" s="83">
        <f>$C$7*P23*$C$10*$C$11</f>
        <v>30308650.006139312</v>
      </c>
      <c r="Q24" s="87">
        <f>$C$7*Q23*$C$10*$C$11</f>
        <v>31121178.123761509</v>
      </c>
      <c r="R24" s="87">
        <f>$C$7*R23*$C$10*$C$11</f>
        <v>31955471.869977448</v>
      </c>
      <c r="S24" s="87">
        <f>$C$7*S23*$C$10*$C$11</f>
        <v>32812114.563633461</v>
      </c>
      <c r="T24" s="87">
        <f>$C$7*T23*$C$10*$C$11</f>
        <v>33691705.156520911</v>
      </c>
      <c r="U24" s="87">
        <f>$C$7*U23*$C$10*$C$11</f>
        <v>34594858.652339227</v>
      </c>
      <c r="V24" s="87">
        <f>$C$7*V23*$C$10*$C$11</f>
        <v>35522206.53688693</v>
      </c>
      <c r="W24" s="87">
        <f>$C$7*W23*$C$10*$C$11</f>
        <v>36474397.219781995</v>
      </c>
      <c r="X24" s="87">
        <f>$C$7*X23*$C$10*$C$11</f>
        <v>37452096.488020122</v>
      </c>
      <c r="Y24" s="87">
        <f>$C$7*Y23*$C$10*$C$11</f>
        <v>38455987.971688502</v>
      </c>
      <c r="Z24" s="87">
        <f>$C$7*Z23*$C$10*$C$11</f>
        <v>39486773.622160658</v>
      </c>
      <c r="AA24" s="87">
        <f>$C$7*AA23*$C$10*$C$11</f>
        <v>40545174.203106947</v>
      </c>
      <c r="AB24" s="87">
        <f>$C$7*AB23*$C$10*$C$11</f>
        <v>41631929.794664063</v>
      </c>
      <c r="AC24" s="87">
        <f>$C$7*AC23*$C$10*$C$11</f>
        <v>42747800.31111639</v>
      </c>
      <c r="AD24" s="87">
        <f>$C$7*AD23*$C$10*$C$11</f>
        <v>43893566.032451101</v>
      </c>
      <c r="AE24" s="87">
        <f>$C$7*AE23*$C$10*$C$11</f>
        <v>45070028.150159061</v>
      </c>
      <c r="AF24" s="87">
        <f>$C$7*AF23*$C$10*$C$11</f>
        <v>46278009.327663071</v>
      </c>
      <c r="AG24" s="87">
        <f>$C$7*AG23*$C$10*$C$11</f>
        <v>47518354.275765643</v>
      </c>
      <c r="AH24" s="87">
        <f>$C$7*AH23*$C$10*$C$11</f>
        <v>48791930.343518846</v>
      </c>
      <c r="AI24" s="87"/>
      <c r="AJ24" s="87"/>
      <c r="AK24" s="87"/>
      <c r="AL24" s="87"/>
      <c r="AM24" s="87"/>
      <c r="AN24" s="87"/>
      <c r="AO24" s="87"/>
    </row>
    <row r="25" spans="1:41" x14ac:dyDescent="0.35">
      <c r="A25" s="74" t="s">
        <v>59</v>
      </c>
      <c r="F25" s="88">
        <f>F24/$C$11</f>
        <v>0</v>
      </c>
      <c r="G25" s="88">
        <f>G24/$C$11</f>
        <v>215775.37134446317</v>
      </c>
      <c r="H25" s="88">
        <f>H24/$C$11</f>
        <v>221561.28970737476</v>
      </c>
      <c r="I25" s="88">
        <f>I24/$C$11</f>
        <v>227502.1792193724</v>
      </c>
      <c r="J25" s="88">
        <f>J24/$C$11</f>
        <v>233602.19310725157</v>
      </c>
      <c r="K25" s="88">
        <f>K24/$C$11</f>
        <v>239865.5959042859</v>
      </c>
      <c r="L25" s="88">
        <f>L24/$C$11</f>
        <v>246296.7664332407</v>
      </c>
      <c r="M25" s="88">
        <f>M24/$C$11</f>
        <v>252900.20086933154</v>
      </c>
      <c r="N25" s="88">
        <f>N24/$C$11</f>
        <v>259680.51588526956</v>
      </c>
      <c r="O25" s="88">
        <f>O24/$C$11</f>
        <v>266642.45188059483</v>
      </c>
      <c r="P25" s="88">
        <f>P24/$C$11</f>
        <v>273790.87629755476</v>
      </c>
      <c r="Q25" s="88">
        <f>Q24/$C$11</f>
        <v>281130.78702584922</v>
      </c>
      <c r="R25" s="88">
        <f>R24/$C$11</f>
        <v>288667.31589862192</v>
      </c>
      <c r="S25" s="88">
        <f>S24/$C$11</f>
        <v>296405.73228214507</v>
      </c>
      <c r="T25" s="88">
        <f>T24/$C$11</f>
        <v>304351.44676170649</v>
      </c>
      <c r="U25" s="88">
        <f>U24/$C$11</f>
        <v>312510.0149262803</v>
      </c>
      <c r="V25" s="88">
        <f>V24/$C$11</f>
        <v>320887.14125462447</v>
      </c>
      <c r="W25" s="88">
        <f>W24/$C$11</f>
        <v>329488.68310552841</v>
      </c>
      <c r="X25" s="88">
        <f>X24/$C$11</f>
        <v>338320.65481499658</v>
      </c>
      <c r="Y25" s="88">
        <f>Y24/$C$11</f>
        <v>347389.23190323851</v>
      </c>
      <c r="Z25" s="88">
        <f>Z24/$C$11</f>
        <v>356700.75539440522</v>
      </c>
      <c r="AA25" s="88">
        <f>AA24/$C$11</f>
        <v>366261.73625209526</v>
      </c>
      <c r="AB25" s="88">
        <f>AB24/$C$11</f>
        <v>376078.85993373138</v>
      </c>
      <c r="AC25" s="88">
        <f>AC24/$C$11</f>
        <v>386158.99106699537</v>
      </c>
      <c r="AD25" s="88">
        <f>AD24/$C$11</f>
        <v>396509.17825159075</v>
      </c>
      <c r="AE25" s="88">
        <f>AE24/$C$11</f>
        <v>407136.65898969339</v>
      </c>
      <c r="AF25" s="88">
        <f>AF24/$C$11</f>
        <v>418048.86474853719</v>
      </c>
      <c r="AG25" s="88">
        <f>AG24/$C$11</f>
        <v>429253.4261586779</v>
      </c>
      <c r="AH25" s="88">
        <f>AH24/$C$11</f>
        <v>440758.17835157039</v>
      </c>
      <c r="AI25" s="88"/>
      <c r="AJ25" s="88"/>
      <c r="AK25" s="88"/>
      <c r="AL25" s="88"/>
      <c r="AM25" s="88"/>
      <c r="AN25" s="88"/>
      <c r="AO25" s="88"/>
    </row>
    <row r="28" spans="1:41" x14ac:dyDescent="0.35">
      <c r="A28" s="73" t="s">
        <v>30</v>
      </c>
    </row>
    <row r="29" spans="1:41" x14ac:dyDescent="0.35">
      <c r="A29" s="1" t="s">
        <v>58</v>
      </c>
    </row>
    <row r="30" spans="1:41" x14ac:dyDescent="0.35">
      <c r="A30" t="s">
        <v>28</v>
      </c>
    </row>
    <row r="31" spans="1:41" x14ac:dyDescent="0.35">
      <c r="A31" t="s">
        <v>24</v>
      </c>
    </row>
    <row r="32" spans="1:41" x14ac:dyDescent="0.35">
      <c r="E32" s="90"/>
    </row>
    <row r="40" spans="5:8" x14ac:dyDescent="0.35">
      <c r="H40" s="88"/>
    </row>
    <row r="41" spans="5:8" x14ac:dyDescent="0.35">
      <c r="H41" s="75"/>
    </row>
    <row r="42" spans="5:8" x14ac:dyDescent="0.35">
      <c r="H42" s="83"/>
    </row>
    <row r="44" spans="5:8" x14ac:dyDescent="0.35">
      <c r="G44" s="100"/>
      <c r="H44" s="83"/>
    </row>
    <row r="45" spans="5:8" x14ac:dyDescent="0.35">
      <c r="H45" s="83"/>
    </row>
    <row r="47" spans="5:8" x14ac:dyDescent="0.35">
      <c r="E47" s="100"/>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G34"/>
  <sheetViews>
    <sheetView workbookViewId="0">
      <selection sqref="A1:XFD1048576"/>
    </sheetView>
  </sheetViews>
  <sheetFormatPr defaultRowHeight="14.5" x14ac:dyDescent="0.35"/>
  <cols>
    <col min="1" max="1" width="17.7265625" customWidth="1"/>
    <col min="2" max="2" width="17.1796875" customWidth="1"/>
    <col min="3" max="3" width="15.54296875" customWidth="1"/>
    <col min="4" max="4" width="13.26953125" customWidth="1"/>
    <col min="5" max="5" width="15.1796875" customWidth="1"/>
    <col min="6" max="6" width="16.26953125" customWidth="1"/>
    <col min="7" max="7" width="16.7265625" customWidth="1"/>
    <col min="8" max="8" width="19.26953125" customWidth="1"/>
    <col min="9" max="16" width="18.08984375" bestFit="1" customWidth="1"/>
    <col min="17" max="27" width="13.6328125" bestFit="1" customWidth="1"/>
    <col min="28" max="33" width="14.6328125" bestFit="1" customWidth="1"/>
  </cols>
  <sheetData>
    <row r="2" spans="1:3" ht="18.5" x14ac:dyDescent="0.45">
      <c r="A2" s="99" t="s">
        <v>94</v>
      </c>
    </row>
    <row r="4" spans="1:3" x14ac:dyDescent="0.35">
      <c r="A4" s="73" t="s">
        <v>56</v>
      </c>
    </row>
    <row r="5" spans="1:3" x14ac:dyDescent="0.35">
      <c r="A5" s="107" t="s">
        <v>93</v>
      </c>
      <c r="C5" s="115">
        <v>4026</v>
      </c>
    </row>
    <row r="6" spans="1:3" x14ac:dyDescent="0.35">
      <c r="A6" s="107" t="s">
        <v>92</v>
      </c>
      <c r="C6" s="115">
        <v>1130</v>
      </c>
    </row>
    <row r="7" spans="1:3" x14ac:dyDescent="0.35">
      <c r="A7" s="107" t="s">
        <v>91</v>
      </c>
      <c r="C7" s="115">
        <v>7</v>
      </c>
    </row>
    <row r="8" spans="1:3" x14ac:dyDescent="0.35">
      <c r="A8" s="107" t="s">
        <v>90</v>
      </c>
      <c r="C8" s="114">
        <v>5</v>
      </c>
    </row>
    <row r="9" spans="1:3" x14ac:dyDescent="0.35">
      <c r="A9" s="107" t="s">
        <v>89</v>
      </c>
      <c r="C9" s="113">
        <v>0.1</v>
      </c>
    </row>
    <row r="10" spans="1:3" x14ac:dyDescent="0.35">
      <c r="A10" s="92" t="s">
        <v>71</v>
      </c>
      <c r="C10" s="28">
        <v>2.6450000000000001E-2</v>
      </c>
    </row>
    <row r="11" spans="1:3" x14ac:dyDescent="0.35">
      <c r="A11" s="95" t="s">
        <v>48</v>
      </c>
      <c r="C11" s="1">
        <v>110.7</v>
      </c>
    </row>
    <row r="12" spans="1:3" x14ac:dyDescent="0.35">
      <c r="A12" s="95" t="s">
        <v>88</v>
      </c>
      <c r="C12" s="108">
        <v>0.1</v>
      </c>
    </row>
    <row r="13" spans="1:3" x14ac:dyDescent="0.35">
      <c r="A13" s="92" t="s">
        <v>74</v>
      </c>
      <c r="C13" s="112">
        <f>'Economic Analysis'!C6</f>
        <v>6.1559999999999997E-2</v>
      </c>
    </row>
    <row r="14" spans="1:3" x14ac:dyDescent="0.35">
      <c r="A14" s="74"/>
    </row>
    <row r="15" spans="1:3" x14ac:dyDescent="0.35">
      <c r="A15" s="74"/>
    </row>
    <row r="16" spans="1:3" x14ac:dyDescent="0.35">
      <c r="A16" s="73" t="s">
        <v>68</v>
      </c>
    </row>
    <row r="17" spans="1:33" x14ac:dyDescent="0.35">
      <c r="C17" s="80">
        <v>0</v>
      </c>
      <c r="D17" s="80">
        <v>1</v>
      </c>
      <c r="E17" s="80">
        <v>2</v>
      </c>
      <c r="F17" s="80">
        <v>3</v>
      </c>
      <c r="G17" s="80">
        <v>4</v>
      </c>
      <c r="H17" s="80">
        <v>5</v>
      </c>
      <c r="I17" s="80">
        <v>6</v>
      </c>
      <c r="J17" s="80">
        <v>7</v>
      </c>
      <c r="K17" s="80">
        <v>8</v>
      </c>
      <c r="L17" s="80">
        <v>9</v>
      </c>
      <c r="M17" s="80">
        <v>10</v>
      </c>
      <c r="N17" s="80">
        <v>11</v>
      </c>
      <c r="O17" s="80">
        <v>12</v>
      </c>
      <c r="P17" s="80">
        <v>13</v>
      </c>
      <c r="Q17" s="80">
        <v>14</v>
      </c>
      <c r="R17" s="80">
        <v>15</v>
      </c>
      <c r="S17" s="80">
        <v>16</v>
      </c>
      <c r="T17" s="80">
        <v>17</v>
      </c>
      <c r="U17" s="80">
        <v>18</v>
      </c>
      <c r="V17" s="80">
        <v>19</v>
      </c>
      <c r="W17" s="80">
        <v>20</v>
      </c>
      <c r="X17" s="80">
        <v>21</v>
      </c>
      <c r="Y17" s="80">
        <v>22</v>
      </c>
      <c r="Z17" s="80">
        <v>23</v>
      </c>
      <c r="AA17" s="80">
        <v>24</v>
      </c>
      <c r="AB17" s="80">
        <v>25</v>
      </c>
      <c r="AC17" s="80">
        <v>26</v>
      </c>
      <c r="AD17" s="80">
        <v>27</v>
      </c>
      <c r="AE17" s="80">
        <v>28</v>
      </c>
      <c r="AF17" s="80">
        <v>29</v>
      </c>
      <c r="AG17" s="80">
        <v>30</v>
      </c>
    </row>
    <row r="18" spans="1:33" x14ac:dyDescent="0.35">
      <c r="A18" t="s">
        <v>87</v>
      </c>
      <c r="B18" t="s">
        <v>86</v>
      </c>
      <c r="C18" s="111">
        <v>20000</v>
      </c>
      <c r="D18" s="111">
        <f>C18*(1+$C$10)</f>
        <v>20529</v>
      </c>
      <c r="E18" s="111">
        <f>D18*(1+$C$10)</f>
        <v>21071.992050000001</v>
      </c>
      <c r="F18" s="111">
        <f>E18*(1+$C$10)</f>
        <v>21629.346239722501</v>
      </c>
      <c r="G18" s="111">
        <f>F18*(1+$C$10)</f>
        <v>22201.442447763162</v>
      </c>
      <c r="H18" s="111">
        <f>G18*(1+$C$10)</f>
        <v>22788.670600506499</v>
      </c>
      <c r="I18" s="111">
        <f>H18*(1+$C$10)</f>
        <v>23391.430937889898</v>
      </c>
      <c r="J18" s="111">
        <f>I18*(1+$C$10)</f>
        <v>24010.134286197088</v>
      </c>
      <c r="K18" s="111">
        <f>J18*(1+$C$10)</f>
        <v>24645.202338067003</v>
      </c>
      <c r="L18" s="111">
        <f>K18*(1+$C$10)</f>
        <v>25297.067939908877</v>
      </c>
      <c r="M18" s="111">
        <f>L18*(1+$C$10)</f>
        <v>25966.175386919469</v>
      </c>
      <c r="N18" s="111">
        <f>M18*(1+$C$10)</f>
        <v>26652.98072590349</v>
      </c>
      <c r="O18" s="111">
        <f>N18*(1+$C$10)</f>
        <v>27357.95206610364</v>
      </c>
      <c r="P18" s="111">
        <f>O18*(1+$C$10)</f>
        <v>28081.569898252084</v>
      </c>
      <c r="Q18" s="111">
        <f>P18*(1+$C$10)</f>
        <v>28824.327422060855</v>
      </c>
      <c r="R18" s="111">
        <f>Q18*(1+$C$10)</f>
        <v>29586.730882374366</v>
      </c>
      <c r="S18" s="111">
        <f>R18*(1+$C$10)</f>
        <v>30369.29991421317</v>
      </c>
      <c r="T18" s="111">
        <f>S18*(1+$C$10)</f>
        <v>31172.567896944111</v>
      </c>
      <c r="U18" s="111">
        <f>T18*(1+$C$10)</f>
        <v>31997.082317818284</v>
      </c>
      <c r="V18" s="111">
        <f>U18*(1+$C$10)</f>
        <v>32843.405145124583</v>
      </c>
      <c r="W18" s="111">
        <f>V18*(1+$C$10)</f>
        <v>33712.113211213131</v>
      </c>
      <c r="X18" s="111">
        <f>W18*(1+$C$10)</f>
        <v>34603.798605649718</v>
      </c>
      <c r="Y18" s="111">
        <f>X18*(1+$C$10)</f>
        <v>35519.069078769156</v>
      </c>
      <c r="Z18" s="111">
        <f>Y18*(1+$C$10)</f>
        <v>36458.548455902601</v>
      </c>
      <c r="AA18" s="111">
        <f>Z18*(1+$C$10)</f>
        <v>37422.877062561231</v>
      </c>
      <c r="AB18" s="111">
        <f>AA18*(1+$C$10)</f>
        <v>38412.71216086598</v>
      </c>
      <c r="AC18" s="111">
        <f>AB18*(1+$C$10)</f>
        <v>39428.728397520885</v>
      </c>
      <c r="AD18" s="111">
        <f>AC18*(1+$C$10)</f>
        <v>40471.618263635319</v>
      </c>
      <c r="AE18" s="111">
        <f>AD18*(1+$C$10)</f>
        <v>41542.092566708474</v>
      </c>
      <c r="AF18" s="111">
        <f>AE18*(1+$C$10)</f>
        <v>42640.880915097914</v>
      </c>
      <c r="AG18" s="111">
        <f>AF18*(1+$C$10)</f>
        <v>43768.732215302254</v>
      </c>
    </row>
    <row r="19" spans="1:33" x14ac:dyDescent="0.35">
      <c r="B19" t="s">
        <v>85</v>
      </c>
      <c r="C19" s="86">
        <v>11850</v>
      </c>
      <c r="D19" s="111">
        <f>C19*(1+$C$10)</f>
        <v>12163.432500000001</v>
      </c>
      <c r="E19" s="111">
        <f>D19*(1+$C$10)</f>
        <v>12485.155289625001</v>
      </c>
      <c r="F19" s="111">
        <f>E19*(1+$C$10)</f>
        <v>12815.387647035584</v>
      </c>
      <c r="G19" s="111">
        <f>F19*(1+$C$10)</f>
        <v>13154.354650299676</v>
      </c>
      <c r="H19" s="111">
        <f>G19*(1+$C$10)</f>
        <v>13502.287330800104</v>
      </c>
      <c r="I19" s="111">
        <f>H19*(1+$C$10)</f>
        <v>13859.422830699767</v>
      </c>
      <c r="J19" s="111">
        <f>I19*(1+$C$10)</f>
        <v>14226.004564571776</v>
      </c>
      <c r="K19" s="111">
        <f>J19*(1+$C$10)</f>
        <v>14602.282385304701</v>
      </c>
      <c r="L19" s="111">
        <f>K19*(1+$C$10)</f>
        <v>14988.512754396012</v>
      </c>
      <c r="M19" s="111">
        <f>L19*(1+$C$10)</f>
        <v>15384.958916749787</v>
      </c>
      <c r="N19" s="111">
        <f>M19*(1+$C$10)</f>
        <v>15791.891080097821</v>
      </c>
      <c r="O19" s="111">
        <f>N19*(1+$C$10)</f>
        <v>16209.58659916641</v>
      </c>
      <c r="P19" s="111">
        <f>O19*(1+$C$10)</f>
        <v>16638.330164714363</v>
      </c>
      <c r="Q19" s="111">
        <f>P19*(1+$C$10)</f>
        <v>17078.41399757106</v>
      </c>
      <c r="R19" s="111">
        <f>Q19*(1+$C$10)</f>
        <v>17530.138047806817</v>
      </c>
      <c r="S19" s="111">
        <f>R19*(1+$C$10)</f>
        <v>17993.810199171308</v>
      </c>
      <c r="T19" s="111">
        <f>S19*(1+$C$10)</f>
        <v>18469.746478939393</v>
      </c>
      <c r="U19" s="111">
        <f>T19*(1+$C$10)</f>
        <v>18958.271273307342</v>
      </c>
      <c r="V19" s="111">
        <f>U19*(1+$C$10)</f>
        <v>19459.717548486322</v>
      </c>
      <c r="W19" s="111">
        <f>V19*(1+$C$10)</f>
        <v>19974.427077643788</v>
      </c>
      <c r="X19" s="111">
        <f>W19*(1+$C$10)</f>
        <v>20502.750673847469</v>
      </c>
      <c r="Y19" s="111">
        <f>X19*(1+$C$10)</f>
        <v>21045.048429170736</v>
      </c>
      <c r="Z19" s="111">
        <f>Y19*(1+$C$10)</f>
        <v>21601.689960122305</v>
      </c>
      <c r="AA19" s="111">
        <f>Z19*(1+$C$10)</f>
        <v>22173.054659567541</v>
      </c>
      <c r="AB19" s="111">
        <f>AA19*(1+$C$10)</f>
        <v>22759.531955313105</v>
      </c>
      <c r="AC19" s="111">
        <f>AB19*(1+$C$10)</f>
        <v>23361.52157553114</v>
      </c>
      <c r="AD19" s="111">
        <f>AC19*(1+$C$10)</f>
        <v>23979.43382120394</v>
      </c>
      <c r="AE19" s="111">
        <f>AD19*(1+$C$10)</f>
        <v>24613.689845774785</v>
      </c>
      <c r="AF19" s="111">
        <f>AE19*(1+$C$10)</f>
        <v>25264.721942195531</v>
      </c>
      <c r="AG19" s="111">
        <f>AF19*(1+$C$10)</f>
        <v>25932.973837566606</v>
      </c>
    </row>
    <row r="20" spans="1:33" x14ac:dyDescent="0.35">
      <c r="B20" t="s">
        <v>84</v>
      </c>
      <c r="C20" s="86">
        <v>8200</v>
      </c>
      <c r="D20" s="111">
        <f>C20*(1+$C$10)</f>
        <v>8416.8900000000012</v>
      </c>
      <c r="E20" s="111">
        <f>D20*(1+$C$10)</f>
        <v>8639.5167405000011</v>
      </c>
      <c r="F20" s="111">
        <f>E20*(1+$C$10)</f>
        <v>8868.0319582862267</v>
      </c>
      <c r="G20" s="111">
        <f>F20*(1+$C$10)</f>
        <v>9102.5914035828973</v>
      </c>
      <c r="H20" s="111">
        <f>G20*(1+$C$10)</f>
        <v>9343.3549462076662</v>
      </c>
      <c r="I20" s="111">
        <f>H20*(1+$C$10)</f>
        <v>9590.4866845348606</v>
      </c>
      <c r="J20" s="111">
        <f>I20*(1+$C$10)</f>
        <v>9844.1550573408076</v>
      </c>
      <c r="K20" s="111">
        <f>J20*(1+$C$10)</f>
        <v>10104.532958607473</v>
      </c>
      <c r="L20" s="111">
        <f>K20*(1+$C$10)</f>
        <v>10371.797855362642</v>
      </c>
      <c r="M20" s="111">
        <f>L20*(1+$C$10)</f>
        <v>10646.131908636984</v>
      </c>
      <c r="N20" s="111">
        <f>M20*(1+$C$10)</f>
        <v>10927.722097620433</v>
      </c>
      <c r="O20" s="111">
        <f>N20*(1+$C$10)</f>
        <v>11216.760347102494</v>
      </c>
      <c r="P20" s="111">
        <f>O20*(1+$C$10)</f>
        <v>11513.443658283357</v>
      </c>
      <c r="Q20" s="111">
        <f>P20*(1+$C$10)</f>
        <v>11817.974243044953</v>
      </c>
      <c r="R20" s="111">
        <f>Q20*(1+$C$10)</f>
        <v>12130.559661773494</v>
      </c>
      <c r="S20" s="111">
        <f>R20*(1+$C$10)</f>
        <v>12451.412964827403</v>
      </c>
      <c r="T20" s="111">
        <f>S20*(1+$C$10)</f>
        <v>12780.752837747088</v>
      </c>
      <c r="U20" s="111">
        <f>T20*(1+$C$10)</f>
        <v>13118.8037503055</v>
      </c>
      <c r="V20" s="111">
        <f>U20*(1+$C$10)</f>
        <v>13465.796109501081</v>
      </c>
      <c r="W20" s="111">
        <f>V20*(1+$C$10)</f>
        <v>13821.966416597386</v>
      </c>
      <c r="X20" s="111">
        <f>W20*(1+$C$10)</f>
        <v>14187.557428316388</v>
      </c>
      <c r="Y20" s="111">
        <f>X20*(1+$C$10)</f>
        <v>14562.818322295358</v>
      </c>
      <c r="Z20" s="111">
        <f>Y20*(1+$C$10)</f>
        <v>14948.004866920071</v>
      </c>
      <c r="AA20" s="111">
        <f>Z20*(1+$C$10)</f>
        <v>15343.379595650109</v>
      </c>
      <c r="AB20" s="111">
        <f>AA20*(1+$C$10)</f>
        <v>15749.211985955055</v>
      </c>
      <c r="AC20" s="111">
        <f>AB20*(1+$C$10)</f>
        <v>16165.778642983567</v>
      </c>
      <c r="AD20" s="111">
        <f>AC20*(1+$C$10)</f>
        <v>16593.363488090483</v>
      </c>
      <c r="AE20" s="111">
        <f>AD20*(1+$C$10)</f>
        <v>17032.257952350479</v>
      </c>
      <c r="AF20" s="111">
        <f>AE20*(1+$C$10)</f>
        <v>17482.76117519015</v>
      </c>
      <c r="AG20" s="111">
        <f>AF20*(1+$C$10)</f>
        <v>17945.18020827393</v>
      </c>
    </row>
    <row r="21" spans="1:33" x14ac:dyDescent="0.35">
      <c r="B21" t="s">
        <v>83</v>
      </c>
      <c r="C21" s="86">
        <v>139720</v>
      </c>
      <c r="D21" s="111">
        <f>C21*(1+$C$10)</f>
        <v>143415.59400000001</v>
      </c>
      <c r="E21" s="111">
        <f>D21*(1+$C$10)</f>
        <v>147208.93646130004</v>
      </c>
      <c r="F21" s="111">
        <f>E21*(1+$C$10)</f>
        <v>151102.61283070143</v>
      </c>
      <c r="G21" s="111">
        <f>F21*(1+$C$10)</f>
        <v>155099.2769400735</v>
      </c>
      <c r="H21" s="111">
        <f>G21*(1+$C$10)</f>
        <v>159201.65281513846</v>
      </c>
      <c r="I21" s="111">
        <f>H21*(1+$C$10)</f>
        <v>163412.53653209889</v>
      </c>
      <c r="J21" s="111">
        <f>I21*(1+$C$10)</f>
        <v>167734.79812337292</v>
      </c>
      <c r="K21" s="111">
        <f>J21*(1+$C$10)</f>
        <v>172171.38353373614</v>
      </c>
      <c r="L21" s="111">
        <f>K21*(1+$C$10)</f>
        <v>176725.31662820347</v>
      </c>
      <c r="M21" s="111">
        <f>L21*(1+$C$10)</f>
        <v>181399.70125301945</v>
      </c>
      <c r="N21" s="111">
        <f>M21*(1+$C$10)</f>
        <v>186197.72335116184</v>
      </c>
      <c r="O21" s="111">
        <f>N21*(1+$C$10)</f>
        <v>191122.65313380008</v>
      </c>
      <c r="P21" s="111">
        <f>O21*(1+$C$10)</f>
        <v>196177.84730918912</v>
      </c>
      <c r="Q21" s="111">
        <f>P21*(1+$C$10)</f>
        <v>201366.75137051719</v>
      </c>
      <c r="R21" s="111">
        <f>Q21*(1+$C$10)</f>
        <v>206692.90194426739</v>
      </c>
      <c r="S21" s="111">
        <f>R21*(1+$C$10)</f>
        <v>212159.92920069327</v>
      </c>
      <c r="T21" s="111">
        <f>S21*(1+$C$10)</f>
        <v>217771.55932805163</v>
      </c>
      <c r="U21" s="111">
        <f>T21*(1+$C$10)</f>
        <v>223531.6170722786</v>
      </c>
      <c r="V21" s="111">
        <f>U21*(1+$C$10)</f>
        <v>229444.02834384039</v>
      </c>
      <c r="W21" s="111">
        <f>V21*(1+$C$10)</f>
        <v>235512.82289353499</v>
      </c>
      <c r="X21" s="111">
        <f>W21*(1+$C$10)</f>
        <v>241742.13705906901</v>
      </c>
      <c r="Y21" s="111">
        <f>X21*(1+$C$10)</f>
        <v>248136.21658428141</v>
      </c>
      <c r="Z21" s="111">
        <f>Y21*(1+$C$10)</f>
        <v>254699.41951293568</v>
      </c>
      <c r="AA21" s="111">
        <f>Z21*(1+$C$10)</f>
        <v>261436.21915905285</v>
      </c>
      <c r="AB21" s="111">
        <f>AA21*(1+$C$10)</f>
        <v>268351.2071558098</v>
      </c>
      <c r="AC21" s="111">
        <f>AB21*(1+$C$10)</f>
        <v>275449.09658508096</v>
      </c>
      <c r="AD21" s="111">
        <f>AC21*(1+$C$10)</f>
        <v>282734.72518975637</v>
      </c>
      <c r="AE21" s="111">
        <f>AD21*(1+$C$10)</f>
        <v>290213.05867102544</v>
      </c>
      <c r="AF21" s="111">
        <f>AE21*(1+$C$10)</f>
        <v>297889.19407287409</v>
      </c>
      <c r="AG21" s="111">
        <f>AF21*(1+$C$10)</f>
        <v>305768.36325610161</v>
      </c>
    </row>
    <row r="22" spans="1:33" x14ac:dyDescent="0.35">
      <c r="B22" t="s">
        <v>82</v>
      </c>
      <c r="C22" s="86">
        <v>1500</v>
      </c>
      <c r="D22" s="111">
        <f>C22*(1+$C$10)</f>
        <v>1539.6750000000002</v>
      </c>
      <c r="E22" s="111">
        <f>D22*(1+$C$10)</f>
        <v>1580.3994037500004</v>
      </c>
      <c r="F22" s="111">
        <f>E22*(1+$C$10)</f>
        <v>1622.2009679791879</v>
      </c>
      <c r="G22" s="111">
        <f>F22*(1+$C$10)</f>
        <v>1665.1081835822376</v>
      </c>
      <c r="H22" s="111">
        <f>G22*(1+$C$10)</f>
        <v>1709.1502950379879</v>
      </c>
      <c r="I22" s="111">
        <f>H22*(1+$C$10)</f>
        <v>1754.3573203417429</v>
      </c>
      <c r="J22" s="111">
        <f>I22*(1+$C$10)</f>
        <v>1800.7600714647822</v>
      </c>
      <c r="K22" s="111">
        <f>J22*(1+$C$10)</f>
        <v>1848.3901753550258</v>
      </c>
      <c r="L22" s="111">
        <f>K22*(1+$C$10)</f>
        <v>1897.2800954931663</v>
      </c>
      <c r="M22" s="111">
        <f>L22*(1+$C$10)</f>
        <v>1947.4631540189607</v>
      </c>
      <c r="N22" s="111">
        <f>M22*(1+$C$10)</f>
        <v>1998.9735544427624</v>
      </c>
      <c r="O22" s="111">
        <f>N22*(1+$C$10)</f>
        <v>2051.8464049577738</v>
      </c>
      <c r="P22" s="111">
        <f>O22*(1+$C$10)</f>
        <v>2106.1177423689069</v>
      </c>
      <c r="Q22" s="111">
        <f>P22*(1+$C$10)</f>
        <v>2161.8245566545647</v>
      </c>
      <c r="R22" s="111">
        <f>Q22*(1+$C$10)</f>
        <v>2219.0048161780783</v>
      </c>
      <c r="S22" s="111">
        <f>R22*(1+$C$10)</f>
        <v>2277.6974935659887</v>
      </c>
      <c r="T22" s="111">
        <f>S22*(1+$C$10)</f>
        <v>2337.9425922708092</v>
      </c>
      <c r="U22" s="111">
        <f>T22*(1+$C$10)</f>
        <v>2399.7811738363721</v>
      </c>
      <c r="V22" s="111">
        <f>U22*(1+$C$10)</f>
        <v>2463.2553858843444</v>
      </c>
      <c r="W22" s="111">
        <f>V22*(1+$C$10)</f>
        <v>2528.4084908409855</v>
      </c>
      <c r="X22" s="111">
        <f>W22*(1+$C$10)</f>
        <v>2595.2848954237297</v>
      </c>
      <c r="Y22" s="111">
        <f>X22*(1+$C$10)</f>
        <v>2663.9301809076874</v>
      </c>
      <c r="Z22" s="111">
        <f>Y22*(1+$C$10)</f>
        <v>2734.391134192696</v>
      </c>
      <c r="AA22" s="111">
        <f>Z22*(1+$C$10)</f>
        <v>2806.7157796920928</v>
      </c>
      <c r="AB22" s="111">
        <f>AA22*(1+$C$10)</f>
        <v>2880.9534120649491</v>
      </c>
      <c r="AC22" s="111">
        <f>AB22*(1+$C$10)</f>
        <v>2957.1546298140674</v>
      </c>
      <c r="AD22" s="111">
        <f>AC22*(1+$C$10)</f>
        <v>3035.3713697726498</v>
      </c>
      <c r="AE22" s="111">
        <f>AD22*(1+$C$10)</f>
        <v>3115.6569425031366</v>
      </c>
      <c r="AF22" s="111">
        <f>AE22*(1+$C$10)</f>
        <v>3198.0660686323449</v>
      </c>
      <c r="AG22" s="111">
        <f>AF22*(1+$C$10)</f>
        <v>3282.6549161476705</v>
      </c>
    </row>
    <row r="23" spans="1:33" x14ac:dyDescent="0.35">
      <c r="B23" t="s">
        <v>81</v>
      </c>
      <c r="C23" s="86">
        <v>11500</v>
      </c>
      <c r="D23" s="111">
        <f>C23*(1+$C$10)</f>
        <v>11804.175000000001</v>
      </c>
      <c r="E23" s="111">
        <f>D23*(1+$C$10)</f>
        <v>12116.395428750002</v>
      </c>
      <c r="F23" s="111">
        <f>E23*(1+$C$10)</f>
        <v>12436.874087840441</v>
      </c>
      <c r="G23" s="111">
        <f>F23*(1+$C$10)</f>
        <v>12765.829407463822</v>
      </c>
      <c r="H23" s="111">
        <f>G23*(1+$C$10)</f>
        <v>13103.48559529124</v>
      </c>
      <c r="I23" s="111">
        <f>H23*(1+$C$10)</f>
        <v>13450.072789286694</v>
      </c>
      <c r="J23" s="111">
        <f>I23*(1+$C$10)</f>
        <v>13805.827214563329</v>
      </c>
      <c r="K23" s="111">
        <f>J23*(1+$C$10)</f>
        <v>14170.991344388531</v>
      </c>
      <c r="L23" s="111">
        <f>K23*(1+$C$10)</f>
        <v>14545.814065447608</v>
      </c>
      <c r="M23" s="111">
        <f>L23*(1+$C$10)</f>
        <v>14930.550847478698</v>
      </c>
      <c r="N23" s="111">
        <f>M23*(1+$C$10)</f>
        <v>15325.463917394511</v>
      </c>
      <c r="O23" s="111">
        <f>N23*(1+$C$10)</f>
        <v>15730.822438009596</v>
      </c>
      <c r="P23" s="111">
        <f>O23*(1+$C$10)</f>
        <v>16146.902691494952</v>
      </c>
      <c r="Q23" s="111">
        <f>P23*(1+$C$10)</f>
        <v>16573.988267684996</v>
      </c>
      <c r="R23" s="111">
        <f>Q23*(1+$C$10)</f>
        <v>17012.370257365266</v>
      </c>
      <c r="S23" s="111">
        <f>R23*(1+$C$10)</f>
        <v>17462.34745067258</v>
      </c>
      <c r="T23" s="111">
        <f>S23*(1+$C$10)</f>
        <v>17924.226540742871</v>
      </c>
      <c r="U23" s="111">
        <f>T23*(1+$C$10)</f>
        <v>18398.322332745523</v>
      </c>
      <c r="V23" s="111">
        <f>U23*(1+$C$10)</f>
        <v>18884.957958446645</v>
      </c>
      <c r="W23" s="111">
        <f>V23*(1+$C$10)</f>
        <v>19384.465096447559</v>
      </c>
      <c r="X23" s="111">
        <f>W23*(1+$C$10)</f>
        <v>19897.184198248597</v>
      </c>
      <c r="Y23" s="111">
        <f>X23*(1+$C$10)</f>
        <v>20423.464720292275</v>
      </c>
      <c r="Z23" s="111">
        <f>Y23*(1+$C$10)</f>
        <v>20963.665362144009</v>
      </c>
      <c r="AA23" s="111">
        <f>Z23*(1+$C$10)</f>
        <v>21518.154310972721</v>
      </c>
      <c r="AB23" s="111">
        <f>AA23*(1+$C$10)</f>
        <v>22087.309492497952</v>
      </c>
      <c r="AC23" s="111">
        <f>AB23*(1+$C$10)</f>
        <v>22671.518828574524</v>
      </c>
      <c r="AD23" s="111">
        <f>AC23*(1+$C$10)</f>
        <v>23271.180501590323</v>
      </c>
      <c r="AE23" s="111">
        <f>AD23*(1+$C$10)</f>
        <v>23886.703225857389</v>
      </c>
      <c r="AF23" s="111">
        <f>AE23*(1+$C$10)</f>
        <v>24518.506526181318</v>
      </c>
      <c r="AG23" s="111">
        <f>AF23*(1+$C$10)</f>
        <v>25167.021023798818</v>
      </c>
    </row>
    <row r="24" spans="1:33" x14ac:dyDescent="0.35">
      <c r="B24" t="s">
        <v>62</v>
      </c>
      <c r="C24" s="101">
        <f>SUM(C18:C22)</f>
        <v>181270</v>
      </c>
      <c r="D24" s="101">
        <f>SUM(D18:D23)</f>
        <v>197868.7665</v>
      </c>
      <c r="E24" s="101">
        <f>SUM(E18:E23)</f>
        <v>203102.39537392504</v>
      </c>
      <c r="F24" s="101">
        <f>SUM(F18:F23)</f>
        <v>208474.45373156536</v>
      </c>
      <c r="G24" s="101">
        <f>SUM(G18:G23)</f>
        <v>213988.60303276527</v>
      </c>
      <c r="H24" s="101">
        <f>SUM(H18:H23)</f>
        <v>219648.60158298197</v>
      </c>
      <c r="I24" s="101">
        <f>SUM(I18:I23)</f>
        <v>225458.30709485186</v>
      </c>
      <c r="J24" s="101">
        <f>SUM(J18:J23)</f>
        <v>231421.67931751072</v>
      </c>
      <c r="K24" s="101">
        <f>SUM(K18:K23)</f>
        <v>237542.78273545887</v>
      </c>
      <c r="L24" s="101">
        <f>SUM(L18:L23)</f>
        <v>243825.78933881174</v>
      </c>
      <c r="M24" s="101">
        <f>SUM(M18:M23)</f>
        <v>250274.98146682337</v>
      </c>
      <c r="N24" s="101">
        <f>SUM(N18:N23)</f>
        <v>256894.75472662086</v>
      </c>
      <c r="O24" s="101">
        <f>SUM(O18:O23)</f>
        <v>263689.62098914001</v>
      </c>
      <c r="P24" s="101">
        <f>SUM(P18:P23)</f>
        <v>270664.21146430279</v>
      </c>
      <c r="Q24" s="101">
        <f>SUM(Q18:Q23)</f>
        <v>277823.27985753363</v>
      </c>
      <c r="R24" s="101">
        <f>SUM(R18:R23)</f>
        <v>285171.70560976543</v>
      </c>
      <c r="S24" s="101">
        <f>SUM(S18:S23)</f>
        <v>292714.4972231437</v>
      </c>
      <c r="T24" s="101">
        <f>SUM(T18:T23)</f>
        <v>300456.79567469587</v>
      </c>
      <c r="U24" s="101">
        <f>SUM(U18:U23)</f>
        <v>308403.87792029168</v>
      </c>
      <c r="V24" s="101">
        <f>SUM(V18:V23)</f>
        <v>316561.16049128334</v>
      </c>
      <c r="W24" s="101">
        <f>SUM(W18:W23)</f>
        <v>324934.20318627782</v>
      </c>
      <c r="X24" s="101">
        <f>SUM(X18:X23)</f>
        <v>333528.71286055492</v>
      </c>
      <c r="Y24" s="101">
        <f>SUM(Y18:Y23)</f>
        <v>342350.54731571663</v>
      </c>
      <c r="Z24" s="101">
        <f>SUM(Z18:Z23)</f>
        <v>351405.7192922174</v>
      </c>
      <c r="AA24" s="101">
        <f>SUM(AA18:AA23)</f>
        <v>360700.40056749654</v>
      </c>
      <c r="AB24" s="101">
        <f>SUM(AB18:AB23)</f>
        <v>370240.9261625068</v>
      </c>
      <c r="AC24" s="101">
        <f>SUM(AC18:AC23)</f>
        <v>380033.79865950515</v>
      </c>
      <c r="AD24" s="101">
        <f>SUM(AD18:AD23)</f>
        <v>390085.6926340491</v>
      </c>
      <c r="AE24" s="101">
        <f>SUM(AE18:AE23)</f>
        <v>400403.45920421969</v>
      </c>
      <c r="AF24" s="101">
        <f>SUM(AF18:AF23)</f>
        <v>410994.13070017134</v>
      </c>
      <c r="AG24" s="101">
        <f>SUM(AG18:AG23)</f>
        <v>421864.92545719084</v>
      </c>
    </row>
    <row r="25" spans="1:33" x14ac:dyDescent="0.35">
      <c r="C25" s="74"/>
      <c r="D25" s="74"/>
      <c r="E25" s="74"/>
      <c r="F25" s="74"/>
      <c r="G25" s="74"/>
      <c r="H25" s="74"/>
      <c r="I25" s="74"/>
      <c r="J25" s="74"/>
      <c r="K25" s="74"/>
      <c r="L25" s="74"/>
      <c r="M25" s="74"/>
      <c r="N25" s="74"/>
      <c r="O25" s="74"/>
      <c r="P25" s="74"/>
      <c r="Q25" s="74"/>
    </row>
    <row r="26" spans="1:33" x14ac:dyDescent="0.35">
      <c r="A26" t="s">
        <v>80</v>
      </c>
      <c r="B26" t="s">
        <v>79</v>
      </c>
      <c r="C26" s="88">
        <v>0</v>
      </c>
      <c r="D26" s="88">
        <v>0</v>
      </c>
      <c r="E26" s="83">
        <f>E24*$C$9*$C$12*$C$5*$C$7</f>
        <v>57238317.064279571</v>
      </c>
      <c r="F26" s="83">
        <f>F24*$C$9*$C$12*$C$5*$C$7</f>
        <v>58752270.550629757</v>
      </c>
      <c r="G26" s="83">
        <f>G24*$C$9*$C$12*$C$5*$C$7</f>
        <v>60306268.106693909</v>
      </c>
      <c r="H26" s="83">
        <f>H24*$C$9*$C$12*$C$5*$C$7</f>
        <v>61901368.898115978</v>
      </c>
      <c r="I26" s="83">
        <f>I24*$C$9*$C$12*$C$5*$C$7</f>
        <v>63538660.105471164</v>
      </c>
      <c r="J26" s="83">
        <f>J24*$C$9*$C$12*$C$5*$C$7</f>
        <v>65219257.665260881</v>
      </c>
      <c r="K26" s="83">
        <f>K24*$C$9*$C$12*$C$5*$C$7</f>
        <v>66944307.030507028</v>
      </c>
      <c r="L26" s="83">
        <f>L24*$C$9*$C$12*$C$5*$C$7</f>
        <v>68714983.951463923</v>
      </c>
      <c r="M26" s="83">
        <f>M24*$C$9*$C$12*$C$5*$C$7</f>
        <v>70532495.276980162</v>
      </c>
      <c r="N26" s="83">
        <f>N24*$C$9*$C$12*$C$5*$C$7</f>
        <v>72398079.777056307</v>
      </c>
      <c r="O26" s="83">
        <f>O24*$C$9*$C$12*$C$5*$C$7</f>
        <v>74313008.987159446</v>
      </c>
      <c r="P26" s="83">
        <f>P24*$C$9*$C$12*$C$5*$C$7</f>
        <v>76278588.074869812</v>
      </c>
      <c r="Q26" s="83">
        <f>Q24*$C$9*$C$12*$C$5*$C$7</f>
        <v>78296156.729450122</v>
      </c>
      <c r="R26" s="83">
        <f>R24*$C$9*$C$12*$C$5*$C$7</f>
        <v>80367090.074944109</v>
      </c>
      <c r="S26" s="83">
        <f>S24*$C$9*$C$12*$C$5*$C$7</f>
        <v>82492799.607426375</v>
      </c>
      <c r="T26" s="83">
        <f>T24*$C$9*$C$12*$C$5*$C$7</f>
        <v>84674734.157042801</v>
      </c>
      <c r="U26" s="83">
        <f>U24*$C$9*$C$12*$C$5*$C$7</f>
        <v>86914380.875496611</v>
      </c>
      <c r="V26" s="83">
        <f>V24*$C$9*$C$12*$C$5*$C$7</f>
        <v>89213266.249653488</v>
      </c>
      <c r="W26" s="83">
        <f>W24*$C$9*$C$12*$C$5*$C$7</f>
        <v>91572957.141956836</v>
      </c>
      <c r="X26" s="83">
        <f>X24*$C$9*$C$12*$C$5*$C$7</f>
        <v>93995061.858361602</v>
      </c>
      <c r="Y26" s="83">
        <f>Y24*$C$9*$C$12*$C$5*$C$7</f>
        <v>96481231.244515255</v>
      </c>
      <c r="Z26" s="83">
        <f>Z24*$C$9*$C$12*$C$5*$C$7</f>
        <v>99033159.810932711</v>
      </c>
      <c r="AA26" s="83">
        <f>AA24*$C$9*$C$12*$C$5*$C$7</f>
        <v>101652586.88793188</v>
      </c>
      <c r="AB26" s="83">
        <f>AB24*$C$9*$C$12*$C$5*$C$7</f>
        <v>104341297.81111766</v>
      </c>
      <c r="AC26" s="83">
        <f>AC24*$C$9*$C$12*$C$5*$C$7</f>
        <v>107101125.13822176</v>
      </c>
      <c r="AD26" s="83">
        <f>AD24*$C$9*$C$12*$C$5*$C$7</f>
        <v>109933949.89812773</v>
      </c>
      <c r="AE26" s="83">
        <f>AE24*$C$9*$C$12*$C$5*$C$7</f>
        <v>112841702.87293319</v>
      </c>
      <c r="AF26" s="83">
        <f>AF24*$C$9*$C$12*$C$5*$C$7</f>
        <v>115826365.91392228</v>
      </c>
      <c r="AG26" s="83">
        <f>AG24*$C$9*$C$12*$C$5*$C$7</f>
        <v>118889973.29234552</v>
      </c>
    </row>
    <row r="27" spans="1:33" x14ac:dyDescent="0.35">
      <c r="B27" t="s">
        <v>78</v>
      </c>
      <c r="E27" s="83">
        <f>E24*$C$9*$C$12*$C$6*$C$8</f>
        <v>11475285.338626767</v>
      </c>
      <c r="F27" s="83">
        <f>F24*$C$9*$C$12*$C$6*$C$8</f>
        <v>11778806.635833442</v>
      </c>
      <c r="G27" s="83">
        <f>G24*$C$9*$C$12*$C$6*$C$8</f>
        <v>12090356.071351238</v>
      </c>
      <c r="H27" s="83">
        <f>H24*$C$9*$C$12*$C$6*$C$8</f>
        <v>12410145.989438482</v>
      </c>
      <c r="I27" s="83">
        <f>I24*$C$9*$C$12*$C$6*$C$8</f>
        <v>12738394.350859132</v>
      </c>
      <c r="J27" s="83">
        <f>J24*$C$9*$C$12*$C$6*$C$8</f>
        <v>13075324.881439356</v>
      </c>
      <c r="K27" s="83">
        <f>K24*$C$9*$C$12*$C$6*$C$8</f>
        <v>13421167.22455343</v>
      </c>
      <c r="L27" s="83">
        <f>L24*$C$9*$C$12*$C$6*$C$8</f>
        <v>13776157.097642861</v>
      </c>
      <c r="M27" s="83">
        <f>M24*$C$9*$C$12*$C$6*$C$8</f>
        <v>14140536.452875521</v>
      </c>
      <c r="N27" s="83">
        <f>N24*$C$9*$C$12*$C$6*$C$8</f>
        <v>14514553.642054079</v>
      </c>
      <c r="O27" s="83">
        <f>O24*$C$9*$C$12*$C$6*$C$8</f>
        <v>14898463.585886413</v>
      </c>
      <c r="P27" s="83">
        <f>P24*$C$9*$C$12*$C$6*$C$8</f>
        <v>15292527.947733108</v>
      </c>
      <c r="Q27" s="83">
        <f>Q24*$C$9*$C$12*$C$6*$C$8</f>
        <v>15697015.31195065</v>
      </c>
      <c r="R27" s="83">
        <f>R24*$C$9*$C$12*$C$6*$C$8</f>
        <v>16112201.366951749</v>
      </c>
      <c r="S27" s="83">
        <f>S24*$C$9*$C$12*$C$6*$C$8</f>
        <v>16538369.09310762</v>
      </c>
      <c r="T27" s="83">
        <f>T24*$C$9*$C$12*$C$6*$C$8</f>
        <v>16975808.955620319</v>
      </c>
      <c r="U27" s="83">
        <f>U24*$C$9*$C$12*$C$6*$C$8</f>
        <v>17424819.102496482</v>
      </c>
      <c r="V27" s="83">
        <f>V24*$C$9*$C$12*$C$6*$C$8</f>
        <v>17885705.567757513</v>
      </c>
      <c r="W27" s="83">
        <f>W24*$C$9*$C$12*$C$6*$C$8</f>
        <v>18358782.480024699</v>
      </c>
      <c r="X27" s="83">
        <f>X24*$C$9*$C$12*$C$6*$C$8</f>
        <v>18844372.276621357</v>
      </c>
      <c r="Y27" s="83">
        <f>Y24*$C$9*$C$12*$C$6*$C$8</f>
        <v>19342805.923337989</v>
      </c>
      <c r="Z27" s="83">
        <f>Z24*$C$9*$C$12*$C$6*$C$8</f>
        <v>19854423.140010282</v>
      </c>
      <c r="AA27" s="83">
        <f>AA24*$C$9*$C$12*$C$6*$C$8</f>
        <v>20379572.632063556</v>
      </c>
      <c r="AB27" s="83">
        <f>AB24*$C$9*$C$12*$C$6*$C$8</f>
        <v>20918612.328181636</v>
      </c>
      <c r="AC27" s="83">
        <f>AC24*$C$9*$C$12*$C$6*$C$8</f>
        <v>21471909.624262042</v>
      </c>
      <c r="AD27" s="83">
        <f>AD24*$C$9*$C$12*$C$6*$C$8</f>
        <v>22039841.633823778</v>
      </c>
      <c r="AE27" s="83">
        <f>AE24*$C$9*$C$12*$C$6*$C$8</f>
        <v>22622795.445038412</v>
      </c>
      <c r="AF27" s="83">
        <f>AF24*$C$9*$C$12*$C$6*$C$8</f>
        <v>23221168.38455968</v>
      </c>
      <c r="AG27" s="83">
        <f>AG24*$C$9*$C$12*$C$6*$C$8</f>
        <v>23835368.288331285</v>
      </c>
    </row>
    <row r="28" spans="1:33" x14ac:dyDescent="0.35">
      <c r="A28" s="74" t="s">
        <v>77</v>
      </c>
      <c r="C28" s="101">
        <f>SUM(C26:C27)</f>
        <v>0</v>
      </c>
      <c r="D28" s="101">
        <f>SUM(D26:D27)</f>
        <v>0</v>
      </c>
      <c r="E28" s="101">
        <f>SUM(E26:E27)</f>
        <v>68713602.402906343</v>
      </c>
      <c r="F28" s="101">
        <f>SUM(F26:F27)</f>
        <v>70531077.186463207</v>
      </c>
      <c r="G28" s="101">
        <f>SUM(G26:G27)</f>
        <v>72396624.178045154</v>
      </c>
      <c r="H28" s="101">
        <f>SUM(H26:H27)</f>
        <v>74311514.887554467</v>
      </c>
      <c r="I28" s="101">
        <f>SUM(I26:I27)</f>
        <v>76277054.456330299</v>
      </c>
      <c r="J28" s="101">
        <f>SUM(J26:J27)</f>
        <v>78294582.546700239</v>
      </c>
      <c r="K28" s="101">
        <f>SUM(K26:K27)</f>
        <v>80365474.255060464</v>
      </c>
      <c r="L28" s="101">
        <f>SUM(L26:L27)</f>
        <v>82491141.049106777</v>
      </c>
      <c r="M28" s="101">
        <f>SUM(M26:M27)</f>
        <v>84673031.729855686</v>
      </c>
      <c r="N28" s="101">
        <f>SUM(N26:N27)</f>
        <v>86912633.419110388</v>
      </c>
      <c r="O28" s="101">
        <f>SUM(O26:O27)</f>
        <v>89211472.573045865</v>
      </c>
      <c r="P28" s="101">
        <f>SUM(P26:P27)</f>
        <v>91571116.022602916</v>
      </c>
      <c r="Q28" s="101">
        <f>SUM(Q26:Q27)</f>
        <v>93993172.041400775</v>
      </c>
      <c r="R28" s="101">
        <f>SUM(R26:R27)</f>
        <v>96479291.441895857</v>
      </c>
      <c r="S28" s="101">
        <f>SUM(S26:S27)</f>
        <v>99031168.700534001</v>
      </c>
      <c r="T28" s="101">
        <f>SUM(T26:T27)</f>
        <v>101650543.11266312</v>
      </c>
      <c r="U28" s="101">
        <f>SUM(U26:U27)</f>
        <v>104339199.9779931</v>
      </c>
      <c r="V28" s="101">
        <f>SUM(V26:V27)</f>
        <v>107098971.81741101</v>
      </c>
      <c r="W28" s="101">
        <f>SUM(W26:W27)</f>
        <v>109931739.62198153</v>
      </c>
      <c r="X28" s="101">
        <f>SUM(X26:X27)</f>
        <v>112839434.13498296</v>
      </c>
      <c r="Y28" s="101">
        <f>SUM(Y26:Y27)</f>
        <v>115824037.16785324</v>
      </c>
      <c r="Z28" s="101">
        <f>SUM(Z26:Z27)</f>
        <v>118887582.95094299</v>
      </c>
      <c r="AA28" s="101">
        <f>SUM(AA26:AA27)</f>
        <v>122032159.51999544</v>
      </c>
      <c r="AB28" s="101">
        <f>SUM(AB26:AB27)</f>
        <v>125259910.1392993</v>
      </c>
      <c r="AC28" s="101">
        <f>SUM(AC26:AC27)</f>
        <v>128573034.76248381</v>
      </c>
      <c r="AD28" s="101">
        <f>SUM(AD26:AD27)</f>
        <v>131973791.53195152</v>
      </c>
      <c r="AE28" s="101">
        <f>SUM(AE26:AE27)</f>
        <v>135464498.31797162</v>
      </c>
      <c r="AF28" s="101">
        <f>SUM(AF26:AF27)</f>
        <v>139047534.29848197</v>
      </c>
      <c r="AG28" s="101">
        <f>SUM(AG26:AG27)</f>
        <v>142725341.58067679</v>
      </c>
    </row>
    <row r="29" spans="1:33" x14ac:dyDescent="0.35">
      <c r="A29" s="74" t="s">
        <v>76</v>
      </c>
      <c r="C29" s="110">
        <f>C28/$C$11</f>
        <v>0</v>
      </c>
      <c r="D29" s="110">
        <f>D28/$C$11</f>
        <v>0</v>
      </c>
      <c r="E29" s="110">
        <f>E28/$C$11</f>
        <v>620719.08223040961</v>
      </c>
      <c r="F29" s="110">
        <f>F28/$C$11</f>
        <v>637137.10195540381</v>
      </c>
      <c r="G29" s="110">
        <f>G28/$C$11</f>
        <v>653989.37830212421</v>
      </c>
      <c r="H29" s="110">
        <f>H28/$C$11</f>
        <v>671287.39735821553</v>
      </c>
      <c r="I29" s="110">
        <f>I28/$C$11</f>
        <v>689042.94901834056</v>
      </c>
      <c r="J29" s="110">
        <f>J28/$C$11</f>
        <v>707268.13501987571</v>
      </c>
      <c r="K29" s="110">
        <f>K28/$C$11</f>
        <v>725975.37719115138</v>
      </c>
      <c r="L29" s="110">
        <f>L28/$C$11</f>
        <v>745177.42591785709</v>
      </c>
      <c r="M29" s="110">
        <f>M28/$C$11</f>
        <v>764887.36883338471</v>
      </c>
      <c r="N29" s="110">
        <f>N28/$C$11</f>
        <v>785118.63973902783</v>
      </c>
      <c r="O29" s="110">
        <f>O28/$C$11</f>
        <v>805885.02776012523</v>
      </c>
      <c r="P29" s="110">
        <f>P28/$C$11</f>
        <v>827200.68674438039</v>
      </c>
      <c r="Q29" s="110">
        <f>Q28/$C$11</f>
        <v>849080.14490876941</v>
      </c>
      <c r="R29" s="110">
        <f>R28/$C$11</f>
        <v>871538.31474160659</v>
      </c>
      <c r="S29" s="110">
        <f>S28/$C$11</f>
        <v>894590.50316652213</v>
      </c>
      <c r="T29" s="110">
        <f>T28/$C$11</f>
        <v>918252.42197527655</v>
      </c>
      <c r="U29" s="110">
        <f>U28/$C$11</f>
        <v>942540.19853652304</v>
      </c>
      <c r="V29" s="110">
        <f>V28/$C$11</f>
        <v>967470.38678781397</v>
      </c>
      <c r="W29" s="110">
        <f>W28/$C$11</f>
        <v>993059.97851835168</v>
      </c>
      <c r="X29" s="110">
        <f>X28/$C$11</f>
        <v>1019326.4149501622</v>
      </c>
      <c r="Y29" s="110">
        <f>Y28/$C$11</f>
        <v>1046287.5986255938</v>
      </c>
      <c r="Z29" s="110">
        <f>Z28/$C$11</f>
        <v>1073961.905609241</v>
      </c>
      <c r="AA29" s="110">
        <f>AA28/$C$11</f>
        <v>1102368.1980126055</v>
      </c>
      <c r="AB29" s="110">
        <f>AB28/$C$11</f>
        <v>1131525.8368500387</v>
      </c>
      <c r="AC29" s="110">
        <f>AC28/$C$11</f>
        <v>1161454.6952347227</v>
      </c>
      <c r="AD29" s="110">
        <f>AD28/$C$11</f>
        <v>1192175.1719236812</v>
      </c>
      <c r="AE29" s="110">
        <f>AE28/$C$11</f>
        <v>1223708.2052210625</v>
      </c>
      <c r="AF29" s="110">
        <f>AF28/$C$11</f>
        <v>1256075.2872491595</v>
      </c>
      <c r="AG29" s="110">
        <f>AG28/$C$11</f>
        <v>1289298.4785968997</v>
      </c>
    </row>
    <row r="31" spans="1:33" x14ac:dyDescent="0.35">
      <c r="A31" s="73" t="s">
        <v>30</v>
      </c>
      <c r="E31" s="100"/>
      <c r="F31" s="83"/>
    </row>
    <row r="32" spans="1:33" x14ac:dyDescent="0.35">
      <c r="A32" s="1" t="s">
        <v>58</v>
      </c>
      <c r="F32" s="83"/>
    </row>
    <row r="33" spans="1:3" x14ac:dyDescent="0.35">
      <c r="A33" t="s">
        <v>28</v>
      </c>
    </row>
    <row r="34" spans="1:3" x14ac:dyDescent="0.35">
      <c r="A34" t="s">
        <v>24</v>
      </c>
      <c r="C34" s="100"/>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J93"/>
  <sheetViews>
    <sheetView topLeftCell="A3" zoomScale="70" zoomScaleNormal="70" workbookViewId="0">
      <selection activeCell="G37" sqref="G37"/>
    </sheetView>
  </sheetViews>
  <sheetFormatPr defaultRowHeight="14.5" x14ac:dyDescent="0.35"/>
  <cols>
    <col min="1" max="1" width="36" customWidth="1"/>
    <col min="2" max="2" width="31.1796875" customWidth="1"/>
    <col min="3" max="3" width="17.54296875" customWidth="1"/>
    <col min="4" max="4" width="17.7265625" customWidth="1"/>
    <col min="5" max="5" width="16" bestFit="1" customWidth="1"/>
    <col min="6" max="6" width="18.26953125" customWidth="1"/>
    <col min="7" max="7" width="17.54296875" customWidth="1"/>
    <col min="8" max="9" width="16.81640625" bestFit="1" customWidth="1"/>
    <col min="10" max="10" width="16" bestFit="1" customWidth="1"/>
    <col min="11" max="11" width="17.26953125" customWidth="1"/>
    <col min="12" max="12" width="18.26953125" customWidth="1"/>
    <col min="13" max="13" width="18" customWidth="1"/>
    <col min="14" max="19" width="16.81640625" bestFit="1" customWidth="1"/>
    <col min="20" max="34" width="14.36328125" bestFit="1" customWidth="1"/>
    <col min="36" max="36" width="13.1796875" bestFit="1" customWidth="1"/>
  </cols>
  <sheetData>
    <row r="2" spans="1:34" ht="18.5" x14ac:dyDescent="0.45">
      <c r="A2" s="99" t="s">
        <v>129</v>
      </c>
      <c r="J2" s="74"/>
    </row>
    <row r="3" spans="1:34" ht="18.5" x14ac:dyDescent="0.45">
      <c r="A3" s="99"/>
      <c r="J3" s="74"/>
    </row>
    <row r="4" spans="1:34" x14ac:dyDescent="0.35">
      <c r="A4" s="118" t="s">
        <v>131</v>
      </c>
      <c r="B4" s="117"/>
      <c r="C4" s="117"/>
      <c r="D4" s="117"/>
      <c r="E4" s="117"/>
      <c r="F4" s="117"/>
      <c r="G4" s="117"/>
      <c r="H4" s="117"/>
      <c r="I4" s="117"/>
      <c r="J4" s="131"/>
      <c r="K4" s="117"/>
      <c r="L4" s="117"/>
      <c r="M4" s="117"/>
      <c r="N4" s="117"/>
      <c r="O4" s="117"/>
      <c r="P4" s="117"/>
      <c r="Q4" s="117"/>
      <c r="R4" s="117"/>
    </row>
    <row r="5" spans="1:34" x14ac:dyDescent="0.35">
      <c r="A5" s="73"/>
      <c r="J5" s="74"/>
    </row>
    <row r="6" spans="1:34" x14ac:dyDescent="0.35">
      <c r="A6" s="92" t="s">
        <v>46</v>
      </c>
      <c r="C6" s="93">
        <v>6.1559999999999997E-2</v>
      </c>
      <c r="J6" s="74"/>
    </row>
    <row r="7" spans="1:34" x14ac:dyDescent="0.35">
      <c r="A7" s="92" t="s">
        <v>45</v>
      </c>
      <c r="C7" s="28">
        <v>2.3800000000000002E-2</v>
      </c>
      <c r="J7" s="74"/>
    </row>
    <row r="8" spans="1:34" x14ac:dyDescent="0.35">
      <c r="A8" s="95" t="s">
        <v>48</v>
      </c>
      <c r="C8" s="1">
        <v>110.00709999999999</v>
      </c>
      <c r="J8" s="74"/>
    </row>
    <row r="9" spans="1:34" x14ac:dyDescent="0.35">
      <c r="A9" s="95" t="s">
        <v>130</v>
      </c>
      <c r="C9" s="135">
        <v>0.12</v>
      </c>
      <c r="J9" s="74"/>
    </row>
    <row r="10" spans="1:34" x14ac:dyDescent="0.35">
      <c r="A10" s="95"/>
      <c r="J10" s="74"/>
    </row>
    <row r="11" spans="1:34" x14ac:dyDescent="0.35">
      <c r="A11" s="118" t="s">
        <v>129</v>
      </c>
      <c r="B11" s="117"/>
      <c r="C11" s="117"/>
      <c r="D11" s="117"/>
      <c r="E11" s="117"/>
      <c r="F11" s="117"/>
      <c r="G11" s="117"/>
      <c r="H11" s="117"/>
      <c r="I11" s="117"/>
      <c r="J11" s="131"/>
      <c r="K11" s="117"/>
      <c r="L11" s="117"/>
      <c r="M11" s="117"/>
      <c r="N11" s="117"/>
      <c r="O11" s="117"/>
      <c r="P11" s="117"/>
      <c r="Q11" s="117"/>
      <c r="R11" s="117"/>
    </row>
    <row r="12" spans="1:34" x14ac:dyDescent="0.35">
      <c r="A12" s="134" t="s">
        <v>128</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row>
    <row r="13" spans="1:34" x14ac:dyDescent="0.35">
      <c r="A13" s="73"/>
      <c r="B13" s="116"/>
      <c r="C13" s="116"/>
      <c r="D13" s="116"/>
      <c r="E13" s="116"/>
      <c r="F13" s="116"/>
      <c r="G13" s="116"/>
      <c r="H13" s="116"/>
      <c r="I13" s="116"/>
      <c r="J13" s="133"/>
      <c r="K13" s="116"/>
      <c r="L13" s="116"/>
      <c r="M13" s="116"/>
      <c r="N13" s="116"/>
      <c r="O13" s="116"/>
      <c r="P13" s="116"/>
      <c r="Q13" s="116"/>
      <c r="R13" s="116"/>
    </row>
    <row r="14" spans="1:34" x14ac:dyDescent="0.35">
      <c r="B14" s="74"/>
      <c r="C14" s="132" t="s">
        <v>127</v>
      </c>
      <c r="D14" s="80">
        <v>0</v>
      </c>
      <c r="E14" s="97">
        <v>1</v>
      </c>
      <c r="F14" s="97">
        <v>2</v>
      </c>
      <c r="G14" s="97">
        <v>3</v>
      </c>
      <c r="H14" s="97">
        <v>4</v>
      </c>
      <c r="I14" s="97">
        <v>5</v>
      </c>
      <c r="J14" s="97">
        <v>6</v>
      </c>
      <c r="K14" s="97">
        <v>7</v>
      </c>
      <c r="L14" s="97">
        <v>8</v>
      </c>
      <c r="M14" s="97">
        <v>9</v>
      </c>
      <c r="N14" s="97">
        <v>10</v>
      </c>
      <c r="O14" s="97">
        <v>11</v>
      </c>
      <c r="P14" s="97">
        <v>12</v>
      </c>
      <c r="Q14" s="97">
        <v>13</v>
      </c>
      <c r="R14" s="97">
        <v>14</v>
      </c>
      <c r="S14" s="97">
        <v>15</v>
      </c>
      <c r="T14" s="97">
        <v>16</v>
      </c>
      <c r="U14" s="97">
        <v>17</v>
      </c>
      <c r="V14" s="97">
        <v>18</v>
      </c>
      <c r="W14" s="97">
        <v>19</v>
      </c>
      <c r="X14" s="97">
        <v>20</v>
      </c>
      <c r="Y14" s="97">
        <v>21</v>
      </c>
      <c r="Z14" s="97">
        <v>22</v>
      </c>
      <c r="AA14" s="97">
        <v>23</v>
      </c>
      <c r="AB14" s="97">
        <v>24</v>
      </c>
      <c r="AC14" s="97">
        <v>25</v>
      </c>
      <c r="AD14" s="97">
        <v>26</v>
      </c>
      <c r="AE14" s="97">
        <v>27</v>
      </c>
      <c r="AF14" s="97">
        <v>28</v>
      </c>
      <c r="AG14" s="97">
        <v>29</v>
      </c>
      <c r="AH14" s="97">
        <v>30</v>
      </c>
    </row>
    <row r="15" spans="1:34" x14ac:dyDescent="0.35">
      <c r="D15" s="80"/>
      <c r="E15" s="80"/>
      <c r="F15" s="80"/>
      <c r="G15" s="80"/>
      <c r="H15" s="80"/>
      <c r="I15" s="80"/>
      <c r="J15" s="80"/>
      <c r="K15" s="80"/>
      <c r="L15" s="80"/>
      <c r="M15" s="80"/>
      <c r="N15" s="80"/>
      <c r="O15" s="80"/>
      <c r="P15" s="80"/>
      <c r="Q15" s="80"/>
      <c r="R15" s="74"/>
    </row>
    <row r="16" spans="1:34" x14ac:dyDescent="0.35">
      <c r="A16" s="74" t="s">
        <v>126</v>
      </c>
      <c r="B16" t="s">
        <v>125</v>
      </c>
      <c r="D16" s="88">
        <v>0</v>
      </c>
      <c r="E16" s="83">
        <f>'Flood Benefits'!C29</f>
        <v>0</v>
      </c>
      <c r="F16" s="83">
        <f>'Flood Benefits'!D29</f>
        <v>1751647.4970369544</v>
      </c>
      <c r="G16" s="83">
        <f>'Flood Benefits'!E29</f>
        <v>1793336.7074664338</v>
      </c>
      <c r="H16" s="83">
        <f>'Flood Benefits'!F29</f>
        <v>1836018.1211041345</v>
      </c>
      <c r="I16" s="83">
        <f>'Flood Benefits'!G29</f>
        <v>1879715.3523864136</v>
      </c>
      <c r="J16" s="83">
        <f>'Flood Benefits'!H29</f>
        <v>1924452.5777732104</v>
      </c>
      <c r="K16" s="83">
        <f>'Flood Benefits'!I29</f>
        <v>1970254.5491242127</v>
      </c>
      <c r="L16" s="83">
        <f>'Flood Benefits'!J29</f>
        <v>2017146.6073933688</v>
      </c>
      <c r="M16" s="83">
        <f>'Flood Benefits'!K29</f>
        <v>2065154.6966493311</v>
      </c>
      <c r="N16" s="83">
        <f>'Flood Benefits'!L29</f>
        <v>2114305.3784295851</v>
      </c>
      <c r="O16" s="83">
        <f>'Flood Benefits'!M29</f>
        <v>2164625.84643621</v>
      </c>
      <c r="P16" s="83">
        <f>'Flood Benefits'!N29</f>
        <v>2216143.9415813913</v>
      </c>
      <c r="Q16" s="83">
        <f>'Flood Benefits'!O29</f>
        <v>2268888.1673910287</v>
      </c>
      <c r="R16" s="83">
        <f>'Flood Benefits'!P29</f>
        <v>2322887.7057749354</v>
      </c>
      <c r="S16" s="83">
        <f>'Flood Benefits'!Q29</f>
        <v>2378172.4331723787</v>
      </c>
      <c r="T16" s="83">
        <f>'Flood Benefits'!R29</f>
        <v>2434772.9370818813</v>
      </c>
      <c r="U16" s="83">
        <f>'Flood Benefits'!S29</f>
        <v>2492720.53298443</v>
      </c>
      <c r="V16" s="83">
        <f>'Flood Benefits'!T29</f>
        <v>2552047.2816694593</v>
      </c>
      <c r="W16" s="83">
        <f>'Flood Benefits'!U29</f>
        <v>2612786.0069731921</v>
      </c>
      <c r="X16" s="83">
        <f>'Flood Benefits'!V29</f>
        <v>2674970.3139391541</v>
      </c>
      <c r="Y16" s="83">
        <f>'Flood Benefits'!W29</f>
        <v>2738634.6074109063</v>
      </c>
      <c r="Z16" s="83">
        <f>'Flood Benefits'!X29</f>
        <v>2803814.1110672858</v>
      </c>
      <c r="AA16" s="83">
        <f>'Flood Benefits'!Y29</f>
        <v>2870544.8869106877</v>
      </c>
      <c r="AB16" s="83">
        <f>'Flood Benefits'!Z29</f>
        <v>2938863.8552191625</v>
      </c>
      <c r="AC16" s="83">
        <f>'Flood Benefits'!AA29</f>
        <v>3008808.8149733786</v>
      </c>
      <c r="AD16" s="83">
        <f>'Flood Benefits'!AB29</f>
        <v>3080418.4647697448</v>
      </c>
      <c r="AE16" s="83">
        <f>'Flood Benefits'!AC29</f>
        <v>3153732.4242312647</v>
      </c>
      <c r="AF16" s="83">
        <f>'Flood Benefits'!AD29</f>
        <v>3228791.2559279688</v>
      </c>
      <c r="AG16" s="83">
        <f>'Flood Benefits'!AE29</f>
        <v>3305636.4878190546</v>
      </c>
      <c r="AH16" s="83">
        <f>'Flood Benefits'!AF29</f>
        <v>3384310.6362291481</v>
      </c>
    </row>
    <row r="17" spans="1:34" x14ac:dyDescent="0.35">
      <c r="B17" t="s">
        <v>124</v>
      </c>
      <c r="D17" s="88">
        <v>0</v>
      </c>
      <c r="E17" s="83">
        <f>'Health Benefits'!E25</f>
        <v>0</v>
      </c>
      <c r="F17" s="83">
        <f>'Health Benefits'!F25</f>
        <v>0</v>
      </c>
      <c r="G17" s="83">
        <f>'Health Benefits'!G25</f>
        <v>215775.37134446317</v>
      </c>
      <c r="H17" s="83">
        <f>'Health Benefits'!H25</f>
        <v>221561.28970737476</v>
      </c>
      <c r="I17" s="83">
        <f>'Health Benefits'!I25</f>
        <v>227502.1792193724</v>
      </c>
      <c r="J17" s="83">
        <f>'Health Benefits'!J25</f>
        <v>233602.19310725157</v>
      </c>
      <c r="K17" s="83">
        <f>'Health Benefits'!K25</f>
        <v>239865.5959042859</v>
      </c>
      <c r="L17" s="83">
        <f>'Health Benefits'!L25</f>
        <v>246296.7664332407</v>
      </c>
      <c r="M17" s="83">
        <f>'Health Benefits'!M25</f>
        <v>252900.20086933154</v>
      </c>
      <c r="N17" s="83">
        <f>'Health Benefits'!N25</f>
        <v>259680.51588526956</v>
      </c>
      <c r="O17" s="83">
        <f>'Health Benefits'!O25</f>
        <v>266642.45188059483</v>
      </c>
      <c r="P17" s="83">
        <f>'Health Benefits'!P25</f>
        <v>273790.87629755476</v>
      </c>
      <c r="Q17" s="83">
        <f>'Health Benefits'!Q25</f>
        <v>281130.78702584922</v>
      </c>
      <c r="R17" s="83">
        <f>'Health Benefits'!R25</f>
        <v>288667.31589862192</v>
      </c>
      <c r="S17" s="83">
        <f>'Health Benefits'!S25</f>
        <v>296405.73228214507</v>
      </c>
      <c r="T17" s="83">
        <f>'Health Benefits'!T25</f>
        <v>304351.44676170649</v>
      </c>
      <c r="U17" s="83">
        <f>'Health Benefits'!U25</f>
        <v>312510.0149262803</v>
      </c>
      <c r="V17" s="83">
        <f>'Health Benefits'!V25</f>
        <v>320887.14125462447</v>
      </c>
      <c r="W17" s="83">
        <f>'Health Benefits'!W25</f>
        <v>329488.68310552841</v>
      </c>
      <c r="X17" s="83">
        <f>'Health Benefits'!X25</f>
        <v>338320.65481499658</v>
      </c>
      <c r="Y17" s="83">
        <f>'Health Benefits'!Y25</f>
        <v>347389.23190323851</v>
      </c>
      <c r="Z17" s="83">
        <f>'Health Benefits'!Z25</f>
        <v>356700.75539440522</v>
      </c>
      <c r="AA17" s="83">
        <f>'Health Benefits'!AA25</f>
        <v>366261.73625209526</v>
      </c>
      <c r="AB17" s="83">
        <f>'Health Benefits'!AB25</f>
        <v>376078.85993373138</v>
      </c>
      <c r="AC17" s="83">
        <f>'Health Benefits'!AC25</f>
        <v>386158.99106699537</v>
      </c>
      <c r="AD17" s="83">
        <f>'Health Benefits'!AD25</f>
        <v>396509.17825159075</v>
      </c>
      <c r="AE17" s="83">
        <f>'Health Benefits'!AE25</f>
        <v>407136.65898969339</v>
      </c>
      <c r="AF17" s="83">
        <f>'Health Benefits'!AF25</f>
        <v>418048.86474853719</v>
      </c>
      <c r="AG17" s="83">
        <f>'Health Benefits'!AG25</f>
        <v>429253.4261586779</v>
      </c>
      <c r="AH17" s="83">
        <f>'Health Benefits'!AH25</f>
        <v>440758.17835157039</v>
      </c>
    </row>
    <row r="18" spans="1:34" x14ac:dyDescent="0.35">
      <c r="B18" t="s">
        <v>123</v>
      </c>
      <c r="D18" s="88">
        <v>0</v>
      </c>
      <c r="E18" s="83">
        <f>'Time Benefits'!D26</f>
        <v>0</v>
      </c>
      <c r="F18" s="83">
        <f>'Time Benefits'!E29</f>
        <v>620719.08223040961</v>
      </c>
      <c r="G18" s="83">
        <f>'Time Benefits'!F29</f>
        <v>637137.10195540381</v>
      </c>
      <c r="H18" s="83">
        <f>'Time Benefits'!G29</f>
        <v>653989.37830212421</v>
      </c>
      <c r="I18" s="83">
        <f>'Time Benefits'!H29</f>
        <v>671287.39735821553</v>
      </c>
      <c r="J18" s="83">
        <f>'Time Benefits'!I29</f>
        <v>689042.94901834056</v>
      </c>
      <c r="K18" s="83">
        <f>'Time Benefits'!J29</f>
        <v>707268.13501987571</v>
      </c>
      <c r="L18" s="83">
        <f>'Time Benefits'!K29</f>
        <v>725975.37719115138</v>
      </c>
      <c r="M18" s="83">
        <f>'Time Benefits'!L29</f>
        <v>745177.42591785709</v>
      </c>
      <c r="N18" s="83">
        <f>'Time Benefits'!M29</f>
        <v>764887.36883338471</v>
      </c>
      <c r="O18" s="83">
        <f>'Time Benefits'!N29</f>
        <v>785118.63973902783</v>
      </c>
      <c r="P18" s="83">
        <f>'Time Benefits'!O29</f>
        <v>805885.02776012523</v>
      </c>
      <c r="Q18" s="83">
        <f>'Time Benefits'!P29</f>
        <v>827200.68674438039</v>
      </c>
      <c r="R18" s="83">
        <f>'Time Benefits'!Q29</f>
        <v>849080.14490876941</v>
      </c>
      <c r="S18" s="83">
        <f>'Time Benefits'!R29</f>
        <v>871538.31474160659</v>
      </c>
      <c r="T18" s="83">
        <f>'Time Benefits'!S29</f>
        <v>894590.50316652213</v>
      </c>
      <c r="U18" s="83">
        <f>'Time Benefits'!T29</f>
        <v>918252.42197527655</v>
      </c>
      <c r="V18" s="83">
        <f>'Time Benefits'!U29</f>
        <v>942540.19853652304</v>
      </c>
      <c r="W18" s="83">
        <f>'Time Benefits'!V29</f>
        <v>967470.38678781397</v>
      </c>
      <c r="X18" s="83">
        <f>'Time Benefits'!W29</f>
        <v>993059.97851835168</v>
      </c>
      <c r="Y18" s="83">
        <f>'Time Benefits'!X29</f>
        <v>1019326.4149501622</v>
      </c>
      <c r="Z18" s="83">
        <f>'Time Benefits'!Y29</f>
        <v>1046287.5986255938</v>
      </c>
      <c r="AA18" s="83">
        <f>'Time Benefits'!Z29</f>
        <v>1073961.905609241</v>
      </c>
      <c r="AB18" s="83">
        <f>'Time Benefits'!AA29</f>
        <v>1102368.1980126055</v>
      </c>
      <c r="AC18" s="83">
        <f>'Time Benefits'!AB29</f>
        <v>1131525.8368500387</v>
      </c>
      <c r="AD18" s="83">
        <f>'Time Benefits'!AC29</f>
        <v>1161454.6952347227</v>
      </c>
      <c r="AE18" s="83">
        <f>'Time Benefits'!AD29</f>
        <v>1192175.1719236812</v>
      </c>
      <c r="AF18" s="83">
        <f>'Time Benefits'!AE29</f>
        <v>1223708.2052210625</v>
      </c>
      <c r="AG18" s="83">
        <f>'Time Benefits'!AF29</f>
        <v>1256075.2872491595</v>
      </c>
      <c r="AH18" s="83">
        <f>'Time Benefits'!AG29</f>
        <v>1289298.4785968997</v>
      </c>
    </row>
    <row r="19" spans="1:34" x14ac:dyDescent="0.35">
      <c r="B19" s="131" t="s">
        <v>1</v>
      </c>
      <c r="D19" s="130">
        <f>SUM(D16:D18)</f>
        <v>0</v>
      </c>
      <c r="E19" s="130">
        <f>SUM(E16:E18)</f>
        <v>0</v>
      </c>
      <c r="F19" s="130">
        <f>SUM(F16:F18)</f>
        <v>2372366.579267364</v>
      </c>
      <c r="G19" s="130">
        <f>SUM(G16:G18)</f>
        <v>2646249.1807663008</v>
      </c>
      <c r="H19" s="130">
        <f>SUM(H16:H18)</f>
        <v>2711568.7891136333</v>
      </c>
      <c r="I19" s="130">
        <f>SUM(I16:I18)</f>
        <v>2778504.9289640016</v>
      </c>
      <c r="J19" s="130">
        <f>SUM(J16:J18)</f>
        <v>2847097.7198988027</v>
      </c>
      <c r="K19" s="130">
        <f>SUM(K16:K18)</f>
        <v>2917388.2800483741</v>
      </c>
      <c r="L19" s="130">
        <f>SUM(L16:L18)</f>
        <v>2989418.751017761</v>
      </c>
      <c r="M19" s="130">
        <f>SUM(M16:M18)</f>
        <v>3063232.3234365201</v>
      </c>
      <c r="N19" s="130">
        <f>SUM(N16:N18)</f>
        <v>3138873.2631482398</v>
      </c>
      <c r="O19" s="130">
        <f>SUM(O16:O18)</f>
        <v>3216386.9380558324</v>
      </c>
      <c r="P19" s="130">
        <f>SUM(P16:P18)</f>
        <v>3295819.8456390714</v>
      </c>
      <c r="Q19" s="130">
        <f>SUM(Q16:Q18)</f>
        <v>3377219.6411612583</v>
      </c>
      <c r="R19" s="130">
        <f>SUM(R16:R18)</f>
        <v>3460635.1665823269</v>
      </c>
      <c r="S19" s="130">
        <f>SUM(S16:S18)</f>
        <v>3546116.4801961305</v>
      </c>
      <c r="T19" s="130">
        <f>SUM(T16:T18)</f>
        <v>3633714.8870101096</v>
      </c>
      <c r="U19" s="130">
        <f>SUM(U16:U18)</f>
        <v>3723482.9698859868</v>
      </c>
      <c r="V19" s="130">
        <f>SUM(V16:V18)</f>
        <v>3815474.6214606068</v>
      </c>
      <c r="W19" s="130">
        <f>SUM(W16:W18)</f>
        <v>3909745.0768665345</v>
      </c>
      <c r="X19" s="130">
        <f>SUM(X16:X18)</f>
        <v>4006350.9472725028</v>
      </c>
      <c r="Y19" s="130">
        <f>SUM(Y16:Y18)</f>
        <v>4105350.2542643072</v>
      </c>
      <c r="Z19" s="130">
        <f>SUM(Z16:Z18)</f>
        <v>4206802.4650872853</v>
      </c>
      <c r="AA19" s="130">
        <f>SUM(AA16:AA18)</f>
        <v>4310768.5287720235</v>
      </c>
      <c r="AB19" s="130">
        <f>SUM(AB16:AB18)</f>
        <v>4417310.9131654995</v>
      </c>
      <c r="AC19" s="130">
        <f>SUM(AC16:AC18)</f>
        <v>4526493.6428904124</v>
      </c>
      <c r="AD19" s="130">
        <f>SUM(AD16:AD18)</f>
        <v>4638382.3382560583</v>
      </c>
      <c r="AE19" s="130">
        <f>SUM(AE16:AE18)</f>
        <v>4753044.2551446389</v>
      </c>
      <c r="AF19" s="130">
        <f>SUM(AF16:AF18)</f>
        <v>4870548.3258975688</v>
      </c>
      <c r="AG19" s="130">
        <f>SUM(AG16:AG18)</f>
        <v>4990965.2012268919</v>
      </c>
      <c r="AH19" s="130">
        <f>SUM(AH16:AH18)</f>
        <v>5114367.2931776177</v>
      </c>
    </row>
    <row r="21" spans="1:34" x14ac:dyDescent="0.35">
      <c r="A21" s="74" t="s">
        <v>122</v>
      </c>
      <c r="D21" s="88">
        <v>0</v>
      </c>
      <c r="E21" s="129">
        <f>Budget!F33</f>
        <v>5687015.0839999998</v>
      </c>
      <c r="F21" s="129">
        <f>Budget!G33</f>
        <v>3076610.77668624</v>
      </c>
      <c r="G21" s="129">
        <f>Budget!H33</f>
        <v>1226480.595410245</v>
      </c>
      <c r="H21" s="129">
        <f>Budget!I33</f>
        <v>1102996.6421280997</v>
      </c>
      <c r="I21" s="129">
        <f>Budget!J33</f>
        <v>613883.26482847938</v>
      </c>
      <c r="J21" s="129">
        <f>Budget!K33</f>
        <v>618937.30433824181</v>
      </c>
      <c r="K21" s="129">
        <f>Budget!L33</f>
        <v>624302.47052022535</v>
      </c>
      <c r="L21" s="129">
        <f>Budget!M33</f>
        <v>629997.91633237165</v>
      </c>
      <c r="M21" s="129">
        <f>Budget!N33</f>
        <v>636043.97378871369</v>
      </c>
      <c r="N21" s="129">
        <f>Budget!O33</f>
        <v>642462.22654206818</v>
      </c>
      <c r="O21" s="129">
        <f>Budget!P33</f>
        <v>649275.58693491912</v>
      </c>
      <c r="P21" s="129">
        <f>Budget!Q33</f>
        <v>656508.3777935541</v>
      </c>
      <c r="Q21" s="129">
        <f>Budget!R33</f>
        <v>664186.41925744654</v>
      </c>
      <c r="R21" s="129">
        <f>Budget!S33</f>
        <v>672337.12095385615</v>
      </c>
      <c r="S21" s="129">
        <f>Budget!T33</f>
        <v>680989.57984669681</v>
      </c>
      <c r="T21" s="129">
        <f>Budget!U33</f>
        <v>690174.6841089807</v>
      </c>
      <c r="U21" s="129">
        <f>Budget!V33</f>
        <v>699925.22338965093</v>
      </c>
      <c r="V21" s="129">
        <f>Budget!W33</f>
        <v>710276.0058684391</v>
      </c>
      <c r="W21" s="129">
        <f>Budget!X33</f>
        <v>721263.98251662147</v>
      </c>
      <c r="X21" s="129">
        <f>Budget!Y33</f>
        <v>732928.3790072659</v>
      </c>
      <c r="Y21" s="129">
        <f>Budget!Z33</f>
        <v>745310.83574587444</v>
      </c>
      <c r="Z21" s="129">
        <f>Budget!AA33</f>
        <v>758455.55652131175</v>
      </c>
      <c r="AA21" s="129">
        <f>Budget!AB33</f>
        <v>772409.46630768501</v>
      </c>
      <c r="AB21" s="129">
        <f>Budget!AC33</f>
        <v>787222.37878050737</v>
      </c>
      <c r="AC21" s="129">
        <f>Budget!AD33</f>
        <v>802947.17414515675</v>
      </c>
      <c r="AD21" s="129">
        <f>Budget!AE33</f>
        <v>819639.98791245383</v>
      </c>
      <c r="AE21" s="129">
        <f>Budget!AF33</f>
        <v>837360.41129526577</v>
      </c>
      <c r="AF21" s="129">
        <f>Budget!AG33</f>
        <v>856171.70394152356</v>
      </c>
      <c r="AG21" s="129">
        <f>Budget!AH33</f>
        <v>876141.01976308506</v>
      </c>
      <c r="AH21" s="129">
        <f>Budget!AI33</f>
        <v>897339.64666662191</v>
      </c>
    </row>
    <row r="23" spans="1:34" x14ac:dyDescent="0.35">
      <c r="A23" s="74" t="s">
        <v>121</v>
      </c>
      <c r="D23" s="83">
        <f>D19-D21</f>
        <v>0</v>
      </c>
      <c r="E23" s="83">
        <f>E19-E21</f>
        <v>-5687015.0839999998</v>
      </c>
      <c r="F23" s="83">
        <f>F19-F21</f>
        <v>-704244.19741887599</v>
      </c>
      <c r="G23" s="83">
        <f>G19-G21</f>
        <v>1419768.5853560558</v>
      </c>
      <c r="H23" s="83">
        <f>H19-H21</f>
        <v>1608572.1469855336</v>
      </c>
      <c r="I23" s="83">
        <f>I19-I21</f>
        <v>2164621.6641355222</v>
      </c>
      <c r="J23" s="83">
        <f>J19-J21</f>
        <v>2228160.4155605608</v>
      </c>
      <c r="K23" s="83">
        <f>K19-K21</f>
        <v>2293085.8095281487</v>
      </c>
      <c r="L23" s="83">
        <f>L19-L21</f>
        <v>2359420.8346853894</v>
      </c>
      <c r="M23" s="83">
        <f>M19-M21</f>
        <v>2427188.3496478065</v>
      </c>
      <c r="N23" s="83">
        <f>N19-N21</f>
        <v>2496411.0366061716</v>
      </c>
      <c r="O23" s="83">
        <f>O19-O21</f>
        <v>2567111.3511209134</v>
      </c>
      <c r="P23" s="83">
        <f>P19-P21</f>
        <v>2639311.4678455172</v>
      </c>
      <c r="Q23" s="83">
        <f>Q19-Q21</f>
        <v>2713033.2219038117</v>
      </c>
      <c r="R23" s="83">
        <f>R19-R21</f>
        <v>2788298.0456284708</v>
      </c>
      <c r="S23" s="83">
        <f>S19-S21</f>
        <v>2865126.9003494335</v>
      </c>
      <c r="T23" s="83">
        <f>T19-T21</f>
        <v>2943540.2029011287</v>
      </c>
      <c r="U23" s="83">
        <f>U19-U21</f>
        <v>3023557.7464963356</v>
      </c>
      <c r="V23" s="83">
        <f>V19-V21</f>
        <v>3105198.6155921677</v>
      </c>
      <c r="W23" s="83">
        <f>W19-W21</f>
        <v>3188481.0943499133</v>
      </c>
      <c r="X23" s="83">
        <f>X19-X21</f>
        <v>3273422.5682652369</v>
      </c>
      <c r="Y23" s="83">
        <f>Y19-Y21</f>
        <v>3360039.4185184329</v>
      </c>
      <c r="Z23" s="83">
        <f>Z19-Z21</f>
        <v>3448346.9085659734</v>
      </c>
      <c r="AA23" s="83">
        <f>AA19-AA21</f>
        <v>3538359.0624643387</v>
      </c>
      <c r="AB23" s="83">
        <f>AB19-AB21</f>
        <v>3630088.534384992</v>
      </c>
      <c r="AC23" s="83">
        <f>AC19-AC21</f>
        <v>3723546.4687452558</v>
      </c>
      <c r="AD23" s="83">
        <f>AD19-AD21</f>
        <v>3818742.3503436046</v>
      </c>
      <c r="AE23" s="83">
        <f>AE19-AE21</f>
        <v>3915683.8438493731</v>
      </c>
      <c r="AF23" s="83">
        <f>AF19-AF21</f>
        <v>4014376.6219560453</v>
      </c>
      <c r="AG23" s="83">
        <f>AG19-AG21</f>
        <v>4114824.1814638069</v>
      </c>
      <c r="AH23" s="83">
        <f>AH19-AH21</f>
        <v>4217027.6465109959</v>
      </c>
    </row>
    <row r="24" spans="1:34" x14ac:dyDescent="0.35">
      <c r="A24" s="74"/>
      <c r="D24" s="83"/>
      <c r="E24" s="83"/>
      <c r="F24" s="83"/>
      <c r="G24" s="83"/>
      <c r="H24" s="83"/>
      <c r="I24" s="83"/>
      <c r="J24" s="83"/>
      <c r="K24" s="83"/>
      <c r="L24" s="83"/>
      <c r="M24" s="83"/>
      <c r="N24" s="83"/>
      <c r="O24" s="83"/>
      <c r="P24" s="83"/>
      <c r="Q24" s="83"/>
      <c r="R24" s="83"/>
      <c r="S24" s="83"/>
      <c r="T24" s="83"/>
      <c r="U24" s="83"/>
      <c r="V24" s="83"/>
      <c r="W24" s="83"/>
      <c r="X24" s="83"/>
      <c r="Y24" s="83"/>
      <c r="Z24" s="83"/>
      <c r="AA24" s="83"/>
      <c r="AB24" s="83"/>
      <c r="AC24" s="83"/>
      <c r="AD24" s="83"/>
      <c r="AE24" s="83"/>
      <c r="AF24" s="83"/>
      <c r="AG24" s="83"/>
      <c r="AH24" s="83"/>
    </row>
    <row r="25" spans="1:34" x14ac:dyDescent="0.35">
      <c r="A25" s="74" t="s">
        <v>120</v>
      </c>
      <c r="D25" s="83"/>
      <c r="E25" s="128">
        <f>E19/POWER(1+$C$9,E14)</f>
        <v>0</v>
      </c>
      <c r="F25" s="128">
        <f>F19/POWER(1+$C$9,F14)</f>
        <v>1891236.1122985999</v>
      </c>
      <c r="G25" s="128">
        <f>G19/POWER(1+$C$9,G14)</f>
        <v>1883547.8976618731</v>
      </c>
      <c r="H25" s="128">
        <f>H19/POWER(1+$C$9,H14)</f>
        <v>1723250.9863200111</v>
      </c>
      <c r="I25" s="128">
        <f>I19/POWER(1+$C$9,I14)</f>
        <v>1576598.3154406734</v>
      </c>
      <c r="J25" s="128">
        <f>J19/POWER(1+$C$9,J14)</f>
        <v>1442428.3099337236</v>
      </c>
      <c r="K25" s="128">
        <f>K19/POWER(1+$C$9,K14)</f>
        <v>1319678.2993129313</v>
      </c>
      <c r="L25" s="128">
        <f>L19/POWER(1+$C$9,L14)</f>
        <v>1207376.0949431073</v>
      </c>
      <c r="M25" s="128">
        <f>M19/POWER(1+$C$9,M14)</f>
        <v>1104632.2846788254</v>
      </c>
      <c r="N25" s="128">
        <f>N19/POWER(1+$C$9,N14)</f>
        <v>1010633.1837838382</v>
      </c>
      <c r="O25" s="128">
        <f>O19/POWER(1+$C$9,O14)</f>
        <v>924634.38622667384</v>
      </c>
      <c r="P25" s="128">
        <f>P19/POWER(1+$C$9,P14)</f>
        <v>845954.86521066632</v>
      </c>
      <c r="Q25" s="128">
        <f>Q19/POWER(1+$C$9,Q14)</f>
        <v>773971.57615362422</v>
      </c>
      <c r="R25" s="128">
        <f>R19/POWER(1+$C$9,R14)</f>
        <v>708114.51931808062</v>
      </c>
      <c r="S25" s="128">
        <f>S19/POWER(1+$C$9,S14)</f>
        <v>647862.22293919499</v>
      </c>
      <c r="T25" s="128">
        <f>T19/POWER(1+$C$9,T14)</f>
        <v>592737.61103286536</v>
      </c>
      <c r="U25" s="128">
        <f>U19/POWER(1+$C$9,U14)</f>
        <v>542304.22311789438</v>
      </c>
      <c r="V25" s="128">
        <f>V19/POWER(1+$C$9,V14)</f>
        <v>496162.75587737496</v>
      </c>
      <c r="W25" s="128">
        <f>W19/POWER(1+$C$9,W14)</f>
        <v>453947.89933796873</v>
      </c>
      <c r="X25" s="128">
        <f>X19/POWER(1+$C$9,X14)</f>
        <v>415325.4424816916</v>
      </c>
      <c r="Y25" s="128">
        <f>Y19/POWER(1+$C$9,Y14)</f>
        <v>379989.62534175167</v>
      </c>
      <c r="Z25" s="128">
        <f>Z19/POWER(1+$C$9,Z14)</f>
        <v>347660.7165888584</v>
      </c>
      <c r="AA25" s="128">
        <f>AA19/POWER(1+$C$9,AA14)</f>
        <v>318082.79740273778</v>
      </c>
      <c r="AB25" s="128">
        <f>AB19/POWER(1+$C$9,AB14)</f>
        <v>291021.73405955959</v>
      </c>
      <c r="AC25" s="128">
        <f>AC19/POWER(1+$C$9,AC14)</f>
        <v>266263.32316257001</v>
      </c>
      <c r="AD25" s="128">
        <f>AD19/POWER(1+$C$9,AD14)</f>
        <v>243611.59481231708</v>
      </c>
      <c r="AE25" s="128">
        <f>AE19/POWER(1+$C$9,AE14)</f>
        <v>222887.26026530698</v>
      </c>
      <c r="AF25" s="128">
        <f>AF19/POWER(1+$C$9,AF14)</f>
        <v>203926.29177569129</v>
      </c>
      <c r="AG25" s="128">
        <f>AG19/POWER(1+$C$9,AG14)</f>
        <v>186578.62336272726</v>
      </c>
      <c r="AH25" s="128">
        <f>AH19/POWER(1+$C$9,AH14)</f>
        <v>170706.9622056174</v>
      </c>
    </row>
    <row r="26" spans="1:34" x14ac:dyDescent="0.35">
      <c r="A26" s="74" t="s">
        <v>119</v>
      </c>
      <c r="D26" s="83"/>
      <c r="E26" s="128">
        <f>E21/POWER(1+$C$9,E14)</f>
        <v>5077692.0392857138</v>
      </c>
      <c r="F26" s="128">
        <f>F21/POWER(1+$C$9,F14)</f>
        <v>2452655.2747817598</v>
      </c>
      <c r="G26" s="128">
        <f>G21/POWER(1+$C$9,G14)</f>
        <v>872984.66213944391</v>
      </c>
      <c r="H26" s="128">
        <f>H21/POWER(1+$C$9,H14)</f>
        <v>700974.3064922312</v>
      </c>
      <c r="I26" s="128">
        <f>I21/POWER(1+$C$9,I14)</f>
        <v>348333.85073989222</v>
      </c>
      <c r="J26" s="128">
        <f>J21/POWER(1+$C$9,J14)</f>
        <v>313572.900435352</v>
      </c>
      <c r="K26" s="128">
        <f>K21/POWER(1+$C$9,K14)</f>
        <v>282402.73267270799</v>
      </c>
      <c r="L26" s="128">
        <f>L21/POWER(1+$C$9,L14)</f>
        <v>254445.59206859476</v>
      </c>
      <c r="M26" s="128">
        <f>M21/POWER(1+$C$9,M14)</f>
        <v>229363.83327733117</v>
      </c>
      <c r="N26" s="128">
        <f>N21/POWER(1+$C$9,N14)</f>
        <v>206855.64246701467</v>
      </c>
      <c r="O26" s="128">
        <f>O21/POWER(1+$C$9,O14)</f>
        <v>186651.21621853544</v>
      </c>
      <c r="P26" s="128">
        <f>P21/POWER(1+$C$9,P14)</f>
        <v>168509.34888958707</v>
      </c>
      <c r="Q26" s="128">
        <f>Q21/POWER(1+$C$9,Q14)</f>
        <v>152214.3847285448</v>
      </c>
      <c r="R26" s="128">
        <f>R21/POWER(1+$C$9,R14)</f>
        <v>137573.49570429389</v>
      </c>
      <c r="S26" s="128">
        <f>S21/POWER(1+$C$9,S14)</f>
        <v>124414.25019786942</v>
      </c>
      <c r="T26" s="128">
        <f>T21/POWER(1+$C$9,T14)</f>
        <v>112582.44143384868</v>
      </c>
      <c r="U26" s="128">
        <f>U21/POWER(1+$C$9,U14)</f>
        <v>101940.14786176552</v>
      </c>
      <c r="V26" s="128">
        <f>V21/POWER(1+$C$9,V14)</f>
        <v>92364.000673224713</v>
      </c>
      <c r="W26" s="128">
        <f>W21/POWER(1+$C$9,W14)</f>
        <v>83743.636297117744</v>
      </c>
      <c r="X26" s="128">
        <f>X21/POWER(1+$C$9,X14)</f>
        <v>75980.314087515915</v>
      </c>
      <c r="Y26" s="128">
        <f>Y21/POWER(1+$C$9,Y14)</f>
        <v>68985.681536927703</v>
      </c>
      <c r="Z26" s="128">
        <f>Z21/POWER(1+$C$9,Z14)</f>
        <v>62680.671238869196</v>
      </c>
      <c r="AA26" s="128">
        <f>AA21/POWER(1+$C$9,AA14)</f>
        <v>56994.515512409598</v>
      </c>
      <c r="AB26" s="128">
        <f>AB21/POWER(1+$C$9,AB14)</f>
        <v>51863.866109216135</v>
      </c>
      <c r="AC26" s="128">
        <f>AC21/POWER(1+$C$9,AC14)</f>
        <v>47232.007770006341</v>
      </c>
      <c r="AD26" s="128">
        <f>AD21/POWER(1+$C$9,AD14)</f>
        <v>43048.155599517624</v>
      </c>
      <c r="AE26" s="128">
        <f>AE21/POWER(1+$C$9,AE14)</f>
        <v>39266.827302569036</v>
      </c>
      <c r="AF26" s="128">
        <f>AF21/POWER(1+$C$9,AF14)</f>
        <v>35847.282282307402</v>
      </c>
      <c r="AG26" s="128">
        <f>AG21/POWER(1+$C$9,AG14)</f>
        <v>32753.020457611688</v>
      </c>
      <c r="AH26" s="128">
        <f>AH21/POWER(1+$C$9,AH14)</f>
        <v>29951.334420869724</v>
      </c>
    </row>
    <row r="28" spans="1:34" x14ac:dyDescent="0.35">
      <c r="A28" s="74" t="s">
        <v>118</v>
      </c>
      <c r="D28" s="88">
        <v>0</v>
      </c>
      <c r="E28" s="128">
        <f>E23/POWER(1+$C$9,E14)</f>
        <v>-5077692.0392857138</v>
      </c>
      <c r="F28" s="128">
        <f>F23/POWER(1+$C$9,F14)</f>
        <v>-561419.16248316003</v>
      </c>
      <c r="G28" s="128">
        <f>G23/POWER(1+$C$9,G14)</f>
        <v>1010563.2355224291</v>
      </c>
      <c r="H28" s="128">
        <f>H23/POWER(1+$C$9,H14)</f>
        <v>1022276.67982778</v>
      </c>
      <c r="I28" s="128">
        <f>I23/POWER(1+$C$9,I14)</f>
        <v>1228264.464700781</v>
      </c>
      <c r="J28" s="128">
        <f>J23/POWER(1+$C$9,J14)</f>
        <v>1128855.4094983716</v>
      </c>
      <c r="K28" s="128">
        <f>K23/POWER(1+$C$9,K14)</f>
        <v>1037275.5666402231</v>
      </c>
      <c r="L28" s="128">
        <f>L23/POWER(1+$C$9,L14)</f>
        <v>952930.50287451246</v>
      </c>
      <c r="M28" s="128">
        <f>M23/POWER(1+$C$9,M14)</f>
        <v>875268.45140149433</v>
      </c>
      <c r="N28" s="128">
        <f>N23/POWER(1+$C$9,N14)</f>
        <v>803777.54131682357</v>
      </c>
      <c r="O28" s="128">
        <f>O23/POWER(1+$C$9,O14)</f>
        <v>737983.1700081384</v>
      </c>
      <c r="P28" s="128">
        <f>P23/POWER(1+$C$9,P14)</f>
        <v>677445.51632107922</v>
      </c>
      <c r="Q28" s="128">
        <f>Q23/POWER(1+$C$9,Q14)</f>
        <v>621757.19142507948</v>
      </c>
      <c r="R28" s="128">
        <f>R23/POWER(1+$C$9,R14)</f>
        <v>570541.02361378679</v>
      </c>
      <c r="S28" s="128">
        <f>S23/POWER(1+$C$9,S14)</f>
        <v>523447.97274132556</v>
      </c>
      <c r="T28" s="128">
        <f>T23/POWER(1+$C$9,T14)</f>
        <v>480155.16959901666</v>
      </c>
      <c r="U28" s="128">
        <f>U23/POWER(1+$C$9,U14)</f>
        <v>440364.07525612885</v>
      </c>
      <c r="V28" s="128">
        <f>V23/POWER(1+$C$9,V14)</f>
        <v>403798.75520415022</v>
      </c>
      <c r="W28" s="128">
        <f>W23/POWER(1+$C$9,W14)</f>
        <v>370204.26304085099</v>
      </c>
      <c r="X28" s="128">
        <f>X23/POWER(1+$C$9,X14)</f>
        <v>339345.12839417567</v>
      </c>
      <c r="Y28" s="128">
        <f>Y23/POWER(1+$C$9,Y14)</f>
        <v>311003.94380482403</v>
      </c>
      <c r="Z28" s="128">
        <f>Z23/POWER(1+$C$9,Z14)</f>
        <v>284980.0453499892</v>
      </c>
      <c r="AA28" s="128">
        <f>AA23/POWER(1+$C$9,AA14)</f>
        <v>261088.28189032822</v>
      </c>
      <c r="AB28" s="128">
        <f>AB23/POWER(1+$C$9,AB14)</f>
        <v>239157.86795034347</v>
      </c>
      <c r="AC28" s="128">
        <f>AC23/POWER(1+$C$9,AC14)</f>
        <v>219031.3153925637</v>
      </c>
      <c r="AD28" s="128">
        <f>AD23/POWER(1+$C$9,AD14)</f>
        <v>200563.43921279948</v>
      </c>
      <c r="AE28" s="128">
        <f>AE23/POWER(1+$C$9,AE14)</f>
        <v>183620.43296273795</v>
      </c>
      <c r="AF28" s="128">
        <f>AF23/POWER(1+$C$9,AF14)</f>
        <v>168079.00949338387</v>
      </c>
      <c r="AG28" s="128">
        <f>AG23/POWER(1+$C$9,AG14)</f>
        <v>153825.60290511558</v>
      </c>
      <c r="AH28" s="128">
        <f>AH23/POWER(1+$C$9,AH14)</f>
        <v>140755.62778474769</v>
      </c>
    </row>
    <row r="29" spans="1:34" x14ac:dyDescent="0.35">
      <c r="A29" s="74" t="s">
        <v>117</v>
      </c>
      <c r="D29" s="88">
        <v>0</v>
      </c>
      <c r="E29" s="83">
        <f>E28+D29</f>
        <v>-5077692.0392857138</v>
      </c>
      <c r="F29" s="83">
        <f>F28+E29</f>
        <v>-5639111.2017688742</v>
      </c>
      <c r="G29" s="83">
        <f>G28+F29</f>
        <v>-4628547.9662464447</v>
      </c>
      <c r="H29" s="83">
        <f>H28+G29</f>
        <v>-3606271.2864186647</v>
      </c>
      <c r="I29" s="83">
        <f>I28+H29</f>
        <v>-2378006.8217178835</v>
      </c>
      <c r="J29" s="83">
        <f>J28+I29</f>
        <v>-1249151.4122195118</v>
      </c>
      <c r="K29" s="83">
        <f>K28+J29</f>
        <v>-211875.84557928867</v>
      </c>
      <c r="L29" s="83">
        <f>L28+K29</f>
        <v>741054.65729522379</v>
      </c>
      <c r="M29" s="83">
        <f>M28+L29</f>
        <v>1616323.1086967182</v>
      </c>
      <c r="N29" s="83">
        <f>N28+M29</f>
        <v>2420100.6500135418</v>
      </c>
      <c r="O29" s="83">
        <f>O28+N29</f>
        <v>3158083.8200216801</v>
      </c>
      <c r="P29" s="83">
        <f>P28+O29</f>
        <v>3835529.3363427594</v>
      </c>
      <c r="Q29" s="83">
        <f>Q28+P29</f>
        <v>4457286.5277678389</v>
      </c>
      <c r="R29" s="83">
        <f>R28+Q29</f>
        <v>5027827.5513816252</v>
      </c>
      <c r="S29" s="83">
        <f>S28+R29</f>
        <v>5551275.5241229506</v>
      </c>
      <c r="T29" s="83">
        <f>T28+S29</f>
        <v>6031430.6937219668</v>
      </c>
      <c r="U29" s="83">
        <f>U28+T29</f>
        <v>6471794.7689780956</v>
      </c>
      <c r="V29" s="83">
        <f>V28+U29</f>
        <v>6875593.5241822461</v>
      </c>
      <c r="W29" s="83">
        <f>W28+V29</f>
        <v>7245797.7872230969</v>
      </c>
      <c r="X29" s="83">
        <f>X28+W29</f>
        <v>7585142.9156172723</v>
      </c>
      <c r="Y29" s="83">
        <f>Y28+X29</f>
        <v>7896146.8594220961</v>
      </c>
      <c r="Z29" s="83">
        <f>Z28+Y29</f>
        <v>8181126.9047720851</v>
      </c>
      <c r="AA29" s="83">
        <f>AA28+Z29</f>
        <v>8442215.1866624132</v>
      </c>
      <c r="AB29" s="83">
        <f>AB28+AA29</f>
        <v>8681373.0546127558</v>
      </c>
      <c r="AC29" s="83">
        <f>AC28+AB29</f>
        <v>8900404.3700053189</v>
      </c>
      <c r="AD29" s="83">
        <f>AD28+AC29</f>
        <v>9100967.809218118</v>
      </c>
      <c r="AE29" s="83">
        <f>AE28+AD29</f>
        <v>9284588.2421808559</v>
      </c>
      <c r="AF29" s="83">
        <f>AF28+AE29</f>
        <v>9452667.2516742405</v>
      </c>
      <c r="AG29" s="83">
        <f>AG28+AF29</f>
        <v>9606492.8545793556</v>
      </c>
      <c r="AH29" s="83">
        <f>AH28+AG29</f>
        <v>9747248.4823641032</v>
      </c>
    </row>
    <row r="30" spans="1:34" x14ac:dyDescent="0.35">
      <c r="A30" s="74" t="s">
        <v>116</v>
      </c>
      <c r="D30" s="88">
        <v>0</v>
      </c>
      <c r="E30" s="88">
        <f>E29*($C$9*(POWER((1+$C$9),E14)/(POWER((1+$C$9),E14)-1)))</f>
        <v>-5687015.0839999942</v>
      </c>
      <c r="F30" s="88">
        <f>F29*($C$9*(POWER((1+$C$9),F14)/(POWER((1+$C$9),F14)-1)))</f>
        <v>-3336651.458254185</v>
      </c>
      <c r="G30" s="88">
        <f>G29*($C$9*(POWER((1+$C$9),G14)/(POWER((1+$C$9),G14)-1)))</f>
        <v>-1927091.2272174847</v>
      </c>
      <c r="H30" s="88">
        <f>H29*($C$9*(POWER((1+$C$9),H14)/(POWER((1+$C$9),H14)-1)))</f>
        <v>-1187308.6941494436</v>
      </c>
      <c r="I30" s="88">
        <f>I29*($C$9*(POWER((1+$C$9),I14)/(POWER((1+$C$9),I14)-1)))</f>
        <v>-659682.23496674327</v>
      </c>
      <c r="J30" s="88">
        <f>J29*($C$9*(POWER((1+$C$9),J14)/(POWER((1+$C$9),J14)-1)))</f>
        <v>-303825.74965823087</v>
      </c>
      <c r="K30" s="88">
        <f>K29*($C$9*(POWER((1+$C$9),K14)/(POWER((1+$C$9),K14)-1)))</f>
        <v>-46425.755575526426</v>
      </c>
      <c r="L30" s="88">
        <f>L29*($C$9*(POWER((1+$C$9),L14)/(POWER((1+$C$9),L14)-1)))</f>
        <v>149176.40812889123</v>
      </c>
      <c r="M30" s="88">
        <f>M29*($C$9*(POWER((1+$C$9),M14)/(POWER((1+$C$9),M14)-1)))</f>
        <v>303349.7249280744</v>
      </c>
      <c r="N30" s="88">
        <f>N29*($C$9*(POWER((1+$C$9),N14)/(POWER((1+$C$9),N14)-1)))</f>
        <v>428319.49072534201</v>
      </c>
      <c r="O30" s="88">
        <f>O29*($C$9*(POWER((1+$C$9),O14)/(POWER((1+$C$9),O14)-1)))</f>
        <v>531869.96335512272</v>
      </c>
      <c r="P30" s="88">
        <f>P29*($C$9*(POWER((1+$C$9),P14)/(POWER((1+$C$9),P14)-1)))</f>
        <v>619195.61149229226</v>
      </c>
      <c r="Q30" s="88">
        <f>Q29*($C$9*(POWER((1+$C$9),Q14)/(POWER((1+$C$9),Q14)-1)))</f>
        <v>693897.86445035704</v>
      </c>
      <c r="R30" s="88">
        <f>R29*($C$9*(POWER((1+$C$9),R14)/(POWER((1+$C$9),R14)-1)))</f>
        <v>758554.60789147951</v>
      </c>
      <c r="S30" s="88">
        <f>S29*($C$9*(POWER((1+$C$9),S14)/(POWER((1+$C$9),S14)-1)))</f>
        <v>815061.80789672467</v>
      </c>
      <c r="T30" s="88">
        <f>T29*($C$9*(POWER((1+$C$9),T14)/(POWER((1+$C$9),T14)-1)))</f>
        <v>864846.95593935356</v>
      </c>
      <c r="U30" s="88">
        <f>U29*($C$9*(POWER((1+$C$9),U14)/(POWER((1+$C$9),U14)-1)))</f>
        <v>909007.11434850539</v>
      </c>
      <c r="V30" s="88">
        <f>V29*($C$9*(POWER((1+$C$9),V14)/(POWER((1+$C$9),V14)-1)))</f>
        <v>948400.88529205217</v>
      </c>
      <c r="W30" s="88">
        <f>W29*($C$9*(POWER((1+$C$9),W14)/(POWER((1+$C$9),W14)-1)))</f>
        <v>983711.28065423376</v>
      </c>
      <c r="X30" s="88">
        <f>X29*($C$9*(POWER((1+$C$9),X14)/(POWER((1+$C$9),X14)-1)))</f>
        <v>1015489.679969315</v>
      </c>
      <c r="Y30" s="88">
        <f>Y29*($C$9*(POWER((1+$C$9),Y14)/(POWER((1+$C$9),Y14)-1)))</f>
        <v>1044187.1833410852</v>
      </c>
      <c r="Z30" s="88">
        <f>Z29*($C$9*(POWER((1+$C$9),Z14)/(POWER((1+$C$9),Z14)-1)))</f>
        <v>1070177.3733057105</v>
      </c>
      <c r="AA30" s="88">
        <f>AA29*($C$9*(POWER((1+$C$9),AA14)/(POWER((1+$C$9),AA14)-1)))</f>
        <v>1093773.1037690712</v>
      </c>
      <c r="AB30" s="88">
        <f>AB29*($C$9*(POWER((1+$C$9),AB14)/(POWER((1+$C$9),AB14)-1)))</f>
        <v>1115239.061661042</v>
      </c>
      <c r="AC30" s="88">
        <f>AC29*($C$9*(POWER((1+$C$9),AC14)/(POWER((1+$C$9),AC14)-1)))</f>
        <v>1134801.288468089</v>
      </c>
      <c r="AD30" s="88">
        <f>AD29*($C$9*(POWER((1+$C$9),AD14)/(POWER((1+$C$9),AD14)-1)))</f>
        <v>1152654.4835665913</v>
      </c>
      <c r="AE30" s="88">
        <f>AE29*($C$9*(POWER((1+$C$9),AE14)/(POWER((1+$C$9),AE14)-1)))</f>
        <v>1168967.6677191621</v>
      </c>
      <c r="AF30" s="88">
        <f>AF29*($C$9*(POWER((1+$C$9),AF14)/(POWER((1+$C$9),AF14)-1)))</f>
        <v>1183888.6197666207</v>
      </c>
      <c r="AG30" s="88">
        <f>AG29*($C$9*(POWER((1+$C$9),AG14)/(POWER((1+$C$9),AG14)-1)))</f>
        <v>1197547.3854817501</v>
      </c>
      <c r="AH30" s="88">
        <f>AH29*($C$9*(POWER((1+$C$9),AH14)/(POWER((1+$C$9),AH14)-1)))</f>
        <v>1210059.0776683071</v>
      </c>
    </row>
    <row r="31" spans="1:34" x14ac:dyDescent="0.35">
      <c r="E31" s="83"/>
      <c r="F31" s="83"/>
      <c r="G31" s="83"/>
      <c r="H31" s="83"/>
      <c r="I31" s="83"/>
      <c r="J31" s="83"/>
      <c r="K31" s="83"/>
      <c r="L31" s="83"/>
      <c r="M31" s="83"/>
      <c r="N31" s="83"/>
      <c r="O31" s="83"/>
      <c r="P31" s="83"/>
      <c r="Q31" s="83"/>
      <c r="R31" s="83"/>
    </row>
    <row r="32" spans="1:34" x14ac:dyDescent="0.35">
      <c r="E32" s="83"/>
      <c r="F32" s="83"/>
      <c r="G32" s="83"/>
      <c r="H32" s="83"/>
      <c r="I32" s="83"/>
      <c r="J32" s="83"/>
      <c r="K32" s="83"/>
      <c r="L32" s="83"/>
      <c r="M32" s="83"/>
      <c r="N32" s="83"/>
      <c r="O32" s="83"/>
      <c r="P32" s="83"/>
      <c r="Q32" s="83"/>
      <c r="R32" s="83"/>
      <c r="T32" s="127"/>
      <c r="U32" s="127"/>
      <c r="V32" s="127"/>
      <c r="W32" s="127"/>
      <c r="X32" s="127"/>
      <c r="Y32" s="127"/>
      <c r="Z32" s="127"/>
      <c r="AA32" s="127"/>
      <c r="AB32" s="127"/>
      <c r="AC32" s="127"/>
      <c r="AD32" s="127"/>
      <c r="AE32" s="127"/>
      <c r="AF32" s="127"/>
      <c r="AG32" s="127"/>
      <c r="AH32" s="127"/>
    </row>
    <row r="33" spans="1:36" x14ac:dyDescent="0.35">
      <c r="A33" s="118" t="s">
        <v>115</v>
      </c>
      <c r="B33" s="117"/>
      <c r="C33" s="117"/>
      <c r="D33" s="117"/>
      <c r="E33" s="126"/>
      <c r="F33" s="126"/>
      <c r="G33" s="126"/>
      <c r="H33" s="126"/>
      <c r="I33" s="126"/>
      <c r="J33" s="126"/>
      <c r="K33" s="126"/>
      <c r="L33" s="126"/>
      <c r="M33" s="126"/>
      <c r="N33" s="126"/>
      <c r="O33" s="126"/>
      <c r="P33" s="126"/>
      <c r="Q33" s="126"/>
      <c r="R33" s="126"/>
      <c r="S33" s="117"/>
    </row>
    <row r="34" spans="1:36" x14ac:dyDescent="0.35">
      <c r="A34" s="73"/>
      <c r="B34" s="116"/>
      <c r="C34" s="116"/>
      <c r="D34" s="116"/>
      <c r="E34" s="124"/>
      <c r="F34" s="124"/>
      <c r="G34" s="124"/>
      <c r="H34" s="124"/>
      <c r="I34" s="124"/>
      <c r="J34" s="124"/>
      <c r="K34" s="124"/>
      <c r="L34" s="124"/>
      <c r="M34" s="124"/>
      <c r="N34" s="124"/>
      <c r="O34" s="124"/>
      <c r="P34" s="124"/>
      <c r="Q34" s="124"/>
      <c r="R34" s="124"/>
      <c r="S34" s="116"/>
    </row>
    <row r="35" spans="1:36" x14ac:dyDescent="0.35">
      <c r="A35" s="122" t="s">
        <v>114</v>
      </c>
      <c r="B35" s="116"/>
      <c r="C35" s="116"/>
      <c r="D35" s="116"/>
      <c r="E35" s="124"/>
      <c r="F35" s="124"/>
      <c r="G35" s="124"/>
      <c r="H35" s="124"/>
      <c r="I35" s="124"/>
      <c r="J35" s="124"/>
      <c r="K35" s="124"/>
      <c r="L35" s="125"/>
      <c r="M35" s="125"/>
      <c r="N35" s="124"/>
      <c r="O35" s="124"/>
      <c r="P35" s="124"/>
      <c r="Q35" s="124"/>
      <c r="R35" s="124"/>
      <c r="S35" s="116"/>
      <c r="AF35" s="4">
        <v>0</v>
      </c>
      <c r="AG35" s="4">
        <v>0</v>
      </c>
      <c r="AH35" s="4">
        <v>0</v>
      </c>
      <c r="AJ35" s="4">
        <v>0</v>
      </c>
    </row>
    <row r="36" spans="1:36" x14ac:dyDescent="0.35">
      <c r="A36" s="73"/>
      <c r="B36" s="116"/>
      <c r="C36" s="116"/>
      <c r="D36" s="116"/>
      <c r="E36" s="124"/>
      <c r="F36" s="124"/>
      <c r="G36" s="124"/>
      <c r="H36" s="124"/>
      <c r="I36" s="124"/>
      <c r="J36" s="124"/>
      <c r="K36" s="124"/>
      <c r="L36" s="125"/>
      <c r="M36" s="125"/>
      <c r="N36" s="124"/>
      <c r="O36" s="124"/>
      <c r="P36" s="124"/>
      <c r="Q36" s="124"/>
      <c r="R36" s="124"/>
      <c r="S36" s="116"/>
      <c r="AF36" s="4">
        <v>0</v>
      </c>
      <c r="AG36" s="4">
        <v>0</v>
      </c>
      <c r="AH36" s="4">
        <v>0</v>
      </c>
      <c r="AJ36" s="4">
        <v>0</v>
      </c>
    </row>
    <row r="37" spans="1:36" x14ac:dyDescent="0.35">
      <c r="A37" s="73" t="s">
        <v>113</v>
      </c>
      <c r="L37" s="87"/>
      <c r="M37" s="87"/>
      <c r="AF37" s="4">
        <v>1751647.4970369544</v>
      </c>
      <c r="AG37" s="4">
        <v>0</v>
      </c>
      <c r="AH37" s="4">
        <v>604956.68490323494</v>
      </c>
      <c r="AJ37" s="4">
        <v>2356604.1819401896</v>
      </c>
    </row>
    <row r="38" spans="1:36" x14ac:dyDescent="0.35">
      <c r="A38" s="74" t="s">
        <v>101</v>
      </c>
      <c r="B38" s="83">
        <f>SUM(D28:AH28)</f>
        <v>9747248.4823641032</v>
      </c>
      <c r="L38" s="87"/>
      <c r="M38" s="87"/>
      <c r="AF38" s="4">
        <v>1793336.7074664338</v>
      </c>
      <c r="AG38" s="4">
        <v>215775.37134446317</v>
      </c>
      <c r="AH38" s="4">
        <v>621196.58800585428</v>
      </c>
      <c r="AJ38" s="4">
        <v>2630308.6668167515</v>
      </c>
    </row>
    <row r="39" spans="1:36" x14ac:dyDescent="0.35">
      <c r="A39" s="74" t="s">
        <v>100</v>
      </c>
      <c r="B39" s="121">
        <f>IRR(D28:AH28)</f>
        <v>0.12779918437249393</v>
      </c>
      <c r="L39" s="87"/>
      <c r="M39" s="87"/>
      <c r="AF39" s="4">
        <v>1836018.1211041345</v>
      </c>
      <c r="AG39" s="4">
        <v>221561.28970737476</v>
      </c>
      <c r="AH39" s="4">
        <v>637872.44703616865</v>
      </c>
      <c r="AJ39" s="4">
        <v>2695451.857847678</v>
      </c>
    </row>
    <row r="40" spans="1:36" x14ac:dyDescent="0.35">
      <c r="A40" s="74" t="s">
        <v>99</v>
      </c>
      <c r="B40" s="83">
        <f>7+((K29*-1)/L28)</f>
        <v>7.2223413406750714</v>
      </c>
      <c r="L40" s="87"/>
      <c r="M40" s="87"/>
      <c r="AF40" s="4">
        <v>1879715.3523864136</v>
      </c>
      <c r="AG40" s="4">
        <v>227502.1792193724</v>
      </c>
      <c r="AH40" s="4">
        <v>654995.9651164012</v>
      </c>
      <c r="AJ40" s="4">
        <v>2762213.4967221874</v>
      </c>
    </row>
    <row r="41" spans="1:36" x14ac:dyDescent="0.35">
      <c r="A41" s="74" t="s">
        <v>98</v>
      </c>
      <c r="B41" s="83">
        <f>AH30</f>
        <v>1210059.0776683071</v>
      </c>
      <c r="E41" s="74"/>
      <c r="F41" s="74"/>
      <c r="L41" s="87"/>
      <c r="M41" s="87"/>
      <c r="AF41" s="4">
        <v>1924452.5777732104</v>
      </c>
      <c r="AG41" s="4">
        <v>233602.19310725157</v>
      </c>
      <c r="AH41" s="4">
        <v>672579.1595360121</v>
      </c>
      <c r="AJ41" s="4">
        <v>2830633.9304164741</v>
      </c>
    </row>
    <row r="42" spans="1:36" x14ac:dyDescent="0.35">
      <c r="A42" s="74" t="s">
        <v>109</v>
      </c>
      <c r="B42" s="83">
        <f>SUM(E25:AH25)/SUM(E26:AH26)</f>
        <v>1.783296728458921</v>
      </c>
      <c r="E42" s="74"/>
      <c r="F42" s="74"/>
      <c r="L42" s="87"/>
      <c r="M42" s="87"/>
      <c r="AF42" s="4">
        <v>1970254.5491242127</v>
      </c>
      <c r="AG42" s="4">
        <v>239865.5959042859</v>
      </c>
      <c r="AH42" s="4">
        <v>690634.37018543738</v>
      </c>
      <c r="AJ42" s="4">
        <v>2900754.5152139356</v>
      </c>
    </row>
    <row r="43" spans="1:36" x14ac:dyDescent="0.35">
      <c r="E43" s="74"/>
      <c r="F43" s="74"/>
      <c r="L43" s="87"/>
      <c r="M43" s="87"/>
      <c r="AF43" s="4">
        <v>2017146.6073933688</v>
      </c>
      <c r="AG43" s="4">
        <v>246296.7664332407</v>
      </c>
      <c r="AH43" s="4">
        <v>709174.26821622578</v>
      </c>
      <c r="AJ43" s="4">
        <v>2972617.6420428352</v>
      </c>
    </row>
    <row r="44" spans="1:36" x14ac:dyDescent="0.35">
      <c r="A44" s="73" t="s">
        <v>108</v>
      </c>
      <c r="B44" s="80"/>
      <c r="C44" s="80"/>
      <c r="D44" s="80"/>
      <c r="E44" s="74"/>
      <c r="F44" s="73" t="s">
        <v>107</v>
      </c>
      <c r="G44" s="80"/>
      <c r="H44" s="80"/>
      <c r="I44" s="80"/>
      <c r="L44" s="87"/>
      <c r="M44" s="87"/>
      <c r="AF44" s="4">
        <v>2065154.6966493311</v>
      </c>
      <c r="AG44" s="4">
        <v>252900.20086933154</v>
      </c>
      <c r="AH44" s="4">
        <v>728211.86493365793</v>
      </c>
      <c r="AJ44" s="4">
        <v>3046266.7624523207</v>
      </c>
    </row>
    <row r="45" spans="1:36" ht="43.5" x14ac:dyDescent="0.35">
      <c r="A45" s="73"/>
      <c r="B45" s="18" t="s">
        <v>106</v>
      </c>
      <c r="C45" s="18" t="s">
        <v>105</v>
      </c>
      <c r="D45" s="18" t="s">
        <v>104</v>
      </c>
      <c r="E45" s="74"/>
      <c r="F45" s="73"/>
      <c r="G45" s="18" t="s">
        <v>112</v>
      </c>
      <c r="H45" s="18" t="s">
        <v>102</v>
      </c>
      <c r="I45" s="123"/>
      <c r="L45" s="87"/>
      <c r="M45" s="87"/>
      <c r="AF45" s="4">
        <v>2114305.3784295851</v>
      </c>
      <c r="AG45" s="4">
        <v>259680.51588526956</v>
      </c>
      <c r="AH45" s="4">
        <v>747760.52092808159</v>
      </c>
      <c r="AJ45" s="4">
        <v>3121746.4152429365</v>
      </c>
    </row>
    <row r="46" spans="1:36" x14ac:dyDescent="0.35">
      <c r="A46" s="74" t="s">
        <v>101</v>
      </c>
      <c r="B46" s="83">
        <f>B38</f>
        <v>9747248.4823641032</v>
      </c>
      <c r="C46" s="88">
        <v>13419873.584437989</v>
      </c>
      <c r="D46" s="88">
        <v>6502240.0384736257</v>
      </c>
      <c r="E46" s="74"/>
      <c r="F46" s="74" t="s">
        <v>101</v>
      </c>
      <c r="G46" s="83">
        <f>B38</f>
        <v>9747248.4823641032</v>
      </c>
      <c r="H46" s="88">
        <v>10141293.986306651</v>
      </c>
      <c r="I46" s="88"/>
      <c r="L46" s="87"/>
      <c r="M46" s="87"/>
      <c r="AF46" s="4">
        <v>2164625.84643621</v>
      </c>
      <c r="AG46" s="4">
        <v>266642.45188059483</v>
      </c>
      <c r="AH46" s="4">
        <v>767833.95545137883</v>
      </c>
      <c r="AJ46" s="4">
        <v>3199102.2537681833</v>
      </c>
    </row>
    <row r="47" spans="1:36" x14ac:dyDescent="0.35">
      <c r="A47" s="74" t="s">
        <v>100</v>
      </c>
      <c r="B47" s="121">
        <f>B39</f>
        <v>0.12779918437249393</v>
      </c>
      <c r="C47" s="120">
        <v>0.14830462408835721</v>
      </c>
      <c r="D47" s="120">
        <v>0.10317474803248228</v>
      </c>
      <c r="E47" s="74"/>
      <c r="F47" s="74" t="s">
        <v>100</v>
      </c>
      <c r="G47" s="120">
        <f>B39</f>
        <v>0.12779918437249393</v>
      </c>
      <c r="H47" s="120">
        <v>0.1308089032536599</v>
      </c>
      <c r="I47" s="120"/>
      <c r="L47" s="87"/>
      <c r="M47" s="87"/>
      <c r="AF47" s="4">
        <v>2216143.9415813913</v>
      </c>
      <c r="AG47" s="4">
        <v>273790.87629755476</v>
      </c>
      <c r="AH47" s="4">
        <v>788446.25604514091</v>
      </c>
      <c r="AJ47" s="4">
        <v>3278381.073924087</v>
      </c>
    </row>
    <row r="48" spans="1:36" x14ac:dyDescent="0.35">
      <c r="A48" s="74" t="s">
        <v>99</v>
      </c>
      <c r="B48" s="83">
        <f>B40</f>
        <v>7.2223413406750714</v>
      </c>
      <c r="C48" s="88">
        <v>6.8369617305459567</v>
      </c>
      <c r="D48" s="88">
        <v>7.8074105204710449</v>
      </c>
      <c r="E48" s="74"/>
      <c r="F48" s="74" t="s">
        <v>99</v>
      </c>
      <c r="G48" s="83">
        <f>B40</f>
        <v>7.2223413406750714</v>
      </c>
      <c r="H48" s="88">
        <v>7.1485322091730703</v>
      </c>
      <c r="I48" s="88"/>
      <c r="L48" s="87"/>
      <c r="M48" s="87"/>
      <c r="AF48" s="4">
        <v>2268888.1673910287</v>
      </c>
      <c r="AG48" s="4">
        <v>281130.78702584922</v>
      </c>
      <c r="AH48" s="4">
        <v>809611.88842730736</v>
      </c>
      <c r="AJ48" s="4">
        <v>3359630.8428441854</v>
      </c>
    </row>
    <row r="49" spans="1:36" x14ac:dyDescent="0.35">
      <c r="A49" s="74" t="s">
        <v>98</v>
      </c>
      <c r="B49" s="88">
        <f>B41</f>
        <v>1210059.0776683071</v>
      </c>
      <c r="C49" s="88">
        <v>1423570.1014825616</v>
      </c>
      <c r="D49" s="88">
        <v>959337.0696739218</v>
      </c>
      <c r="E49" s="74"/>
      <c r="F49" s="74" t="s">
        <v>98</v>
      </c>
      <c r="G49" s="83">
        <f>B41</f>
        <v>1210059.0776683071</v>
      </c>
      <c r="H49" s="88">
        <v>1258977.3277696336</v>
      </c>
      <c r="I49" s="88"/>
      <c r="L49" s="87"/>
      <c r="M49" s="87"/>
      <c r="AF49" s="4">
        <v>2322887.7057749354</v>
      </c>
      <c r="AG49" s="4">
        <v>288667.31589862192</v>
      </c>
      <c r="AH49" s="4">
        <v>831345.70664421178</v>
      </c>
      <c r="AJ49" s="4">
        <v>3442900.7283177692</v>
      </c>
    </row>
    <row r="50" spans="1:36" x14ac:dyDescent="0.35">
      <c r="A50" s="119" t="s">
        <v>97</v>
      </c>
      <c r="B50" s="83">
        <f>B42</f>
        <v>1.783296728458921</v>
      </c>
      <c r="C50" s="88">
        <v>1.9871092306147331</v>
      </c>
      <c r="D50" s="88">
        <v>1.5736244737719736</v>
      </c>
      <c r="E50" s="74"/>
      <c r="F50" s="119" t="s">
        <v>97</v>
      </c>
      <c r="G50" s="83">
        <f>B42</f>
        <v>1.783296728458921</v>
      </c>
      <c r="H50" s="88">
        <v>1.841612899356597</v>
      </c>
      <c r="I50" s="88"/>
      <c r="L50" s="87"/>
      <c r="M50" s="87"/>
      <c r="AF50" s="4">
        <v>2378172.4331723787</v>
      </c>
      <c r="AG50" s="4">
        <v>296405.73228214507</v>
      </c>
      <c r="AH50" s="4">
        <v>853662.96349515487</v>
      </c>
      <c r="AJ50" s="4">
        <v>3528241.1289496785</v>
      </c>
    </row>
    <row r="51" spans="1:36" x14ac:dyDescent="0.35">
      <c r="E51" s="74"/>
      <c r="F51" s="74"/>
      <c r="L51" s="87"/>
      <c r="M51" s="87"/>
      <c r="AF51" s="4">
        <v>2434772.9370818813</v>
      </c>
      <c r="AG51" s="4">
        <v>304351.44676170649</v>
      </c>
      <c r="AH51" s="4">
        <v>876579.32123682275</v>
      </c>
      <c r="AJ51" s="4">
        <v>3615703.7050804105</v>
      </c>
    </row>
    <row r="52" spans="1:36" x14ac:dyDescent="0.35">
      <c r="E52" s="74"/>
      <c r="F52" s="74"/>
      <c r="L52" s="87"/>
      <c r="M52" s="87"/>
      <c r="AF52" s="4">
        <v>2492720.53298443</v>
      </c>
      <c r="AG52" s="4">
        <v>312510.0149262803</v>
      </c>
      <c r="AH52" s="4">
        <v>900110.86257506383</v>
      </c>
      <c r="AJ52" s="4">
        <v>3705341.4104857743</v>
      </c>
    </row>
    <row r="53" spans="1:36" x14ac:dyDescent="0.35">
      <c r="E53" s="74"/>
      <c r="F53" s="74"/>
      <c r="L53" s="87"/>
      <c r="M53" s="87"/>
      <c r="AF53" s="4">
        <v>2552047.2816694593</v>
      </c>
      <c r="AG53" s="4">
        <v>320887.14125462447</v>
      </c>
      <c r="AH53" s="4">
        <v>924274.10195173474</v>
      </c>
      <c r="AJ53" s="4">
        <v>3797208.5248758183</v>
      </c>
    </row>
    <row r="54" spans="1:36" x14ac:dyDescent="0.35">
      <c r="A54" s="122" t="s">
        <v>111</v>
      </c>
      <c r="E54" s="74"/>
      <c r="F54" s="74"/>
      <c r="L54" s="87"/>
      <c r="M54" s="87"/>
      <c r="AF54" s="4">
        <v>2612786.0069731921</v>
      </c>
      <c r="AG54" s="4">
        <v>329488.68310552841</v>
      </c>
      <c r="AH54" s="4">
        <v>949085.99713454</v>
      </c>
      <c r="AJ54" s="4">
        <v>3891360.6872132607</v>
      </c>
    </row>
    <row r="55" spans="1:36" x14ac:dyDescent="0.35">
      <c r="A55" s="73"/>
      <c r="L55" s="87"/>
      <c r="M55" s="87"/>
      <c r="AF55" s="4">
        <v>2674970.3139391541</v>
      </c>
      <c r="AG55" s="4">
        <v>338320.65481499658</v>
      </c>
      <c r="AH55" s="4">
        <v>974563.9611179994</v>
      </c>
      <c r="AJ55" s="4">
        <v>3987854.9298721505</v>
      </c>
    </row>
    <row r="56" spans="1:36" x14ac:dyDescent="0.35">
      <c r="A56" s="74" t="s">
        <v>101</v>
      </c>
      <c r="B56" s="83">
        <f>SUM(D28:X28)</f>
        <v>7585142.9156172723</v>
      </c>
      <c r="L56" s="87"/>
      <c r="M56" s="87"/>
      <c r="AF56" s="4">
        <v>2738634.6074109063</v>
      </c>
      <c r="AG56" s="4">
        <v>347389.23190323851</v>
      </c>
      <c r="AH56" s="4">
        <v>1000725.8743438903</v>
      </c>
      <c r="AJ56" s="4">
        <v>4086749.7136580353</v>
      </c>
    </row>
    <row r="57" spans="1:36" x14ac:dyDescent="0.35">
      <c r="A57" s="74" t="s">
        <v>100</v>
      </c>
      <c r="B57" s="121">
        <f>IRR(D28:X28)</f>
        <v>0.12351567570800248</v>
      </c>
      <c r="L57" s="87"/>
      <c r="M57" s="87"/>
      <c r="AF57" s="4">
        <v>2803814.1110672858</v>
      </c>
      <c r="AG57" s="4">
        <v>356700.75539440522</v>
      </c>
      <c r="AH57" s="4">
        <v>1027590.0972497471</v>
      </c>
      <c r="AJ57" s="4">
        <v>4188104.9637114382</v>
      </c>
    </row>
    <row r="58" spans="1:36" x14ac:dyDescent="0.35">
      <c r="A58" s="74" t="s">
        <v>99</v>
      </c>
      <c r="B58" s="83">
        <f>7+((K29*-1)/L28)</f>
        <v>7.2223413406750714</v>
      </c>
      <c r="L58" s="87"/>
      <c r="M58" s="87"/>
      <c r="AF58" s="4">
        <v>2870544.8869106877</v>
      </c>
      <c r="AG58" s="4">
        <v>366261.73625209526</v>
      </c>
      <c r="AH58" s="4">
        <v>1055175.4831542212</v>
      </c>
      <c r="AJ58" s="4">
        <v>4291982.1063170042</v>
      </c>
    </row>
    <row r="59" spans="1:36" x14ac:dyDescent="0.35">
      <c r="A59" s="74" t="s">
        <v>98</v>
      </c>
      <c r="B59" s="83">
        <f>X30</f>
        <v>1015489.679969315</v>
      </c>
      <c r="E59" s="74"/>
      <c r="F59" s="74"/>
      <c r="L59" s="87"/>
      <c r="M59" s="87"/>
      <c r="AF59" s="4">
        <v>2938863.8552191625</v>
      </c>
      <c r="AG59" s="4">
        <v>376078.85993373138</v>
      </c>
      <c r="AH59" s="4">
        <v>1083501.3914883439</v>
      </c>
      <c r="AJ59" s="4">
        <v>4398444.1066412386</v>
      </c>
    </row>
    <row r="60" spans="1:36" x14ac:dyDescent="0.35">
      <c r="A60" s="74" t="s">
        <v>109</v>
      </c>
      <c r="B60" s="83">
        <f>SUM(E25:X25)/SUM(E26:X26)</f>
        <v>1.6334014185413239</v>
      </c>
      <c r="E60" s="74"/>
      <c r="F60" s="74"/>
      <c r="L60" s="87"/>
      <c r="M60" s="87"/>
      <c r="AF60" s="4">
        <v>3008808.8149733786</v>
      </c>
      <c r="AG60" s="4">
        <v>386158.99106699537</v>
      </c>
      <c r="AH60" s="4">
        <v>1112587.7013819825</v>
      </c>
      <c r="AJ60" s="4">
        <v>4507555.5074223569</v>
      </c>
    </row>
    <row r="61" spans="1:36" x14ac:dyDescent="0.35">
      <c r="E61" s="74"/>
      <c r="F61" s="74"/>
      <c r="L61" s="87"/>
      <c r="M61" s="87"/>
      <c r="AF61" s="4">
        <v>3080418.4647697448</v>
      </c>
      <c r="AG61" s="4">
        <v>396509.17825159075</v>
      </c>
      <c r="AH61" s="4">
        <v>1142454.8256150163</v>
      </c>
      <c r="AJ61" s="4">
        <v>4619382.4686363516</v>
      </c>
    </row>
    <row r="62" spans="1:36" x14ac:dyDescent="0.35">
      <c r="A62" s="73" t="s">
        <v>108</v>
      </c>
      <c r="B62" s="80"/>
      <c r="C62" s="80"/>
      <c r="D62" s="80"/>
      <c r="E62" s="74"/>
      <c r="F62" s="73" t="s">
        <v>107</v>
      </c>
      <c r="G62" s="80"/>
      <c r="H62" s="80"/>
      <c r="L62" s="87"/>
      <c r="M62" s="87"/>
      <c r="AF62" s="4">
        <v>3153732.4242312647</v>
      </c>
      <c r="AG62" s="4">
        <v>407136.65898969339</v>
      </c>
      <c r="AH62" s="4">
        <v>1173123.7249430325</v>
      </c>
      <c r="AJ62" s="4">
        <v>4733992.8081639912</v>
      </c>
    </row>
    <row r="63" spans="1:36" ht="43.5" x14ac:dyDescent="0.35">
      <c r="A63" s="73"/>
      <c r="B63" s="18" t="s">
        <v>106</v>
      </c>
      <c r="C63" s="18" t="s">
        <v>105</v>
      </c>
      <c r="D63" s="18" t="s">
        <v>104</v>
      </c>
      <c r="E63" s="74"/>
      <c r="F63" s="73"/>
      <c r="G63" s="18" t="s">
        <v>103</v>
      </c>
      <c r="H63" s="18" t="s">
        <v>102</v>
      </c>
      <c r="L63" s="87"/>
      <c r="M63" s="87"/>
      <c r="AF63" s="4">
        <v>3228791.2559279688</v>
      </c>
      <c r="AG63" s="4">
        <v>418048.86474853719</v>
      </c>
      <c r="AH63" s="4">
        <v>1204615.9228075885</v>
      </c>
      <c r="AJ63" s="4">
        <v>4851456.0434840946</v>
      </c>
    </row>
    <row r="64" spans="1:36" x14ac:dyDescent="0.35">
      <c r="A64" s="74" t="s">
        <v>101</v>
      </c>
      <c r="B64" s="83">
        <f>B56</f>
        <v>7585142.9156172723</v>
      </c>
      <c r="C64" s="83">
        <v>10036310.476466339</v>
      </c>
      <c r="D64" s="88">
        <v>5248797.2333729276</v>
      </c>
      <c r="E64" s="74"/>
      <c r="F64" s="74" t="s">
        <v>101</v>
      </c>
      <c r="G64" s="83">
        <f>B56</f>
        <v>7585142.9156172723</v>
      </c>
      <c r="H64" s="88">
        <v>7857723.9035646748</v>
      </c>
      <c r="L64" s="87"/>
      <c r="M64" s="87"/>
      <c r="AF64" s="4">
        <v>3305636.4878190546</v>
      </c>
      <c r="AG64" s="4">
        <v>429253.4261586779</v>
      </c>
      <c r="AH64" s="4">
        <v>1236953.5204413706</v>
      </c>
      <c r="AJ64" s="4">
        <v>4971843.434419103</v>
      </c>
    </row>
    <row r="65" spans="1:36" x14ac:dyDescent="0.35">
      <c r="A65" s="74" t="s">
        <v>100</v>
      </c>
      <c r="B65" s="121">
        <f>B57</f>
        <v>0.12351567570800248</v>
      </c>
      <c r="C65" s="121">
        <v>0.14394323344814786</v>
      </c>
      <c r="D65" s="120">
        <v>9.8984765758046045E-2</v>
      </c>
      <c r="E65" s="74"/>
      <c r="F65" s="74" t="s">
        <v>100</v>
      </c>
      <c r="G65" s="120">
        <f>B57</f>
        <v>0.12351567570800248</v>
      </c>
      <c r="H65" s="120">
        <v>0.12653682412803824</v>
      </c>
      <c r="L65" s="87"/>
      <c r="M65" s="87"/>
      <c r="AF65" s="4">
        <v>3384310.6362291481</v>
      </c>
      <c r="AG65" s="4">
        <v>440758.17835157039</v>
      </c>
      <c r="AH65" s="4">
        <v>1270159.2123788432</v>
      </c>
      <c r="AJ65" s="4">
        <v>5095228.0269595617</v>
      </c>
    </row>
    <row r="66" spans="1:36" x14ac:dyDescent="0.35">
      <c r="A66" s="74" t="s">
        <v>99</v>
      </c>
      <c r="B66" s="83">
        <f>B58</f>
        <v>7.2223413406750714</v>
      </c>
      <c r="C66" s="83">
        <v>6.8369617305459567</v>
      </c>
      <c r="D66" s="88">
        <v>7.8074105204710449</v>
      </c>
      <c r="E66" s="74"/>
      <c r="F66" s="74" t="s">
        <v>99</v>
      </c>
      <c r="G66" s="83">
        <f>B58</f>
        <v>7.2223413406750714</v>
      </c>
      <c r="H66" s="88">
        <v>7.1485322091730703</v>
      </c>
    </row>
    <row r="67" spans="1:36" x14ac:dyDescent="0.35">
      <c r="A67" s="74" t="s">
        <v>98</v>
      </c>
      <c r="B67" s="88">
        <f>B59</f>
        <v>1015489.679969315</v>
      </c>
      <c r="C67" s="83">
        <v>1178861.2626665062</v>
      </c>
      <c r="D67" s="88">
        <v>815435.66396345524</v>
      </c>
      <c r="E67" s="74"/>
      <c r="F67" s="74" t="s">
        <v>98</v>
      </c>
      <c r="G67" s="83">
        <f>B59</f>
        <v>1015489.679969315</v>
      </c>
      <c r="H67" s="88">
        <v>1051982.4900977185</v>
      </c>
    </row>
    <row r="68" spans="1:36" x14ac:dyDescent="0.35">
      <c r="A68" s="119" t="s">
        <v>97</v>
      </c>
      <c r="B68" s="83">
        <f>B60</f>
        <v>1.6334014185413239</v>
      </c>
      <c r="C68" s="83">
        <v>1.7802905341214954</v>
      </c>
      <c r="D68" s="88">
        <v>1.4744267562039637</v>
      </c>
      <c r="E68" s="74"/>
      <c r="F68" s="119" t="s">
        <v>97</v>
      </c>
      <c r="G68" s="83">
        <f>B60</f>
        <v>1.6334014185413239</v>
      </c>
      <c r="H68" s="88">
        <v>1.6714469291047431</v>
      </c>
    </row>
    <row r="69" spans="1:36" x14ac:dyDescent="0.35">
      <c r="E69" s="74"/>
      <c r="F69" s="74"/>
    </row>
    <row r="70" spans="1:36" x14ac:dyDescent="0.35">
      <c r="E70" s="74"/>
      <c r="F70" s="74"/>
    </row>
    <row r="71" spans="1:36" x14ac:dyDescent="0.35">
      <c r="A71" s="122" t="s">
        <v>110</v>
      </c>
      <c r="E71" s="74"/>
      <c r="F71" s="74"/>
    </row>
    <row r="72" spans="1:36" x14ac:dyDescent="0.35">
      <c r="A72" s="73"/>
    </row>
    <row r="73" spans="1:36" x14ac:dyDescent="0.35">
      <c r="A73" s="74" t="s">
        <v>101</v>
      </c>
      <c r="B73" s="83">
        <f>SUM(D28:S28)</f>
        <v>5551275.5241229506</v>
      </c>
    </row>
    <row r="74" spans="1:36" x14ac:dyDescent="0.35">
      <c r="A74" s="74" t="s">
        <v>100</v>
      </c>
      <c r="B74" s="121">
        <f>IRR(D28:S28)</f>
        <v>0.11311624430694267</v>
      </c>
    </row>
    <row r="75" spans="1:36" x14ac:dyDescent="0.35">
      <c r="A75" s="74" t="s">
        <v>99</v>
      </c>
      <c r="B75" s="83">
        <f>7+((K29*-1)/L28)</f>
        <v>7.2223413406750714</v>
      </c>
    </row>
    <row r="76" spans="1:36" x14ac:dyDescent="0.35">
      <c r="A76" s="74" t="s">
        <v>98</v>
      </c>
      <c r="B76" s="83">
        <f>S30</f>
        <v>815061.80789672467</v>
      </c>
      <c r="E76" s="74"/>
      <c r="F76" s="74"/>
    </row>
    <row r="77" spans="1:36" x14ac:dyDescent="0.35">
      <c r="A77" s="74" t="s">
        <v>109</v>
      </c>
      <c r="B77" s="83">
        <f>SUM(E25:S25)/SUM(E26:S26)</f>
        <v>1.4823570657657914</v>
      </c>
      <c r="E77" s="74"/>
      <c r="F77" s="74"/>
    </row>
    <row r="78" spans="1:36" x14ac:dyDescent="0.35">
      <c r="E78" s="74"/>
      <c r="F78" s="74"/>
    </row>
    <row r="79" spans="1:36" x14ac:dyDescent="0.35">
      <c r="A79" s="73" t="s">
        <v>108</v>
      </c>
      <c r="B79" s="80"/>
      <c r="C79" s="80"/>
      <c r="D79" s="80"/>
      <c r="E79" s="74"/>
      <c r="F79" s="73" t="s">
        <v>107</v>
      </c>
      <c r="G79" s="80"/>
      <c r="H79" s="80"/>
    </row>
    <row r="80" spans="1:36" ht="43.5" x14ac:dyDescent="0.35">
      <c r="A80" s="73"/>
      <c r="B80" s="18" t="s">
        <v>106</v>
      </c>
      <c r="C80" s="18" t="s">
        <v>105</v>
      </c>
      <c r="D80" s="18" t="s">
        <v>104</v>
      </c>
      <c r="E80" s="74"/>
      <c r="F80" s="73"/>
      <c r="G80" s="18" t="s">
        <v>103</v>
      </c>
      <c r="H80" s="18" t="s">
        <v>102</v>
      </c>
    </row>
    <row r="81" spans="1:19" x14ac:dyDescent="0.35">
      <c r="A81" s="74" t="s">
        <v>101</v>
      </c>
      <c r="B81" s="83">
        <f>B73</f>
        <v>5551275.5241229506</v>
      </c>
      <c r="C81" s="88">
        <v>7231102.7751325564</v>
      </c>
      <c r="D81" s="88">
        <v>3875970.452450789</v>
      </c>
      <c r="E81" s="74"/>
      <c r="F81" s="74" t="s">
        <v>101</v>
      </c>
      <c r="G81" s="83">
        <f>B73</f>
        <v>5551275.5241229506</v>
      </c>
      <c r="H81" s="88">
        <v>5747575.1938937958</v>
      </c>
    </row>
    <row r="82" spans="1:19" x14ac:dyDescent="0.35">
      <c r="A82" s="74" t="s">
        <v>100</v>
      </c>
      <c r="B82" s="121">
        <f>B74</f>
        <v>0.11311624430694267</v>
      </c>
      <c r="C82" s="120">
        <v>0.13335472147615968</v>
      </c>
      <c r="D82" s="120">
        <v>8.8812396177970099E-2</v>
      </c>
      <c r="E82" s="74"/>
      <c r="F82" s="74" t="s">
        <v>100</v>
      </c>
      <c r="G82" s="120">
        <f>B74</f>
        <v>0.11311624430694267</v>
      </c>
      <c r="H82" s="120">
        <v>0.11616309682115711</v>
      </c>
    </row>
    <row r="83" spans="1:19" x14ac:dyDescent="0.35">
      <c r="A83" s="74" t="s">
        <v>99</v>
      </c>
      <c r="B83" s="83">
        <f>B75</f>
        <v>7.2223413406750714</v>
      </c>
      <c r="C83" s="88">
        <v>6.8369617305459567</v>
      </c>
      <c r="D83" s="88">
        <v>7.8074105204710449</v>
      </c>
      <c r="E83" s="74"/>
      <c r="F83" s="74" t="s">
        <v>99</v>
      </c>
      <c r="G83" s="83">
        <f>B75</f>
        <v>7.2223413406750714</v>
      </c>
      <c r="H83" s="88">
        <v>7.1485322091730703</v>
      </c>
    </row>
    <row r="84" spans="1:19" x14ac:dyDescent="0.35">
      <c r="A84" s="74" t="s">
        <v>98</v>
      </c>
      <c r="B84" s="88">
        <f>B76</f>
        <v>815061.80789672467</v>
      </c>
      <c r="C84" s="88">
        <v>950700.39290743542</v>
      </c>
      <c r="D84" s="88">
        <v>646883.70451032836</v>
      </c>
      <c r="E84" s="74"/>
      <c r="F84" s="74" t="s">
        <v>98</v>
      </c>
      <c r="G84" s="83">
        <f>B76</f>
        <v>815061.80789672467</v>
      </c>
      <c r="H84" s="88">
        <v>843883.35765365791</v>
      </c>
    </row>
    <row r="85" spans="1:19" x14ac:dyDescent="0.35">
      <c r="A85" s="119" t="s">
        <v>97</v>
      </c>
      <c r="B85" s="83">
        <f>B77</f>
        <v>1.4823570657657914</v>
      </c>
      <c r="C85" s="88">
        <v>1.5917932374627142</v>
      </c>
      <c r="D85" s="88">
        <v>1.3606111529867828</v>
      </c>
      <c r="E85" s="74"/>
      <c r="F85" s="119" t="s">
        <v>97</v>
      </c>
      <c r="G85" s="83">
        <f>B77</f>
        <v>1.4823570657657914</v>
      </c>
      <c r="H85" s="88">
        <v>1.5080799580403783</v>
      </c>
    </row>
    <row r="86" spans="1:19" x14ac:dyDescent="0.35">
      <c r="E86" s="74"/>
      <c r="F86" s="74"/>
    </row>
    <row r="87" spans="1:19" x14ac:dyDescent="0.35">
      <c r="E87" s="74"/>
      <c r="F87" s="74"/>
    </row>
    <row r="88" spans="1:19" x14ac:dyDescent="0.35">
      <c r="E88" s="74"/>
      <c r="F88" s="74"/>
    </row>
    <row r="89" spans="1:19" x14ac:dyDescent="0.35">
      <c r="E89" s="74"/>
      <c r="F89" s="74"/>
    </row>
    <row r="90" spans="1:19" x14ac:dyDescent="0.35">
      <c r="A90" s="118" t="s">
        <v>96</v>
      </c>
      <c r="B90" s="117"/>
      <c r="C90" s="117"/>
      <c r="D90" s="117"/>
      <c r="E90" s="117"/>
      <c r="F90" s="117"/>
      <c r="G90" s="117"/>
      <c r="H90" s="117"/>
      <c r="I90" s="117"/>
      <c r="J90" s="117"/>
      <c r="K90" s="117"/>
      <c r="L90" s="117"/>
      <c r="M90" s="117"/>
      <c r="N90" s="117"/>
      <c r="O90" s="117"/>
      <c r="P90" s="117"/>
      <c r="Q90" s="117"/>
      <c r="R90" s="117"/>
      <c r="S90" s="117"/>
    </row>
    <row r="91" spans="1:19" x14ac:dyDescent="0.35">
      <c r="A91" s="73"/>
      <c r="B91" s="116"/>
      <c r="C91" s="116"/>
      <c r="D91" s="116"/>
      <c r="E91" s="116"/>
      <c r="F91" s="116"/>
      <c r="G91" s="116"/>
      <c r="H91" s="116"/>
      <c r="I91" s="116"/>
      <c r="J91" s="116"/>
      <c r="K91" s="116"/>
      <c r="L91" s="116"/>
      <c r="M91" s="116"/>
      <c r="N91" s="116"/>
      <c r="O91" s="116"/>
      <c r="P91" s="116"/>
      <c r="Q91" s="116"/>
      <c r="R91" s="116"/>
      <c r="S91" s="116"/>
    </row>
    <row r="92" spans="1:19" x14ac:dyDescent="0.35">
      <c r="A92" t="s">
        <v>95</v>
      </c>
    </row>
    <row r="93" spans="1:19" x14ac:dyDescent="0.35">
      <c r="A93" s="9"/>
    </row>
  </sheetData>
  <mergeCells count="1">
    <mergeCell ref="A12:AH12"/>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5" ma:contentTypeDescription="Create a new document." ma:contentTypeScope="" ma:versionID="f6ec9612411ccf106e0dd351df2cdfb2">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85b9ace026c8438a9737edf86142a661"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02D7842C-B809-494C-AB6C-58D5A2ADD359}"/>
</file>

<file path=customXml/itemProps2.xml><?xml version="1.0" encoding="utf-8"?>
<ds:datastoreItem xmlns:ds="http://schemas.openxmlformats.org/officeDocument/2006/customXml" ds:itemID="{D8A97749-58BB-4E97-8FD6-EC2C73C0ABC1}"/>
</file>

<file path=customXml/itemProps3.xml><?xml version="1.0" encoding="utf-8"?>
<ds:datastoreItem xmlns:ds="http://schemas.openxmlformats.org/officeDocument/2006/customXml" ds:itemID="{763FC20C-9F93-4558-A365-566ECBE9700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Budget</vt:lpstr>
      <vt:lpstr>Flood Benefits</vt:lpstr>
      <vt:lpstr>Health Benefits</vt:lpstr>
      <vt:lpstr>Time Benefits</vt:lpstr>
      <vt:lpstr>Economic 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dcterms:created xsi:type="dcterms:W3CDTF">2021-03-26T14:26:43Z</dcterms:created>
  <dcterms:modified xsi:type="dcterms:W3CDTF">2021-03-26T14:32:38Z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