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ana.becerra\Documents\Corredor seco\200807 Corredor Final BCIE\Comentarios 2021\ITAP RESUBMISSION\New annexes - Last versions\8 abril previa entreg ITAP\"/>
    </mc:Choice>
  </mc:AlternateContent>
  <xr:revisionPtr revIDLastSave="0" documentId="8_{87D91832-BCBA-40DF-97F1-915D255671ED}" xr6:coauthVersionLast="46" xr6:coauthVersionMax="46" xr10:uidLastSave="{00000000-0000-0000-0000-000000000000}"/>
  <bookViews>
    <workbookView xWindow="-120" yWindow="-120" windowWidth="20730" windowHeight="11160" tabRatio="871" xr2:uid="{F3D7F258-85F0-45FB-9753-C27E2D46241B}"/>
  </bookViews>
  <sheets>
    <sheet name="Multi-country project info" sheetId="1" r:id="rId1"/>
    <sheet name="Budget by country" sheetId="3" r:id="rId2"/>
    <sheet name="Beneficiaries estimation" sheetId="6" r:id="rId3"/>
    <sheet name="Summary Beneficiaries" sheetId="9" r:id="rId4"/>
    <sheet name="Extension proposed activities" sheetId="7" r:id="rId5"/>
    <sheet name="% for 2.1.2. to 2.1.13." sheetId="8"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 l="1"/>
  <c r="K66" i="6"/>
  <c r="G3" i="9" s="1"/>
  <c r="K67" i="6"/>
  <c r="G4" i="9" s="1"/>
  <c r="K65" i="6"/>
  <c r="F4" i="9" s="1"/>
  <c r="K64" i="6"/>
  <c r="F3" i="9" s="1"/>
  <c r="E68" i="6"/>
  <c r="E27" i="6" s="1"/>
  <c r="E31" i="6" s="1"/>
  <c r="F68" i="6"/>
  <c r="G68" i="6"/>
  <c r="H68" i="6"/>
  <c r="H27" i="6" s="1"/>
  <c r="I68" i="6"/>
  <c r="I27" i="6" s="1"/>
  <c r="J68" i="6"/>
  <c r="J27" i="6" s="1"/>
  <c r="D68" i="6"/>
  <c r="D27" i="6" s="1"/>
  <c r="E69" i="6"/>
  <c r="E28" i="6" s="1"/>
  <c r="F69" i="6"/>
  <c r="F28" i="6" s="1"/>
  <c r="G69" i="6"/>
  <c r="H69" i="6"/>
  <c r="H28" i="6" s="1"/>
  <c r="I69" i="6"/>
  <c r="I28" i="6" s="1"/>
  <c r="J69" i="6"/>
  <c r="D69" i="6"/>
  <c r="D28" i="6" s="1"/>
  <c r="F27" i="6"/>
  <c r="G27" i="6"/>
  <c r="G28" i="6"/>
  <c r="J28" i="6"/>
  <c r="E10" i="1"/>
  <c r="E14" i="1" s="1"/>
  <c r="H3" i="3"/>
  <c r="C5" i="3"/>
  <c r="C6" i="3"/>
  <c r="C7" i="3"/>
  <c r="C8" i="3"/>
  <c r="C9" i="3"/>
  <c r="C10" i="3"/>
  <c r="C4" i="3"/>
  <c r="K68" i="6" l="1"/>
  <c r="K69" i="6"/>
  <c r="K28" i="6"/>
  <c r="E48" i="6" s="1"/>
  <c r="D32" i="6"/>
  <c r="D31" i="6"/>
  <c r="K3" i="1" s="1"/>
  <c r="K27" i="6"/>
  <c r="D48" i="6" s="1"/>
  <c r="H3" i="9"/>
  <c r="H4" i="9"/>
  <c r="E4" i="3"/>
  <c r="K70" i="6" l="1"/>
  <c r="B11" i="9"/>
  <c r="S3" i="1"/>
  <c r="M3" i="1"/>
  <c r="G5" i="9"/>
  <c r="F5" i="9"/>
  <c r="B12" i="9" l="1"/>
  <c r="T3" i="1"/>
  <c r="B13" i="9" s="1"/>
  <c r="H5" i="9"/>
  <c r="G45" i="8"/>
  <c r="H45" i="8" s="1"/>
  <c r="G43" i="8"/>
  <c r="H43" i="8" s="1"/>
  <c r="G39" i="8"/>
  <c r="H39" i="8" s="1"/>
  <c r="G37" i="8"/>
  <c r="H37" i="8" s="1"/>
  <c r="E24" i="6"/>
  <c r="F24" i="6"/>
  <c r="G24" i="6"/>
  <c r="H24" i="6"/>
  <c r="I24" i="6"/>
  <c r="J24" i="6"/>
  <c r="D24" i="6"/>
  <c r="E23" i="6"/>
  <c r="F23" i="6"/>
  <c r="G23" i="6"/>
  <c r="H23" i="6"/>
  <c r="I23" i="6"/>
  <c r="J23" i="6"/>
  <c r="D23" i="6"/>
  <c r="E22" i="6"/>
  <c r="F22" i="6"/>
  <c r="G22" i="6"/>
  <c r="H22" i="6"/>
  <c r="I22" i="6"/>
  <c r="J22" i="6"/>
  <c r="D22" i="6"/>
  <c r="E21" i="6"/>
  <c r="F21" i="6"/>
  <c r="G21" i="6"/>
  <c r="H21" i="6"/>
  <c r="I21" i="6"/>
  <c r="J21" i="6"/>
  <c r="D21" i="6"/>
  <c r="E20" i="6"/>
  <c r="F20" i="6"/>
  <c r="G20" i="6"/>
  <c r="H20" i="6"/>
  <c r="I20" i="6"/>
  <c r="J20" i="6"/>
  <c r="D20" i="6"/>
  <c r="E19" i="6"/>
  <c r="F19" i="6"/>
  <c r="G19" i="6"/>
  <c r="H19" i="6"/>
  <c r="I19" i="6"/>
  <c r="J19" i="6"/>
  <c r="D19" i="6"/>
  <c r="E18" i="6"/>
  <c r="F18" i="6"/>
  <c r="G18" i="6"/>
  <c r="H18" i="6"/>
  <c r="I18" i="6"/>
  <c r="J18" i="6"/>
  <c r="D18" i="6"/>
  <c r="E17" i="6"/>
  <c r="F17" i="6"/>
  <c r="G17" i="6"/>
  <c r="H17" i="6"/>
  <c r="I17" i="6"/>
  <c r="J17" i="6"/>
  <c r="D17" i="6"/>
  <c r="E11" i="6"/>
  <c r="E12" i="6" s="1"/>
  <c r="F11" i="6"/>
  <c r="F12" i="6" s="1"/>
  <c r="G11" i="6"/>
  <c r="G12" i="6" s="1"/>
  <c r="H11" i="6"/>
  <c r="H12" i="6" s="1"/>
  <c r="I11" i="6"/>
  <c r="I12" i="6" s="1"/>
  <c r="J11" i="6"/>
  <c r="J12" i="6" s="1"/>
  <c r="D11" i="6"/>
  <c r="D12" i="6" s="1"/>
  <c r="G44" i="8"/>
  <c r="G42" i="8"/>
  <c r="G38" i="8"/>
  <c r="G36" i="8"/>
  <c r="D26" i="8"/>
  <c r="B26" i="8"/>
  <c r="E21" i="8"/>
  <c r="E20" i="8"/>
  <c r="E19" i="8"/>
  <c r="E18" i="8"/>
  <c r="D17" i="8"/>
  <c r="C17" i="8"/>
  <c r="B17" i="8"/>
  <c r="A17" i="8"/>
  <c r="E17" i="8" s="1"/>
  <c r="D16" i="8"/>
  <c r="E16" i="8" s="1"/>
  <c r="C16" i="8"/>
  <c r="B16" i="8"/>
  <c r="A16" i="8"/>
  <c r="E15" i="8"/>
  <c r="D14" i="8"/>
  <c r="C14" i="8"/>
  <c r="B14" i="8"/>
  <c r="E13" i="8"/>
  <c r="D12" i="8"/>
  <c r="C12" i="8"/>
  <c r="B12" i="8"/>
  <c r="A12" i="8"/>
  <c r="E12" i="8" s="1"/>
  <c r="E11" i="8"/>
  <c r="D10" i="8"/>
  <c r="C10" i="8"/>
  <c r="B10" i="8"/>
  <c r="A10" i="8"/>
  <c r="A14" i="8" s="1"/>
  <c r="E14" i="8" s="1"/>
  <c r="D9" i="8"/>
  <c r="C9" i="8"/>
  <c r="E9" i="8" s="1"/>
  <c r="B9" i="8"/>
  <c r="A9" i="8"/>
  <c r="E8" i="8"/>
  <c r="E7" i="8"/>
  <c r="E6" i="8"/>
  <c r="E5" i="8"/>
  <c r="E4" i="8"/>
  <c r="J23" i="7"/>
  <c r="J22" i="7"/>
  <c r="J21" i="7"/>
  <c r="J20" i="7"/>
  <c r="I17" i="7"/>
  <c r="H17" i="7"/>
  <c r="G17" i="7"/>
  <c r="F17" i="7"/>
  <c r="E17" i="7"/>
  <c r="D17" i="7"/>
  <c r="J17" i="7" s="1"/>
  <c r="C17" i="7"/>
  <c r="I16" i="7"/>
  <c r="I18" i="7" s="1"/>
  <c r="H16" i="7"/>
  <c r="G16" i="7"/>
  <c r="F16" i="7"/>
  <c r="E16" i="7"/>
  <c r="D16" i="7"/>
  <c r="J16" i="7" s="1"/>
  <c r="C16" i="7"/>
  <c r="J15" i="7"/>
  <c r="I14" i="7"/>
  <c r="H14" i="7"/>
  <c r="G14" i="7"/>
  <c r="F14" i="7"/>
  <c r="E14" i="7"/>
  <c r="J14" i="7" s="1"/>
  <c r="D14" i="7"/>
  <c r="C14" i="7"/>
  <c r="J13" i="7"/>
  <c r="I12" i="7"/>
  <c r="H12" i="7"/>
  <c r="H18" i="7" s="1"/>
  <c r="G12" i="7"/>
  <c r="G18" i="7" s="1"/>
  <c r="F12" i="7"/>
  <c r="F18" i="7" s="1"/>
  <c r="E12" i="7"/>
  <c r="D12" i="7"/>
  <c r="C12" i="7"/>
  <c r="C18" i="7" s="1"/>
  <c r="I9" i="7"/>
  <c r="I10" i="7" s="1"/>
  <c r="H9" i="7"/>
  <c r="H10" i="7" s="1"/>
  <c r="G9" i="7"/>
  <c r="G10" i="7" s="1"/>
  <c r="F9" i="7"/>
  <c r="F10" i="7" s="1"/>
  <c r="E9" i="7"/>
  <c r="E10" i="7" s="1"/>
  <c r="D9" i="7"/>
  <c r="D10" i="7" s="1"/>
  <c r="C9" i="7"/>
  <c r="C10" i="7" s="1"/>
  <c r="J10" i="7" s="1"/>
  <c r="J8" i="7"/>
  <c r="J7" i="7"/>
  <c r="J6" i="7"/>
  <c r="J5" i="7"/>
  <c r="J4" i="7"/>
  <c r="J2" i="7"/>
  <c r="J25" i="6"/>
  <c r="J26" i="6" s="1"/>
  <c r="I25" i="6"/>
  <c r="I26" i="6" s="1"/>
  <c r="H25" i="6"/>
  <c r="H26" i="6" s="1"/>
  <c r="G25" i="6"/>
  <c r="G26" i="6" s="1"/>
  <c r="F25" i="6"/>
  <c r="F26" i="6" s="1"/>
  <c r="E25" i="6"/>
  <c r="E26" i="6" s="1"/>
  <c r="D25" i="6"/>
  <c r="D26" i="6" s="1"/>
  <c r="J9" i="6"/>
  <c r="J10" i="6" s="1"/>
  <c r="I9" i="6"/>
  <c r="I10" i="6" s="1"/>
  <c r="H9" i="6"/>
  <c r="H10" i="6" s="1"/>
  <c r="G9" i="6"/>
  <c r="G10" i="6" s="1"/>
  <c r="F9" i="6"/>
  <c r="F10" i="6" s="1"/>
  <c r="E9" i="6"/>
  <c r="E10" i="6" s="1"/>
  <c r="D9" i="6"/>
  <c r="D10" i="6" s="1"/>
  <c r="J29" i="6"/>
  <c r="I29" i="6"/>
  <c r="H29" i="6"/>
  <c r="G29" i="6"/>
  <c r="F29" i="6"/>
  <c r="E29" i="6"/>
  <c r="D29" i="6"/>
  <c r="J6" i="6"/>
  <c r="I6" i="6"/>
  <c r="H6" i="6"/>
  <c r="G6" i="6"/>
  <c r="F6" i="6"/>
  <c r="E6" i="6"/>
  <c r="D6" i="6"/>
  <c r="K4" i="6"/>
  <c r="K3" i="6"/>
  <c r="J30" i="6" l="1"/>
  <c r="D30" i="6"/>
  <c r="E30" i="6"/>
  <c r="F30" i="6"/>
  <c r="G30" i="6"/>
  <c r="H30" i="6"/>
  <c r="I30" i="6"/>
  <c r="K10" i="6"/>
  <c r="E35" i="6" s="1"/>
  <c r="K19" i="6"/>
  <c r="D42" i="6" s="1"/>
  <c r="K20" i="6"/>
  <c r="E42" i="6" s="1"/>
  <c r="K6" i="6"/>
  <c r="K11" i="6"/>
  <c r="D38" i="6" s="1"/>
  <c r="K22" i="6"/>
  <c r="E43" i="6" s="1"/>
  <c r="G49" i="8"/>
  <c r="I15" i="6" s="1"/>
  <c r="I16" i="6" s="1"/>
  <c r="G48" i="8"/>
  <c r="G13" i="6"/>
  <c r="G14" i="6" s="1"/>
  <c r="E13" i="6"/>
  <c r="E14" i="6" s="1"/>
  <c r="I13" i="6"/>
  <c r="I14" i="6" s="1"/>
  <c r="F13" i="6"/>
  <c r="F14" i="6" s="1"/>
  <c r="J13" i="6"/>
  <c r="J14" i="6" s="1"/>
  <c r="D13" i="6"/>
  <c r="D14" i="6" s="1"/>
  <c r="H13" i="6"/>
  <c r="H14" i="6" s="1"/>
  <c r="K24" i="6"/>
  <c r="E44" i="6" s="1"/>
  <c r="K23" i="6"/>
  <c r="D44" i="6" s="1"/>
  <c r="K21" i="6"/>
  <c r="D43" i="6" s="1"/>
  <c r="K18" i="6"/>
  <c r="E41" i="6" s="1"/>
  <c r="K17" i="6"/>
  <c r="D41" i="6" s="1"/>
  <c r="E10" i="8"/>
  <c r="D18" i="7"/>
  <c r="J18" i="7" s="1"/>
  <c r="E18" i="7"/>
  <c r="J9" i="7"/>
  <c r="J12" i="7"/>
  <c r="K12" i="6"/>
  <c r="E38" i="6" s="1"/>
  <c r="K26" i="6"/>
  <c r="E45" i="6" s="1"/>
  <c r="D4" i="9" s="1"/>
  <c r="K29" i="6"/>
  <c r="D50" i="6" s="1"/>
  <c r="I3" i="9" s="1"/>
  <c r="J3" i="9" s="1"/>
  <c r="K9" i="6"/>
  <c r="D35" i="6" s="1"/>
  <c r="K25" i="6"/>
  <c r="D45" i="6" s="1"/>
  <c r="D3" i="9" s="1"/>
  <c r="B4" i="9" l="1"/>
  <c r="B3" i="9"/>
  <c r="I31" i="6"/>
  <c r="K8" i="1" s="1"/>
  <c r="K30" i="6"/>
  <c r="E50" i="6" s="1"/>
  <c r="I4" i="9" s="1"/>
  <c r="J4" i="9" s="1"/>
  <c r="D5" i="9"/>
  <c r="I32" i="6"/>
  <c r="O8" i="1" s="1"/>
  <c r="G17" i="9" s="1"/>
  <c r="K14" i="6"/>
  <c r="E39" i="6" s="1"/>
  <c r="H15" i="6"/>
  <c r="H16" i="6" s="1"/>
  <c r="H32" i="6" s="1"/>
  <c r="O7" i="1" s="1"/>
  <c r="F17" i="9" s="1"/>
  <c r="J15" i="6"/>
  <c r="J16" i="6" s="1"/>
  <c r="J32" i="6" s="1"/>
  <c r="O9" i="1" s="1"/>
  <c r="H17" i="9" s="1"/>
  <c r="E15" i="6"/>
  <c r="E16" i="6" s="1"/>
  <c r="E32" i="6" s="1"/>
  <c r="O4" i="1" s="1"/>
  <c r="C17" i="9" s="1"/>
  <c r="D15" i="6"/>
  <c r="D16" i="6" s="1"/>
  <c r="F15" i="6"/>
  <c r="G15" i="6"/>
  <c r="G16" i="6" s="1"/>
  <c r="G32" i="6" s="1"/>
  <c r="O6" i="1" s="1"/>
  <c r="E17" i="9" s="1"/>
  <c r="K13" i="6"/>
  <c r="D39" i="6" s="1"/>
  <c r="M8" i="1" l="1"/>
  <c r="S8" i="1"/>
  <c r="G11" i="9"/>
  <c r="B5" i="9"/>
  <c r="I5" i="9"/>
  <c r="H31" i="6"/>
  <c r="K7" i="1" s="1"/>
  <c r="K4" i="1"/>
  <c r="U4" i="1"/>
  <c r="Q4" i="1"/>
  <c r="O3" i="1"/>
  <c r="B17" i="9" s="1"/>
  <c r="U7" i="1"/>
  <c r="Q7" i="1"/>
  <c r="U6" i="1"/>
  <c r="Q6" i="1"/>
  <c r="F16" i="6"/>
  <c r="F32" i="6" s="1"/>
  <c r="O5" i="1" s="1"/>
  <c r="D17" i="9" s="1"/>
  <c r="F31" i="6"/>
  <c r="K5" i="1" s="1"/>
  <c r="U9" i="1"/>
  <c r="Q9" i="1"/>
  <c r="J31" i="6"/>
  <c r="K9" i="1" s="1"/>
  <c r="G31" i="6"/>
  <c r="K6" i="1" s="1"/>
  <c r="U8" i="1"/>
  <c r="Q8" i="1"/>
  <c r="J5" i="9"/>
  <c r="K15" i="6"/>
  <c r="D40" i="6" s="1"/>
  <c r="D51" i="6" s="1"/>
  <c r="G5" i="3"/>
  <c r="G6" i="3"/>
  <c r="G7" i="3"/>
  <c r="G8" i="3"/>
  <c r="G9" i="3"/>
  <c r="G10" i="3"/>
  <c r="G4" i="3"/>
  <c r="F5" i="3"/>
  <c r="F6" i="3"/>
  <c r="F7" i="3"/>
  <c r="F8" i="3"/>
  <c r="F9" i="3"/>
  <c r="F10" i="3"/>
  <c r="F4" i="3"/>
  <c r="D5" i="3"/>
  <c r="D6" i="3"/>
  <c r="D7" i="3"/>
  <c r="D8" i="3"/>
  <c r="D9" i="3"/>
  <c r="D10" i="3"/>
  <c r="D4" i="3"/>
  <c r="B5" i="3"/>
  <c r="B6" i="3"/>
  <c r="B7" i="3"/>
  <c r="B8" i="3"/>
  <c r="B9" i="3"/>
  <c r="B10" i="3"/>
  <c r="B4" i="3"/>
  <c r="H4" i="3" s="1"/>
  <c r="E5" i="3"/>
  <c r="H5" i="3" s="1"/>
  <c r="E6" i="3"/>
  <c r="E7" i="3"/>
  <c r="E8" i="3"/>
  <c r="E9" i="3"/>
  <c r="E10" i="3"/>
  <c r="G10" i="1"/>
  <c r="R6" i="1" l="1"/>
  <c r="V6" i="1"/>
  <c r="E19" i="9" s="1"/>
  <c r="E18" i="9"/>
  <c r="R7" i="1"/>
  <c r="F18" i="9"/>
  <c r="V7" i="1"/>
  <c r="F19" i="9" s="1"/>
  <c r="R8" i="1"/>
  <c r="V8" i="1"/>
  <c r="G19" i="9" s="1"/>
  <c r="G18" i="9"/>
  <c r="R9" i="1"/>
  <c r="V9" i="1"/>
  <c r="H19" i="9" s="1"/>
  <c r="H18" i="9"/>
  <c r="I17" i="9"/>
  <c r="R4" i="1"/>
  <c r="C18" i="9"/>
  <c r="V4" i="1"/>
  <c r="C19" i="9" s="1"/>
  <c r="S9" i="1"/>
  <c r="H11" i="9"/>
  <c r="F11" i="9"/>
  <c r="S7" i="1"/>
  <c r="S5" i="1"/>
  <c r="D11" i="9"/>
  <c r="C11" i="9"/>
  <c r="S4" i="1"/>
  <c r="N8" i="1"/>
  <c r="T8" i="1"/>
  <c r="G13" i="9" s="1"/>
  <c r="G12" i="9"/>
  <c r="S6" i="1"/>
  <c r="E11" i="9"/>
  <c r="H10" i="3"/>
  <c r="E9" i="1" s="1"/>
  <c r="H8" i="3"/>
  <c r="E7" i="1" s="1"/>
  <c r="E3" i="1"/>
  <c r="H9" i="3"/>
  <c r="E8" i="1" s="1"/>
  <c r="H7" i="3"/>
  <c r="E6" i="1" s="1"/>
  <c r="H6" i="3"/>
  <c r="E5" i="1" s="1"/>
  <c r="M4" i="1"/>
  <c r="K16" i="6"/>
  <c r="E40" i="6" s="1"/>
  <c r="M7" i="1"/>
  <c r="M9" i="1"/>
  <c r="K31" i="6"/>
  <c r="K32" i="6"/>
  <c r="M6" i="1"/>
  <c r="M5" i="1"/>
  <c r="U3" i="1"/>
  <c r="Q3" i="1"/>
  <c r="U5" i="1"/>
  <c r="Q5" i="1"/>
  <c r="H4" i="1"/>
  <c r="H5" i="1"/>
  <c r="C3" i="9"/>
  <c r="E3" i="9" s="1"/>
  <c r="K3" i="9" s="1"/>
  <c r="A2" i="6"/>
  <c r="H7" i="1"/>
  <c r="H10" i="1"/>
  <c r="H9" i="1"/>
  <c r="H3" i="1"/>
  <c r="H8" i="1"/>
  <c r="I11" i="9" l="1"/>
  <c r="I22" i="9" s="1"/>
  <c r="X4" i="1"/>
  <c r="C21" i="9" s="1"/>
  <c r="C20" i="9"/>
  <c r="R5" i="1"/>
  <c r="V5" i="1"/>
  <c r="D19" i="9" s="1"/>
  <c r="D18" i="9"/>
  <c r="X7" i="1"/>
  <c r="F21" i="9" s="1"/>
  <c r="F20" i="9"/>
  <c r="X6" i="1"/>
  <c r="E21" i="9" s="1"/>
  <c r="E20" i="9"/>
  <c r="X8" i="1"/>
  <c r="G21" i="9" s="1"/>
  <c r="G20" i="9"/>
  <c r="X9" i="1"/>
  <c r="H21" i="9" s="1"/>
  <c r="H20" i="9"/>
  <c r="K33" i="6"/>
  <c r="B18" i="9"/>
  <c r="I18" i="9" s="1"/>
  <c r="V3" i="1"/>
  <c r="B19" i="9" s="1"/>
  <c r="N7" i="1"/>
  <c r="F12" i="9"/>
  <c r="T7" i="1"/>
  <c r="F13" i="9" s="1"/>
  <c r="N5" i="1"/>
  <c r="D12" i="9"/>
  <c r="T5" i="1"/>
  <c r="D13" i="9" s="1"/>
  <c r="N4" i="1"/>
  <c r="C12" i="9"/>
  <c r="T4" i="1"/>
  <c r="C13" i="9" s="1"/>
  <c r="N6" i="1"/>
  <c r="E12" i="9"/>
  <c r="T6" i="1"/>
  <c r="E13" i="9" s="1"/>
  <c r="W8" i="1"/>
  <c r="G15" i="9" s="1"/>
  <c r="G14" i="9"/>
  <c r="N9" i="1"/>
  <c r="T9" i="1"/>
  <c r="H13" i="9" s="1"/>
  <c r="H12" i="9"/>
  <c r="E51" i="6"/>
  <c r="A3" i="6" s="1"/>
  <c r="E4" i="1"/>
  <c r="E15" i="1" s="1"/>
  <c r="C4" i="9"/>
  <c r="E4" i="9" s="1"/>
  <c r="K4" i="9" s="1"/>
  <c r="Q10" i="1"/>
  <c r="R3" i="1"/>
  <c r="K10" i="1"/>
  <c r="I12" i="9" l="1"/>
  <c r="X5" i="1"/>
  <c r="D21" i="9" s="1"/>
  <c r="D20" i="9"/>
  <c r="X3" i="1"/>
  <c r="B21" i="9" s="1"/>
  <c r="B20" i="9"/>
  <c r="W9" i="1"/>
  <c r="H15" i="9" s="1"/>
  <c r="H14" i="9"/>
  <c r="W5" i="1"/>
  <c r="D15" i="9" s="1"/>
  <c r="D14" i="9"/>
  <c r="W6" i="1"/>
  <c r="E15" i="9" s="1"/>
  <c r="E14" i="9"/>
  <c r="W4" i="1"/>
  <c r="C15" i="9" s="1"/>
  <c r="C14" i="9"/>
  <c r="W7" i="1"/>
  <c r="F15" i="9" s="1"/>
  <c r="F14" i="9"/>
  <c r="D52" i="6"/>
  <c r="A4" i="6" s="1"/>
  <c r="F7" i="1"/>
  <c r="C5" i="9"/>
  <c r="E5" i="9" s="1"/>
  <c r="K5" i="9" s="1"/>
  <c r="R10" i="1"/>
  <c r="N3" i="1"/>
  <c r="M10" i="1"/>
  <c r="F9" i="1"/>
  <c r="F10" i="1"/>
  <c r="F3" i="1"/>
  <c r="F4" i="1"/>
  <c r="F5" i="1"/>
  <c r="F8" i="1"/>
  <c r="F6" i="1"/>
  <c r="O10" i="1"/>
  <c r="I20" i="9" l="1"/>
  <c r="W3" i="1"/>
  <c r="B15" i="9" s="1"/>
  <c r="B14" i="9"/>
  <c r="I14" i="9" s="1"/>
  <c r="N10" i="1"/>
  <c r="O12" i="3"/>
</calcChain>
</file>

<file path=xl/sharedStrings.xml><?xml version="1.0" encoding="utf-8"?>
<sst xmlns="http://schemas.openxmlformats.org/spreadsheetml/2006/main" count="360" uniqueCount="254">
  <si>
    <t>Country</t>
  </si>
  <si>
    <t>Country Work Programme
(Yes/No)</t>
  </si>
  <si>
    <t>No-objection letter
(Yes/No)</t>
  </si>
  <si>
    <t>Estimated GCF funding allocation (in USD)*</t>
  </si>
  <si>
    <t xml:space="preserve">Estimated GCF funding allocation (in %)** </t>
  </si>
  <si>
    <t xml:space="preserve">Estimated co-financing allocation (in USD) </t>
  </si>
  <si>
    <t>Estimated co-financing allocation (in %)</t>
  </si>
  <si>
    <t>Mitigation***</t>
  </si>
  <si>
    <t>Adaptation****</t>
  </si>
  <si>
    <t>Expected total of CO2 emissions avoided</t>
  </si>
  <si>
    <t>Expected total number of direct beneficiaries</t>
  </si>
  <si>
    <t>Percent of females relative to  expected total number of direct beneficiaries</t>
  </si>
  <si>
    <t>Expected total number of indirect beneficiaries</t>
  </si>
  <si>
    <t>Percent of females relative to expected total number of indirect beneficiaries</t>
  </si>
  <si>
    <t xml:space="preserve">Percent of direct beneficiaries relative to total population </t>
  </si>
  <si>
    <t>Percent of female direct beneficiaries relative to total population</t>
  </si>
  <si>
    <t xml:space="preserve">Percent of indirect beneficiaries relative to total population </t>
  </si>
  <si>
    <t>Percent of female indirect beneficiaries relative to total population</t>
  </si>
  <si>
    <t>Guatemala</t>
  </si>
  <si>
    <t>Yes</t>
  </si>
  <si>
    <t>n/a</t>
  </si>
  <si>
    <t>Honduras</t>
  </si>
  <si>
    <t>El Salvador</t>
  </si>
  <si>
    <t>Nicaragua</t>
  </si>
  <si>
    <t>Costa Rica</t>
  </si>
  <si>
    <t>Panama</t>
  </si>
  <si>
    <t>Dominican Republic</t>
  </si>
  <si>
    <t>Subtotal</t>
  </si>
  <si>
    <t>GCF Loan</t>
  </si>
  <si>
    <t>GCF Guarantee</t>
  </si>
  <si>
    <t>Total GCF funding allocation</t>
  </si>
  <si>
    <t>*Funding allocation in USD amounts is preferred but if exact amounts are not available allocation in percentage should be provided</t>
  </si>
  <si>
    <t>**If funding allocation in USD amounts is provided, allocation in percentage can be left blank</t>
  </si>
  <si>
    <t>***As applicable and if available</t>
  </si>
  <si>
    <t>****As applicable and if available</t>
  </si>
  <si>
    <t>Average GCF grant allocated by country and output</t>
  </si>
  <si>
    <t>Outputs:</t>
  </si>
  <si>
    <t>Output 1</t>
  </si>
  <si>
    <t>Output 2</t>
  </si>
  <si>
    <t>Output 3</t>
  </si>
  <si>
    <t>Output 4</t>
  </si>
  <si>
    <t>PMC</t>
  </si>
  <si>
    <t>M&amp;E</t>
  </si>
  <si>
    <t>Total</t>
  </si>
  <si>
    <t>Overview of beneficiaries</t>
  </si>
  <si>
    <t>Country-level date used</t>
  </si>
  <si>
    <t>Domican Republic</t>
  </si>
  <si>
    <t>Total population Dry Corridor</t>
  </si>
  <si>
    <t>TOTAL</t>
  </si>
  <si>
    <t>Population of selected municipalities</t>
  </si>
  <si>
    <t>% population dependent of agriculture/livestock in the Dry Corridor (average taken from data in Annex 3)</t>
  </si>
  <si>
    <t>Population dependent of agriculture/livestock in the Dry Corridor</t>
  </si>
  <si>
    <t>ASSUMPTIONS</t>
  </si>
  <si>
    <t>Average household size</t>
  </si>
  <si>
    <t>Estimation of beneficiaries</t>
  </si>
  <si>
    <t>Beneficiaries per output, activity or sub-activity</t>
  </si>
  <si>
    <t>Outputs</t>
  </si>
  <si>
    <t>Activities</t>
  </si>
  <si>
    <t>Sub-activities</t>
  </si>
  <si>
    <t>DIRECT BENEFICIARIES</t>
  </si>
  <si>
    <t>INDIRECT BENEFICIARIES</t>
  </si>
  <si>
    <t>See Annex 3, Excel tab "4 Ben Sim"</t>
  </si>
  <si>
    <t>3.1.1. to 3.1.4.</t>
  </si>
  <si>
    <t>3.2.1. to 3.2.3.</t>
  </si>
  <si>
    <t>3.3.1. to 3.3.5.</t>
  </si>
  <si>
    <t>TOTAL (Direct &amp; Indirect)</t>
  </si>
  <si>
    <t>References used for assumptions:</t>
  </si>
  <si>
    <t>https://www.ctc-n.org/resources/microfinance-ecosystem-based-adaptation-options-costs-and-benefits-0</t>
  </si>
  <si>
    <t>http://www.fao.org/3/x6366s03.htm</t>
  </si>
  <si>
    <t>Annex 6</t>
  </si>
  <si>
    <t>Annex 21</t>
  </si>
  <si>
    <t>Annex 22</t>
  </si>
  <si>
    <t>Beneficiaries</t>
  </si>
  <si>
    <t>TOTAL
Outputs 1-4</t>
  </si>
  <si>
    <t>Lending*
facility</t>
  </si>
  <si>
    <t>Guarantee*
facility</t>
  </si>
  <si>
    <t>Sub-total</t>
  </si>
  <si>
    <t>Direct</t>
  </si>
  <si>
    <t>Indirect</t>
  </si>
  <si>
    <t>*See Annex 3 for details on methodology</t>
  </si>
  <si>
    <t>UNIT</t>
  </si>
  <si>
    <t>One unit</t>
  </si>
  <si>
    <t>ha</t>
  </si>
  <si>
    <t>ha (considering a crown spread of 6m and 1km2=100ha)</t>
  </si>
  <si>
    <t>TOTAL AREA RELATED TO FORESTS</t>
  </si>
  <si>
    <t>ha (considering 0.5m for the drainage channel width and 1km2=100ha)</t>
  </si>
  <si>
    <t>TOTAL AREA RELATED TO AGRICULTURE</t>
  </si>
  <si>
    <t>HONDURAS</t>
  </si>
  <si>
    <t>Land use distribution in hectares obtained from satellite imagery for the prioritized catchment area.</t>
  </si>
  <si>
    <t>Republica Dominicana</t>
  </si>
  <si>
    <t>Land use</t>
  </si>
  <si>
    <t>Hectares</t>
  </si>
  <si>
    <t>FRSD</t>
  </si>
  <si>
    <t>Deciduous Forest</t>
  </si>
  <si>
    <t>FRST</t>
  </si>
  <si>
    <t>Mixed Forest</t>
  </si>
  <si>
    <t>PINE</t>
  </si>
  <si>
    <t>Pine Forest</t>
  </si>
  <si>
    <t>RNGB</t>
  </si>
  <si>
    <t>Range Shrubland</t>
  </si>
  <si>
    <t>AGRC</t>
  </si>
  <si>
    <t>Small Grains</t>
  </si>
  <si>
    <t>AGRL</t>
  </si>
  <si>
    <t>Generic</t>
  </si>
  <si>
    <t>URMD</t>
  </si>
  <si>
    <t>UCOM</t>
  </si>
  <si>
    <t>BARR</t>
  </si>
  <si>
    <t>WATR</t>
  </si>
  <si>
    <t>GUATEMALA</t>
  </si>
  <si>
    <t>Land use distribution in hectares obtained from Annex 6 (local consultant information).</t>
  </si>
  <si>
    <t>Land Use</t>
  </si>
  <si>
    <t>Zacualpa</t>
  </si>
  <si>
    <t>San Andrés Sajcabajá</t>
  </si>
  <si>
    <t>Uspantán</t>
  </si>
  <si>
    <t>Canillá</t>
  </si>
  <si>
    <t>Chicamán</t>
  </si>
  <si>
    <r>
      <t>Artificialised territories</t>
    </r>
    <r>
      <rPr>
        <sz val="9"/>
        <color rgb="FF00000A"/>
        <rFont val="Calibri"/>
        <family val="2"/>
        <scheme val="minor"/>
      </rPr>
      <t>: urbanised zones, industrial or commercial and non-agricultural artificial green areas.</t>
    </r>
  </si>
  <si>
    <r>
      <t>Artificialised territories</t>
    </r>
    <r>
      <rPr>
        <sz val="9"/>
        <color rgb="FF00000A"/>
        <rFont val="Calibri"/>
        <family val="2"/>
        <scheme val="minor"/>
      </rPr>
      <t xml:space="preserve">: urban fabric, cemetery, runway, green areas and recreation. </t>
    </r>
  </si>
  <si>
    <r>
      <t>Artificialised territories</t>
    </r>
    <r>
      <rPr>
        <sz val="9"/>
        <color rgb="FF00000A"/>
        <rFont val="Calibri"/>
        <family val="2"/>
        <scheme val="minor"/>
      </rPr>
      <t>: urbanised zones, industrial or commercial areas and communication networks, mines, rubble and artificial non-agricultural green areas. </t>
    </r>
  </si>
  <si>
    <t>NI</t>
  </si>
  <si>
    <t>RD</t>
  </si>
  <si>
    <r>
      <t xml:space="preserve">Agricultural territories </t>
    </r>
    <r>
      <rPr>
        <sz val="9"/>
        <color rgb="FF00000A"/>
        <rFont val="Calibri"/>
        <family val="2"/>
        <scheme val="minor"/>
      </rPr>
      <t>with crops such as basic grains (corn and beans), vegetables (potatoes, onions, cabbage, carrots, lettuce), permanent tree crops and natural grass.</t>
    </r>
  </si>
  <si>
    <r>
      <t xml:space="preserve">Agricultural territories </t>
    </r>
    <r>
      <rPr>
        <sz val="9"/>
        <color rgb="FF00000A"/>
        <rFont val="Calibri"/>
        <family val="2"/>
        <scheme val="minor"/>
      </rPr>
      <t>with corn and bean crops, vegetables and grasses.</t>
    </r>
  </si>
  <si>
    <t>kg/año</t>
  </si>
  <si>
    <r>
      <t xml:space="preserve">Agricultural territories </t>
    </r>
    <r>
      <rPr>
        <sz val="9"/>
        <color rgb="FF00000A"/>
        <rFont val="Calibri"/>
        <family val="2"/>
        <scheme val="minor"/>
      </rPr>
      <t>with crops of corn, beans, vegetables, coffee, cardamom, pastures and agroforestry systems.</t>
    </r>
  </si>
  <si>
    <t>persona</t>
  </si>
  <si>
    <r>
      <t xml:space="preserve">Agricultural territories </t>
    </r>
    <r>
      <rPr>
        <sz val="9"/>
        <color rgb="FF00000A"/>
        <rFont val="Calibri"/>
        <family val="2"/>
        <scheme val="minor"/>
      </rPr>
      <t>with annual crops (corn and beans), vegetables (potatoes, onions, cabbage, carrots and lettuce) and other crops that adapt to the semi-warm and temperate climate</t>
    </r>
  </si>
  <si>
    <r>
      <t>Forests and semi-natural means</t>
    </r>
    <r>
      <rPr>
        <sz val="9"/>
        <color rgb="FF00000A"/>
        <rFont val="Calibri"/>
        <family val="2"/>
        <scheme val="minor"/>
      </rPr>
      <t xml:space="preserve"> are mostly mixed type forests</t>
    </r>
    <r>
      <rPr>
        <sz val="9"/>
        <color theme="1"/>
        <rFont val="Calibri"/>
        <family val="2"/>
        <scheme val="minor"/>
      </rPr>
      <t>, followed by conifers</t>
    </r>
    <r>
      <rPr>
        <sz val="9"/>
        <color rgb="FF00000A"/>
        <rFont val="Calibri"/>
        <family val="2"/>
        <scheme val="minor"/>
      </rPr>
      <t>. There are also scattered trees, low shrub vegetation and open spaces, with little or no vegetation.</t>
    </r>
  </si>
  <si>
    <r>
      <t>Forests and semi-natural means</t>
    </r>
    <r>
      <rPr>
        <i/>
        <sz val="9"/>
        <color rgb="FF00000A"/>
        <rFont val="Calibri"/>
        <family val="2"/>
        <scheme val="minor"/>
      </rPr>
      <t xml:space="preserve"> </t>
    </r>
    <r>
      <rPr>
        <sz val="9"/>
        <color rgb="FF00000A"/>
        <rFont val="Calibri"/>
        <family val="2"/>
        <scheme val="minor"/>
      </rPr>
      <t xml:space="preserve">are mostly mixed type forests, </t>
    </r>
    <r>
      <rPr>
        <sz val="9"/>
        <color theme="1"/>
        <rFont val="Calibri"/>
        <family val="2"/>
        <scheme val="minor"/>
      </rPr>
      <t xml:space="preserve">followed by conifers and </t>
    </r>
    <r>
      <rPr>
        <sz val="9"/>
        <color rgb="FF00000A"/>
        <rFont val="Calibri"/>
        <family val="2"/>
        <scheme val="minor"/>
      </rPr>
      <t>broadleaved. Coniferous forest plantations are also found; low shrubby vegetation, beaches, dunes or sand and rocks or lavas</t>
    </r>
  </si>
  <si>
    <r>
      <t>Forests and semi-natural means</t>
    </r>
    <r>
      <rPr>
        <i/>
        <sz val="9"/>
        <color rgb="FF00000A"/>
        <rFont val="Calibri"/>
        <family val="2"/>
        <scheme val="minor"/>
      </rPr>
      <t>,</t>
    </r>
    <r>
      <rPr>
        <sz val="11"/>
        <color theme="1"/>
        <rFont val="Calibri"/>
        <family val="2"/>
        <scheme val="minor"/>
      </rPr>
      <t xml:space="preserve"> </t>
    </r>
    <r>
      <rPr>
        <sz val="9"/>
        <color rgb="FF00000A"/>
        <rFont val="Calibri"/>
        <family val="2"/>
        <scheme val="minor"/>
      </rPr>
      <t>it has mainly broadleaf type forests followed by mixed and coniferous. There are also coniferous and broadleaf forest plantations; low shrub vegetation and beaches, dunes or sand.</t>
    </r>
  </si>
  <si>
    <r>
      <t xml:space="preserve">Forests and semi-natural means </t>
    </r>
    <r>
      <rPr>
        <sz val="9"/>
        <color rgb="FF00000A"/>
        <rFont val="Calibri"/>
        <family val="2"/>
        <scheme val="minor"/>
      </rPr>
      <t xml:space="preserve">mainly with mixed and broadleaved forests, conifers and scattered trees, thickets and / or </t>
    </r>
    <r>
      <rPr>
        <sz val="9"/>
        <color theme="1"/>
        <rFont val="Calibri"/>
        <family val="2"/>
        <scheme val="minor"/>
      </rPr>
      <t>guamil</t>
    </r>
  </si>
  <si>
    <r>
      <t>Forests and semi-natural means</t>
    </r>
    <r>
      <rPr>
        <i/>
        <sz val="9"/>
        <color rgb="FF00000A"/>
        <rFont val="Calibri"/>
        <family val="2"/>
        <scheme val="minor"/>
      </rPr>
      <t xml:space="preserve">, </t>
    </r>
    <r>
      <rPr>
        <sz val="9"/>
        <color rgb="FF00000A"/>
        <rFont val="Calibri"/>
        <family val="2"/>
        <scheme val="minor"/>
      </rPr>
      <t xml:space="preserve">it mainly has mixed forests (19.20%) and broadleaf (16.10%). Scattered trees, bushes and </t>
    </r>
    <r>
      <rPr>
        <sz val="9"/>
        <color theme="1"/>
        <rFont val="Calibri"/>
        <family val="2"/>
        <scheme val="minor"/>
      </rPr>
      <t>guamil</t>
    </r>
    <r>
      <rPr>
        <sz val="9"/>
        <color rgb="FFFF0000"/>
        <rFont val="Calibri"/>
        <family val="2"/>
        <scheme val="minor"/>
      </rPr>
      <t xml:space="preserve"> </t>
    </r>
    <r>
      <rPr>
        <sz val="9"/>
        <color rgb="FF00000A"/>
        <rFont val="Calibri"/>
        <family val="2"/>
        <scheme val="minor"/>
      </rPr>
      <t>(34%).</t>
    </r>
  </si>
  <si>
    <r>
      <t xml:space="preserve">Water bodies </t>
    </r>
    <r>
      <rPr>
        <i/>
        <sz val="9"/>
        <color rgb="FF00000A"/>
        <rFont val="Calibri"/>
        <family val="2"/>
        <scheme val="minor"/>
      </rPr>
      <t xml:space="preserve">  </t>
    </r>
    <r>
      <rPr>
        <sz val="9"/>
        <color rgb="FF00000A"/>
        <rFont val="Calibri"/>
        <family val="2"/>
        <scheme val="minor"/>
      </rPr>
      <t>like rivers.</t>
    </r>
  </si>
  <si>
    <t>Forest cover</t>
  </si>
  <si>
    <t>Forest related EbA activities</t>
  </si>
  <si>
    <t>%</t>
  </si>
  <si>
    <t>Agricultural cover</t>
  </si>
  <si>
    <t>Agroforestry, silvopasture &amp; agriculture related EbA activities</t>
  </si>
  <si>
    <t>Average to use for the countries (%)</t>
  </si>
  <si>
    <t>Direct beneficiaries (Outputs 1 to 4)</t>
  </si>
  <si>
    <t>Indirect beneficiaries (Outputs 1 to 4)</t>
  </si>
  <si>
    <t>Total direct beneficiaries per country</t>
  </si>
  <si>
    <t>Total indirect beneficiaries per country</t>
  </si>
  <si>
    <t>Percent of male direct beneficiaries relative to total population</t>
  </si>
  <si>
    <t>Percent of male indirect beneficiaries relative to total population</t>
  </si>
  <si>
    <t>Expected number of female direct beneficiaries</t>
  </si>
  <si>
    <t>Expected number of male direct beneficiaries</t>
  </si>
  <si>
    <t>Expected number of female indirect beneficiaries</t>
  </si>
  <si>
    <t>Expected number of male indirect beneficiaries</t>
  </si>
  <si>
    <t>Country total population</t>
  </si>
  <si>
    <t>Overview of beneficiaries dissaggregated by country and sex</t>
  </si>
  <si>
    <t>OUTPUT 2 SUB-ACTIVITIES</t>
  </si>
  <si>
    <t>2.1.1. Establish tree nurseries focused on native species</t>
  </si>
  <si>
    <t>2.1.2. Establish forest protection zones.</t>
  </si>
  <si>
    <t xml:space="preserve">2.1.3. Protect and restore natural forest in major recharge areas and riparian zones. </t>
  </si>
  <si>
    <t>2.1.4. Restore forested areas across seven catchments.</t>
  </si>
  <si>
    <t>2.1.5. Restore pine forests in Guatemala, Honduras and Nicaragua.</t>
  </si>
  <si>
    <t>2.1.10. Establish sustainable fuelwood plantations.</t>
  </si>
  <si>
    <t>2.1.11. Establish firebreaks for forests and plantations.</t>
  </si>
  <si>
    <t>2.1.6. Establish agroforestry systems using diversified living fence arrangements in basic grains crops.</t>
  </si>
  <si>
    <t xml:space="preserve">2.1.7. Establish agroforestry systems for natural shade in coffee plantations. </t>
  </si>
  <si>
    <t>2.1.8. Establish silvopasture systems using diversified living fence arrangements.</t>
  </si>
  <si>
    <t>2.1.9. Establish silvopasture systems.</t>
  </si>
  <si>
    <t>2.1.12. Construct living barriers for soil conservation.</t>
  </si>
  <si>
    <t xml:space="preserve">2.1.13. Construct superficial drainage for soil conservation. </t>
  </si>
  <si>
    <t xml:space="preserve">2.2.2. Install community-level rainwater reservoirs in target communities (500 m3). </t>
  </si>
  <si>
    <t xml:space="preserve">2.2.1. Install rainwater harvesting systems on community buildings in each target municipality (25 m3) to provide water for 8-12 families. </t>
  </si>
  <si>
    <t xml:space="preserve">2.2.3. Install half-orange kilns for efficient charcoal production in target communities.  </t>
  </si>
  <si>
    <t>2.2.4 Install community-level water pumping systems by solar panels.</t>
  </si>
  <si>
    <t>See tabs "Extension proposed activities" and "% for 2.1.2. to 2.1.13."</t>
  </si>
  <si>
    <t>Output 1 Direct beneficiaries (1)</t>
  </si>
  <si>
    <t>Output 1 Indirect beneficiaries (2)</t>
  </si>
  <si>
    <t>(1) It is assumed that Output 1 will directly benefit an 8% of the population of the selected municipalities, given the focus of the activities in the selected catchment areas.</t>
  </si>
  <si>
    <t>(2) It is assumed that each person whose technical capacity was strengthened (Output 1) will share their learnings with at least 2 other people (indirect beneficiaries).</t>
  </si>
  <si>
    <t>Output 1. Strengthened technical capacity of local government, farmers and rural communities to implement EbA and other adaptation measures.</t>
  </si>
  <si>
    <t>1.1.1. to 1.1.4.</t>
  </si>
  <si>
    <t>1.2.1. to 1.2.7.</t>
  </si>
  <si>
    <t>1.3.1. to 1.3.3.</t>
  </si>
  <si>
    <t>2.1.1.</t>
  </si>
  <si>
    <t>2.1.2. to 2.1.5., 2.1.10. and 2.1.11.</t>
  </si>
  <si>
    <t xml:space="preserve">2.1.6. to 2.1.9., 2.1.12. and 2.1.13. </t>
  </si>
  <si>
    <t>2.2.1.</t>
  </si>
  <si>
    <t>2.2.2.</t>
  </si>
  <si>
    <t>2.2.3.</t>
  </si>
  <si>
    <t>2.2.4.</t>
  </si>
  <si>
    <t>Sub-activity 2.1.1. Direct beneficiaries (3)</t>
  </si>
  <si>
    <t>Sub-activity 2.1.1. Indirect beneficiaries (4)</t>
  </si>
  <si>
    <t>Sub-activities 2.1.2. to 2.1.5., 2.1.10. and 2.1.11. Direct beneficiaries (5)</t>
  </si>
  <si>
    <t>Sub-activities 2.1.2. to 2.1.5., 2.1.10. and 2.1.11. Indirect beneficiaries (6)</t>
  </si>
  <si>
    <t>Sub-activities 2.1.6. to 2.1.9., 2.1.12. and 2.1.13. Direct beneficiaries (7)</t>
  </si>
  <si>
    <t>Sub-activities 2.1.6. to 2.1.9., 2.1.12. and 2.1.13. Indirect beneficiaries (8)</t>
  </si>
  <si>
    <t>Subactivity 2.2.1. Direct beneficiaries (9)</t>
  </si>
  <si>
    <t>Subactivity 2.2.1. Indirect beneficiaries (10)</t>
  </si>
  <si>
    <t>Subactivity 2.2.2. Direct beneficiaries (11)</t>
  </si>
  <si>
    <t>Subactivity 2.2.2. Indirect beneficiaries (12)</t>
  </si>
  <si>
    <t>Subactivity 2.2.3. Direct beneficiaries (13)</t>
  </si>
  <si>
    <t>Subactivity 2.2.3. Indirect beneficiaries (14)</t>
  </si>
  <si>
    <t>Subactivity 2.2.4. Direct beneficiaries (15)</t>
  </si>
  <si>
    <t>Subactivity 2.2.4. Indirect beneficiaries (16)</t>
  </si>
  <si>
    <t>(3) It is assumed that at least 5 people will be hired for the nurseries in each municipality (5-6 in each country)and they will be considered direct beneficiaries.</t>
  </si>
  <si>
    <t>(4) Family members of the people hired for the nurseries will be considered indirect beneficiaries.</t>
  </si>
  <si>
    <t>(6) It is assumed that for every person directly benefited, 5 will be indirectly benefited.</t>
  </si>
  <si>
    <t>(5) It is estimated that at least 3.99% of the population in the selected municipalities will directly benefit from the implementation of these sub-activities. This % was calculated taken into account average land use and extension of the activities in the territory, as detailed in tab "% for 2.1.2. to 2.1.13."</t>
  </si>
  <si>
    <t>(7) It is estimated that at least 1.25% of the population in the selected municipalities will directly benefit from the implementation of these sub-activities. This % was calculated taken into account average land use and extension of the activities in the territory, as detailed in tab "% for 2.1.2. to 2.1.13."</t>
  </si>
  <si>
    <t>(8) It is assumed that for every person directly benefited, 5 will be indirectly benefited.</t>
  </si>
  <si>
    <t>(9) It is estimated that each rainwater harvesting system (capacity of 25 m3) will directly benefit 8 to 12 families (average of 10).</t>
  </si>
  <si>
    <t>(10) It is assumed that at least 15 people will be indirectly benefited from each rainwater harvesting system through the generation of jobs (installation, transport, maintenance, etc).</t>
  </si>
  <si>
    <t>(11) According to data from MEbA, a community level rainwater reservoir of a capacity of 500 m3 can meet the water needs of 80 heads of cattle during the dry season. Considering FAO's estimation of 10 million heads of cattle distributed in 400 thousand farms in Central America** (25 cattle per farm), its is estimated that each reservoir will benefit at least 3 families dedicated to livestock.</t>
  </si>
  <si>
    <t>(12) It is assume that at least 15 people will be indirectly benefited from each rainwater reservoir through the generation of jobs (installation, transport, maintenance, etc).</t>
  </si>
  <si>
    <t>(13) It is assumed that each kiln (2-6m3) will directly benefit at least 8 families.</t>
  </si>
  <si>
    <t>(14) It is assumed that at least 15 people will be indirectly benefited from each kiln through the generation of jobs (installation, transport, maintenance, etc).</t>
  </si>
  <si>
    <t>(15) It is assumed that each community-level water pumping systems by solar panels (8hp) will directly benefit at least 12 families.</t>
  </si>
  <si>
    <t>(16) It is assumed that at least 15 people will be indirectly benefited from each water pumping system by solar panels through the generation of jobs (installation, transport, maintenance, etc).</t>
  </si>
  <si>
    <t>Output 3 Direct beneficiaries (17)</t>
  </si>
  <si>
    <t>Output 3 Indirect beneficiaries (18)</t>
  </si>
  <si>
    <t>(17) Given the nature of Output 3 (information dissemination), it is assumed that a 4% of the population of the DC will be directly benefited.</t>
  </si>
  <si>
    <t>(18) It is assumed that each person who directly benefited with the information dissemination (Output 3) will share their learnings with at least 1 other person (indirect beneficiaries).</t>
  </si>
  <si>
    <t>Output 3. Information on climate change adaptation and its financing disseminated across the region and mainstreamed into local and national policies.</t>
  </si>
  <si>
    <t>4.1.1. to 4.1.5</t>
  </si>
  <si>
    <t>4.2.1. to 4.2.2.</t>
  </si>
  <si>
    <t>4.3.1. to 4.3.5.</t>
  </si>
  <si>
    <t>(20) For Activity 1.4 the participation of 28 PFI (4 per country) is foreseen. It is estimated that at least between 20 to 30 people from their staff will be trained (average of 25).</t>
  </si>
  <si>
    <t>(21) It is assumed that each staff member trained will pass on what has been learned to at least 2 colleagues from their professional network (indirect beneficiaries).</t>
  </si>
  <si>
    <t>Output 4 Activity 4.3 Direct beneficiaries: Workers from PFI to be trained (20)</t>
  </si>
  <si>
    <t>Output 4 Activity 4.3 Indirect beneficiaries (21)</t>
  </si>
  <si>
    <t>From Annex 3: Output 4 Indirect beneficiaries for activities 4.1 to 4.2</t>
  </si>
  <si>
    <t>From Annex 3: Output 4 Direct beneficiaries for activities 4.1 and 4.2</t>
  </si>
  <si>
    <t>*(19) Output 4 beneficiaries include those calculated for the financial mechanism (taken from Annex 3) and those calculated for activity 4.3.</t>
  </si>
  <si>
    <t>Output 4. Financial products and services to finance EbA investments are offered by Partner Financial Institutions (PFI), including PFI access to EbA on-lending funds and support mechanisms. *(19)</t>
  </si>
  <si>
    <t>1.1. Develop site-specific intervention plans for the 7 target catchments to integrate EbA measures through a participatory process with municipal authorities, local communities, and other stakeholders.
1.2. Provide technical assistance to municipal authorities, farmers and rural communities for the implementation of EbA practices as well as water- and resource-efficient technologies.
1.3. Provide technical assistance to farmers and rural communities for the development of natural resource-based businesses and alternative climate-resilient livelihoods.</t>
  </si>
  <si>
    <t>3.1. Establish regional knowledge hub for the dissemination of information on EbA in the Dry Corridor and Arid Zones.
3.2. Raise awareness of financial mechanisms for the implementation of CCA interventions.
3.3. Enhance capacity of national and local-level policy-makers, in partnership with knowledge network of universities, research centers and private sector, to integrate climate change adaptation and the valuation of natural capital into local policies.</t>
  </si>
  <si>
    <t>Activity 4.3</t>
  </si>
  <si>
    <t>Total Output 4</t>
  </si>
  <si>
    <t>Component 1</t>
  </si>
  <si>
    <t>Component 2</t>
  </si>
  <si>
    <t>Total
Outputs 1-3</t>
  </si>
  <si>
    <t>Annex 3 (**)</t>
  </si>
  <si>
    <t>Summary of Annex 3</t>
  </si>
  <si>
    <t>Dom Rep</t>
  </si>
  <si>
    <t>Lending facility</t>
  </si>
  <si>
    <t>Guarantee facility</t>
  </si>
  <si>
    <t>Females (30%)</t>
  </si>
  <si>
    <t>% of total population</t>
  </si>
  <si>
    <t>Males</t>
  </si>
  <si>
    <t>Total Direct</t>
  </si>
  <si>
    <t>Total Indirect</t>
  </si>
  <si>
    <t>__</t>
  </si>
  <si>
    <t>Females (40%)</t>
  </si>
  <si>
    <t>See tab "Summary Beneficiaries" for a disaggregation by sex and country</t>
  </si>
  <si>
    <t xml:space="preserve">Output 2. Demonstration adaptation interventions implemented in rural communities across seven target catchments in the Dry Corridor and Arid Zones.  </t>
  </si>
  <si>
    <t>2.1. Implement landscape EbA interventions within rural communities across the seven target catchments.
2.2. Implement demonstration water- and resource-efficient technologies within rural communities across the seven target catchments.
2.3. Establish the grant facility to support bottom-up selection and promotion of local EbA activities through non-reimbursable financing and start operations.</t>
  </si>
  <si>
    <t>4.1. Set-up and establish the financial structure for the lending and guarantee facilities.
4.2. Financing mechanism of the EbA lending and guarantee facility.
4.3. Technical assistance (TA) facility to strengthen technical capacity of accredited and non-regulated financial institutions to access and channel funds for small- and large-scale EbA investments.</t>
  </si>
  <si>
    <t>An additional US$60 million in the form of senior loan and US$30 million in the form of a guarantee is being requested from the GCF to be disbursed where appropriate and required during the project implementation period and in accordance with the financial arrangements and policies of the GCF. Given the nature of this fund disbursement, the proportion of the GCF senior loan and guarantee cannot be allocated to a beneficiary country before project implementation. As such, the amounts of these two facilities have not been included in the disaggregated values presented above in this table. Further details on these requests is presented in the 'Notes' tab of Annex 4: Detailed budget and in Annex 3: Financial model.</t>
  </si>
  <si>
    <t>Total GCF grant request for project activities (without contingency)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</si>
</sst>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00\ _€_-;\-* #,##0.00\ _€_-;_-* &quot;-&quot;??\ _€_-;_-@_-"/>
    <numFmt numFmtId="165" formatCode="_-[$$-409]* #,##0_ ;_-[$$-409]* \-#,##0\ ;_-[$$-409]* &quot;-&quot;_ ;_-@_ "/>
    <numFmt numFmtId="166" formatCode="_([$$-409]* #,##0.00_);_([$$-409]* \(#,##0.00\);_([$$-409]* &quot;-&quot;??_);_(@_)"/>
    <numFmt numFmtId="167" formatCode="[$$-409]#,##0"/>
    <numFmt numFmtId="168" formatCode="_(* #,##0_);_(* \(#,##0\);_(* &quot;-&quot;??_);_(@_)"/>
    <numFmt numFmtId="169" formatCode="[$$-409]#,##0.00"/>
    <numFmt numFmtId="170" formatCode="_(&quot;PAB&quot;* #,##0.00_);_(&quot;PAB&quot;* \(#,##0.00\);_(&quot;PAB&quot;* &quot;-&quot;??_);_(@_)"/>
  </numFmts>
  <fonts count="26" x14ac:knownFonts="1">
    <font>
      <sz val="11"/>
      <color theme="1"/>
      <name val="Calibri"/>
      <family val="2"/>
      <scheme val="minor"/>
    </font>
    <font>
      <sz val="9"/>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color rgb="FFFFFFFF"/>
      <name val="Calibri"/>
      <family val="2"/>
      <scheme val="minor"/>
    </font>
    <font>
      <sz val="11"/>
      <color theme="1"/>
      <name val="Calibri"/>
      <family val="2"/>
    </font>
    <font>
      <sz val="8"/>
      <name val="Calibri"/>
      <family val="2"/>
      <scheme val="minor"/>
    </font>
    <font>
      <b/>
      <sz val="11"/>
      <color theme="0"/>
      <name val="Calibri"/>
      <family val="2"/>
      <scheme val="minor"/>
    </font>
    <font>
      <sz val="12"/>
      <color theme="1"/>
      <name val="Calibri"/>
      <family val="2"/>
      <scheme val="minor"/>
    </font>
    <font>
      <u/>
      <sz val="11"/>
      <color theme="10"/>
      <name val="Calibri"/>
      <family val="2"/>
      <scheme val="minor"/>
    </font>
    <font>
      <b/>
      <i/>
      <sz val="11"/>
      <color theme="1"/>
      <name val="Calibri"/>
      <family val="2"/>
      <scheme val="minor"/>
    </font>
    <font>
      <u/>
      <sz val="11"/>
      <color theme="1"/>
      <name val="Calibri"/>
      <family val="2"/>
      <scheme val="minor"/>
    </font>
    <font>
      <i/>
      <sz val="11"/>
      <color theme="1"/>
      <name val="Calibri"/>
      <family val="2"/>
      <scheme val="minor"/>
    </font>
    <font>
      <b/>
      <sz val="9"/>
      <color theme="1"/>
      <name val="Calibri"/>
      <family val="2"/>
      <scheme val="minor"/>
    </font>
    <font>
      <b/>
      <sz val="9"/>
      <color rgb="FF00000A"/>
      <name val="Calibri"/>
      <family val="2"/>
      <scheme val="minor"/>
    </font>
    <font>
      <i/>
      <u/>
      <sz val="9"/>
      <color rgb="FF00000A"/>
      <name val="Calibri"/>
      <family val="2"/>
      <scheme val="minor"/>
    </font>
    <font>
      <sz val="9"/>
      <color rgb="FF00000A"/>
      <name val="Calibri"/>
      <family val="2"/>
      <scheme val="minor"/>
    </font>
    <font>
      <i/>
      <sz val="9"/>
      <color rgb="FF00000A"/>
      <name val="Calibri"/>
      <family val="2"/>
      <scheme val="minor"/>
    </font>
    <font>
      <sz val="9"/>
      <color rgb="FFFF0000"/>
      <name val="Calibri"/>
      <family val="2"/>
      <scheme val="minor"/>
    </font>
    <font>
      <b/>
      <u/>
      <sz val="11"/>
      <name val="Calibri"/>
      <family val="2"/>
      <scheme val="minor"/>
    </font>
    <font>
      <sz val="10"/>
      <color rgb="FF000000"/>
      <name val="Arial"/>
      <family val="2"/>
    </font>
    <font>
      <sz val="10"/>
      <color theme="1"/>
      <name val="Arial"/>
      <family val="2"/>
    </font>
    <font>
      <sz val="8"/>
      <color theme="1"/>
      <name val="Calibri"/>
      <family val="2"/>
      <scheme val="minor"/>
    </font>
    <font>
      <sz val="11"/>
      <color rgb="FF000000"/>
      <name val="Arial"/>
      <family val="2"/>
    </font>
    <font>
      <sz val="11"/>
      <color theme="1"/>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rgb="FF92D050"/>
        <bgColor indexed="64"/>
      </patternFill>
    </fill>
    <fill>
      <patternFill patternType="solid">
        <fgColor rgb="FF00B0F0"/>
        <bgColor indexed="64"/>
      </patternFill>
    </fill>
    <fill>
      <patternFill patternType="solid">
        <fgColor theme="9" tint="0.79998168889431442"/>
        <bgColor indexed="64"/>
      </patternFill>
    </fill>
    <fill>
      <patternFill patternType="solid">
        <fgColor theme="9"/>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s>
  <cellStyleXfs count="13">
    <xf numFmtId="0" fontId="0" fillId="0" borderId="0"/>
    <xf numFmtId="9" fontId="4" fillId="0" borderId="0" applyFont="0" applyFill="0" applyBorder="0" applyAlignment="0" applyProtection="0"/>
    <xf numFmtId="43" fontId="4" fillId="0" borderId="0" applyFont="0" applyFill="0" applyBorder="0" applyAlignment="0" applyProtection="0"/>
    <xf numFmtId="0" fontId="6" fillId="0" borderId="0"/>
    <xf numFmtId="0" fontId="9" fillId="0" borderId="0"/>
    <xf numFmtId="0" fontId="4" fillId="0" borderId="0"/>
    <xf numFmtId="43" fontId="4" fillId="0" borderId="0" applyFont="0" applyFill="0" applyBorder="0" applyAlignment="0" applyProtection="0"/>
    <xf numFmtId="164" fontId="9" fillId="0" borderId="0" applyFont="0" applyFill="0" applyBorder="0" applyAlignment="0" applyProtection="0"/>
    <xf numFmtId="9" fontId="9" fillId="0" borderId="0" applyFont="0" applyFill="0" applyBorder="0" applyAlignment="0" applyProtection="0"/>
    <xf numFmtId="169" fontId="4" fillId="0" borderId="0"/>
    <xf numFmtId="170" fontId="9" fillId="0" borderId="0" applyFont="0" applyFill="0" applyBorder="0" applyAlignment="0" applyProtection="0"/>
    <xf numFmtId="9" fontId="4" fillId="0" borderId="0" applyFont="0" applyFill="0" applyBorder="0" applyAlignment="0" applyProtection="0"/>
    <xf numFmtId="0" fontId="10" fillId="0" borderId="0" applyNumberFormat="0" applyFill="0" applyBorder="0" applyAlignment="0" applyProtection="0"/>
  </cellStyleXfs>
  <cellXfs count="164">
    <xf numFmtId="0" fontId="0" fillId="0" borderId="0" xfId="0"/>
    <xf numFmtId="0" fontId="0" fillId="0" borderId="1" xfId="0" applyBorder="1"/>
    <xf numFmtId="1" fontId="0" fillId="0" borderId="1" xfId="0" applyNumberFormat="1" applyBorder="1"/>
    <xf numFmtId="0" fontId="3" fillId="3" borderId="1" xfId="0" applyFont="1" applyFill="1" applyBorder="1" applyAlignment="1">
      <alignment wrapText="1"/>
    </xf>
    <xf numFmtId="0" fontId="1" fillId="4" borderId="1" xfId="0" applyFont="1" applyFill="1" applyBorder="1" applyAlignment="1">
      <alignment wrapText="1"/>
    </xf>
    <xf numFmtId="0" fontId="2" fillId="3" borderId="1" xfId="0" applyFont="1" applyFill="1" applyBorder="1" applyAlignment="1">
      <alignment horizontal="center"/>
    </xf>
    <xf numFmtId="165" fontId="0" fillId="0" borderId="1" xfId="0" applyNumberFormat="1" applyBorder="1"/>
    <xf numFmtId="165" fontId="0" fillId="0" borderId="0" xfId="0" applyNumberFormat="1"/>
    <xf numFmtId="0" fontId="2" fillId="3" borderId="0" xfId="0" applyFont="1" applyFill="1"/>
    <xf numFmtId="9" fontId="0" fillId="0" borderId="1" xfId="1" applyFont="1" applyBorder="1"/>
    <xf numFmtId="165" fontId="2" fillId="0" borderId="1" xfId="0" applyNumberFormat="1" applyFont="1" applyBorder="1"/>
    <xf numFmtId="10" fontId="2" fillId="0" borderId="1" xfId="1" applyNumberFormat="1" applyFont="1" applyBorder="1"/>
    <xf numFmtId="10" fontId="2" fillId="0" borderId="1" xfId="0" applyNumberFormat="1" applyFont="1" applyBorder="1"/>
    <xf numFmtId="43" fontId="0" fillId="0" borderId="0" xfId="2" applyFont="1"/>
    <xf numFmtId="43" fontId="0" fillId="0" borderId="0" xfId="0" applyNumberFormat="1"/>
    <xf numFmtId="0" fontId="0" fillId="0" borderId="0" xfId="0" applyFill="1"/>
    <xf numFmtId="43" fontId="0" fillId="0" borderId="0" xfId="2" applyFont="1" applyFill="1"/>
    <xf numFmtId="166" fontId="5" fillId="0" borderId="0" xfId="0" applyNumberFormat="1" applyFont="1" applyFill="1" applyAlignment="1">
      <alignment horizontal="center"/>
    </xf>
    <xf numFmtId="166" fontId="0" fillId="0" borderId="0" xfId="0" applyNumberFormat="1" applyFill="1"/>
    <xf numFmtId="165" fontId="0" fillId="0" borderId="0" xfId="0" applyNumberFormat="1" applyFill="1"/>
    <xf numFmtId="0" fontId="2" fillId="0" borderId="0" xfId="0" applyFont="1" applyFill="1"/>
    <xf numFmtId="167" fontId="0" fillId="0" borderId="0" xfId="0" applyNumberFormat="1"/>
    <xf numFmtId="0" fontId="0" fillId="0" borderId="0" xfId="0" applyFill="1" applyBorder="1"/>
    <xf numFmtId="0" fontId="2" fillId="0" borderId="0" xfId="0" applyFont="1" applyFill="1" applyBorder="1"/>
    <xf numFmtId="165" fontId="2" fillId="0" borderId="0" xfId="0" applyNumberFormat="1" applyFont="1" applyFill="1" applyBorder="1"/>
    <xf numFmtId="165" fontId="0" fillId="0" borderId="0" xfId="0" applyNumberFormat="1" applyFill="1" applyBorder="1"/>
    <xf numFmtId="165" fontId="2" fillId="5" borderId="0" xfId="0" applyNumberFormat="1" applyFont="1" applyFill="1"/>
    <xf numFmtId="0" fontId="2" fillId="0" borderId="1" xfId="0" applyFont="1" applyBorder="1" applyAlignment="1"/>
    <xf numFmtId="0" fontId="0" fillId="0" borderId="1" xfId="0" applyFill="1" applyBorder="1" applyAlignment="1">
      <alignment vertical="top" wrapText="1"/>
    </xf>
    <xf numFmtId="0" fontId="0" fillId="0" borderId="1" xfId="0" applyFill="1" applyBorder="1"/>
    <xf numFmtId="10" fontId="0" fillId="0" borderId="1" xfId="1" applyNumberFormat="1" applyFont="1" applyFill="1" applyBorder="1"/>
    <xf numFmtId="168" fontId="2" fillId="0" borderId="1" xfId="2" applyNumberFormat="1" applyFont="1" applyFill="1" applyBorder="1"/>
    <xf numFmtId="168" fontId="2" fillId="0" borderId="1" xfId="2" applyNumberFormat="1" applyFont="1" applyBorder="1"/>
    <xf numFmtId="0" fontId="0" fillId="3" borderId="0" xfId="0" applyFill="1" applyAlignment="1"/>
    <xf numFmtId="0" fontId="0" fillId="5" borderId="0" xfId="0" applyFill="1" applyBorder="1" applyAlignment="1"/>
    <xf numFmtId="0" fontId="0" fillId="0" borderId="0" xfId="0" applyBorder="1"/>
    <xf numFmtId="165" fontId="2" fillId="0" borderId="0" xfId="0" applyNumberFormat="1" applyFont="1" applyBorder="1"/>
    <xf numFmtId="1" fontId="0" fillId="0" borderId="0" xfId="0" applyNumberFormat="1" applyBorder="1"/>
    <xf numFmtId="9" fontId="2" fillId="0" borderId="3" xfId="1" applyFont="1" applyBorder="1"/>
    <xf numFmtId="0" fontId="2" fillId="0" borderId="0" xfId="0" applyFont="1" applyAlignment="1">
      <alignment vertical="center" wrapText="1"/>
    </xf>
    <xf numFmtId="0" fontId="0" fillId="0" borderId="0" xfId="0" applyAlignment="1">
      <alignment vertical="center" wrapText="1"/>
    </xf>
    <xf numFmtId="0" fontId="11" fillId="0" borderId="0" xfId="0" applyFont="1" applyAlignment="1">
      <alignment vertical="center" wrapText="1"/>
    </xf>
    <xf numFmtId="0" fontId="12" fillId="0" borderId="1" xfId="0" applyFont="1" applyBorder="1" applyAlignment="1">
      <alignment horizontal="center" vertical="center" wrapText="1"/>
    </xf>
    <xf numFmtId="0" fontId="0" fillId="0" borderId="1" xfId="0" applyBorder="1" applyAlignment="1">
      <alignment vertical="center" wrapText="1"/>
    </xf>
    <xf numFmtId="168" fontId="0" fillId="0" borderId="1" xfId="2" applyNumberFormat="1" applyFont="1" applyBorder="1" applyAlignment="1">
      <alignment vertical="center" wrapText="1"/>
    </xf>
    <xf numFmtId="168" fontId="0" fillId="0" borderId="1" xfId="2" applyNumberFormat="1" applyFont="1" applyFill="1" applyBorder="1" applyAlignment="1">
      <alignment vertical="center" wrapText="1"/>
    </xf>
    <xf numFmtId="43" fontId="0" fillId="0" borderId="0" xfId="0" applyNumberFormat="1" applyAlignment="1">
      <alignment vertical="center" wrapText="1"/>
    </xf>
    <xf numFmtId="168" fontId="0" fillId="0" borderId="0" xfId="2" applyNumberFormat="1" applyFont="1" applyAlignment="1">
      <alignment vertical="center" wrapText="1"/>
    </xf>
    <xf numFmtId="168" fontId="0" fillId="0" borderId="1" xfId="0" applyNumberFormat="1" applyBorder="1" applyAlignment="1">
      <alignment vertical="center" wrapText="1"/>
    </xf>
    <xf numFmtId="168" fontId="2" fillId="8" borderId="9" xfId="0" applyNumberFormat="1" applyFont="1" applyFill="1" applyBorder="1" applyAlignment="1">
      <alignment vertical="center" wrapText="1"/>
    </xf>
    <xf numFmtId="168" fontId="2" fillId="0" borderId="0" xfId="0" applyNumberFormat="1" applyFont="1" applyAlignment="1">
      <alignment horizontal="center" vertical="center" wrapText="1"/>
    </xf>
    <xf numFmtId="0" fontId="0" fillId="0" borderId="0" xfId="0" applyAlignment="1">
      <alignment horizontal="center" vertical="center" wrapText="1"/>
    </xf>
    <xf numFmtId="0" fontId="13" fillId="0" borderId="0" xfId="0" applyFont="1" applyAlignment="1">
      <alignment vertical="center" wrapText="1"/>
    </xf>
    <xf numFmtId="0" fontId="10" fillId="0" borderId="0" xfId="12" applyAlignment="1">
      <alignment vertical="center" wrapText="1"/>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0" fillId="0" borderId="0" xfId="0" applyAlignment="1">
      <alignment horizontal="left" vertical="top" wrapText="1"/>
    </xf>
    <xf numFmtId="0" fontId="2" fillId="0" borderId="0" xfId="0" applyFont="1"/>
    <xf numFmtId="0" fontId="0" fillId="0" borderId="0" xfId="0" applyAlignment="1">
      <alignment horizontal="center" vertical="top" wrapText="1"/>
    </xf>
    <xf numFmtId="0" fontId="0" fillId="9" borderId="1" xfId="0" applyFill="1" applyBorder="1" applyAlignment="1">
      <alignment horizontal="left" vertical="top" wrapText="1"/>
    </xf>
    <xf numFmtId="0" fontId="0" fillId="9" borderId="1" xfId="0" applyFill="1" applyBorder="1" applyAlignment="1">
      <alignment horizontal="center" vertical="top" wrapText="1"/>
    </xf>
    <xf numFmtId="0" fontId="0" fillId="10" borderId="1" xfId="0" applyFill="1" applyBorder="1" applyAlignment="1">
      <alignment horizontal="left" vertical="top" wrapText="1"/>
    </xf>
    <xf numFmtId="0" fontId="0" fillId="10" borderId="1" xfId="0" applyFill="1" applyBorder="1" applyAlignment="1">
      <alignment horizontal="center" vertical="top" wrapText="1"/>
    </xf>
    <xf numFmtId="0" fontId="0" fillId="11" borderId="1" xfId="0" applyFill="1" applyBorder="1" applyAlignment="1">
      <alignment horizontal="left" vertical="top" wrapText="1"/>
    </xf>
    <xf numFmtId="0" fontId="0" fillId="11" borderId="1" xfId="0" applyFill="1" applyBorder="1" applyAlignment="1">
      <alignment horizontal="center" vertical="top" wrapText="1"/>
    </xf>
    <xf numFmtId="0" fontId="0" fillId="12" borderId="1" xfId="0" applyFill="1" applyBorder="1" applyAlignment="1">
      <alignment horizontal="left" vertical="top" wrapText="1"/>
    </xf>
    <xf numFmtId="0" fontId="0" fillId="12" borderId="1" xfId="0" applyFill="1" applyBorder="1" applyAlignment="1">
      <alignment horizontal="center" vertical="top" wrapText="1"/>
    </xf>
    <xf numFmtId="0" fontId="0" fillId="0" borderId="0" xfId="0" applyAlignment="1">
      <alignment horizontal="center"/>
    </xf>
    <xf numFmtId="0" fontId="0" fillId="0" borderId="0" xfId="0" applyAlignment="1">
      <alignment horizontal="left" vertical="center" wrapText="1"/>
    </xf>
    <xf numFmtId="0" fontId="0" fillId="0" borderId="0" xfId="0" applyAlignment="1">
      <alignment horizontal="right" vertical="center" wrapText="1"/>
    </xf>
    <xf numFmtId="0" fontId="0" fillId="0" borderId="0" xfId="0" applyAlignment="1">
      <alignment horizontal="center" wrapText="1"/>
    </xf>
    <xf numFmtId="0" fontId="0" fillId="0" borderId="2" xfId="0" applyBorder="1" applyAlignment="1">
      <alignment horizontal="left" vertical="top" wrapText="1"/>
    </xf>
    <xf numFmtId="0" fontId="0" fillId="13" borderId="1" xfId="0" applyFill="1" applyBorder="1" applyAlignment="1">
      <alignment horizontal="left" vertical="top" wrapText="1"/>
    </xf>
    <xf numFmtId="0" fontId="16" fillId="0" borderId="1" xfId="0" applyFont="1" applyBorder="1" applyAlignment="1">
      <alignment horizontal="left" vertical="center" wrapText="1"/>
    </xf>
    <xf numFmtId="0" fontId="17" fillId="0" borderId="1" xfId="0" applyFont="1" applyBorder="1" applyAlignment="1">
      <alignment horizontal="center" vertical="center" wrapText="1"/>
    </xf>
    <xf numFmtId="0" fontId="16" fillId="0" borderId="1" xfId="0" applyFont="1" applyBorder="1" applyAlignment="1">
      <alignment horizontal="justify" vertical="center" wrapText="1"/>
    </xf>
    <xf numFmtId="43" fontId="17" fillId="0" borderId="1" xfId="2" applyFont="1" applyFill="1" applyBorder="1" applyAlignment="1">
      <alignment vertical="center"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17" fillId="0" borderId="1" xfId="0" applyFont="1" applyBorder="1" applyAlignment="1">
      <alignment horizontal="justify" vertical="center" wrapText="1"/>
    </xf>
    <xf numFmtId="0" fontId="0" fillId="0" borderId="0" xfId="0" applyAlignment="1">
      <alignment horizontal="right"/>
    </xf>
    <xf numFmtId="2" fontId="2" fillId="7" borderId="0" xfId="0" applyNumberFormat="1" applyFont="1" applyFill="1" applyAlignment="1">
      <alignment horizontal="right"/>
    </xf>
    <xf numFmtId="2" fontId="0" fillId="0" borderId="0" xfId="0" applyNumberFormat="1" applyAlignment="1">
      <alignment horizontal="right"/>
    </xf>
    <xf numFmtId="0" fontId="0" fillId="0" borderId="0" xfId="0" applyAlignment="1">
      <alignment horizontal="left" wrapText="1"/>
    </xf>
    <xf numFmtId="0" fontId="0" fillId="0" borderId="0" xfId="0" applyAlignment="1">
      <alignment horizontal="right" wrapText="1"/>
    </xf>
    <xf numFmtId="2" fontId="2" fillId="12" borderId="0" xfId="0" applyNumberFormat="1" applyFont="1" applyFill="1" applyAlignment="1">
      <alignment horizontal="right" wrapText="1"/>
    </xf>
    <xf numFmtId="2" fontId="0" fillId="0" borderId="0" xfId="0" applyNumberFormat="1"/>
    <xf numFmtId="43" fontId="0" fillId="0" borderId="0" xfId="0" applyNumberFormat="1" applyAlignment="1">
      <alignment horizontal="right"/>
    </xf>
    <xf numFmtId="0" fontId="20" fillId="0" borderId="0" xfId="0" applyFont="1"/>
    <xf numFmtId="0" fontId="0" fillId="7" borderId="0" xfId="0" applyFill="1" applyAlignment="1">
      <alignment vertical="center" wrapText="1"/>
    </xf>
    <xf numFmtId="2" fontId="0" fillId="7" borderId="0" xfId="0" applyNumberFormat="1" applyFill="1"/>
    <xf numFmtId="0" fontId="0" fillId="12" borderId="0" xfId="0" applyFill="1" applyAlignment="1">
      <alignment vertical="center" wrapText="1"/>
    </xf>
    <xf numFmtId="2" fontId="0" fillId="12" borderId="0" xfId="0" applyNumberFormat="1" applyFill="1"/>
    <xf numFmtId="168" fontId="2" fillId="0" borderId="0" xfId="0" applyNumberFormat="1" applyFont="1" applyAlignment="1">
      <alignment horizontal="left" vertical="center" wrapText="1"/>
    </xf>
    <xf numFmtId="168" fontId="2" fillId="0" borderId="0" xfId="0" applyNumberFormat="1" applyFont="1" applyAlignment="1">
      <alignment vertical="center" wrapText="1"/>
    </xf>
    <xf numFmtId="0" fontId="0" fillId="0" borderId="1" xfId="0" applyBorder="1" applyAlignment="1">
      <alignment horizontal="center" vertical="center" wrapText="1"/>
    </xf>
    <xf numFmtId="168" fontId="0" fillId="0" borderId="1" xfId="0" applyNumberFormat="1" applyBorder="1" applyAlignment="1">
      <alignment horizontal="center" vertical="center" wrapText="1"/>
    </xf>
    <xf numFmtId="0" fontId="0" fillId="0" borderId="1" xfId="0" applyBorder="1" applyAlignment="1">
      <alignment horizontal="center" vertical="top" wrapText="1"/>
    </xf>
    <xf numFmtId="168" fontId="0" fillId="0" borderId="0" xfId="0" applyNumberFormat="1" applyAlignment="1">
      <alignment vertical="center" wrapText="1"/>
    </xf>
    <xf numFmtId="0" fontId="0" fillId="0" borderId="7" xfId="0" applyFill="1" applyBorder="1" applyAlignment="1">
      <alignment horizontal="center" vertical="top" wrapText="1"/>
    </xf>
    <xf numFmtId="0" fontId="0" fillId="0" borderId="8" xfId="0" applyFill="1" applyBorder="1" applyAlignment="1">
      <alignment horizontal="center" vertical="top" wrapText="1"/>
    </xf>
    <xf numFmtId="0" fontId="2" fillId="0" borderId="1" xfId="0" applyFont="1" applyBorder="1" applyAlignment="1">
      <alignment vertical="center" wrapText="1"/>
    </xf>
    <xf numFmtId="168" fontId="2" fillId="0" borderId="0" xfId="2" applyNumberFormat="1" applyFont="1" applyAlignment="1">
      <alignment vertical="center" wrapText="1"/>
    </xf>
    <xf numFmtId="2" fontId="0" fillId="0" borderId="1" xfId="0" applyNumberFormat="1" applyBorder="1"/>
    <xf numFmtId="168" fontId="0" fillId="0" borderId="1" xfId="2" applyNumberFormat="1" applyFont="1" applyBorder="1"/>
    <xf numFmtId="0" fontId="14" fillId="4" borderId="1" xfId="0" applyFont="1" applyFill="1" applyBorder="1" applyAlignment="1">
      <alignment wrapText="1"/>
    </xf>
    <xf numFmtId="168" fontId="4" fillId="0" borderId="1" xfId="2" applyNumberFormat="1" applyFont="1" applyBorder="1"/>
    <xf numFmtId="0" fontId="21" fillId="0" borderId="0" xfId="0" applyFont="1" applyBorder="1" applyAlignment="1">
      <alignment vertical="center" wrapText="1"/>
    </xf>
    <xf numFmtId="0" fontId="22" fillId="0" borderId="0" xfId="0" applyFont="1" applyBorder="1" applyAlignment="1">
      <alignment vertical="center" wrapText="1"/>
    </xf>
    <xf numFmtId="0" fontId="23" fillId="0" borderId="0" xfId="0" applyFont="1" applyBorder="1" applyAlignment="1">
      <alignment vertical="center"/>
    </xf>
    <xf numFmtId="0" fontId="0" fillId="0" borderId="1" xfId="0" applyFont="1" applyFill="1" applyBorder="1" applyAlignment="1">
      <alignment horizontal="center" vertical="center" wrapText="1"/>
    </xf>
    <xf numFmtId="168" fontId="2" fillId="0" borderId="1" xfId="2" applyNumberFormat="1" applyFont="1" applyFill="1" applyBorder="1" applyAlignment="1">
      <alignment vertical="center" wrapText="1"/>
    </xf>
    <xf numFmtId="0" fontId="0" fillId="0" borderId="0" xfId="0" applyFont="1"/>
    <xf numFmtId="168" fontId="0" fillId="0" borderId="0" xfId="0" applyNumberFormat="1" applyFont="1"/>
    <xf numFmtId="0" fontId="24" fillId="0" borderId="0" xfId="0" applyFont="1" applyBorder="1" applyAlignment="1">
      <alignment vertical="center" wrapText="1"/>
    </xf>
    <xf numFmtId="0" fontId="0" fillId="0" borderId="0" xfId="0" applyFont="1" applyBorder="1"/>
    <xf numFmtId="0" fontId="25" fillId="0" borderId="0" xfId="0" applyFont="1" applyBorder="1" applyAlignment="1">
      <alignment vertical="center" wrapText="1"/>
    </xf>
    <xf numFmtId="0" fontId="2" fillId="0" borderId="0" xfId="0" applyFont="1" applyFill="1" applyBorder="1" applyAlignment="1">
      <alignment vertical="center" wrapText="1"/>
    </xf>
    <xf numFmtId="0" fontId="2" fillId="0" borderId="1" xfId="0" applyFont="1" applyFill="1" applyBorder="1" applyAlignment="1">
      <alignment horizontal="center" vertical="center" wrapText="1"/>
    </xf>
    <xf numFmtId="165" fontId="0" fillId="0" borderId="1" xfId="0" applyNumberFormat="1" applyFill="1" applyBorder="1"/>
    <xf numFmtId="0" fontId="2" fillId="0" borderId="0" xfId="0" applyFont="1" applyFill="1" applyBorder="1" applyAlignment="1"/>
    <xf numFmtId="165" fontId="2" fillId="0" borderId="1" xfId="0" applyNumberFormat="1" applyFont="1" applyFill="1" applyBorder="1"/>
    <xf numFmtId="165" fontId="0" fillId="5" borderId="0" xfId="0" applyNumberFormat="1" applyFill="1"/>
    <xf numFmtId="0" fontId="2" fillId="0" borderId="1" xfId="0" applyFont="1" applyBorder="1" applyAlignment="1">
      <alignment horizontal="center" vertical="center" wrapText="1"/>
    </xf>
    <xf numFmtId="168" fontId="2" fillId="0" borderId="1" xfId="2" applyNumberFormat="1" applyFont="1" applyFill="1" applyBorder="1" applyAlignment="1">
      <alignment horizontal="center" vertical="center" wrapText="1"/>
    </xf>
    <xf numFmtId="168" fontId="4" fillId="0" borderId="1" xfId="2" applyNumberFormat="1" applyFont="1" applyFill="1" applyBorder="1" applyAlignment="1">
      <alignment horizontal="center" vertical="center" wrapText="1"/>
    </xf>
    <xf numFmtId="2" fontId="4" fillId="0" borderId="1" xfId="1" applyNumberFormat="1" applyFont="1" applyFill="1" applyBorder="1" applyAlignment="1">
      <alignment horizontal="center" vertical="center" wrapText="1"/>
    </xf>
    <xf numFmtId="168" fontId="2" fillId="0" borderId="1" xfId="2" quotePrefix="1" applyNumberFormat="1" applyFont="1" applyFill="1" applyBorder="1" applyAlignment="1">
      <alignment horizontal="center" vertical="center" wrapText="1"/>
    </xf>
    <xf numFmtId="0" fontId="2" fillId="2" borderId="0" xfId="0" applyFont="1" applyFill="1" applyAlignment="1">
      <alignment vertical="center" wrapText="1"/>
    </xf>
    <xf numFmtId="2" fontId="0" fillId="0" borderId="1" xfId="1" applyNumberFormat="1" applyFont="1" applyFill="1" applyBorder="1"/>
    <xf numFmtId="2" fontId="0" fillId="0" borderId="1" xfId="1" applyNumberFormat="1" applyFont="1" applyBorder="1"/>
    <xf numFmtId="168" fontId="2" fillId="0" borderId="0" xfId="0" applyNumberFormat="1" applyFont="1" applyBorder="1"/>
    <xf numFmtId="0" fontId="0" fillId="0" borderId="6" xfId="0" applyFill="1" applyBorder="1" applyAlignment="1">
      <alignment horizontal="center" vertical="top" wrapText="1"/>
    </xf>
    <xf numFmtId="0" fontId="0" fillId="0" borderId="7" xfId="0" applyFill="1" applyBorder="1" applyAlignment="1">
      <alignment horizontal="center" vertical="top" wrapText="1"/>
    </xf>
    <xf numFmtId="0" fontId="0" fillId="0" borderId="5" xfId="0" applyFill="1" applyBorder="1" applyAlignment="1">
      <alignment horizontal="center" vertical="top" wrapText="1"/>
    </xf>
    <xf numFmtId="0" fontId="0" fillId="0" borderId="8" xfId="0" applyFill="1" applyBorder="1" applyAlignment="1">
      <alignment horizontal="center" vertical="top" wrapText="1"/>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4" xfId="0" applyFont="1" applyBorder="1" applyAlignment="1">
      <alignment horizontal="left" vertical="top"/>
    </xf>
    <xf numFmtId="0" fontId="0" fillId="2" borderId="1" xfId="0" applyFill="1" applyBorder="1" applyAlignment="1">
      <alignment horizontal="left" wrapText="1"/>
    </xf>
    <xf numFmtId="0" fontId="0" fillId="2" borderId="1" xfId="0" applyFill="1" applyBorder="1" applyAlignment="1">
      <alignment horizontal="center"/>
    </xf>
    <xf numFmtId="0" fontId="0" fillId="0" borderId="1" xfId="0" applyBorder="1" applyAlignment="1">
      <alignment horizontal="center"/>
    </xf>
    <xf numFmtId="0" fontId="3" fillId="2" borderId="1" xfId="0" applyFont="1" applyFill="1" applyBorder="1" applyAlignment="1">
      <alignment horizontal="left" wrapText="1"/>
    </xf>
    <xf numFmtId="0" fontId="2" fillId="4" borderId="15" xfId="0" applyFont="1" applyFill="1" applyBorder="1" applyAlignment="1">
      <alignment horizontal="center"/>
    </xf>
    <xf numFmtId="0" fontId="2" fillId="4" borderId="5" xfId="0" applyFont="1" applyFill="1" applyBorder="1" applyAlignment="1">
      <alignment horizontal="center"/>
    </xf>
    <xf numFmtId="0" fontId="8" fillId="6" borderId="0" xfId="0" applyFont="1" applyFill="1" applyAlignment="1">
      <alignment horizontal="center"/>
    </xf>
    <xf numFmtId="0" fontId="2" fillId="8" borderId="1" xfId="0" applyFont="1" applyFill="1" applyBorder="1" applyAlignment="1">
      <alignment horizontal="center" vertical="center" wrapText="1"/>
    </xf>
    <xf numFmtId="168" fontId="2" fillId="8" borderId="12" xfId="0" applyNumberFormat="1" applyFont="1" applyFill="1" applyBorder="1" applyAlignment="1">
      <alignment vertical="center" wrapText="1"/>
    </xf>
    <xf numFmtId="0" fontId="2" fillId="8" borderId="14" xfId="0" applyFont="1" applyFill="1" applyBorder="1" applyAlignment="1">
      <alignment vertical="center" wrapText="1"/>
    </xf>
    <xf numFmtId="0" fontId="0" fillId="0" borderId="1" xfId="0" applyBorder="1" applyAlignment="1">
      <alignment horizontal="center" vertical="center" wrapText="1"/>
    </xf>
    <xf numFmtId="168" fontId="0" fillId="0" borderId="1" xfId="0" applyNumberFormat="1" applyBorder="1" applyAlignment="1">
      <alignment horizontal="center" vertical="center" wrapText="1"/>
    </xf>
    <xf numFmtId="168" fontId="0" fillId="0" borderId="1" xfId="2" applyNumberFormat="1" applyFont="1"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top" wrapText="1"/>
    </xf>
    <xf numFmtId="0" fontId="14" fillId="0" borderId="1" xfId="0" applyFont="1" applyBorder="1" applyAlignment="1">
      <alignment horizontal="center" vertical="center" wrapText="1"/>
    </xf>
  </cellXfs>
  <cellStyles count="13">
    <cellStyle name="Comma" xfId="2" builtinId="3"/>
    <cellStyle name="Comma 2" xfId="6" xr:uid="{43EFFCCF-F28A-44E7-A5C0-31242F444234}"/>
    <cellStyle name="Comma 3" xfId="7" xr:uid="{AB78A8DB-BB31-4E4F-A69E-AF63AF749A06}"/>
    <cellStyle name="Currency 2" xfId="10" xr:uid="{1B16F84D-9681-479C-B032-F99C5F80D502}"/>
    <cellStyle name="Hyperlink" xfId="12" builtinId="8"/>
    <cellStyle name="Normal" xfId="0" builtinId="0"/>
    <cellStyle name="Normal 2" xfId="3" xr:uid="{023EB6B9-CC22-4131-AE50-DFD3E53A67E3}"/>
    <cellStyle name="Normal 2 2" xfId="5" xr:uid="{09A951DF-9412-4D80-85E4-3866001A4471}"/>
    <cellStyle name="Normal 3" xfId="4" xr:uid="{CE963DE5-3773-4A14-8E74-9FD313345FBB}"/>
    <cellStyle name="Normal 4" xfId="9" xr:uid="{1DB2CE1C-3184-4DE7-A779-E56D457BCD23}"/>
    <cellStyle name="Percent" xfId="1" builtinId="5"/>
    <cellStyle name="Percent 2" xfId="8" xr:uid="{C3A37BAB-4104-469C-A976-9AE482FE3F72}"/>
    <cellStyle name="Percent 2 2" xfId="11" xr:uid="{2E1CB2AA-3543-4B30-B8A9-9868EF5915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tc-n.org/resources/microfinance-ecosystem-based-adaptation-options-costs-and-benefits-0" TargetMode="External"/><Relationship Id="rId1" Type="http://schemas.openxmlformats.org/officeDocument/2006/relationships/hyperlink" Target="http://www.fao.org/3/x6366s03.ht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B3F9A-8226-4298-BFCA-B6CA9A7EF365}">
  <dimension ref="A1:Z29"/>
  <sheetViews>
    <sheetView tabSelected="1" zoomScale="84" zoomScaleNormal="84" workbookViewId="0">
      <pane xSplit="2" ySplit="2" topLeftCell="C3" activePane="bottomRight" state="frozen"/>
      <selection pane="topRight" activeCell="C1" sqref="C1"/>
      <selection pane="bottomLeft" activeCell="A3" sqref="A3"/>
      <selection pane="bottomRight" activeCell="G7" sqref="G7"/>
    </sheetView>
  </sheetViews>
  <sheetFormatPr defaultColWidth="8.7109375" defaultRowHeight="15" x14ac:dyDescent="0.25"/>
  <cols>
    <col min="1" max="1" width="3.28515625" customWidth="1"/>
    <col min="2" max="2" width="46.5703125" customWidth="1"/>
    <col min="3" max="3" width="17.28515625" bestFit="1" customWidth="1"/>
    <col min="4" max="4" width="11.7109375" customWidth="1"/>
    <col min="5" max="11" width="16.140625" customWidth="1"/>
    <col min="12" max="24" width="14.28515625" customWidth="1"/>
  </cols>
  <sheetData>
    <row r="1" spans="1:26" x14ac:dyDescent="0.25">
      <c r="A1" s="141"/>
      <c r="B1" s="140" t="s">
        <v>0</v>
      </c>
      <c r="C1" s="139" t="s">
        <v>1</v>
      </c>
      <c r="D1" s="139" t="s">
        <v>2</v>
      </c>
      <c r="E1" s="139" t="s">
        <v>3</v>
      </c>
      <c r="F1" s="142" t="s">
        <v>4</v>
      </c>
      <c r="G1" s="142" t="s">
        <v>5</v>
      </c>
      <c r="H1" s="142" t="s">
        <v>6</v>
      </c>
      <c r="I1" s="142" t="s">
        <v>149</v>
      </c>
      <c r="J1" s="5" t="s">
        <v>7</v>
      </c>
      <c r="K1" s="143" t="s">
        <v>8</v>
      </c>
      <c r="L1" s="144"/>
      <c r="M1" s="144"/>
      <c r="N1" s="144"/>
      <c r="O1" s="144"/>
      <c r="P1" s="144"/>
      <c r="Q1" s="144"/>
      <c r="R1" s="144"/>
      <c r="S1" s="144"/>
      <c r="T1" s="144"/>
      <c r="U1" s="144"/>
      <c r="V1" s="144"/>
      <c r="W1" s="144"/>
      <c r="X1" s="144"/>
    </row>
    <row r="2" spans="1:26" ht="88.5" customHeight="1" x14ac:dyDescent="0.25">
      <c r="A2" s="141"/>
      <c r="B2" s="140"/>
      <c r="C2" s="139"/>
      <c r="D2" s="139"/>
      <c r="E2" s="139"/>
      <c r="F2" s="142"/>
      <c r="G2" s="142"/>
      <c r="H2" s="142"/>
      <c r="I2" s="142"/>
      <c r="J2" s="3" t="s">
        <v>9</v>
      </c>
      <c r="K2" s="4" t="s">
        <v>10</v>
      </c>
      <c r="L2" s="4" t="s">
        <v>11</v>
      </c>
      <c r="M2" s="105" t="s">
        <v>145</v>
      </c>
      <c r="N2" s="105" t="s">
        <v>146</v>
      </c>
      <c r="O2" s="4" t="s">
        <v>12</v>
      </c>
      <c r="P2" s="4" t="s">
        <v>13</v>
      </c>
      <c r="Q2" s="105" t="s">
        <v>147</v>
      </c>
      <c r="R2" s="105" t="s">
        <v>148</v>
      </c>
      <c r="S2" s="4" t="s">
        <v>14</v>
      </c>
      <c r="T2" s="105" t="s">
        <v>15</v>
      </c>
      <c r="U2" s="4" t="s">
        <v>16</v>
      </c>
      <c r="V2" s="105" t="s">
        <v>17</v>
      </c>
      <c r="W2" s="105" t="s">
        <v>143</v>
      </c>
      <c r="X2" s="105" t="s">
        <v>144</v>
      </c>
    </row>
    <row r="3" spans="1:26" x14ac:dyDescent="0.25">
      <c r="A3" s="1">
        <v>1</v>
      </c>
      <c r="B3" s="1" t="s">
        <v>18</v>
      </c>
      <c r="C3" s="1"/>
      <c r="D3" s="1" t="s">
        <v>19</v>
      </c>
      <c r="E3" s="6">
        <f>'Budget by country'!H4</f>
        <v>11939771.428571427</v>
      </c>
      <c r="F3" s="9">
        <f t="shared" ref="F3:F10" si="0">E3/$E$10</f>
        <v>0.14285714285714285</v>
      </c>
      <c r="G3" s="119">
        <v>9310125</v>
      </c>
      <c r="H3" s="9">
        <f>G3/$G$10</f>
        <v>0.18161829895958545</v>
      </c>
      <c r="I3" s="104">
        <v>17250000</v>
      </c>
      <c r="J3" s="1" t="s">
        <v>20</v>
      </c>
      <c r="K3" s="104">
        <f>+'Beneficiaries estimation'!D31</f>
        <v>318035</v>
      </c>
      <c r="L3" s="9">
        <v>0.3</v>
      </c>
      <c r="M3" s="104">
        <f>+ROUNDUP((K3*L3),0)</f>
        <v>95411</v>
      </c>
      <c r="N3" s="104">
        <f>+K3-M3</f>
        <v>222624</v>
      </c>
      <c r="O3" s="2">
        <f>+'Beneficiaries estimation'!D32</f>
        <v>356906</v>
      </c>
      <c r="P3" s="9">
        <v>0.4</v>
      </c>
      <c r="Q3" s="104">
        <f>+ROUNDUP((O3*P3),0)</f>
        <v>142763</v>
      </c>
      <c r="R3" s="104">
        <f>+O3-Q3</f>
        <v>214143</v>
      </c>
      <c r="S3" s="30">
        <f t="shared" ref="S3:S9" si="1">K3/I3</f>
        <v>1.84368115942029E-2</v>
      </c>
      <c r="T3" s="129">
        <f>+M3*100/I3</f>
        <v>0.55310724637681163</v>
      </c>
      <c r="U3" s="30">
        <f t="shared" ref="U3:U9" si="2">O3/I3</f>
        <v>2.0690202898550725E-2</v>
      </c>
      <c r="V3" s="130">
        <f>+Q3*100/I3</f>
        <v>0.82761159420289854</v>
      </c>
      <c r="W3" s="103">
        <f>+N3*100/I3</f>
        <v>1.2905739130434783</v>
      </c>
      <c r="X3" s="103">
        <f>+R3*100/I3</f>
        <v>1.2414086956521739</v>
      </c>
      <c r="Y3" s="14"/>
      <c r="Z3" s="14"/>
    </row>
    <row r="4" spans="1:26" x14ac:dyDescent="0.25">
      <c r="A4" s="1">
        <v>2</v>
      </c>
      <c r="B4" s="1" t="s">
        <v>21</v>
      </c>
      <c r="C4" s="1"/>
      <c r="D4" s="1" t="s">
        <v>19</v>
      </c>
      <c r="E4" s="6">
        <f>'Budget by country'!H5</f>
        <v>11939771.428571427</v>
      </c>
      <c r="F4" s="9">
        <f t="shared" si="0"/>
        <v>0.14285714285714285</v>
      </c>
      <c r="G4" s="119">
        <v>7000000</v>
      </c>
      <c r="H4" s="9">
        <f t="shared" ref="H4:H10" si="3">G4/$G$10</f>
        <v>0.13655327857758065</v>
      </c>
      <c r="I4" s="104">
        <v>9588000</v>
      </c>
      <c r="J4" s="1" t="s">
        <v>20</v>
      </c>
      <c r="K4" s="104">
        <f>+'Beneficiaries estimation'!E31</f>
        <v>175438</v>
      </c>
      <c r="L4" s="9">
        <v>0.3</v>
      </c>
      <c r="M4" s="104">
        <f t="shared" ref="M4:M9" si="4">+ROUNDUP((K4*L4),0)</f>
        <v>52632</v>
      </c>
      <c r="N4" s="104">
        <f t="shared" ref="N4:N9" si="5">+K4-M4</f>
        <v>122806</v>
      </c>
      <c r="O4" s="2">
        <f>+'Beneficiaries estimation'!E32</f>
        <v>234124</v>
      </c>
      <c r="P4" s="9">
        <v>0.4</v>
      </c>
      <c r="Q4" s="104">
        <f t="shared" ref="Q4:Q9" si="6">+ROUNDUP((O4*P4),0)</f>
        <v>93650</v>
      </c>
      <c r="R4" s="104">
        <f t="shared" ref="R4:R9" si="7">+O4-Q4</f>
        <v>140474</v>
      </c>
      <c r="S4" s="30">
        <f t="shared" si="1"/>
        <v>1.8297663746349602E-2</v>
      </c>
      <c r="T4" s="129">
        <f t="shared" ref="T4:T9" si="8">+M4*100/I4</f>
        <v>0.54893617021276597</v>
      </c>
      <c r="U4" s="30">
        <f t="shared" si="2"/>
        <v>2.4418439716312058E-2</v>
      </c>
      <c r="V4" s="130">
        <f t="shared" ref="V4:V9" si="9">+Q4*100/I4</f>
        <v>0.97674176053400086</v>
      </c>
      <c r="W4" s="103">
        <f t="shared" ref="W4:W9" si="10">+N4*100/I4</f>
        <v>1.2808302044221944</v>
      </c>
      <c r="X4" s="103">
        <f t="shared" ref="X4:X9" si="11">+R4*100/I4</f>
        <v>1.4651022110972047</v>
      </c>
      <c r="Y4" s="14"/>
      <c r="Z4" s="14"/>
    </row>
    <row r="5" spans="1:26" x14ac:dyDescent="0.25">
      <c r="A5" s="1">
        <v>3</v>
      </c>
      <c r="B5" s="1" t="s">
        <v>22</v>
      </c>
      <c r="C5" s="1"/>
      <c r="D5" s="1" t="s">
        <v>19</v>
      </c>
      <c r="E5" s="6">
        <f>'Budget by country'!H6</f>
        <v>11939771.428571427</v>
      </c>
      <c r="F5" s="9">
        <f>E5/$E$10</f>
        <v>0.14285714285714285</v>
      </c>
      <c r="G5" s="119">
        <v>7073737.7199999997</v>
      </c>
      <c r="H5" s="9">
        <f>G5/$G$10</f>
        <v>0.13799172535198573</v>
      </c>
      <c r="I5" s="104">
        <v>6421000</v>
      </c>
      <c r="J5" s="1" t="s">
        <v>20</v>
      </c>
      <c r="K5" s="104">
        <f>+'Beneficiaries estimation'!F31</f>
        <v>249825</v>
      </c>
      <c r="L5" s="9">
        <v>0.3</v>
      </c>
      <c r="M5" s="104">
        <f t="shared" si="4"/>
        <v>74948</v>
      </c>
      <c r="N5" s="104">
        <f t="shared" si="5"/>
        <v>174877</v>
      </c>
      <c r="O5" s="2">
        <f>+'Beneficiaries estimation'!F32</f>
        <v>315568</v>
      </c>
      <c r="P5" s="9">
        <v>0.4</v>
      </c>
      <c r="Q5" s="104">
        <f t="shared" si="6"/>
        <v>126228</v>
      </c>
      <c r="R5" s="104">
        <f t="shared" si="7"/>
        <v>189340</v>
      </c>
      <c r="S5" s="30">
        <f t="shared" si="1"/>
        <v>3.8907491045008569E-2</v>
      </c>
      <c r="T5" s="129">
        <f t="shared" si="8"/>
        <v>1.1672325182993304</v>
      </c>
      <c r="U5" s="30">
        <f t="shared" si="2"/>
        <v>4.9146238903597574E-2</v>
      </c>
      <c r="V5" s="130">
        <f t="shared" si="9"/>
        <v>1.9658620152624202</v>
      </c>
      <c r="W5" s="103">
        <f t="shared" si="10"/>
        <v>2.723516586201526</v>
      </c>
      <c r="X5" s="103">
        <f t="shared" si="11"/>
        <v>2.948761875097337</v>
      </c>
      <c r="Y5" s="14"/>
      <c r="Z5" s="14"/>
    </row>
    <row r="6" spans="1:26" x14ac:dyDescent="0.25">
      <c r="A6" s="1">
        <v>4</v>
      </c>
      <c r="B6" s="1" t="s">
        <v>23</v>
      </c>
      <c r="C6" s="1"/>
      <c r="D6" s="1" t="s">
        <v>19</v>
      </c>
      <c r="E6" s="6">
        <f>'Budget by country'!H7</f>
        <v>11939771.428571427</v>
      </c>
      <c r="F6" s="9">
        <f t="shared" si="0"/>
        <v>0.14285714285714285</v>
      </c>
      <c r="G6" s="119">
        <v>10289261</v>
      </c>
      <c r="H6" s="9">
        <f>G6/$G$10</f>
        <v>0.200718903384348</v>
      </c>
      <c r="I6" s="104">
        <v>6466000</v>
      </c>
      <c r="J6" s="1" t="s">
        <v>20</v>
      </c>
      <c r="K6" s="104">
        <f>+'Beneficiaries estimation'!G31</f>
        <v>202496</v>
      </c>
      <c r="L6" s="9">
        <v>0.3</v>
      </c>
      <c r="M6" s="104">
        <f t="shared" si="4"/>
        <v>60749</v>
      </c>
      <c r="N6" s="104">
        <f t="shared" si="5"/>
        <v>141747</v>
      </c>
      <c r="O6" s="2">
        <f>+'Beneficiaries estimation'!G32</f>
        <v>229714</v>
      </c>
      <c r="P6" s="9">
        <v>0.4</v>
      </c>
      <c r="Q6" s="104">
        <f t="shared" si="6"/>
        <v>91886</v>
      </c>
      <c r="R6" s="104">
        <f t="shared" si="7"/>
        <v>137828</v>
      </c>
      <c r="S6" s="30">
        <f t="shared" si="1"/>
        <v>3.1317042994123107E-2</v>
      </c>
      <c r="T6" s="129">
        <f t="shared" si="8"/>
        <v>0.93951438292607481</v>
      </c>
      <c r="U6" s="30">
        <f t="shared" si="2"/>
        <v>3.5526446025363437E-2</v>
      </c>
      <c r="V6" s="130">
        <f t="shared" si="9"/>
        <v>1.4210640272193009</v>
      </c>
      <c r="W6" s="103">
        <f t="shared" si="10"/>
        <v>2.1921899164862357</v>
      </c>
      <c r="X6" s="103">
        <f t="shared" si="11"/>
        <v>2.1315805753170429</v>
      </c>
      <c r="Y6" s="14"/>
      <c r="Z6" s="14"/>
    </row>
    <row r="7" spans="1:26" x14ac:dyDescent="0.25">
      <c r="A7" s="1">
        <v>5</v>
      </c>
      <c r="B7" s="1" t="s">
        <v>24</v>
      </c>
      <c r="C7" s="1"/>
      <c r="D7" s="1" t="s">
        <v>19</v>
      </c>
      <c r="E7" s="6">
        <f>'Budget by country'!H8</f>
        <v>11939771.428571427</v>
      </c>
      <c r="F7" s="9">
        <f t="shared" si="0"/>
        <v>0.14285714285714285</v>
      </c>
      <c r="G7" s="119">
        <v>8388919</v>
      </c>
      <c r="H7" s="9">
        <f t="shared" si="3"/>
        <v>0.16364777045310847</v>
      </c>
      <c r="I7" s="104">
        <v>4999000</v>
      </c>
      <c r="J7" s="1" t="s">
        <v>20</v>
      </c>
      <c r="K7" s="104">
        <f>+'Beneficiaries estimation'!H31</f>
        <v>69155</v>
      </c>
      <c r="L7" s="9">
        <v>0.3</v>
      </c>
      <c r="M7" s="104">
        <f t="shared" si="4"/>
        <v>20747</v>
      </c>
      <c r="N7" s="104">
        <f t="shared" si="5"/>
        <v>48408</v>
      </c>
      <c r="O7" s="2">
        <f>+'Beneficiaries estimation'!H32</f>
        <v>130148</v>
      </c>
      <c r="P7" s="9">
        <v>0.4</v>
      </c>
      <c r="Q7" s="104">
        <f t="shared" si="6"/>
        <v>52060</v>
      </c>
      <c r="R7" s="104">
        <f t="shared" si="7"/>
        <v>78088</v>
      </c>
      <c r="S7" s="30">
        <f t="shared" si="1"/>
        <v>1.3833766753350671E-2</v>
      </c>
      <c r="T7" s="129">
        <f t="shared" si="8"/>
        <v>0.41502300460092018</v>
      </c>
      <c r="U7" s="30">
        <f t="shared" si="2"/>
        <v>2.6034806961392279E-2</v>
      </c>
      <c r="V7" s="130">
        <f t="shared" si="9"/>
        <v>1.0414082816563313</v>
      </c>
      <c r="W7" s="103">
        <f t="shared" si="10"/>
        <v>0.9683536707341468</v>
      </c>
      <c r="X7" s="103">
        <f t="shared" si="11"/>
        <v>1.5620724144828966</v>
      </c>
      <c r="Y7" s="14"/>
      <c r="Z7" s="14"/>
    </row>
    <row r="8" spans="1:26" x14ac:dyDescent="0.25">
      <c r="A8" s="1">
        <v>6</v>
      </c>
      <c r="B8" s="1" t="s">
        <v>25</v>
      </c>
      <c r="C8" s="1"/>
      <c r="D8" s="1" t="s">
        <v>19</v>
      </c>
      <c r="E8" s="6">
        <f>'Budget by country'!H9</f>
        <v>11939771.428571427</v>
      </c>
      <c r="F8" s="9">
        <f t="shared" si="0"/>
        <v>0.14285714285714285</v>
      </c>
      <c r="G8" s="119">
        <v>4000000</v>
      </c>
      <c r="H8" s="9">
        <f t="shared" si="3"/>
        <v>7.8030444901474663E-2</v>
      </c>
      <c r="I8" s="104">
        <v>4177000</v>
      </c>
      <c r="J8" s="1" t="s">
        <v>20</v>
      </c>
      <c r="K8" s="104">
        <f>+'Beneficiaries estimation'!I31</f>
        <v>25089</v>
      </c>
      <c r="L8" s="9">
        <v>0.3</v>
      </c>
      <c r="M8" s="104">
        <f t="shared" si="4"/>
        <v>7527</v>
      </c>
      <c r="N8" s="104">
        <f t="shared" si="5"/>
        <v>17562</v>
      </c>
      <c r="O8" s="2">
        <f>+'Beneficiaries estimation'!I32</f>
        <v>34447</v>
      </c>
      <c r="P8" s="9">
        <v>0.4</v>
      </c>
      <c r="Q8" s="104">
        <f t="shared" si="6"/>
        <v>13779</v>
      </c>
      <c r="R8" s="104">
        <f t="shared" si="7"/>
        <v>20668</v>
      </c>
      <c r="S8" s="30">
        <f t="shared" si="1"/>
        <v>6.0064639693559975E-3</v>
      </c>
      <c r="T8" s="129">
        <f t="shared" si="8"/>
        <v>0.18020110126885325</v>
      </c>
      <c r="U8" s="30">
        <f t="shared" si="2"/>
        <v>8.2468278668901118E-3</v>
      </c>
      <c r="V8" s="130">
        <f t="shared" si="9"/>
        <v>0.32987790280105339</v>
      </c>
      <c r="W8" s="103">
        <f t="shared" si="10"/>
        <v>0.42044529566674649</v>
      </c>
      <c r="X8" s="103">
        <f t="shared" si="11"/>
        <v>0.49480488388795785</v>
      </c>
      <c r="Y8" s="14"/>
      <c r="Z8" s="14"/>
    </row>
    <row r="9" spans="1:26" x14ac:dyDescent="0.25">
      <c r="A9" s="1">
        <v>7</v>
      </c>
      <c r="B9" s="1" t="s">
        <v>26</v>
      </c>
      <c r="C9" s="1"/>
      <c r="D9" s="1" t="s">
        <v>19</v>
      </c>
      <c r="E9" s="6">
        <f>'Budget by country'!H10</f>
        <v>11939771.428571427</v>
      </c>
      <c r="F9" s="9">
        <f t="shared" si="0"/>
        <v>0.14285714285714285</v>
      </c>
      <c r="G9" s="119">
        <v>5200000</v>
      </c>
      <c r="H9" s="9">
        <f t="shared" si="3"/>
        <v>0.10143957837191706</v>
      </c>
      <c r="I9" s="104">
        <v>10630000</v>
      </c>
      <c r="J9" s="1" t="s">
        <v>20</v>
      </c>
      <c r="K9" s="104">
        <f>+'Beneficiaries estimation'!J31</f>
        <v>44403</v>
      </c>
      <c r="L9" s="9">
        <v>0.3</v>
      </c>
      <c r="M9" s="104">
        <f t="shared" si="4"/>
        <v>13321</v>
      </c>
      <c r="N9" s="104">
        <f t="shared" si="5"/>
        <v>31082</v>
      </c>
      <c r="O9" s="2">
        <f>+'Beneficiaries estimation'!J32</f>
        <v>63137</v>
      </c>
      <c r="P9" s="9">
        <v>0.4</v>
      </c>
      <c r="Q9" s="104">
        <f t="shared" si="6"/>
        <v>25255</v>
      </c>
      <c r="R9" s="104">
        <f t="shared" si="7"/>
        <v>37882</v>
      </c>
      <c r="S9" s="30">
        <f t="shared" si="1"/>
        <v>4.1771401693320789E-3</v>
      </c>
      <c r="T9" s="129">
        <f t="shared" si="8"/>
        <v>0.12531514581373471</v>
      </c>
      <c r="U9" s="30">
        <f t="shared" si="2"/>
        <v>5.9395108184383816E-3</v>
      </c>
      <c r="V9" s="130">
        <f t="shared" si="9"/>
        <v>0.23758231420507997</v>
      </c>
      <c r="W9" s="103">
        <f t="shared" si="10"/>
        <v>0.29239887111947321</v>
      </c>
      <c r="X9" s="103">
        <f t="shared" si="11"/>
        <v>0.35636876763875824</v>
      </c>
      <c r="Y9" s="14"/>
      <c r="Z9" s="14"/>
    </row>
    <row r="10" spans="1:26" x14ac:dyDescent="0.25">
      <c r="A10" s="1">
        <v>8</v>
      </c>
      <c r="B10" s="136" t="s">
        <v>27</v>
      </c>
      <c r="C10" s="137"/>
      <c r="D10" s="138"/>
      <c r="E10" s="10">
        <f>+SUM(E3:E9)</f>
        <v>83578400</v>
      </c>
      <c r="F10" s="9">
        <f t="shared" si="0"/>
        <v>1</v>
      </c>
      <c r="G10" s="10">
        <f>SUM(G3:G9)</f>
        <v>51262042.719999999</v>
      </c>
      <c r="H10" s="9">
        <f t="shared" si="3"/>
        <v>1</v>
      </c>
      <c r="I10" s="9"/>
      <c r="J10" s="1" t="s">
        <v>20</v>
      </c>
      <c r="K10" s="32">
        <f>SUM(K3:K9)</f>
        <v>1084441</v>
      </c>
      <c r="L10" s="38"/>
      <c r="M10" s="106">
        <f>SUM(M3:M9)</f>
        <v>325335</v>
      </c>
      <c r="N10" s="106">
        <f>SUM(N3:N9)</f>
        <v>759106</v>
      </c>
      <c r="O10" s="31">
        <f>SUM(O3:O9)</f>
        <v>1364044</v>
      </c>
      <c r="P10" s="38"/>
      <c r="Q10" s="106">
        <f>SUM(Q3:Q9)</f>
        <v>545621</v>
      </c>
      <c r="R10" s="106">
        <f>SUM(R3:R9)</f>
        <v>818423</v>
      </c>
      <c r="S10" s="12"/>
      <c r="T10" s="11"/>
      <c r="U10" s="12"/>
      <c r="V10" s="11"/>
      <c r="W10" s="1"/>
      <c r="X10" s="1"/>
    </row>
    <row r="11" spans="1:26" s="35" customFormat="1" x14ac:dyDescent="0.25">
      <c r="K11" s="37"/>
    </row>
    <row r="12" spans="1:26" ht="56.25" customHeight="1" x14ac:dyDescent="0.25">
      <c r="A12" s="1">
        <v>9</v>
      </c>
      <c r="B12" s="29" t="s">
        <v>28</v>
      </c>
      <c r="C12" s="1"/>
      <c r="D12" s="1"/>
      <c r="E12" s="121">
        <v>60000000</v>
      </c>
      <c r="F12" s="132" t="s">
        <v>252</v>
      </c>
      <c r="G12" s="132"/>
      <c r="H12" s="132"/>
      <c r="I12" s="132"/>
      <c r="J12" s="132"/>
      <c r="K12" s="132"/>
      <c r="L12" s="133"/>
      <c r="M12" s="99"/>
      <c r="N12" s="99"/>
      <c r="O12" s="1"/>
      <c r="P12" s="1"/>
      <c r="Q12" s="1"/>
      <c r="R12" s="1"/>
      <c r="S12" s="1"/>
      <c r="T12" s="1"/>
      <c r="U12" s="1"/>
      <c r="V12" s="1"/>
    </row>
    <row r="13" spans="1:26" ht="49.5" customHeight="1" x14ac:dyDescent="0.25">
      <c r="A13" s="1">
        <v>10</v>
      </c>
      <c r="B13" s="29" t="s">
        <v>29</v>
      </c>
      <c r="C13" s="1"/>
      <c r="D13" s="28"/>
      <c r="E13" s="121">
        <v>30000000</v>
      </c>
      <c r="F13" s="134"/>
      <c r="G13" s="134"/>
      <c r="H13" s="134"/>
      <c r="I13" s="134"/>
      <c r="J13" s="134"/>
      <c r="K13" s="134"/>
      <c r="L13" s="135"/>
      <c r="M13" s="100"/>
      <c r="N13" s="100"/>
      <c r="O13" s="1"/>
      <c r="P13" s="1"/>
      <c r="Q13" s="1"/>
      <c r="R13" s="1"/>
      <c r="S13" s="1"/>
      <c r="T13" s="1"/>
      <c r="U13" s="1"/>
      <c r="V13" s="1"/>
    </row>
    <row r="14" spans="1:26" x14ac:dyDescent="0.25">
      <c r="A14" s="1">
        <v>11</v>
      </c>
      <c r="B14" s="29" t="s">
        <v>253</v>
      </c>
      <c r="C14" s="1"/>
      <c r="D14" s="1"/>
      <c r="E14" s="121">
        <f>E10</f>
        <v>83578400</v>
      </c>
      <c r="F14" s="1"/>
      <c r="G14" s="1"/>
      <c r="H14" s="1"/>
      <c r="I14" s="1"/>
      <c r="J14" s="1"/>
      <c r="K14" s="1"/>
      <c r="L14" s="1"/>
      <c r="M14" s="1"/>
      <c r="N14" s="1"/>
      <c r="O14" s="1"/>
      <c r="P14" s="1"/>
      <c r="Q14" s="1"/>
      <c r="R14" s="1"/>
      <c r="S14" s="1"/>
      <c r="T14" s="1"/>
      <c r="U14" s="1"/>
      <c r="V14" s="1"/>
    </row>
    <row r="15" spans="1:26" x14ac:dyDescent="0.25">
      <c r="A15" s="1">
        <v>12</v>
      </c>
      <c r="B15" s="27" t="s">
        <v>30</v>
      </c>
      <c r="C15" s="1"/>
      <c r="D15" s="1"/>
      <c r="E15" s="121">
        <f>SUM(E12:E14)</f>
        <v>173578400</v>
      </c>
      <c r="F15" s="1"/>
      <c r="G15" s="1"/>
      <c r="H15" s="1"/>
      <c r="I15" s="1"/>
      <c r="J15" s="1"/>
      <c r="K15" s="1"/>
      <c r="L15" s="1"/>
      <c r="M15" s="1"/>
      <c r="N15" s="1"/>
      <c r="O15" s="1"/>
      <c r="P15" s="1"/>
      <c r="Q15" s="1"/>
      <c r="R15" s="1"/>
      <c r="S15" s="1"/>
      <c r="T15" s="1"/>
      <c r="U15" s="1"/>
      <c r="V15" s="1"/>
    </row>
    <row r="16" spans="1:26" x14ac:dyDescent="0.25">
      <c r="A16" s="35"/>
      <c r="B16" s="120"/>
      <c r="C16" s="35"/>
      <c r="D16" s="35"/>
      <c r="E16" s="36"/>
      <c r="F16" s="35"/>
      <c r="G16" s="35"/>
      <c r="H16" s="35"/>
      <c r="I16" s="35"/>
      <c r="J16" s="35"/>
      <c r="K16" s="35"/>
      <c r="L16" s="35"/>
      <c r="M16" s="35"/>
      <c r="N16" s="35"/>
      <c r="O16" s="35"/>
      <c r="P16" s="35"/>
      <c r="Q16" s="35"/>
      <c r="R16" s="35"/>
      <c r="S16" s="35"/>
      <c r="T16" s="35"/>
      <c r="U16" s="35"/>
      <c r="V16" s="35"/>
    </row>
    <row r="17" spans="2:6" x14ac:dyDescent="0.25">
      <c r="B17" t="s">
        <v>31</v>
      </c>
    </row>
    <row r="18" spans="2:6" x14ac:dyDescent="0.25">
      <c r="B18" t="s">
        <v>32</v>
      </c>
    </row>
    <row r="19" spans="2:6" x14ac:dyDescent="0.25">
      <c r="B19" t="s">
        <v>33</v>
      </c>
    </row>
    <row r="20" spans="2:6" x14ac:dyDescent="0.25">
      <c r="B20" t="s">
        <v>34</v>
      </c>
    </row>
    <row r="23" spans="2:6" x14ac:dyDescent="0.25">
      <c r="F23" s="21"/>
    </row>
    <row r="24" spans="2:6" x14ac:dyDescent="0.25">
      <c r="F24" s="21"/>
    </row>
    <row r="25" spans="2:6" x14ac:dyDescent="0.25">
      <c r="F25" s="21"/>
    </row>
    <row r="26" spans="2:6" x14ac:dyDescent="0.25">
      <c r="F26" s="21"/>
    </row>
    <row r="27" spans="2:6" x14ac:dyDescent="0.25">
      <c r="F27" s="21"/>
    </row>
    <row r="28" spans="2:6" x14ac:dyDescent="0.25">
      <c r="F28" s="21"/>
    </row>
    <row r="29" spans="2:6" x14ac:dyDescent="0.25">
      <c r="F29" s="21"/>
    </row>
  </sheetData>
  <mergeCells count="12">
    <mergeCell ref="F12:L13"/>
    <mergeCell ref="B10:D10"/>
    <mergeCell ref="C1:C2"/>
    <mergeCell ref="B1:B2"/>
    <mergeCell ref="A1:A2"/>
    <mergeCell ref="D1:D2"/>
    <mergeCell ref="H1:H2"/>
    <mergeCell ref="G1:G2"/>
    <mergeCell ref="F1:F2"/>
    <mergeCell ref="E1:E2"/>
    <mergeCell ref="K1:X1"/>
    <mergeCell ref="I1:I2"/>
  </mergeCells>
  <dataValidations count="1">
    <dataValidation type="list" allowBlank="1" showInputMessage="1" showErrorMessage="1" sqref="C11:D11 C3:C9" xr:uid="{CBCFDF2E-4FAC-4274-BE0E-8ED69EE8B742}">
      <formula1>$X$3:$X$4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66958-500C-44C8-9726-BE3D08455210}">
  <dimension ref="A1:Q24"/>
  <sheetViews>
    <sheetView workbookViewId="0">
      <selection activeCell="H14" sqref="H14"/>
    </sheetView>
  </sheetViews>
  <sheetFormatPr defaultColWidth="8.7109375" defaultRowHeight="15" x14ac:dyDescent="0.25"/>
  <cols>
    <col min="1" max="1" width="18.7109375" bestFit="1" customWidth="1"/>
    <col min="2" max="2" width="18.7109375" customWidth="1"/>
    <col min="3" max="3" width="15.28515625" bestFit="1" customWidth="1"/>
    <col min="4" max="5" width="14.42578125" bestFit="1" customWidth="1"/>
    <col min="6" max="7" width="12.28515625" customWidth="1"/>
    <col min="8" max="8" width="12.28515625" bestFit="1" customWidth="1"/>
    <col min="10" max="10" width="18.7109375" bestFit="1" customWidth="1"/>
    <col min="11" max="11" width="12.7109375" bestFit="1" customWidth="1"/>
    <col min="12" max="12" width="14.42578125" bestFit="1" customWidth="1"/>
    <col min="13" max="14" width="13.7109375" bestFit="1" customWidth="1"/>
    <col min="15" max="16" width="12.28515625" customWidth="1"/>
    <col min="17" max="17" width="12.28515625" bestFit="1" customWidth="1"/>
  </cols>
  <sheetData>
    <row r="1" spans="1:17" x14ac:dyDescent="0.25">
      <c r="A1" s="145" t="s">
        <v>35</v>
      </c>
      <c r="B1" s="145"/>
      <c r="C1" s="145"/>
      <c r="D1" s="145"/>
      <c r="E1" s="145"/>
      <c r="F1" s="145"/>
      <c r="G1" s="145"/>
      <c r="H1" s="145"/>
    </row>
    <row r="2" spans="1:17" x14ac:dyDescent="0.25">
      <c r="A2" s="33" t="s">
        <v>36</v>
      </c>
      <c r="B2" s="8" t="s">
        <v>37</v>
      </c>
      <c r="C2" s="8" t="s">
        <v>38</v>
      </c>
      <c r="D2" s="8" t="s">
        <v>39</v>
      </c>
      <c r="E2" s="8" t="s">
        <v>40</v>
      </c>
      <c r="F2" s="8" t="s">
        <v>41</v>
      </c>
      <c r="G2" s="8" t="s">
        <v>42</v>
      </c>
      <c r="H2" s="8" t="s">
        <v>43</v>
      </c>
      <c r="K2" s="23"/>
      <c r="L2" s="23"/>
      <c r="M2" s="23"/>
      <c r="N2" s="23"/>
      <c r="O2" s="23"/>
      <c r="P2" s="23"/>
      <c r="Q2" s="22"/>
    </row>
    <row r="3" spans="1:17" x14ac:dyDescent="0.25">
      <c r="A3" s="34" t="s">
        <v>43</v>
      </c>
      <c r="B3" s="122">
        <v>9970694</v>
      </c>
      <c r="C3" s="122">
        <v>56375333</v>
      </c>
      <c r="D3" s="122">
        <v>6264794</v>
      </c>
      <c r="E3" s="122">
        <v>6421928</v>
      </c>
      <c r="F3" s="122">
        <v>4195651</v>
      </c>
      <c r="G3" s="122">
        <v>350000</v>
      </c>
      <c r="H3" s="26">
        <f>SUM(B3:G3)</f>
        <v>83578400</v>
      </c>
      <c r="K3" s="24"/>
      <c r="L3" s="24"/>
      <c r="M3" s="24"/>
      <c r="N3" s="24"/>
      <c r="O3" s="24"/>
      <c r="P3" s="24"/>
      <c r="Q3" s="24"/>
    </row>
    <row r="4" spans="1:17" x14ac:dyDescent="0.25">
      <c r="A4" s="35" t="s">
        <v>18</v>
      </c>
      <c r="B4" s="7">
        <f t="shared" ref="B4:B10" si="0">$B$3/7</f>
        <v>1424384.857142857</v>
      </c>
      <c r="C4" s="19">
        <f t="shared" ref="C4:C10" si="1">+$C$3/7</f>
        <v>8053619</v>
      </c>
      <c r="D4" s="7">
        <f t="shared" ref="D4:D10" si="2">$D$3/7</f>
        <v>894970.57142857148</v>
      </c>
      <c r="E4" s="7">
        <f t="shared" ref="E4:E10" si="3">$E$3/7</f>
        <v>917418.28571428568</v>
      </c>
      <c r="F4" s="19">
        <f t="shared" ref="F4:F10" si="4">$F$3/7</f>
        <v>599378.71428571432</v>
      </c>
      <c r="G4" s="19">
        <f t="shared" ref="G4:G10" si="5">$G$3/7</f>
        <v>50000</v>
      </c>
      <c r="H4" s="26">
        <f t="shared" ref="H4:H10" si="6">SUM(B4:G4)</f>
        <v>11939771.428571427</v>
      </c>
      <c r="K4" s="25"/>
      <c r="L4" s="25"/>
      <c r="M4" s="25"/>
      <c r="N4" s="25"/>
      <c r="O4" s="25"/>
      <c r="P4" s="25"/>
      <c r="Q4" s="25"/>
    </row>
    <row r="5" spans="1:17" x14ac:dyDescent="0.25">
      <c r="A5" s="35" t="s">
        <v>21</v>
      </c>
      <c r="B5" s="7">
        <f t="shared" si="0"/>
        <v>1424384.857142857</v>
      </c>
      <c r="C5" s="19">
        <f t="shared" si="1"/>
        <v>8053619</v>
      </c>
      <c r="D5" s="7">
        <f t="shared" si="2"/>
        <v>894970.57142857148</v>
      </c>
      <c r="E5" s="7">
        <f t="shared" si="3"/>
        <v>917418.28571428568</v>
      </c>
      <c r="F5" s="19">
        <f t="shared" si="4"/>
        <v>599378.71428571432</v>
      </c>
      <c r="G5" s="19">
        <f t="shared" si="5"/>
        <v>50000</v>
      </c>
      <c r="H5" s="26">
        <f t="shared" si="6"/>
        <v>11939771.428571427</v>
      </c>
      <c r="K5" s="25"/>
      <c r="L5" s="25"/>
      <c r="M5" s="25"/>
      <c r="N5" s="25"/>
      <c r="O5" s="25"/>
      <c r="P5" s="25"/>
      <c r="Q5" s="25"/>
    </row>
    <row r="6" spans="1:17" x14ac:dyDescent="0.25">
      <c r="A6" s="35" t="s">
        <v>22</v>
      </c>
      <c r="B6" s="7">
        <f t="shared" si="0"/>
        <v>1424384.857142857</v>
      </c>
      <c r="C6" s="19">
        <f t="shared" si="1"/>
        <v>8053619</v>
      </c>
      <c r="D6" s="7">
        <f t="shared" si="2"/>
        <v>894970.57142857148</v>
      </c>
      <c r="E6" s="7">
        <f t="shared" si="3"/>
        <v>917418.28571428568</v>
      </c>
      <c r="F6" s="19">
        <f t="shared" si="4"/>
        <v>599378.71428571432</v>
      </c>
      <c r="G6" s="19">
        <f t="shared" si="5"/>
        <v>50000</v>
      </c>
      <c r="H6" s="26">
        <f t="shared" si="6"/>
        <v>11939771.428571427</v>
      </c>
      <c r="J6" s="15"/>
      <c r="K6" s="25"/>
      <c r="L6" s="25"/>
      <c r="M6" s="25"/>
      <c r="N6" s="25"/>
      <c r="O6" s="25"/>
      <c r="P6" s="25"/>
      <c r="Q6" s="25"/>
    </row>
    <row r="7" spans="1:17" x14ac:dyDescent="0.25">
      <c r="A7" s="35" t="s">
        <v>23</v>
      </c>
      <c r="B7" s="7">
        <f t="shared" si="0"/>
        <v>1424384.857142857</v>
      </c>
      <c r="C7" s="19">
        <f t="shared" si="1"/>
        <v>8053619</v>
      </c>
      <c r="D7" s="7">
        <f t="shared" si="2"/>
        <v>894970.57142857148</v>
      </c>
      <c r="E7" s="7">
        <f t="shared" si="3"/>
        <v>917418.28571428568</v>
      </c>
      <c r="F7" s="19">
        <f t="shared" si="4"/>
        <v>599378.71428571432</v>
      </c>
      <c r="G7" s="19">
        <f t="shared" si="5"/>
        <v>50000</v>
      </c>
      <c r="H7" s="26">
        <f t="shared" si="6"/>
        <v>11939771.428571427</v>
      </c>
      <c r="J7" s="15"/>
      <c r="K7" s="25"/>
      <c r="L7" s="25"/>
      <c r="M7" s="25"/>
      <c r="N7" s="25"/>
      <c r="O7" s="25"/>
      <c r="P7" s="25"/>
      <c r="Q7" s="25"/>
    </row>
    <row r="8" spans="1:17" x14ac:dyDescent="0.25">
      <c r="A8" s="35" t="s">
        <v>24</v>
      </c>
      <c r="B8" s="7">
        <f t="shared" si="0"/>
        <v>1424384.857142857</v>
      </c>
      <c r="C8" s="19">
        <f t="shared" si="1"/>
        <v>8053619</v>
      </c>
      <c r="D8" s="7">
        <f t="shared" si="2"/>
        <v>894970.57142857148</v>
      </c>
      <c r="E8" s="7">
        <f t="shared" si="3"/>
        <v>917418.28571428568</v>
      </c>
      <c r="F8" s="19">
        <f t="shared" si="4"/>
        <v>599378.71428571432</v>
      </c>
      <c r="G8" s="19">
        <f t="shared" si="5"/>
        <v>50000</v>
      </c>
      <c r="H8" s="26">
        <f t="shared" si="6"/>
        <v>11939771.428571427</v>
      </c>
      <c r="J8" s="15"/>
      <c r="K8" s="25"/>
      <c r="L8" s="25"/>
      <c r="M8" s="25"/>
      <c r="N8" s="25"/>
      <c r="O8" s="25"/>
      <c r="P8" s="25"/>
      <c r="Q8" s="25"/>
    </row>
    <row r="9" spans="1:17" x14ac:dyDescent="0.25">
      <c r="A9" s="35" t="s">
        <v>25</v>
      </c>
      <c r="B9" s="7">
        <f t="shared" si="0"/>
        <v>1424384.857142857</v>
      </c>
      <c r="C9" s="19">
        <f t="shared" si="1"/>
        <v>8053619</v>
      </c>
      <c r="D9" s="7">
        <f t="shared" si="2"/>
        <v>894970.57142857148</v>
      </c>
      <c r="E9" s="7">
        <f t="shared" si="3"/>
        <v>917418.28571428568</v>
      </c>
      <c r="F9" s="19">
        <f t="shared" si="4"/>
        <v>599378.71428571432</v>
      </c>
      <c r="G9" s="19">
        <f t="shared" si="5"/>
        <v>50000</v>
      </c>
      <c r="H9" s="26">
        <f t="shared" si="6"/>
        <v>11939771.428571427</v>
      </c>
      <c r="J9" s="15"/>
      <c r="K9" s="25"/>
      <c r="L9" s="25"/>
      <c r="M9" s="25"/>
      <c r="N9" s="25"/>
      <c r="O9" s="25"/>
      <c r="P9" s="25"/>
      <c r="Q9" s="25"/>
    </row>
    <row r="10" spans="1:17" x14ac:dyDescent="0.25">
      <c r="A10" s="35" t="s">
        <v>26</v>
      </c>
      <c r="B10" s="7">
        <f t="shared" si="0"/>
        <v>1424384.857142857</v>
      </c>
      <c r="C10" s="19">
        <f t="shared" si="1"/>
        <v>8053619</v>
      </c>
      <c r="D10" s="7">
        <f t="shared" si="2"/>
        <v>894970.57142857148</v>
      </c>
      <c r="E10" s="7">
        <f t="shared" si="3"/>
        <v>917418.28571428568</v>
      </c>
      <c r="F10" s="19">
        <f t="shared" si="4"/>
        <v>599378.71428571432</v>
      </c>
      <c r="G10" s="19">
        <f t="shared" si="5"/>
        <v>50000</v>
      </c>
      <c r="H10" s="26">
        <f t="shared" si="6"/>
        <v>11939771.428571427</v>
      </c>
      <c r="J10" s="17"/>
      <c r="K10" s="25"/>
      <c r="L10" s="25"/>
      <c r="M10" s="25"/>
      <c r="N10" s="25"/>
      <c r="O10" s="25"/>
      <c r="P10" s="25"/>
      <c r="Q10" s="25"/>
    </row>
    <row r="11" spans="1:17" x14ac:dyDescent="0.25">
      <c r="H11" s="7"/>
      <c r="J11" s="15"/>
      <c r="N11" s="13"/>
    </row>
    <row r="12" spans="1:17" x14ac:dyDescent="0.25">
      <c r="A12" s="15"/>
      <c r="B12" s="15"/>
      <c r="C12" s="19"/>
      <c r="D12" s="19"/>
      <c r="E12" s="19"/>
      <c r="F12" s="19"/>
      <c r="G12" s="19"/>
      <c r="J12" s="15"/>
      <c r="N12" s="14"/>
      <c r="O12" s="14">
        <f>N12/7</f>
        <v>0</v>
      </c>
    </row>
    <row r="13" spans="1:17" x14ac:dyDescent="0.25">
      <c r="K13" s="20"/>
      <c r="L13" s="15"/>
      <c r="N13" s="15"/>
      <c r="O13" s="15"/>
    </row>
    <row r="14" spans="1:17" x14ac:dyDescent="0.25">
      <c r="H14" s="7"/>
      <c r="K14" s="15"/>
      <c r="L14" s="15"/>
      <c r="M14" s="15"/>
      <c r="N14" s="15"/>
      <c r="O14" s="15"/>
    </row>
    <row r="15" spans="1:17" x14ac:dyDescent="0.25">
      <c r="K15" s="19"/>
      <c r="L15" s="15"/>
      <c r="M15" s="15"/>
      <c r="N15" s="15"/>
      <c r="O15" s="15"/>
    </row>
    <row r="16" spans="1:17" x14ac:dyDescent="0.25">
      <c r="K16" s="19"/>
      <c r="M16" s="15"/>
      <c r="N16" s="15"/>
      <c r="O16" s="15"/>
    </row>
    <row r="17" spans="10:15" x14ac:dyDescent="0.25">
      <c r="K17" s="15"/>
      <c r="M17" s="16"/>
      <c r="N17" s="18"/>
      <c r="O17" s="15"/>
    </row>
    <row r="18" spans="10:15" x14ac:dyDescent="0.25">
      <c r="K18" s="15"/>
      <c r="M18" s="15"/>
      <c r="N18" s="15"/>
      <c r="O18" s="15"/>
    </row>
    <row r="19" spans="10:15" x14ac:dyDescent="0.25">
      <c r="K19" s="15"/>
      <c r="M19" s="15"/>
      <c r="N19" s="15"/>
      <c r="O19" s="15"/>
    </row>
    <row r="20" spans="10:15" x14ac:dyDescent="0.25">
      <c r="K20" s="15"/>
      <c r="M20" s="15"/>
      <c r="N20" s="15"/>
      <c r="O20" s="15"/>
    </row>
    <row r="21" spans="10:15" x14ac:dyDescent="0.25">
      <c r="K21" s="15"/>
      <c r="M21" s="15"/>
      <c r="N21" s="15"/>
      <c r="O21" s="15"/>
    </row>
    <row r="22" spans="10:15" x14ac:dyDescent="0.25">
      <c r="K22" s="15"/>
      <c r="M22" s="15"/>
      <c r="N22" s="15"/>
      <c r="O22" s="15"/>
    </row>
    <row r="24" spans="10:15" x14ac:dyDescent="0.25">
      <c r="J24" s="7"/>
    </row>
  </sheetData>
  <mergeCells count="1">
    <mergeCell ref="A1:H1"/>
  </mergeCells>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CF472-0ED9-442D-BC2B-2D687221F987}">
  <dimension ref="A1:O70"/>
  <sheetViews>
    <sheetView zoomScale="93" zoomScaleNormal="100" workbookViewId="0">
      <selection activeCell="K72" sqref="K72"/>
    </sheetView>
  </sheetViews>
  <sheetFormatPr defaultColWidth="45.28515625" defaultRowHeight="15" x14ac:dyDescent="0.25"/>
  <cols>
    <col min="1" max="2" width="43.7109375" style="40" customWidth="1"/>
    <col min="3" max="3" width="41" style="40" customWidth="1"/>
    <col min="4" max="4" width="15.7109375" style="40" customWidth="1"/>
    <col min="5" max="5" width="20.28515625" style="40" customWidth="1"/>
    <col min="6" max="7" width="13.5703125" style="40" bestFit="1" customWidth="1"/>
    <col min="8" max="9" width="12" style="40" bestFit="1" customWidth="1"/>
    <col min="10" max="10" width="10.85546875" style="40" bestFit="1" customWidth="1"/>
    <col min="11" max="11" width="15" style="40" customWidth="1"/>
    <col min="12" max="16384" width="45.28515625" style="40"/>
  </cols>
  <sheetData>
    <row r="1" spans="1:15" x14ac:dyDescent="0.25">
      <c r="A1" s="39" t="s">
        <v>44</v>
      </c>
      <c r="C1" s="41" t="s">
        <v>45</v>
      </c>
    </row>
    <row r="2" spans="1:15" ht="30" x14ac:dyDescent="0.25">
      <c r="A2" s="93">
        <f>+D51</f>
        <v>1084441</v>
      </c>
      <c r="B2" s="40" t="s">
        <v>139</v>
      </c>
      <c r="C2" s="42" t="s">
        <v>0</v>
      </c>
      <c r="D2" s="42" t="s">
        <v>18</v>
      </c>
      <c r="E2" s="42" t="s">
        <v>21</v>
      </c>
      <c r="F2" s="42" t="s">
        <v>22</v>
      </c>
      <c r="G2" s="42" t="s">
        <v>23</v>
      </c>
      <c r="H2" s="42" t="s">
        <v>24</v>
      </c>
      <c r="I2" s="42" t="s">
        <v>25</v>
      </c>
      <c r="J2" s="42" t="s">
        <v>46</v>
      </c>
      <c r="K2" s="42" t="s">
        <v>43</v>
      </c>
    </row>
    <row r="3" spans="1:15" x14ac:dyDescent="0.25">
      <c r="A3" s="93">
        <f>+E51</f>
        <v>1364044</v>
      </c>
      <c r="B3" s="40" t="s">
        <v>140</v>
      </c>
      <c r="C3" s="43" t="s">
        <v>47</v>
      </c>
      <c r="D3" s="44">
        <v>6773075</v>
      </c>
      <c r="E3" s="44">
        <v>2815027</v>
      </c>
      <c r="F3" s="44">
        <v>4549313</v>
      </c>
      <c r="G3" s="44">
        <v>4000841</v>
      </c>
      <c r="H3" s="44">
        <v>604701</v>
      </c>
      <c r="I3" s="44">
        <v>244034</v>
      </c>
      <c r="J3" s="45">
        <v>631431</v>
      </c>
      <c r="K3" s="44">
        <f>+SUM(D3:J3)</f>
        <v>19618422</v>
      </c>
      <c r="L3" s="46"/>
      <c r="N3" s="46"/>
      <c r="O3" s="46"/>
    </row>
    <row r="4" spans="1:15" x14ac:dyDescent="0.25">
      <c r="A4" s="94">
        <f>+D52</f>
        <v>2448485</v>
      </c>
      <c r="B4" s="39" t="s">
        <v>48</v>
      </c>
      <c r="C4" s="43" t="s">
        <v>49</v>
      </c>
      <c r="D4" s="44">
        <v>175000</v>
      </c>
      <c r="E4" s="44">
        <v>248000</v>
      </c>
      <c r="F4" s="44">
        <v>275000</v>
      </c>
      <c r="G4" s="44">
        <v>125000</v>
      </c>
      <c r="H4" s="44">
        <v>226000</v>
      </c>
      <c r="I4" s="44">
        <v>37000</v>
      </c>
      <c r="J4" s="45">
        <v>71000</v>
      </c>
      <c r="K4" s="44">
        <f>+SUM(D4:J4)</f>
        <v>1157000</v>
      </c>
      <c r="N4" s="46"/>
      <c r="O4" s="46"/>
    </row>
    <row r="5" spans="1:15" ht="45" x14ac:dyDescent="0.25">
      <c r="A5" s="40" t="s">
        <v>248</v>
      </c>
      <c r="C5" s="43" t="s">
        <v>50</v>
      </c>
      <c r="D5" s="44">
        <v>87</v>
      </c>
      <c r="E5" s="44">
        <v>70</v>
      </c>
      <c r="F5" s="44">
        <v>50</v>
      </c>
      <c r="G5" s="44">
        <v>70</v>
      </c>
      <c r="H5" s="44">
        <v>40</v>
      </c>
      <c r="I5" s="44">
        <v>55</v>
      </c>
      <c r="J5" s="44">
        <v>30</v>
      </c>
      <c r="K5" s="44"/>
    </row>
    <row r="6" spans="1:15" ht="30" x14ac:dyDescent="0.25">
      <c r="B6" s="98"/>
      <c r="C6" s="43" t="s">
        <v>51</v>
      </c>
      <c r="D6" s="44">
        <f t="shared" ref="D6:J6" si="0">(D5/100)*D3</f>
        <v>5892575.25</v>
      </c>
      <c r="E6" s="44">
        <f t="shared" si="0"/>
        <v>1970518.9</v>
      </c>
      <c r="F6" s="44">
        <f t="shared" si="0"/>
        <v>2274656.5</v>
      </c>
      <c r="G6" s="44">
        <f t="shared" si="0"/>
        <v>2800588.6999999997</v>
      </c>
      <c r="H6" s="44">
        <f t="shared" si="0"/>
        <v>241880.40000000002</v>
      </c>
      <c r="I6" s="44">
        <f t="shared" si="0"/>
        <v>134218.70000000001</v>
      </c>
      <c r="J6" s="44">
        <f t="shared" si="0"/>
        <v>189429.3</v>
      </c>
      <c r="K6" s="44">
        <f>+SUM(D6:J6)</f>
        <v>13503867.75</v>
      </c>
      <c r="N6" s="46"/>
      <c r="O6" s="46"/>
    </row>
    <row r="7" spans="1:15" x14ac:dyDescent="0.25">
      <c r="A7" s="39" t="s">
        <v>52</v>
      </c>
      <c r="C7" s="43" t="s">
        <v>53</v>
      </c>
      <c r="D7" s="44">
        <v>6</v>
      </c>
      <c r="E7" s="44">
        <v>5</v>
      </c>
      <c r="F7" s="44">
        <v>5</v>
      </c>
      <c r="G7" s="44">
        <v>5</v>
      </c>
      <c r="H7" s="44">
        <v>4</v>
      </c>
      <c r="I7" s="44">
        <v>4</v>
      </c>
      <c r="J7" s="44">
        <v>4</v>
      </c>
      <c r="K7" s="44"/>
      <c r="N7" s="46"/>
      <c r="O7" s="46"/>
    </row>
    <row r="8" spans="1:15" ht="60" x14ac:dyDescent="0.25">
      <c r="A8" s="40" t="s">
        <v>172</v>
      </c>
      <c r="C8" s="41" t="s">
        <v>54</v>
      </c>
    </row>
    <row r="9" spans="1:15" ht="60" x14ac:dyDescent="0.25">
      <c r="A9" s="40" t="s">
        <v>173</v>
      </c>
      <c r="C9" s="43" t="s">
        <v>170</v>
      </c>
      <c r="D9" s="44">
        <f t="shared" ref="D9:J9" si="1">0.08*D4</f>
        <v>14000</v>
      </c>
      <c r="E9" s="44">
        <f t="shared" si="1"/>
        <v>19840</v>
      </c>
      <c r="F9" s="44">
        <f t="shared" si="1"/>
        <v>22000</v>
      </c>
      <c r="G9" s="44">
        <f t="shared" si="1"/>
        <v>10000</v>
      </c>
      <c r="H9" s="44">
        <f t="shared" si="1"/>
        <v>18080</v>
      </c>
      <c r="I9" s="44">
        <f t="shared" si="1"/>
        <v>2960</v>
      </c>
      <c r="J9" s="44">
        <f t="shared" si="1"/>
        <v>5680</v>
      </c>
      <c r="K9" s="44">
        <f t="shared" ref="K9:K30" si="2">+SUM(D9:J9)</f>
        <v>92560</v>
      </c>
    </row>
    <row r="10" spans="1:15" ht="60" x14ac:dyDescent="0.25">
      <c r="A10" s="40" t="s">
        <v>199</v>
      </c>
      <c r="C10" s="43" t="s">
        <v>171</v>
      </c>
      <c r="D10" s="44">
        <f>+D9*2</f>
        <v>28000</v>
      </c>
      <c r="E10" s="44">
        <f t="shared" ref="E10:J10" si="3">+E9*2</f>
        <v>39680</v>
      </c>
      <c r="F10" s="44">
        <f t="shared" si="3"/>
        <v>44000</v>
      </c>
      <c r="G10" s="44">
        <f t="shared" si="3"/>
        <v>20000</v>
      </c>
      <c r="H10" s="44">
        <f t="shared" si="3"/>
        <v>36160</v>
      </c>
      <c r="I10" s="44">
        <f t="shared" si="3"/>
        <v>5920</v>
      </c>
      <c r="J10" s="44">
        <f t="shared" si="3"/>
        <v>11360</v>
      </c>
      <c r="K10" s="44">
        <f t="shared" si="2"/>
        <v>185120</v>
      </c>
    </row>
    <row r="11" spans="1:15" ht="45" x14ac:dyDescent="0.25">
      <c r="A11" s="40" t="s">
        <v>200</v>
      </c>
      <c r="C11" s="43" t="s">
        <v>185</v>
      </c>
      <c r="D11" s="43">
        <f>5*'Extension proposed activities'!C2</f>
        <v>25</v>
      </c>
      <c r="E11" s="43">
        <f>5*'Extension proposed activities'!D2</f>
        <v>30</v>
      </c>
      <c r="F11" s="43">
        <f>5*'Extension proposed activities'!E2</f>
        <v>25</v>
      </c>
      <c r="G11" s="43">
        <f>5*'Extension proposed activities'!F2</f>
        <v>25</v>
      </c>
      <c r="H11" s="43">
        <f>5*'Extension proposed activities'!G2</f>
        <v>25</v>
      </c>
      <c r="I11" s="43">
        <f>5*'Extension proposed activities'!H2</f>
        <v>25</v>
      </c>
      <c r="J11" s="43">
        <f>5*'Extension proposed activities'!I2</f>
        <v>25</v>
      </c>
      <c r="K11" s="44">
        <f t="shared" si="2"/>
        <v>180</v>
      </c>
    </row>
    <row r="12" spans="1:15" ht="105" x14ac:dyDescent="0.25">
      <c r="A12" s="40" t="s">
        <v>202</v>
      </c>
      <c r="C12" s="43" t="s">
        <v>186</v>
      </c>
      <c r="D12" s="44">
        <f t="shared" ref="D12:J12" si="4">+D7*D11</f>
        <v>150</v>
      </c>
      <c r="E12" s="44">
        <f t="shared" si="4"/>
        <v>150</v>
      </c>
      <c r="F12" s="44">
        <f t="shared" si="4"/>
        <v>125</v>
      </c>
      <c r="G12" s="44">
        <f t="shared" si="4"/>
        <v>125</v>
      </c>
      <c r="H12" s="44">
        <f t="shared" si="4"/>
        <v>100</v>
      </c>
      <c r="I12" s="44">
        <f t="shared" si="4"/>
        <v>100</v>
      </c>
      <c r="J12" s="44">
        <f t="shared" si="4"/>
        <v>100</v>
      </c>
      <c r="K12" s="44">
        <f t="shared" si="2"/>
        <v>850</v>
      </c>
    </row>
    <row r="13" spans="1:15" ht="30" x14ac:dyDescent="0.25">
      <c r="A13" s="40" t="s">
        <v>201</v>
      </c>
      <c r="C13" s="43" t="s">
        <v>187</v>
      </c>
      <c r="D13" s="44">
        <f>ROUNDDOWN((('% for 2.1.2. to 2.1.13.'!G48/100)*D4),0)</f>
        <v>6982</v>
      </c>
      <c r="E13" s="44">
        <f>ROUNDDOWN((('% for 2.1.2. to 2.1.13.'!G48/100)*E4),0)</f>
        <v>9895</v>
      </c>
      <c r="F13" s="44">
        <f>ROUNDDOWN((('% for 2.1.2. to 2.1.13.'!G48/100)*F4),0)</f>
        <v>10972</v>
      </c>
      <c r="G13" s="44">
        <f>ROUNDDOWN((('% for 2.1.2. to 2.1.13.'!G48/100)*G4),0)</f>
        <v>4987</v>
      </c>
      <c r="H13" s="44">
        <f>ROUNDDOWN((('% for 2.1.2. to 2.1.13.'!G48/100)*H4),0)</f>
        <v>9017</v>
      </c>
      <c r="I13" s="44">
        <f>ROUNDDOWN((('% for 2.1.2. to 2.1.13.'!G48/100)*I4),0)</f>
        <v>1476</v>
      </c>
      <c r="J13" s="44">
        <f>ROUNDDOWN((('% for 2.1.2. to 2.1.13.'!G48/100)*J4),0)</f>
        <v>2833</v>
      </c>
      <c r="K13" s="44">
        <f t="shared" si="2"/>
        <v>46162</v>
      </c>
    </row>
    <row r="14" spans="1:15" ht="105" x14ac:dyDescent="0.25">
      <c r="A14" s="40" t="s">
        <v>203</v>
      </c>
      <c r="C14" s="43" t="s">
        <v>188</v>
      </c>
      <c r="D14" s="44">
        <f>+D13*5</f>
        <v>34910</v>
      </c>
      <c r="E14" s="44">
        <f t="shared" ref="E14:J14" si="5">+E13*5</f>
        <v>49475</v>
      </c>
      <c r="F14" s="44">
        <f t="shared" si="5"/>
        <v>54860</v>
      </c>
      <c r="G14" s="44">
        <f t="shared" si="5"/>
        <v>24935</v>
      </c>
      <c r="H14" s="44">
        <f t="shared" si="5"/>
        <v>45085</v>
      </c>
      <c r="I14" s="44">
        <f t="shared" si="5"/>
        <v>7380</v>
      </c>
      <c r="J14" s="44">
        <f t="shared" si="5"/>
        <v>14165</v>
      </c>
      <c r="K14" s="44">
        <f t="shared" si="2"/>
        <v>230810</v>
      </c>
    </row>
    <row r="15" spans="1:15" ht="30" x14ac:dyDescent="0.25">
      <c r="A15" s="40" t="s">
        <v>204</v>
      </c>
      <c r="C15" s="43" t="s">
        <v>189</v>
      </c>
      <c r="D15" s="44">
        <f>ROUNDDOWN((('% for 2.1.2. to 2.1.13.'!G49/100)*D4),0)</f>
        <v>2190</v>
      </c>
      <c r="E15" s="44">
        <f>ROUNDDOWN((('% for 2.1.2. to 2.1.13.'!G49/100)*E4),0)</f>
        <v>3104</v>
      </c>
      <c r="F15" s="44">
        <f>ROUNDDOWN((('% for 2.1.2. to 2.1.13.'!G49/100)*F4),0)</f>
        <v>3442</v>
      </c>
      <c r="G15" s="44">
        <f>ROUNDDOWN((('% for 2.1.2. to 2.1.13.'!G49/100)*G4),0)</f>
        <v>1564</v>
      </c>
      <c r="H15" s="44">
        <f>ROUNDDOWN((('% for 2.1.2. to 2.1.13.'!G49/100)*H4),0)</f>
        <v>2828</v>
      </c>
      <c r="I15" s="44">
        <f>ROUNDDOWN((('% for 2.1.2. to 2.1.13.'!G49/100)*I4),0)</f>
        <v>463</v>
      </c>
      <c r="J15" s="44">
        <f>ROUNDDOWN((('% for 2.1.2. to 2.1.13.'!G49/100)*J4),0)</f>
        <v>888</v>
      </c>
      <c r="K15" s="44">
        <f t="shared" si="2"/>
        <v>14479</v>
      </c>
    </row>
    <row r="16" spans="1:15" ht="45" x14ac:dyDescent="0.25">
      <c r="A16" s="40" t="s">
        <v>205</v>
      </c>
      <c r="C16" s="43" t="s">
        <v>190</v>
      </c>
      <c r="D16" s="44">
        <f>+D15*5</f>
        <v>10950</v>
      </c>
      <c r="E16" s="44">
        <f t="shared" ref="E16:J16" si="6">+E15*5</f>
        <v>15520</v>
      </c>
      <c r="F16" s="44">
        <f t="shared" si="6"/>
        <v>17210</v>
      </c>
      <c r="G16" s="44">
        <f t="shared" si="6"/>
        <v>7820</v>
      </c>
      <c r="H16" s="44">
        <f t="shared" si="6"/>
        <v>14140</v>
      </c>
      <c r="I16" s="44">
        <f t="shared" si="6"/>
        <v>2315</v>
      </c>
      <c r="J16" s="44">
        <f t="shared" si="6"/>
        <v>4440</v>
      </c>
      <c r="K16" s="44">
        <f t="shared" si="2"/>
        <v>72395</v>
      </c>
    </row>
    <row r="17" spans="1:11" ht="60" x14ac:dyDescent="0.25">
      <c r="A17" s="40" t="s">
        <v>206</v>
      </c>
      <c r="C17" s="43" t="s">
        <v>191</v>
      </c>
      <c r="D17" s="44">
        <f>10*D7*'Extension proposed activities'!C20</f>
        <v>900</v>
      </c>
      <c r="E17" s="44">
        <f>10*E7*'Extension proposed activities'!D20</f>
        <v>2050</v>
      </c>
      <c r="F17" s="44">
        <f>10*F7*'Extension proposed activities'!E20</f>
        <v>0</v>
      </c>
      <c r="G17" s="44">
        <f>10*G7*'Extension proposed activities'!F20</f>
        <v>500</v>
      </c>
      <c r="H17" s="44">
        <f>10*H7*'Extension proposed activities'!G20</f>
        <v>920</v>
      </c>
      <c r="I17" s="44">
        <f>10*I7*'Extension proposed activities'!H20</f>
        <v>0</v>
      </c>
      <c r="J17" s="44">
        <f>10*J7*'Extension proposed activities'!I20</f>
        <v>800</v>
      </c>
      <c r="K17" s="44">
        <f t="shared" si="2"/>
        <v>5170</v>
      </c>
    </row>
    <row r="18" spans="1:11" ht="135" x14ac:dyDescent="0.25">
      <c r="A18" s="40" t="s">
        <v>207</v>
      </c>
      <c r="C18" s="43" t="s">
        <v>192</v>
      </c>
      <c r="D18" s="44">
        <f>15*'Extension proposed activities'!C20</f>
        <v>225</v>
      </c>
      <c r="E18" s="44">
        <f>15*'Extension proposed activities'!D20</f>
        <v>615</v>
      </c>
      <c r="F18" s="44">
        <f>15*'Extension proposed activities'!E20</f>
        <v>0</v>
      </c>
      <c r="G18" s="44">
        <f>15*'Extension proposed activities'!F20</f>
        <v>150</v>
      </c>
      <c r="H18" s="44">
        <f>15*'Extension proposed activities'!G20</f>
        <v>345</v>
      </c>
      <c r="I18" s="44">
        <f>15*'Extension proposed activities'!H20</f>
        <v>0</v>
      </c>
      <c r="J18" s="44">
        <f>15*'Extension proposed activities'!I20</f>
        <v>300</v>
      </c>
      <c r="K18" s="44">
        <f t="shared" si="2"/>
        <v>1635</v>
      </c>
    </row>
    <row r="19" spans="1:11" ht="60" x14ac:dyDescent="0.25">
      <c r="A19" s="40" t="s">
        <v>208</v>
      </c>
      <c r="C19" s="43" t="s">
        <v>193</v>
      </c>
      <c r="D19" s="44">
        <f>3*D7*'Extension proposed activities'!C21</f>
        <v>270</v>
      </c>
      <c r="E19" s="44">
        <f>3*E7*'Extension proposed activities'!D21</f>
        <v>315</v>
      </c>
      <c r="F19" s="44">
        <f>3*F7*'Extension proposed activities'!E21</f>
        <v>180</v>
      </c>
      <c r="G19" s="44">
        <f>3*G7*'Extension proposed activities'!F21</f>
        <v>240</v>
      </c>
      <c r="H19" s="44">
        <f>3*H7*'Extension proposed activities'!G21</f>
        <v>300</v>
      </c>
      <c r="I19" s="44">
        <f>3*I7*'Extension proposed activities'!H21</f>
        <v>576</v>
      </c>
      <c r="J19" s="44">
        <f>3*J7*'Extension proposed activities'!I21</f>
        <v>228</v>
      </c>
      <c r="K19" s="44">
        <f t="shared" si="2"/>
        <v>2109</v>
      </c>
    </row>
    <row r="20" spans="1:11" ht="30" x14ac:dyDescent="0.25">
      <c r="A20" s="40" t="s">
        <v>209</v>
      </c>
      <c r="C20" s="43" t="s">
        <v>194</v>
      </c>
      <c r="D20" s="44">
        <f>15*'Extension proposed activities'!C21</f>
        <v>225</v>
      </c>
      <c r="E20" s="44">
        <f>15*'Extension proposed activities'!D21</f>
        <v>315</v>
      </c>
      <c r="F20" s="44">
        <f>15*'Extension proposed activities'!E21</f>
        <v>180</v>
      </c>
      <c r="G20" s="44">
        <f>15*'Extension proposed activities'!F21</f>
        <v>240</v>
      </c>
      <c r="H20" s="44">
        <f>15*'Extension proposed activities'!G21</f>
        <v>375</v>
      </c>
      <c r="I20" s="44">
        <f>15*'Extension proposed activities'!H21</f>
        <v>720</v>
      </c>
      <c r="J20" s="44">
        <f>15*'Extension proposed activities'!I21</f>
        <v>285</v>
      </c>
      <c r="K20" s="44">
        <f t="shared" si="2"/>
        <v>2340</v>
      </c>
    </row>
    <row r="21" spans="1:11" ht="60" x14ac:dyDescent="0.25">
      <c r="A21" s="40" t="s">
        <v>210</v>
      </c>
      <c r="C21" s="43" t="s">
        <v>195</v>
      </c>
      <c r="D21" s="44">
        <f>8*D7*'Extension proposed activities'!C22</f>
        <v>0</v>
      </c>
      <c r="E21" s="44">
        <f>8*E7*'Extension proposed activities'!D22</f>
        <v>0</v>
      </c>
      <c r="F21" s="44">
        <f>8*F7*'Extension proposed activities'!E22</f>
        <v>0</v>
      </c>
      <c r="G21" s="44">
        <f>8*G7*'Extension proposed activities'!F22</f>
        <v>640</v>
      </c>
      <c r="H21" s="44">
        <f>8*H7*'Extension proposed activities'!G22</f>
        <v>0</v>
      </c>
      <c r="I21" s="44">
        <f>8*I7*'Extension proposed activities'!H22</f>
        <v>0</v>
      </c>
      <c r="J21" s="44">
        <f>8*J7*'Extension proposed activities'!I22</f>
        <v>864</v>
      </c>
      <c r="K21" s="44">
        <f t="shared" si="2"/>
        <v>1504</v>
      </c>
    </row>
    <row r="22" spans="1:11" ht="45" x14ac:dyDescent="0.25">
      <c r="A22" s="40" t="s">
        <v>211</v>
      </c>
      <c r="C22" s="43" t="s">
        <v>196</v>
      </c>
      <c r="D22" s="44">
        <f>15*'Extension proposed activities'!C22</f>
        <v>0</v>
      </c>
      <c r="E22" s="44">
        <f>15*'Extension proposed activities'!D22</f>
        <v>0</v>
      </c>
      <c r="F22" s="44">
        <f>15*'Extension proposed activities'!E22</f>
        <v>0</v>
      </c>
      <c r="G22" s="44">
        <f>15*'Extension proposed activities'!F22</f>
        <v>240</v>
      </c>
      <c r="H22" s="44">
        <f>15*'Extension proposed activities'!G22</f>
        <v>0</v>
      </c>
      <c r="I22" s="44">
        <f>15*'Extension proposed activities'!H22</f>
        <v>0</v>
      </c>
      <c r="J22" s="44">
        <f>15*'Extension proposed activities'!I22</f>
        <v>405</v>
      </c>
      <c r="K22" s="44">
        <f t="shared" si="2"/>
        <v>645</v>
      </c>
    </row>
    <row r="23" spans="1:11" ht="75" x14ac:dyDescent="0.25">
      <c r="A23" s="40" t="s">
        <v>212</v>
      </c>
      <c r="C23" s="43" t="s">
        <v>197</v>
      </c>
      <c r="D23" s="44">
        <f>12*D7*'Extension proposed activities'!C23</f>
        <v>0</v>
      </c>
      <c r="E23" s="44">
        <f>12*E7*'Extension proposed activities'!D23</f>
        <v>0</v>
      </c>
      <c r="F23" s="44">
        <f>12*F7*'Extension proposed activities'!E23</f>
        <v>900</v>
      </c>
      <c r="G23" s="44">
        <f>12*G7*'Extension proposed activities'!F23</f>
        <v>720</v>
      </c>
      <c r="H23" s="44">
        <f>12*H7*'Extension proposed activities'!G23</f>
        <v>0</v>
      </c>
      <c r="I23" s="44">
        <f>12*I7*'Extension proposed activities'!H23</f>
        <v>528</v>
      </c>
      <c r="J23" s="44">
        <f>12*J7*'Extension proposed activities'!I23</f>
        <v>0</v>
      </c>
      <c r="K23" s="44">
        <f t="shared" si="2"/>
        <v>2148</v>
      </c>
    </row>
    <row r="24" spans="1:11" ht="60" x14ac:dyDescent="0.25">
      <c r="A24" s="40" t="s">
        <v>215</v>
      </c>
      <c r="C24" s="43" t="s">
        <v>198</v>
      </c>
      <c r="D24" s="44">
        <f>15*'Extension proposed activities'!C23</f>
        <v>0</v>
      </c>
      <c r="E24" s="44">
        <f>15*'Extension proposed activities'!D23</f>
        <v>0</v>
      </c>
      <c r="F24" s="44">
        <f>15*'Extension proposed activities'!E23</f>
        <v>225</v>
      </c>
      <c r="G24" s="44">
        <f>15*'Extension proposed activities'!F23</f>
        <v>180</v>
      </c>
      <c r="H24" s="44">
        <f>15*'Extension proposed activities'!G23</f>
        <v>0</v>
      </c>
      <c r="I24" s="44">
        <f>15*'Extension proposed activities'!H23</f>
        <v>165</v>
      </c>
      <c r="J24" s="44">
        <f>15*'Extension proposed activities'!I23</f>
        <v>0</v>
      </c>
      <c r="K24" s="44">
        <f t="shared" si="2"/>
        <v>570</v>
      </c>
    </row>
    <row r="25" spans="1:11" ht="75" x14ac:dyDescent="0.25">
      <c r="A25" s="40" t="s">
        <v>216</v>
      </c>
      <c r="C25" s="43" t="s">
        <v>213</v>
      </c>
      <c r="D25" s="44">
        <f t="shared" ref="D25:J25" si="7">+ROUNDDOWN((0.04*D3),0)</f>
        <v>270923</v>
      </c>
      <c r="E25" s="44">
        <f t="shared" si="7"/>
        <v>112601</v>
      </c>
      <c r="F25" s="44">
        <f t="shared" si="7"/>
        <v>181972</v>
      </c>
      <c r="G25" s="44">
        <f t="shared" si="7"/>
        <v>160033</v>
      </c>
      <c r="H25" s="44">
        <f t="shared" si="7"/>
        <v>24188</v>
      </c>
      <c r="I25" s="44">
        <f t="shared" si="7"/>
        <v>9761</v>
      </c>
      <c r="J25" s="44">
        <f t="shared" si="7"/>
        <v>25257</v>
      </c>
      <c r="K25" s="44">
        <f t="shared" si="2"/>
        <v>784735</v>
      </c>
    </row>
    <row r="26" spans="1:11" ht="60" x14ac:dyDescent="0.25">
      <c r="A26" s="40" t="s">
        <v>227</v>
      </c>
      <c r="C26" s="43" t="s">
        <v>214</v>
      </c>
      <c r="D26" s="44">
        <f>+D25*1</f>
        <v>270923</v>
      </c>
      <c r="E26" s="44">
        <f t="shared" ref="E26:J26" si="8">+E25*1</f>
        <v>112601</v>
      </c>
      <c r="F26" s="44">
        <f t="shared" si="8"/>
        <v>181972</v>
      </c>
      <c r="G26" s="44">
        <f t="shared" si="8"/>
        <v>160033</v>
      </c>
      <c r="H26" s="44">
        <f t="shared" si="8"/>
        <v>24188</v>
      </c>
      <c r="I26" s="44">
        <f t="shared" si="8"/>
        <v>9761</v>
      </c>
      <c r="J26" s="44">
        <f t="shared" si="8"/>
        <v>25257</v>
      </c>
      <c r="K26" s="44">
        <f t="shared" si="2"/>
        <v>784735</v>
      </c>
    </row>
    <row r="27" spans="1:11" ht="60" x14ac:dyDescent="0.25">
      <c r="A27" s="40" t="s">
        <v>221</v>
      </c>
      <c r="C27" s="43" t="s">
        <v>226</v>
      </c>
      <c r="D27" s="44">
        <f>+D68</f>
        <v>22645</v>
      </c>
      <c r="E27" s="44">
        <f t="shared" ref="E27:J27" si="9">+E68</f>
        <v>27503</v>
      </c>
      <c r="F27" s="44">
        <f t="shared" si="9"/>
        <v>30234</v>
      </c>
      <c r="G27" s="44">
        <f t="shared" si="9"/>
        <v>23687</v>
      </c>
      <c r="H27" s="44">
        <f t="shared" si="9"/>
        <v>13697</v>
      </c>
      <c r="I27" s="44">
        <f t="shared" si="9"/>
        <v>9200</v>
      </c>
      <c r="J27" s="44">
        <f t="shared" si="9"/>
        <v>7728</v>
      </c>
      <c r="K27" s="44">
        <f>+SUM(D27:J27)</f>
        <v>134694</v>
      </c>
    </row>
    <row r="28" spans="1:11" ht="60" x14ac:dyDescent="0.25">
      <c r="A28" s="40" t="s">
        <v>222</v>
      </c>
      <c r="C28" s="43" t="s">
        <v>225</v>
      </c>
      <c r="D28" s="44">
        <f>+D69</f>
        <v>11323</v>
      </c>
      <c r="E28" s="44">
        <f t="shared" ref="E28:J28" si="10">+E69</f>
        <v>15568</v>
      </c>
      <c r="F28" s="44">
        <f t="shared" si="10"/>
        <v>16796</v>
      </c>
      <c r="G28" s="44">
        <f t="shared" si="10"/>
        <v>15791</v>
      </c>
      <c r="H28" s="44">
        <f t="shared" si="10"/>
        <v>9555</v>
      </c>
      <c r="I28" s="44">
        <f t="shared" si="10"/>
        <v>7886</v>
      </c>
      <c r="J28" s="44">
        <f t="shared" si="10"/>
        <v>6625</v>
      </c>
      <c r="K28" s="44">
        <f>+SUM(D28:J28)</f>
        <v>83544</v>
      </c>
    </row>
    <row r="29" spans="1:11" ht="30" x14ac:dyDescent="0.25">
      <c r="C29" s="43" t="s">
        <v>223</v>
      </c>
      <c r="D29" s="44">
        <f>4*25</f>
        <v>100</v>
      </c>
      <c r="E29" s="44">
        <f t="shared" ref="E29:J29" si="11">4*25</f>
        <v>100</v>
      </c>
      <c r="F29" s="44">
        <f t="shared" si="11"/>
        <v>100</v>
      </c>
      <c r="G29" s="44">
        <f t="shared" si="11"/>
        <v>100</v>
      </c>
      <c r="H29" s="44">
        <f t="shared" si="11"/>
        <v>100</v>
      </c>
      <c r="I29" s="44">
        <f t="shared" si="11"/>
        <v>100</v>
      </c>
      <c r="J29" s="44">
        <f t="shared" si="11"/>
        <v>100</v>
      </c>
      <c r="K29" s="44">
        <f t="shared" si="2"/>
        <v>700</v>
      </c>
    </row>
    <row r="30" spans="1:11" ht="30" x14ac:dyDescent="0.25">
      <c r="C30" s="43" t="s">
        <v>224</v>
      </c>
      <c r="D30" s="44">
        <f>+D29*2</f>
        <v>200</v>
      </c>
      <c r="E30" s="44">
        <f t="shared" ref="E30:J30" si="12">+E29*2</f>
        <v>200</v>
      </c>
      <c r="F30" s="44">
        <f t="shared" si="12"/>
        <v>200</v>
      </c>
      <c r="G30" s="44">
        <f t="shared" si="12"/>
        <v>200</v>
      </c>
      <c r="H30" s="44">
        <f t="shared" si="12"/>
        <v>200</v>
      </c>
      <c r="I30" s="44">
        <f t="shared" si="12"/>
        <v>200</v>
      </c>
      <c r="J30" s="44">
        <f t="shared" si="12"/>
        <v>200</v>
      </c>
      <c r="K30" s="44">
        <f t="shared" si="2"/>
        <v>1400</v>
      </c>
    </row>
    <row r="31" spans="1:11" x14ac:dyDescent="0.25">
      <c r="C31" s="101" t="s">
        <v>141</v>
      </c>
      <c r="D31" s="44">
        <f>+D29+D9+D25+D11+D13+D15+D17+D19+D21+D23+D27</f>
        <v>318035</v>
      </c>
      <c r="E31" s="44">
        <f>+E29+E9+E25+E11+E13+E15+E17+E19+E21+E23+E27</f>
        <v>175438</v>
      </c>
      <c r="F31" s="44">
        <f t="shared" ref="E31:J32" si="13">+F29+F9+F25+F11+F13+F15+F17+F19+F21+F23+F27</f>
        <v>249825</v>
      </c>
      <c r="G31" s="44">
        <f t="shared" si="13"/>
        <v>202496</v>
      </c>
      <c r="H31" s="44">
        <f t="shared" si="13"/>
        <v>69155</v>
      </c>
      <c r="I31" s="44">
        <f t="shared" si="13"/>
        <v>25089</v>
      </c>
      <c r="J31" s="44">
        <f t="shared" si="13"/>
        <v>44403</v>
      </c>
      <c r="K31" s="44">
        <f t="shared" ref="K31:K32" si="14">+SUM(D31:J31)</f>
        <v>1084441</v>
      </c>
    </row>
    <row r="32" spans="1:11" x14ac:dyDescent="0.25">
      <c r="C32" s="101" t="s">
        <v>142</v>
      </c>
      <c r="D32" s="44">
        <f>+D30+D10+D26+D12+D14+D16+D18+D20+D22+D24+D28</f>
        <v>356906</v>
      </c>
      <c r="E32" s="44">
        <f t="shared" si="13"/>
        <v>234124</v>
      </c>
      <c r="F32" s="44">
        <f t="shared" si="13"/>
        <v>315568</v>
      </c>
      <c r="G32" s="44">
        <f t="shared" si="13"/>
        <v>229714</v>
      </c>
      <c r="H32" s="44">
        <f t="shared" si="13"/>
        <v>130148</v>
      </c>
      <c r="I32" s="44">
        <f t="shared" si="13"/>
        <v>34447</v>
      </c>
      <c r="J32" s="44">
        <f t="shared" si="13"/>
        <v>63137</v>
      </c>
      <c r="K32" s="44">
        <f t="shared" si="14"/>
        <v>1364044</v>
      </c>
    </row>
    <row r="33" spans="1:11" ht="30" x14ac:dyDescent="0.25">
      <c r="A33" s="41" t="s">
        <v>55</v>
      </c>
      <c r="D33" s="47"/>
      <c r="E33" s="47"/>
      <c r="F33" s="47"/>
      <c r="G33" s="47"/>
      <c r="H33" s="47"/>
      <c r="I33" s="47"/>
      <c r="J33" s="47"/>
      <c r="K33" s="102">
        <f>+SUM(K31:K32)</f>
        <v>2448485</v>
      </c>
    </row>
    <row r="34" spans="1:11" ht="30" x14ac:dyDescent="0.25">
      <c r="A34" s="95" t="s">
        <v>56</v>
      </c>
      <c r="B34" s="95" t="s">
        <v>57</v>
      </c>
      <c r="C34" s="95" t="s">
        <v>58</v>
      </c>
      <c r="D34" s="95" t="s">
        <v>59</v>
      </c>
      <c r="E34" s="95" t="s">
        <v>60</v>
      </c>
    </row>
    <row r="35" spans="1:11" ht="75" customHeight="1" x14ac:dyDescent="0.25">
      <c r="A35" s="149" t="s">
        <v>174</v>
      </c>
      <c r="B35" s="152" t="s">
        <v>229</v>
      </c>
      <c r="C35" s="43" t="s">
        <v>175</v>
      </c>
      <c r="D35" s="150">
        <f>+K9</f>
        <v>92560</v>
      </c>
      <c r="E35" s="150">
        <f>+K10</f>
        <v>185120</v>
      </c>
      <c r="F35" s="155" t="s">
        <v>61</v>
      </c>
    </row>
    <row r="36" spans="1:11" ht="60" customHeight="1" x14ac:dyDescent="0.25">
      <c r="A36" s="149"/>
      <c r="B36" s="153"/>
      <c r="C36" s="43" t="s">
        <v>176</v>
      </c>
      <c r="D36" s="150"/>
      <c r="E36" s="150"/>
      <c r="F36" s="155"/>
    </row>
    <row r="37" spans="1:11" ht="60" customHeight="1" x14ac:dyDescent="0.25">
      <c r="A37" s="149"/>
      <c r="B37" s="154"/>
      <c r="C37" s="43" t="s">
        <v>177</v>
      </c>
      <c r="D37" s="150"/>
      <c r="E37" s="150"/>
      <c r="F37" s="155"/>
    </row>
    <row r="38" spans="1:11" ht="15" customHeight="1" x14ac:dyDescent="0.25">
      <c r="A38" s="156" t="s">
        <v>249</v>
      </c>
      <c r="B38" s="152" t="s">
        <v>250</v>
      </c>
      <c r="C38" s="43" t="s">
        <v>178</v>
      </c>
      <c r="D38" s="48">
        <f>+K11</f>
        <v>180</v>
      </c>
      <c r="E38" s="48">
        <f>+K12</f>
        <v>850</v>
      </c>
    </row>
    <row r="39" spans="1:11" x14ac:dyDescent="0.25">
      <c r="A39" s="157"/>
      <c r="B39" s="153"/>
      <c r="C39" s="43" t="s">
        <v>179</v>
      </c>
      <c r="D39" s="48">
        <f>+K13</f>
        <v>46162</v>
      </c>
      <c r="E39" s="48">
        <f>+K14</f>
        <v>230810</v>
      </c>
    </row>
    <row r="40" spans="1:11" x14ac:dyDescent="0.25">
      <c r="A40" s="157"/>
      <c r="B40" s="153"/>
      <c r="C40" s="43" t="s">
        <v>180</v>
      </c>
      <c r="D40" s="48">
        <f>+K15</f>
        <v>14479</v>
      </c>
      <c r="E40" s="48">
        <f>+K16</f>
        <v>72395</v>
      </c>
    </row>
    <row r="41" spans="1:11" ht="15" customHeight="1" x14ac:dyDescent="0.25">
      <c r="A41" s="157"/>
      <c r="B41" s="153"/>
      <c r="C41" s="43" t="s">
        <v>181</v>
      </c>
      <c r="D41" s="48">
        <f>+K17</f>
        <v>5170</v>
      </c>
      <c r="E41" s="48">
        <f>+K18</f>
        <v>1635</v>
      </c>
    </row>
    <row r="42" spans="1:11" ht="60" customHeight="1" x14ac:dyDescent="0.25">
      <c r="A42" s="157"/>
      <c r="B42" s="153"/>
      <c r="C42" s="43" t="s">
        <v>182</v>
      </c>
      <c r="D42" s="48">
        <f>+K19</f>
        <v>2109</v>
      </c>
      <c r="E42" s="48">
        <f>+K20</f>
        <v>2340</v>
      </c>
    </row>
    <row r="43" spans="1:11" x14ac:dyDescent="0.25">
      <c r="A43" s="157"/>
      <c r="B43" s="153"/>
      <c r="C43" s="43" t="s">
        <v>183</v>
      </c>
      <c r="D43" s="48">
        <f>+K21</f>
        <v>1504</v>
      </c>
      <c r="E43" s="48">
        <f>+K22</f>
        <v>645</v>
      </c>
    </row>
    <row r="44" spans="1:11" x14ac:dyDescent="0.25">
      <c r="A44" s="157"/>
      <c r="B44" s="154"/>
      <c r="C44" s="43" t="s">
        <v>184</v>
      </c>
      <c r="D44" s="48">
        <f>+K23</f>
        <v>2148</v>
      </c>
      <c r="E44" s="48">
        <f>+K24</f>
        <v>570</v>
      </c>
    </row>
    <row r="45" spans="1:11" ht="54.95" customHeight="1" x14ac:dyDescent="0.25">
      <c r="A45" s="149" t="s">
        <v>217</v>
      </c>
      <c r="B45" s="152" t="s">
        <v>230</v>
      </c>
      <c r="C45" s="43" t="s">
        <v>62</v>
      </c>
      <c r="D45" s="150">
        <f>+K25</f>
        <v>784735</v>
      </c>
      <c r="E45" s="150">
        <f>+K26</f>
        <v>784735</v>
      </c>
    </row>
    <row r="46" spans="1:11" ht="54.95" customHeight="1" x14ac:dyDescent="0.25">
      <c r="A46" s="149"/>
      <c r="B46" s="153"/>
      <c r="C46" s="43" t="s">
        <v>63</v>
      </c>
      <c r="D46" s="150"/>
      <c r="E46" s="150"/>
    </row>
    <row r="47" spans="1:11" ht="54.95" customHeight="1" x14ac:dyDescent="0.25">
      <c r="A47" s="149"/>
      <c r="B47" s="154"/>
      <c r="C47" s="43" t="s">
        <v>64</v>
      </c>
      <c r="D47" s="150"/>
      <c r="E47" s="150"/>
    </row>
    <row r="48" spans="1:11" ht="51.95" customHeight="1" x14ac:dyDescent="0.25">
      <c r="A48" s="149" t="s">
        <v>228</v>
      </c>
      <c r="B48" s="152" t="s">
        <v>251</v>
      </c>
      <c r="C48" s="43" t="s">
        <v>218</v>
      </c>
      <c r="D48" s="151">
        <f>+K27</f>
        <v>134694</v>
      </c>
      <c r="E48" s="151">
        <f>+K28</f>
        <v>83544</v>
      </c>
    </row>
    <row r="49" spans="1:11" ht="51.95" customHeight="1" x14ac:dyDescent="0.25">
      <c r="A49" s="149"/>
      <c r="B49" s="153"/>
      <c r="C49" s="43" t="s">
        <v>219</v>
      </c>
      <c r="D49" s="151"/>
      <c r="E49" s="151"/>
    </row>
    <row r="50" spans="1:11" ht="51.95" customHeight="1" x14ac:dyDescent="0.25">
      <c r="A50" s="149"/>
      <c r="B50" s="154"/>
      <c r="C50" s="43" t="s">
        <v>220</v>
      </c>
      <c r="D50" s="96">
        <f>+K29</f>
        <v>700</v>
      </c>
      <c r="E50" s="96">
        <f>+K30</f>
        <v>1400</v>
      </c>
    </row>
    <row r="51" spans="1:11" ht="15.75" thickBot="1" x14ac:dyDescent="0.3">
      <c r="A51" s="146" t="s">
        <v>65</v>
      </c>
      <c r="B51" s="146"/>
      <c r="C51" s="146"/>
      <c r="D51" s="49">
        <f>+SUM(D35:D50)</f>
        <v>1084441</v>
      </c>
      <c r="E51" s="49">
        <f>+SUM(E35:E50)</f>
        <v>1364044</v>
      </c>
      <c r="F51" s="50"/>
    </row>
    <row r="52" spans="1:11" ht="15.75" thickBot="1" x14ac:dyDescent="0.3">
      <c r="C52" s="51" t="s">
        <v>48</v>
      </c>
      <c r="D52" s="147">
        <f>+SUM(D51:E51)</f>
        <v>2448485</v>
      </c>
      <c r="E52" s="148"/>
    </row>
    <row r="53" spans="1:11" x14ac:dyDescent="0.25">
      <c r="A53" s="52" t="s">
        <v>66</v>
      </c>
    </row>
    <row r="54" spans="1:11" ht="60" x14ac:dyDescent="0.25">
      <c r="A54" s="53" t="s">
        <v>67</v>
      </c>
    </row>
    <row r="55" spans="1:11" x14ac:dyDescent="0.25">
      <c r="A55" s="53" t="s">
        <v>68</v>
      </c>
    </row>
    <row r="56" spans="1:11" x14ac:dyDescent="0.25">
      <c r="A56" s="40" t="s">
        <v>236</v>
      </c>
    </row>
    <row r="57" spans="1:11" x14ac:dyDescent="0.25">
      <c r="A57" s="40" t="s">
        <v>69</v>
      </c>
    </row>
    <row r="58" spans="1:11" x14ac:dyDescent="0.25">
      <c r="A58" s="40" t="s">
        <v>70</v>
      </c>
    </row>
    <row r="59" spans="1:11" x14ac:dyDescent="0.25">
      <c r="A59" s="40" t="s">
        <v>71</v>
      </c>
    </row>
    <row r="60" spans="1:11" ht="30" x14ac:dyDescent="0.25">
      <c r="A60" s="40" t="s">
        <v>169</v>
      </c>
    </row>
    <row r="62" spans="1:11" x14ac:dyDescent="0.25">
      <c r="A62" s="128" t="s">
        <v>237</v>
      </c>
    </row>
    <row r="63" spans="1:11" x14ac:dyDescent="0.25">
      <c r="D63" s="40" t="s">
        <v>18</v>
      </c>
      <c r="E63" s="40" t="s">
        <v>21</v>
      </c>
      <c r="F63" s="40" t="s">
        <v>22</v>
      </c>
      <c r="G63" s="40" t="s">
        <v>23</v>
      </c>
      <c r="H63" s="40" t="s">
        <v>24</v>
      </c>
      <c r="I63" s="40" t="s">
        <v>25</v>
      </c>
      <c r="J63" s="40" t="s">
        <v>238</v>
      </c>
      <c r="K63" s="40" t="s">
        <v>43</v>
      </c>
    </row>
    <row r="64" spans="1:11" x14ac:dyDescent="0.25">
      <c r="B64" s="40" t="s">
        <v>239</v>
      </c>
      <c r="C64" s="40" t="s">
        <v>77</v>
      </c>
      <c r="D64" s="47">
        <v>10338</v>
      </c>
      <c r="E64" s="47">
        <v>12556</v>
      </c>
      <c r="F64" s="47">
        <v>13803</v>
      </c>
      <c r="G64" s="47">
        <v>10814</v>
      </c>
      <c r="H64" s="47">
        <v>6253</v>
      </c>
      <c r="I64" s="47">
        <v>4200</v>
      </c>
      <c r="J64" s="47">
        <v>3528</v>
      </c>
      <c r="K64" s="47">
        <f t="shared" ref="K64:K69" si="15">+SUM(D64:J64)</f>
        <v>61492</v>
      </c>
    </row>
    <row r="65" spans="2:12" x14ac:dyDescent="0.25">
      <c r="C65" s="40" t="s">
        <v>78</v>
      </c>
      <c r="D65" s="47">
        <v>5169</v>
      </c>
      <c r="E65" s="47">
        <v>7107</v>
      </c>
      <c r="F65" s="47">
        <v>7668</v>
      </c>
      <c r="G65" s="47">
        <v>7209</v>
      </c>
      <c r="H65" s="47">
        <v>4362</v>
      </c>
      <c r="I65" s="47">
        <v>3600</v>
      </c>
      <c r="J65" s="47">
        <v>3024</v>
      </c>
      <c r="K65" s="47">
        <f t="shared" si="15"/>
        <v>38139</v>
      </c>
    </row>
    <row r="66" spans="2:12" x14ac:dyDescent="0.25">
      <c r="B66" s="40" t="s">
        <v>240</v>
      </c>
      <c r="C66" s="40" t="s">
        <v>77</v>
      </c>
      <c r="D66" s="47">
        <v>12307</v>
      </c>
      <c r="E66" s="47">
        <v>14947</v>
      </c>
      <c r="F66" s="47">
        <v>16431</v>
      </c>
      <c r="G66" s="47">
        <v>12873</v>
      </c>
      <c r="H66" s="47">
        <v>7444</v>
      </c>
      <c r="I66" s="47">
        <v>5000</v>
      </c>
      <c r="J66" s="47">
        <v>4200</v>
      </c>
      <c r="K66" s="47">
        <f t="shared" si="15"/>
        <v>73202</v>
      </c>
    </row>
    <row r="67" spans="2:12" x14ac:dyDescent="0.25">
      <c r="C67" s="40" t="s">
        <v>78</v>
      </c>
      <c r="D67" s="47">
        <v>6154</v>
      </c>
      <c r="E67" s="47">
        <v>8461</v>
      </c>
      <c r="F67" s="47">
        <v>9128</v>
      </c>
      <c r="G67" s="47">
        <v>8582</v>
      </c>
      <c r="H67" s="47">
        <v>5193</v>
      </c>
      <c r="I67" s="47">
        <v>4286</v>
      </c>
      <c r="J67" s="47">
        <v>3601</v>
      </c>
      <c r="K67" s="47">
        <f t="shared" si="15"/>
        <v>45405</v>
      </c>
    </row>
    <row r="68" spans="2:12" x14ac:dyDescent="0.25">
      <c r="B68" s="40" t="s">
        <v>48</v>
      </c>
      <c r="C68" s="40" t="s">
        <v>77</v>
      </c>
      <c r="D68" s="102">
        <f>+SUM(D64,D66)</f>
        <v>22645</v>
      </c>
      <c r="E68" s="102">
        <f t="shared" ref="E68:J68" si="16">+SUM(E64,E66)</f>
        <v>27503</v>
      </c>
      <c r="F68" s="102">
        <f t="shared" si="16"/>
        <v>30234</v>
      </c>
      <c r="G68" s="102">
        <f t="shared" si="16"/>
        <v>23687</v>
      </c>
      <c r="H68" s="102">
        <f t="shared" si="16"/>
        <v>13697</v>
      </c>
      <c r="I68" s="102">
        <f t="shared" si="16"/>
        <v>9200</v>
      </c>
      <c r="J68" s="102">
        <f t="shared" si="16"/>
        <v>7728</v>
      </c>
      <c r="K68" s="102">
        <f t="shared" si="15"/>
        <v>134694</v>
      </c>
      <c r="L68" s="98"/>
    </row>
    <row r="69" spans="2:12" x14ac:dyDescent="0.25">
      <c r="C69" s="40" t="s">
        <v>78</v>
      </c>
      <c r="D69" s="102">
        <f>+SUM(D65,D67)</f>
        <v>11323</v>
      </c>
      <c r="E69" s="102">
        <f t="shared" ref="E69:J69" si="17">+SUM(E65,E67)</f>
        <v>15568</v>
      </c>
      <c r="F69" s="102">
        <f t="shared" si="17"/>
        <v>16796</v>
      </c>
      <c r="G69" s="102">
        <f t="shared" si="17"/>
        <v>15791</v>
      </c>
      <c r="H69" s="102">
        <f t="shared" si="17"/>
        <v>9555</v>
      </c>
      <c r="I69" s="102">
        <f t="shared" si="17"/>
        <v>7886</v>
      </c>
      <c r="J69" s="102">
        <f t="shared" si="17"/>
        <v>6625</v>
      </c>
      <c r="K69" s="102">
        <f t="shared" si="15"/>
        <v>83544</v>
      </c>
    </row>
    <row r="70" spans="2:12" x14ac:dyDescent="0.25">
      <c r="D70" s="47"/>
      <c r="E70" s="47"/>
      <c r="F70" s="47"/>
      <c r="G70" s="47"/>
      <c r="H70" s="47"/>
      <c r="I70" s="47"/>
      <c r="J70" s="47"/>
      <c r="K70" s="102">
        <f>+SUM(K68+K69)</f>
        <v>218238</v>
      </c>
    </row>
  </sheetData>
  <mergeCells count="17">
    <mergeCell ref="F35:F37"/>
    <mergeCell ref="A35:A37"/>
    <mergeCell ref="D35:D37"/>
    <mergeCell ref="E35:E37"/>
    <mergeCell ref="A38:A44"/>
    <mergeCell ref="B35:B37"/>
    <mergeCell ref="B38:B44"/>
    <mergeCell ref="A51:C51"/>
    <mergeCell ref="D52:E52"/>
    <mergeCell ref="A45:A47"/>
    <mergeCell ref="D45:D47"/>
    <mergeCell ref="E45:E47"/>
    <mergeCell ref="A48:A50"/>
    <mergeCell ref="D48:D49"/>
    <mergeCell ref="E48:E49"/>
    <mergeCell ref="B45:B47"/>
    <mergeCell ref="B48:B50"/>
  </mergeCells>
  <hyperlinks>
    <hyperlink ref="A55" r:id="rId1" xr:uid="{61BAF707-8ED9-4EA1-BA4F-BB30D10E9AFB}"/>
    <hyperlink ref="A54" r:id="rId2" xr:uid="{48CAC68C-8C37-4F9A-802E-EB85E5F508DF}"/>
  </hyperlinks>
  <pageMargins left="0.7" right="0.7" top="0.75" bottom="0.75" header="0.3" footer="0.3"/>
  <pageSetup orientation="portrait" verticalDpi="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325EE-701A-4B9E-B9A9-C8DBAAB39B25}">
  <dimension ref="A1:O81"/>
  <sheetViews>
    <sheetView zoomScaleNormal="100" workbookViewId="0">
      <selection activeCell="K17" sqref="K17"/>
    </sheetView>
  </sheetViews>
  <sheetFormatPr defaultRowHeight="15" x14ac:dyDescent="0.25"/>
  <cols>
    <col min="1" max="5" width="17.5703125" customWidth="1"/>
    <col min="6" max="15" width="15.7109375" customWidth="1"/>
  </cols>
  <sheetData>
    <row r="1" spans="1:15" ht="15" customHeight="1" x14ac:dyDescent="0.25">
      <c r="A1" s="160" t="s">
        <v>72</v>
      </c>
      <c r="B1" s="160" t="s">
        <v>233</v>
      </c>
      <c r="C1" s="160"/>
      <c r="D1" s="160"/>
      <c r="E1" s="160"/>
      <c r="F1" s="160" t="s">
        <v>234</v>
      </c>
      <c r="G1" s="160"/>
      <c r="H1" s="160"/>
      <c r="I1" s="160"/>
      <c r="J1" s="160"/>
      <c r="K1" s="160" t="s">
        <v>73</v>
      </c>
    </row>
    <row r="2" spans="1:15" ht="30" x14ac:dyDescent="0.25">
      <c r="A2" s="160"/>
      <c r="B2" s="123" t="s">
        <v>37</v>
      </c>
      <c r="C2" s="123" t="s">
        <v>38</v>
      </c>
      <c r="D2" s="123" t="s">
        <v>39</v>
      </c>
      <c r="E2" s="123" t="s">
        <v>235</v>
      </c>
      <c r="F2" s="123" t="s">
        <v>74</v>
      </c>
      <c r="G2" s="123" t="s">
        <v>75</v>
      </c>
      <c r="H2" s="123" t="s">
        <v>76</v>
      </c>
      <c r="I2" s="123" t="s">
        <v>231</v>
      </c>
      <c r="J2" s="123" t="s">
        <v>232</v>
      </c>
      <c r="K2" s="160"/>
    </row>
    <row r="3" spans="1:15" x14ac:dyDescent="0.25">
      <c r="A3" s="110" t="s">
        <v>77</v>
      </c>
      <c r="B3" s="45">
        <f>+'Beneficiaries estimation'!D35</f>
        <v>92560</v>
      </c>
      <c r="C3" s="45">
        <f>+SUM('Beneficiaries estimation'!D38:D44)</f>
        <v>71752</v>
      </c>
      <c r="D3" s="45">
        <f>+'Beneficiaries estimation'!D45</f>
        <v>784735</v>
      </c>
      <c r="E3" s="45">
        <f>+SUM(B3:D3)</f>
        <v>949047</v>
      </c>
      <c r="F3" s="45">
        <f>+'Beneficiaries estimation'!K64</f>
        <v>61492</v>
      </c>
      <c r="G3" s="45">
        <f>+'Beneficiaries estimation'!K66</f>
        <v>73202</v>
      </c>
      <c r="H3" s="45">
        <f>+SUM(F3:G3)</f>
        <v>134694</v>
      </c>
      <c r="I3" s="45">
        <f>+'Beneficiaries estimation'!D50</f>
        <v>700</v>
      </c>
      <c r="J3" s="45">
        <f>+SUM(H3:I3)</f>
        <v>135394</v>
      </c>
      <c r="K3" s="111">
        <f>+J3+E3</f>
        <v>1084441</v>
      </c>
    </row>
    <row r="4" spans="1:15" x14ac:dyDescent="0.25">
      <c r="A4" s="110" t="s">
        <v>78</v>
      </c>
      <c r="B4" s="45">
        <f>+'Beneficiaries estimation'!E35</f>
        <v>185120</v>
      </c>
      <c r="C4" s="45">
        <f>+SUM('Beneficiaries estimation'!E38:E44)</f>
        <v>309245</v>
      </c>
      <c r="D4" s="45">
        <f>+'Beneficiaries estimation'!E45</f>
        <v>784735</v>
      </c>
      <c r="E4" s="45">
        <f>+SUM(B4:D4)</f>
        <v>1279100</v>
      </c>
      <c r="F4" s="45">
        <f>+'Beneficiaries estimation'!K65</f>
        <v>38139</v>
      </c>
      <c r="G4" s="45">
        <f>+'Beneficiaries estimation'!K67</f>
        <v>45405</v>
      </c>
      <c r="H4" s="45">
        <f>+SUM(F4:G4)</f>
        <v>83544</v>
      </c>
      <c r="I4" s="45">
        <f>+'Beneficiaries estimation'!E50</f>
        <v>1400</v>
      </c>
      <c r="J4" s="45">
        <f>+SUM(H4:I4)</f>
        <v>84944</v>
      </c>
      <c r="K4" s="111">
        <f>+J4+E4</f>
        <v>1364044</v>
      </c>
    </row>
    <row r="5" spans="1:15" x14ac:dyDescent="0.25">
      <c r="A5" s="110" t="s">
        <v>43</v>
      </c>
      <c r="B5" s="45">
        <f>+SUM(B3:B4)</f>
        <v>277680</v>
      </c>
      <c r="C5" s="45">
        <f>+SUM(C3:C4)</f>
        <v>380997</v>
      </c>
      <c r="D5" s="45">
        <f>+SUM(D3:D4)</f>
        <v>1569470</v>
      </c>
      <c r="E5" s="45">
        <f>+SUM(B5:D5)</f>
        <v>2228147</v>
      </c>
      <c r="F5" s="45">
        <f>+SUM(F3:F4)</f>
        <v>99631</v>
      </c>
      <c r="G5" s="45">
        <f>+SUM(G3:G4)</f>
        <v>118607</v>
      </c>
      <c r="H5" s="45">
        <f>+SUM(F5:G5)</f>
        <v>218238</v>
      </c>
      <c r="I5" s="45">
        <f>+SUM(I3:I4)</f>
        <v>2100</v>
      </c>
      <c r="J5" s="45">
        <f>+SUM(J3:J4)</f>
        <v>220338</v>
      </c>
      <c r="K5" s="111">
        <f>+J5+E5</f>
        <v>2448485</v>
      </c>
    </row>
    <row r="6" spans="1:15" x14ac:dyDescent="0.25">
      <c r="A6" s="112"/>
      <c r="B6" s="112"/>
      <c r="C6" s="112"/>
      <c r="D6" s="112"/>
      <c r="E6" s="112"/>
      <c r="F6" s="112" t="s">
        <v>79</v>
      </c>
      <c r="G6" s="112"/>
      <c r="H6" s="112"/>
      <c r="I6" s="112"/>
      <c r="J6" s="112"/>
      <c r="K6" s="112"/>
      <c r="L6" s="112"/>
      <c r="M6" s="112"/>
      <c r="N6" s="113"/>
      <c r="O6" s="112"/>
    </row>
    <row r="8" spans="1:15" ht="17.25" customHeight="1" x14ac:dyDescent="0.25">
      <c r="A8" s="159" t="s">
        <v>150</v>
      </c>
      <c r="B8" s="159"/>
      <c r="C8" s="159"/>
      <c r="D8" s="159"/>
      <c r="E8" s="159"/>
      <c r="F8" s="159"/>
      <c r="G8" s="159"/>
      <c r="H8" s="159"/>
      <c r="I8" s="159"/>
      <c r="J8" s="117"/>
      <c r="K8" s="117"/>
      <c r="L8" s="117"/>
      <c r="M8" s="117"/>
      <c r="N8" s="35"/>
      <c r="O8" s="35"/>
    </row>
    <row r="9" spans="1:15" ht="30" x14ac:dyDescent="0.25">
      <c r="A9" s="118"/>
      <c r="B9" s="118" t="s">
        <v>18</v>
      </c>
      <c r="C9" s="118" t="s">
        <v>21</v>
      </c>
      <c r="D9" s="118" t="s">
        <v>22</v>
      </c>
      <c r="E9" s="118" t="s">
        <v>23</v>
      </c>
      <c r="F9" s="118" t="s">
        <v>24</v>
      </c>
      <c r="G9" s="118" t="s">
        <v>25</v>
      </c>
      <c r="H9" s="118" t="s">
        <v>26</v>
      </c>
      <c r="I9" s="118" t="s">
        <v>43</v>
      </c>
      <c r="J9" s="115"/>
      <c r="K9" s="115"/>
      <c r="L9" s="115"/>
      <c r="M9" s="115"/>
      <c r="N9" s="35"/>
    </row>
    <row r="10" spans="1:15" x14ac:dyDescent="0.25">
      <c r="A10" s="158" t="s">
        <v>59</v>
      </c>
      <c r="B10" s="158"/>
      <c r="C10" s="158"/>
      <c r="D10" s="158"/>
      <c r="E10" s="158"/>
      <c r="F10" s="158"/>
      <c r="G10" s="158"/>
      <c r="H10" s="158"/>
      <c r="I10" s="158"/>
      <c r="J10" s="115"/>
      <c r="K10" s="115"/>
      <c r="L10" s="115"/>
      <c r="M10" s="115"/>
      <c r="N10" s="35"/>
    </row>
    <row r="11" spans="1:15" x14ac:dyDescent="0.25">
      <c r="A11" s="118" t="s">
        <v>244</v>
      </c>
      <c r="B11" s="124">
        <f>+'Multi-country project info'!K3</f>
        <v>318035</v>
      </c>
      <c r="C11" s="124">
        <f>+'Multi-country project info'!K4</f>
        <v>175438</v>
      </c>
      <c r="D11" s="124">
        <f>+'Multi-country project info'!K5</f>
        <v>249825</v>
      </c>
      <c r="E11" s="124">
        <f>+'Multi-country project info'!K6</f>
        <v>202496</v>
      </c>
      <c r="F11" s="124">
        <f>+'Multi-country project info'!K7</f>
        <v>69155</v>
      </c>
      <c r="G11" s="124">
        <f>+'Multi-country project info'!K8</f>
        <v>25089</v>
      </c>
      <c r="H11" s="124">
        <f>+'Multi-country project info'!K9</f>
        <v>44403</v>
      </c>
      <c r="I11" s="124">
        <f>+SUM(B11:H11)</f>
        <v>1084441</v>
      </c>
      <c r="J11" s="115"/>
      <c r="K11" s="115"/>
      <c r="L11" s="115"/>
      <c r="M11" s="115"/>
      <c r="N11" s="35"/>
    </row>
    <row r="12" spans="1:15" x14ac:dyDescent="0.25">
      <c r="A12" s="118" t="s">
        <v>241</v>
      </c>
      <c r="B12" s="125">
        <f>+'Multi-country project info'!M3</f>
        <v>95411</v>
      </c>
      <c r="C12" s="125">
        <f>+'Multi-country project info'!M4</f>
        <v>52632</v>
      </c>
      <c r="D12" s="125">
        <f>+'Multi-country project info'!M5</f>
        <v>74948</v>
      </c>
      <c r="E12" s="125">
        <f>+'Multi-country project info'!M6</f>
        <v>60749</v>
      </c>
      <c r="F12" s="125">
        <f>+'Multi-country project info'!M7</f>
        <v>20747</v>
      </c>
      <c r="G12" s="125">
        <f>+'Multi-country project info'!M8</f>
        <v>7527</v>
      </c>
      <c r="H12" s="125">
        <f>+'Multi-country project info'!M9</f>
        <v>13321</v>
      </c>
      <c r="I12" s="124">
        <f t="shared" ref="I12:I14" si="0">+SUM(B12:H12)</f>
        <v>325335</v>
      </c>
      <c r="J12" s="115"/>
      <c r="K12" s="115"/>
      <c r="L12" s="115"/>
      <c r="M12" s="115"/>
      <c r="N12" s="35"/>
    </row>
    <row r="13" spans="1:15" ht="30" x14ac:dyDescent="0.25">
      <c r="A13" s="118" t="s">
        <v>242</v>
      </c>
      <c r="B13" s="126">
        <f>+'Multi-country project info'!T3</f>
        <v>0.55310724637681163</v>
      </c>
      <c r="C13" s="126">
        <f>+'Multi-country project info'!T4</f>
        <v>0.54893617021276597</v>
      </c>
      <c r="D13" s="126">
        <f>+'Multi-country project info'!T5</f>
        <v>1.1672325182993304</v>
      </c>
      <c r="E13" s="126">
        <f>+'Multi-country project info'!T6</f>
        <v>0.93951438292607481</v>
      </c>
      <c r="F13" s="126">
        <f>+'Multi-country project info'!T7</f>
        <v>0.41502300460092018</v>
      </c>
      <c r="G13" s="126">
        <f>+'Multi-country project info'!T8</f>
        <v>0.18020110126885325</v>
      </c>
      <c r="H13" s="126">
        <f>+'Multi-country project info'!T9</f>
        <v>0.12531514581373471</v>
      </c>
      <c r="I13" s="124" t="s">
        <v>246</v>
      </c>
      <c r="J13" s="115"/>
      <c r="K13" s="115"/>
      <c r="L13" s="115"/>
      <c r="M13" s="115"/>
      <c r="N13" s="35"/>
    </row>
    <row r="14" spans="1:15" x14ac:dyDescent="0.25">
      <c r="A14" s="118" t="s">
        <v>243</v>
      </c>
      <c r="B14" s="125">
        <f>+'Multi-country project info'!N3</f>
        <v>222624</v>
      </c>
      <c r="C14" s="125">
        <f>+'Multi-country project info'!N4</f>
        <v>122806</v>
      </c>
      <c r="D14" s="125">
        <f>+'Multi-country project info'!N5</f>
        <v>174877</v>
      </c>
      <c r="E14" s="125">
        <f>+'Multi-country project info'!N6</f>
        <v>141747</v>
      </c>
      <c r="F14" s="125">
        <f>+'Multi-country project info'!N7</f>
        <v>48408</v>
      </c>
      <c r="G14" s="125">
        <f>+'Multi-country project info'!N8</f>
        <v>17562</v>
      </c>
      <c r="H14" s="125">
        <f>+'Multi-country project info'!N9</f>
        <v>31082</v>
      </c>
      <c r="I14" s="124">
        <f t="shared" si="0"/>
        <v>759106</v>
      </c>
      <c r="J14" s="115"/>
      <c r="K14" s="115"/>
      <c r="L14" s="115"/>
      <c r="M14" s="115"/>
      <c r="N14" s="35"/>
    </row>
    <row r="15" spans="1:15" ht="30" x14ac:dyDescent="0.25">
      <c r="A15" s="118" t="s">
        <v>242</v>
      </c>
      <c r="B15" s="126">
        <f>+'Multi-country project info'!W3</f>
        <v>1.2905739130434783</v>
      </c>
      <c r="C15" s="126">
        <f>+'Multi-country project info'!W4</f>
        <v>1.2808302044221944</v>
      </c>
      <c r="D15" s="126">
        <f>+'Multi-country project info'!W5</f>
        <v>2.723516586201526</v>
      </c>
      <c r="E15" s="126">
        <f>+'Multi-country project info'!W6</f>
        <v>2.1921899164862357</v>
      </c>
      <c r="F15" s="126">
        <f>+'Multi-country project info'!W7</f>
        <v>0.9683536707341468</v>
      </c>
      <c r="G15" s="126">
        <f>+'Multi-country project info'!W8</f>
        <v>0.42044529566674649</v>
      </c>
      <c r="H15" s="126">
        <f>+'Multi-country project info'!W9</f>
        <v>0.29239887111947321</v>
      </c>
      <c r="I15" s="127" t="s">
        <v>246</v>
      </c>
      <c r="J15" s="115"/>
      <c r="K15" s="115"/>
      <c r="L15" s="115"/>
      <c r="M15" s="115"/>
      <c r="N15" s="35"/>
    </row>
    <row r="16" spans="1:15" x14ac:dyDescent="0.25">
      <c r="A16" s="158" t="s">
        <v>60</v>
      </c>
      <c r="B16" s="158"/>
      <c r="C16" s="158"/>
      <c r="D16" s="158"/>
      <c r="E16" s="158"/>
      <c r="F16" s="158"/>
      <c r="G16" s="158"/>
      <c r="H16" s="158"/>
      <c r="I16" s="158"/>
      <c r="J16" s="115"/>
      <c r="K16" s="115"/>
      <c r="L16" s="115"/>
      <c r="M16" s="115"/>
      <c r="N16" s="35"/>
    </row>
    <row r="17" spans="1:14" x14ac:dyDescent="0.25">
      <c r="A17" s="118" t="s">
        <v>245</v>
      </c>
      <c r="B17" s="124">
        <f>+'Multi-country project info'!O3</f>
        <v>356906</v>
      </c>
      <c r="C17" s="124">
        <f>+'Multi-country project info'!O4</f>
        <v>234124</v>
      </c>
      <c r="D17" s="124">
        <f>+'Multi-country project info'!O5</f>
        <v>315568</v>
      </c>
      <c r="E17" s="124">
        <f>+'Multi-country project info'!O6</f>
        <v>229714</v>
      </c>
      <c r="F17" s="124">
        <f>+'Multi-country project info'!O7</f>
        <v>130148</v>
      </c>
      <c r="G17" s="124">
        <f>+'Multi-country project info'!O8</f>
        <v>34447</v>
      </c>
      <c r="H17" s="124">
        <f>+'Multi-country project info'!O9</f>
        <v>63137</v>
      </c>
      <c r="I17" s="124">
        <f>+SUM(B17:H17)</f>
        <v>1364044</v>
      </c>
      <c r="J17" s="115"/>
      <c r="K17" s="115"/>
      <c r="L17" s="115"/>
      <c r="M17" s="115"/>
      <c r="N17" s="35"/>
    </row>
    <row r="18" spans="1:14" x14ac:dyDescent="0.25">
      <c r="A18" s="118" t="s">
        <v>247</v>
      </c>
      <c r="B18" s="125">
        <f>+'Multi-country project info'!Q3</f>
        <v>142763</v>
      </c>
      <c r="C18" s="125">
        <f>+'Multi-country project info'!Q4</f>
        <v>93650</v>
      </c>
      <c r="D18" s="125">
        <f>+'Multi-country project info'!Q5</f>
        <v>126228</v>
      </c>
      <c r="E18" s="125">
        <f>+'Multi-country project info'!Q6</f>
        <v>91886</v>
      </c>
      <c r="F18" s="125">
        <f>+'Multi-country project info'!Q7</f>
        <v>52060</v>
      </c>
      <c r="G18" s="125">
        <f>+'Multi-country project info'!Q8</f>
        <v>13779</v>
      </c>
      <c r="H18" s="125">
        <f>+'Multi-country project info'!Q9</f>
        <v>25255</v>
      </c>
      <c r="I18" s="124">
        <f t="shared" ref="I18:I20" si="1">+SUM(B18:H18)</f>
        <v>545621</v>
      </c>
      <c r="J18" s="115"/>
      <c r="K18" s="115"/>
      <c r="L18" s="115"/>
      <c r="M18" s="115"/>
      <c r="N18" s="35"/>
    </row>
    <row r="19" spans="1:14" ht="30" x14ac:dyDescent="0.25">
      <c r="A19" s="118" t="s">
        <v>242</v>
      </c>
      <c r="B19" s="126">
        <f>+'Multi-country project info'!V3</f>
        <v>0.82761159420289854</v>
      </c>
      <c r="C19" s="126">
        <f>+'Multi-country project info'!V4</f>
        <v>0.97674176053400086</v>
      </c>
      <c r="D19" s="126">
        <f>+'Multi-country project info'!V5</f>
        <v>1.9658620152624202</v>
      </c>
      <c r="E19" s="126">
        <f>+'Multi-country project info'!V6</f>
        <v>1.4210640272193009</v>
      </c>
      <c r="F19" s="126">
        <f>+'Multi-country project info'!V7</f>
        <v>1.0414082816563313</v>
      </c>
      <c r="G19" s="126">
        <f>+'Multi-country project info'!V8</f>
        <v>0.32987790280105339</v>
      </c>
      <c r="H19" s="126">
        <f>+'Multi-country project info'!V9</f>
        <v>0.23758231420507997</v>
      </c>
      <c r="I19" s="124" t="s">
        <v>246</v>
      </c>
      <c r="J19" s="115"/>
      <c r="K19" s="115"/>
      <c r="L19" s="115"/>
      <c r="M19" s="115"/>
      <c r="N19" s="35"/>
    </row>
    <row r="20" spans="1:14" x14ac:dyDescent="0.25">
      <c r="A20" s="118" t="s">
        <v>243</v>
      </c>
      <c r="B20" s="125">
        <f>+'Multi-country project info'!R3</f>
        <v>214143</v>
      </c>
      <c r="C20" s="125">
        <f>+'Multi-country project info'!R4</f>
        <v>140474</v>
      </c>
      <c r="D20" s="125">
        <f>+'Multi-country project info'!R5</f>
        <v>189340</v>
      </c>
      <c r="E20" s="125">
        <f>+'Multi-country project info'!R6</f>
        <v>137828</v>
      </c>
      <c r="F20" s="125">
        <f>+'Multi-country project info'!R7</f>
        <v>78088</v>
      </c>
      <c r="G20" s="125">
        <f>+'Multi-country project info'!R8</f>
        <v>20668</v>
      </c>
      <c r="H20" s="125">
        <f>+'Multi-country project info'!R9</f>
        <v>37882</v>
      </c>
      <c r="I20" s="124">
        <f t="shared" si="1"/>
        <v>818423</v>
      </c>
      <c r="J20" s="115"/>
      <c r="K20" s="115"/>
      <c r="L20" s="115"/>
      <c r="M20" s="115"/>
      <c r="N20" s="35"/>
    </row>
    <row r="21" spans="1:14" ht="30" x14ac:dyDescent="0.25">
      <c r="A21" s="118" t="s">
        <v>242</v>
      </c>
      <c r="B21" s="126">
        <f>+'Multi-country project info'!X3</f>
        <v>1.2414086956521739</v>
      </c>
      <c r="C21" s="126">
        <f>+'Multi-country project info'!X4</f>
        <v>1.4651022110972047</v>
      </c>
      <c r="D21" s="126">
        <f>+'Multi-country project info'!X5</f>
        <v>2.948761875097337</v>
      </c>
      <c r="E21" s="126">
        <f>+'Multi-country project info'!X6</f>
        <v>2.1315805753170429</v>
      </c>
      <c r="F21" s="126">
        <f>+'Multi-country project info'!X7</f>
        <v>1.5620724144828966</v>
      </c>
      <c r="G21" s="126">
        <f>+'Multi-country project info'!X8</f>
        <v>0.49480488388795785</v>
      </c>
      <c r="H21" s="126">
        <f>+'Multi-country project info'!X9</f>
        <v>0.35636876763875824</v>
      </c>
      <c r="I21" s="124" t="s">
        <v>246</v>
      </c>
      <c r="J21" s="115"/>
      <c r="K21" s="115"/>
      <c r="L21" s="115"/>
      <c r="M21" s="115"/>
      <c r="N21" s="35"/>
    </row>
    <row r="22" spans="1:14" x14ac:dyDescent="0.25">
      <c r="A22" s="114"/>
      <c r="B22" s="114"/>
      <c r="C22" s="114"/>
      <c r="D22" s="114"/>
      <c r="E22" s="114"/>
      <c r="F22" s="115"/>
      <c r="G22" s="115"/>
      <c r="H22" s="115"/>
      <c r="I22" s="131">
        <f>+SUM(I11+I17)</f>
        <v>2448485</v>
      </c>
      <c r="J22" s="115"/>
      <c r="K22" s="115"/>
      <c r="L22" s="115"/>
      <c r="M22" s="115"/>
      <c r="N22" s="35"/>
    </row>
    <row r="23" spans="1:14" x14ac:dyDescent="0.25">
      <c r="A23" s="114"/>
      <c r="B23" s="114"/>
      <c r="C23" s="114"/>
      <c r="D23" s="114"/>
      <c r="E23" s="114"/>
      <c r="F23" s="116"/>
      <c r="G23" s="115"/>
      <c r="H23" s="115"/>
      <c r="I23" s="115"/>
      <c r="J23" s="115"/>
      <c r="K23" s="115"/>
      <c r="L23" s="115"/>
      <c r="M23" s="115"/>
      <c r="N23" s="35"/>
    </row>
    <row r="24" spans="1:14" x14ac:dyDescent="0.25">
      <c r="A24" s="114"/>
      <c r="B24" s="114"/>
      <c r="C24" s="114"/>
      <c r="D24" s="114"/>
      <c r="E24" s="114"/>
      <c r="F24" s="115"/>
      <c r="G24" s="115"/>
      <c r="H24" s="115"/>
      <c r="I24" s="115"/>
      <c r="J24" s="115"/>
      <c r="K24" s="115"/>
      <c r="L24" s="115"/>
      <c r="M24" s="115"/>
      <c r="N24" s="35"/>
    </row>
    <row r="25" spans="1:14" x14ac:dyDescent="0.25">
      <c r="A25" s="114"/>
      <c r="B25" s="114"/>
      <c r="C25" s="114"/>
      <c r="D25" s="114"/>
      <c r="E25" s="114"/>
      <c r="F25" s="115"/>
      <c r="G25" s="115"/>
      <c r="H25" s="115"/>
      <c r="I25" s="115"/>
      <c r="J25" s="115"/>
      <c r="K25" s="115"/>
      <c r="L25" s="115"/>
      <c r="M25" s="115"/>
      <c r="N25" s="35"/>
    </row>
    <row r="26" spans="1:14" x14ac:dyDescent="0.25">
      <c r="A26" s="114"/>
      <c r="B26" s="114"/>
      <c r="C26" s="114"/>
      <c r="D26" s="114"/>
      <c r="E26" s="114"/>
      <c r="F26" s="115"/>
      <c r="G26" s="115"/>
      <c r="H26" s="115"/>
      <c r="I26" s="115"/>
      <c r="J26" s="115"/>
      <c r="K26" s="115"/>
      <c r="L26" s="115"/>
      <c r="M26" s="115"/>
      <c r="N26" s="35"/>
    </row>
    <row r="27" spans="1:14" x14ac:dyDescent="0.25">
      <c r="A27" s="114"/>
      <c r="B27" s="114"/>
      <c r="C27" s="114"/>
      <c r="D27" s="114"/>
      <c r="E27" s="114"/>
      <c r="F27" s="115"/>
      <c r="G27" s="115"/>
      <c r="H27" s="115"/>
      <c r="I27" s="115"/>
      <c r="J27" s="115"/>
      <c r="K27" s="115"/>
      <c r="L27" s="115"/>
      <c r="M27" s="115"/>
      <c r="N27" s="35"/>
    </row>
    <row r="28" spans="1:14" x14ac:dyDescent="0.25">
      <c r="A28" s="114"/>
      <c r="B28" s="114"/>
      <c r="C28" s="114"/>
      <c r="D28" s="114"/>
      <c r="E28" s="114"/>
      <c r="F28" s="116"/>
      <c r="G28" s="115"/>
      <c r="H28" s="115"/>
      <c r="I28" s="115"/>
      <c r="J28" s="115"/>
      <c r="K28" s="115"/>
      <c r="L28" s="115"/>
      <c r="M28" s="115"/>
      <c r="N28" s="35"/>
    </row>
    <row r="29" spans="1:14" x14ac:dyDescent="0.25">
      <c r="A29" s="114"/>
      <c r="B29" s="114"/>
      <c r="C29" s="114"/>
      <c r="D29" s="114"/>
      <c r="E29" s="114"/>
      <c r="F29" s="115"/>
      <c r="G29" s="115"/>
      <c r="H29" s="115"/>
      <c r="I29" s="115"/>
      <c r="J29" s="115"/>
      <c r="K29" s="115"/>
      <c r="L29" s="115"/>
      <c r="M29" s="115"/>
      <c r="N29" s="35"/>
    </row>
    <row r="30" spans="1:14" x14ac:dyDescent="0.25">
      <c r="A30" s="114"/>
      <c r="B30" s="114"/>
      <c r="C30" s="114"/>
      <c r="D30" s="114"/>
      <c r="E30" s="114"/>
      <c r="F30" s="115"/>
      <c r="G30" s="115"/>
      <c r="H30" s="115"/>
      <c r="I30" s="115"/>
      <c r="J30" s="115"/>
      <c r="K30" s="115"/>
      <c r="L30" s="115"/>
      <c r="M30" s="115"/>
      <c r="N30" s="35"/>
    </row>
    <row r="31" spans="1:14" x14ac:dyDescent="0.25">
      <c r="A31" s="114"/>
      <c r="B31" s="114"/>
      <c r="C31" s="114"/>
      <c r="D31" s="114"/>
      <c r="E31" s="114"/>
      <c r="F31" s="115"/>
      <c r="G31" s="115"/>
      <c r="H31" s="115"/>
      <c r="I31" s="115"/>
      <c r="J31" s="115"/>
      <c r="K31" s="115"/>
      <c r="L31" s="115"/>
      <c r="M31" s="115"/>
      <c r="N31" s="35"/>
    </row>
    <row r="32" spans="1:14" x14ac:dyDescent="0.25">
      <c r="A32" s="114"/>
      <c r="B32" s="114"/>
      <c r="C32" s="114"/>
      <c r="D32" s="114"/>
      <c r="E32" s="114"/>
      <c r="F32" s="115"/>
      <c r="G32" s="115"/>
      <c r="H32" s="115"/>
      <c r="I32" s="115"/>
      <c r="J32" s="115"/>
      <c r="K32" s="115"/>
      <c r="L32" s="115"/>
      <c r="M32" s="115"/>
      <c r="N32" s="35"/>
    </row>
    <row r="33" spans="1:14" x14ac:dyDescent="0.25">
      <c r="A33" s="114"/>
      <c r="B33" s="114"/>
      <c r="C33" s="114"/>
      <c r="D33" s="114"/>
      <c r="E33" s="114"/>
      <c r="F33" s="116"/>
      <c r="G33" s="115"/>
      <c r="H33" s="115"/>
      <c r="I33" s="115"/>
      <c r="J33" s="115"/>
      <c r="K33" s="115"/>
      <c r="L33" s="115"/>
      <c r="M33" s="115"/>
      <c r="N33" s="35"/>
    </row>
    <row r="34" spans="1:14" x14ac:dyDescent="0.25">
      <c r="A34" s="114"/>
      <c r="B34" s="114"/>
      <c r="C34" s="114"/>
      <c r="D34" s="114"/>
      <c r="E34" s="114"/>
      <c r="F34" s="115"/>
      <c r="G34" s="115"/>
      <c r="H34" s="115"/>
      <c r="I34" s="115"/>
      <c r="J34" s="115"/>
      <c r="K34" s="115"/>
      <c r="L34" s="115"/>
      <c r="M34" s="115"/>
      <c r="N34" s="35"/>
    </row>
    <row r="35" spans="1:14" x14ac:dyDescent="0.25">
      <c r="A35" s="114"/>
      <c r="B35" s="114"/>
      <c r="C35" s="114"/>
      <c r="D35" s="114"/>
      <c r="E35" s="114"/>
      <c r="F35" s="115"/>
      <c r="G35" s="115"/>
      <c r="H35" s="115"/>
      <c r="I35" s="115"/>
      <c r="J35" s="115"/>
      <c r="K35" s="115"/>
      <c r="L35" s="115"/>
      <c r="M35" s="115"/>
      <c r="N35" s="35"/>
    </row>
    <row r="36" spans="1:14" x14ac:dyDescent="0.25">
      <c r="A36" s="114"/>
      <c r="B36" s="114"/>
      <c r="C36" s="114"/>
      <c r="D36" s="114"/>
      <c r="E36" s="114"/>
      <c r="F36" s="115"/>
      <c r="G36" s="115"/>
      <c r="H36" s="115"/>
      <c r="I36" s="115"/>
      <c r="J36" s="115"/>
      <c r="K36" s="115"/>
      <c r="L36" s="115"/>
      <c r="M36" s="115"/>
      <c r="N36" s="35"/>
    </row>
    <row r="37" spans="1:14" x14ac:dyDescent="0.25">
      <c r="A37" s="114"/>
      <c r="B37" s="114"/>
      <c r="C37" s="114"/>
      <c r="D37" s="114"/>
      <c r="E37" s="114"/>
      <c r="F37" s="115"/>
      <c r="G37" s="115"/>
      <c r="H37" s="115"/>
      <c r="I37" s="115"/>
      <c r="J37" s="115"/>
      <c r="K37" s="115"/>
      <c r="L37" s="115"/>
      <c r="M37" s="115"/>
      <c r="N37" s="35"/>
    </row>
    <row r="38" spans="1:14" x14ac:dyDescent="0.25">
      <c r="A38" s="114"/>
      <c r="B38" s="114"/>
      <c r="C38" s="114"/>
      <c r="D38" s="114"/>
      <c r="E38" s="114"/>
      <c r="F38" s="116"/>
      <c r="G38" s="115"/>
      <c r="H38" s="115"/>
      <c r="I38" s="115"/>
      <c r="J38" s="115"/>
      <c r="K38" s="115"/>
      <c r="L38" s="115"/>
      <c r="M38" s="115"/>
      <c r="N38" s="35"/>
    </row>
    <row r="39" spans="1:14" x14ac:dyDescent="0.25">
      <c r="A39" s="107"/>
      <c r="B39" s="107"/>
      <c r="C39" s="107"/>
      <c r="D39" s="107"/>
      <c r="E39" s="107"/>
      <c r="F39" s="35"/>
      <c r="G39" s="35"/>
      <c r="H39" s="35"/>
      <c r="I39" s="35"/>
      <c r="J39" s="35"/>
      <c r="K39" s="35"/>
      <c r="L39" s="35"/>
      <c r="M39" s="35"/>
      <c r="N39" s="35"/>
    </row>
    <row r="40" spans="1:14" x14ac:dyDescent="0.25">
      <c r="A40" s="107"/>
      <c r="B40" s="107"/>
      <c r="C40" s="107"/>
      <c r="D40" s="107"/>
      <c r="E40" s="107"/>
      <c r="F40" s="35"/>
      <c r="G40" s="35"/>
      <c r="H40" s="35"/>
      <c r="I40" s="35"/>
      <c r="J40" s="35"/>
      <c r="K40" s="35"/>
      <c r="L40" s="35"/>
      <c r="M40" s="35"/>
      <c r="N40" s="35"/>
    </row>
    <row r="41" spans="1:14" x14ac:dyDescent="0.25">
      <c r="A41" s="107"/>
      <c r="B41" s="107"/>
      <c r="C41" s="107"/>
      <c r="D41" s="107"/>
      <c r="E41" s="107"/>
      <c r="F41" s="35"/>
      <c r="G41" s="35"/>
      <c r="H41" s="35"/>
      <c r="I41" s="35"/>
      <c r="J41" s="35"/>
      <c r="K41" s="35"/>
      <c r="L41" s="35"/>
      <c r="M41" s="35"/>
      <c r="N41" s="35"/>
    </row>
    <row r="42" spans="1:14" x14ac:dyDescent="0.25">
      <c r="A42" s="107"/>
      <c r="B42" s="107"/>
      <c r="C42" s="107"/>
      <c r="D42" s="107"/>
      <c r="E42" s="107"/>
      <c r="F42" s="35"/>
      <c r="G42" s="35"/>
      <c r="H42" s="35"/>
      <c r="I42" s="35"/>
      <c r="J42" s="35"/>
      <c r="K42" s="35"/>
      <c r="L42" s="35"/>
      <c r="M42" s="35"/>
      <c r="N42" s="35"/>
    </row>
    <row r="43" spans="1:14" x14ac:dyDescent="0.25">
      <c r="A43" s="107"/>
      <c r="B43" s="107"/>
      <c r="C43" s="107"/>
      <c r="D43" s="107"/>
      <c r="E43" s="107"/>
      <c r="F43" s="108"/>
      <c r="G43" s="35"/>
      <c r="H43" s="35"/>
      <c r="I43" s="35"/>
      <c r="J43" s="35"/>
      <c r="K43" s="35"/>
      <c r="L43" s="35"/>
      <c r="M43" s="35"/>
      <c r="N43" s="35"/>
    </row>
    <row r="44" spans="1:14" x14ac:dyDescent="0.25">
      <c r="A44" s="107"/>
      <c r="B44" s="107"/>
      <c r="C44" s="107"/>
      <c r="D44" s="107"/>
      <c r="E44" s="107"/>
      <c r="F44" s="35"/>
      <c r="G44" s="35"/>
      <c r="H44" s="35"/>
      <c r="I44" s="35"/>
      <c r="J44" s="35"/>
      <c r="K44" s="35"/>
      <c r="L44" s="35"/>
      <c r="M44" s="35"/>
      <c r="N44" s="35"/>
    </row>
    <row r="45" spans="1:14" x14ac:dyDescent="0.25">
      <c r="A45" s="107"/>
      <c r="B45" s="107"/>
      <c r="C45" s="107"/>
      <c r="D45" s="107"/>
      <c r="E45" s="107"/>
      <c r="F45" s="35"/>
      <c r="G45" s="35"/>
      <c r="H45" s="35"/>
      <c r="I45" s="35"/>
      <c r="J45" s="35"/>
      <c r="K45" s="35"/>
      <c r="L45" s="35"/>
      <c r="M45" s="35"/>
      <c r="N45" s="35"/>
    </row>
    <row r="46" spans="1:14" x14ac:dyDescent="0.25">
      <c r="A46" s="107"/>
      <c r="B46" s="107"/>
      <c r="C46" s="107"/>
      <c r="D46" s="107"/>
      <c r="E46" s="107"/>
      <c r="F46" s="35"/>
      <c r="G46" s="35"/>
      <c r="H46" s="35"/>
      <c r="I46" s="35"/>
      <c r="J46" s="35"/>
      <c r="K46" s="35"/>
      <c r="L46" s="35"/>
      <c r="M46" s="35"/>
      <c r="N46" s="35"/>
    </row>
    <row r="47" spans="1:14" x14ac:dyDescent="0.25">
      <c r="A47" s="107"/>
      <c r="B47" s="107"/>
      <c r="C47" s="107"/>
      <c r="D47" s="107"/>
      <c r="E47" s="107"/>
      <c r="F47" s="35"/>
      <c r="G47" s="35"/>
      <c r="H47" s="35"/>
      <c r="I47" s="35"/>
      <c r="J47" s="35"/>
      <c r="K47" s="35"/>
      <c r="L47" s="35"/>
      <c r="M47" s="35"/>
      <c r="N47" s="35"/>
    </row>
    <row r="48" spans="1:14" x14ac:dyDescent="0.25">
      <c r="A48" s="107"/>
      <c r="B48" s="107"/>
      <c r="C48" s="107"/>
      <c r="D48" s="107"/>
      <c r="E48" s="107"/>
      <c r="F48" s="108"/>
      <c r="G48" s="35"/>
      <c r="H48" s="35"/>
      <c r="I48" s="35"/>
      <c r="J48" s="35"/>
      <c r="K48" s="35"/>
      <c r="L48" s="35"/>
      <c r="M48" s="35"/>
      <c r="N48" s="35"/>
    </row>
    <row r="49" spans="1:14" x14ac:dyDescent="0.25">
      <c r="A49" s="107"/>
      <c r="B49" s="107"/>
      <c r="C49" s="107"/>
      <c r="D49" s="107"/>
      <c r="E49" s="107"/>
      <c r="F49" s="35"/>
      <c r="G49" s="35"/>
      <c r="H49" s="35"/>
      <c r="I49" s="35"/>
      <c r="J49" s="35"/>
      <c r="K49" s="35"/>
      <c r="L49" s="35"/>
      <c r="M49" s="35"/>
      <c r="N49" s="35"/>
    </row>
    <row r="50" spans="1:14" x14ac:dyDescent="0.25">
      <c r="A50" s="107"/>
      <c r="B50" s="107"/>
      <c r="C50" s="107"/>
      <c r="D50" s="107"/>
      <c r="E50" s="107"/>
      <c r="F50" s="35"/>
      <c r="G50" s="35"/>
      <c r="H50" s="35"/>
      <c r="I50" s="35"/>
      <c r="J50" s="35"/>
      <c r="K50" s="35"/>
      <c r="L50" s="35"/>
      <c r="M50" s="35"/>
      <c r="N50" s="35"/>
    </row>
    <row r="51" spans="1:14" x14ac:dyDescent="0.25">
      <c r="A51" s="107"/>
      <c r="B51" s="107"/>
      <c r="C51" s="107"/>
      <c r="D51" s="107"/>
      <c r="E51" s="107"/>
      <c r="F51" s="35"/>
      <c r="G51" s="35"/>
      <c r="H51" s="35"/>
      <c r="I51" s="35"/>
      <c r="J51" s="35"/>
      <c r="K51" s="35"/>
      <c r="L51" s="35"/>
      <c r="M51" s="35"/>
      <c r="N51" s="35"/>
    </row>
    <row r="52" spans="1:14" x14ac:dyDescent="0.25">
      <c r="A52" s="107"/>
      <c r="B52" s="107"/>
      <c r="C52" s="107"/>
      <c r="D52" s="107"/>
      <c r="E52" s="107"/>
      <c r="F52" s="35"/>
      <c r="G52" s="35"/>
      <c r="H52" s="35"/>
      <c r="I52" s="35"/>
      <c r="J52" s="35"/>
      <c r="K52" s="35"/>
      <c r="L52" s="35"/>
      <c r="M52" s="35"/>
      <c r="N52" s="35"/>
    </row>
    <row r="53" spans="1:14" x14ac:dyDescent="0.25">
      <c r="A53" s="107"/>
      <c r="B53" s="107"/>
      <c r="C53" s="107"/>
      <c r="D53" s="107"/>
      <c r="E53" s="107"/>
      <c r="F53" s="108"/>
      <c r="G53" s="35"/>
      <c r="H53" s="35"/>
      <c r="I53" s="35"/>
      <c r="J53" s="35"/>
      <c r="K53" s="35"/>
      <c r="L53" s="35"/>
      <c r="M53" s="35"/>
      <c r="N53" s="35"/>
    </row>
    <row r="54" spans="1:14" x14ac:dyDescent="0.25">
      <c r="A54" s="107"/>
      <c r="B54" s="107"/>
      <c r="C54" s="107"/>
      <c r="D54" s="107"/>
      <c r="E54" s="107"/>
      <c r="F54" s="35"/>
      <c r="G54" s="35"/>
      <c r="H54" s="35"/>
      <c r="I54" s="35"/>
      <c r="J54" s="35"/>
      <c r="K54" s="35"/>
      <c r="L54" s="35"/>
      <c r="M54" s="35"/>
      <c r="N54" s="35"/>
    </row>
    <row r="55" spans="1:14" x14ac:dyDescent="0.25">
      <c r="A55" s="107"/>
      <c r="B55" s="107"/>
      <c r="C55" s="107"/>
      <c r="D55" s="107"/>
      <c r="E55" s="107"/>
      <c r="F55" s="35"/>
      <c r="G55" s="35"/>
      <c r="H55" s="35"/>
      <c r="I55" s="35"/>
      <c r="J55" s="35"/>
      <c r="K55" s="35"/>
      <c r="L55" s="35"/>
      <c r="M55" s="35"/>
      <c r="N55" s="35"/>
    </row>
    <row r="56" spans="1:14" x14ac:dyDescent="0.25">
      <c r="A56" s="107"/>
      <c r="B56" s="107"/>
      <c r="C56" s="107"/>
      <c r="D56" s="107"/>
      <c r="E56" s="107"/>
      <c r="F56" s="35"/>
      <c r="G56" s="35"/>
      <c r="H56" s="35"/>
      <c r="I56" s="35"/>
      <c r="J56" s="35"/>
      <c r="K56" s="35"/>
      <c r="L56" s="35"/>
      <c r="M56" s="35"/>
      <c r="N56" s="35"/>
    </row>
    <row r="57" spans="1:14" x14ac:dyDescent="0.25">
      <c r="A57" s="107"/>
      <c r="B57" s="107"/>
      <c r="C57" s="107"/>
      <c r="D57" s="107"/>
      <c r="E57" s="107"/>
      <c r="F57" s="35"/>
      <c r="G57" s="35"/>
      <c r="H57" s="35"/>
      <c r="I57" s="35"/>
      <c r="J57" s="35"/>
      <c r="K57" s="35"/>
      <c r="L57" s="35"/>
      <c r="M57" s="35"/>
      <c r="N57" s="35"/>
    </row>
    <row r="58" spans="1:14" x14ac:dyDescent="0.25">
      <c r="A58" s="107"/>
      <c r="B58" s="107"/>
      <c r="C58" s="107"/>
      <c r="D58" s="107"/>
      <c r="E58" s="107"/>
      <c r="F58" s="108"/>
      <c r="G58" s="35"/>
      <c r="H58" s="35"/>
      <c r="I58" s="35"/>
      <c r="J58" s="35"/>
      <c r="K58" s="35"/>
      <c r="L58" s="35"/>
      <c r="M58" s="35"/>
      <c r="N58" s="35"/>
    </row>
    <row r="59" spans="1:14" x14ac:dyDescent="0.25">
      <c r="A59" s="107"/>
      <c r="B59" s="107"/>
      <c r="C59" s="107"/>
      <c r="D59" s="107"/>
      <c r="E59" s="107"/>
      <c r="F59" s="35"/>
      <c r="G59" s="35"/>
      <c r="H59" s="35"/>
      <c r="I59" s="35"/>
      <c r="J59" s="35"/>
      <c r="K59" s="35"/>
      <c r="L59" s="35"/>
      <c r="M59" s="35"/>
      <c r="N59" s="35"/>
    </row>
    <row r="60" spans="1:14" x14ac:dyDescent="0.25">
      <c r="A60" s="107"/>
      <c r="B60" s="107"/>
      <c r="C60" s="107"/>
      <c r="D60" s="107"/>
      <c r="E60" s="107"/>
      <c r="F60" s="35"/>
      <c r="G60" s="35"/>
      <c r="H60" s="35"/>
      <c r="I60" s="35"/>
      <c r="J60" s="35"/>
      <c r="K60" s="35"/>
      <c r="L60" s="35"/>
      <c r="M60" s="35"/>
      <c r="N60" s="35"/>
    </row>
    <row r="61" spans="1:14" x14ac:dyDescent="0.25">
      <c r="A61" s="107"/>
      <c r="B61" s="107"/>
      <c r="C61" s="107"/>
      <c r="D61" s="107"/>
      <c r="E61" s="107"/>
      <c r="F61" s="35"/>
      <c r="G61" s="35"/>
      <c r="H61" s="35"/>
      <c r="I61" s="35"/>
      <c r="J61" s="35"/>
      <c r="K61" s="35"/>
      <c r="L61" s="35"/>
      <c r="M61" s="35"/>
      <c r="N61" s="35"/>
    </row>
    <row r="62" spans="1:14" x14ac:dyDescent="0.25">
      <c r="A62" s="107"/>
      <c r="B62" s="107"/>
      <c r="C62" s="107"/>
      <c r="D62" s="107"/>
      <c r="E62" s="107"/>
      <c r="F62" s="35"/>
      <c r="G62" s="35"/>
      <c r="H62" s="35"/>
      <c r="I62" s="35"/>
      <c r="J62" s="35"/>
      <c r="K62" s="35"/>
      <c r="L62" s="35"/>
      <c r="M62" s="35"/>
      <c r="N62" s="35"/>
    </row>
    <row r="63" spans="1:14" x14ac:dyDescent="0.25">
      <c r="A63" s="107"/>
      <c r="B63" s="107"/>
      <c r="C63" s="107"/>
      <c r="D63" s="107"/>
      <c r="E63" s="107"/>
      <c r="F63" s="108"/>
      <c r="G63" s="35"/>
      <c r="H63" s="35"/>
      <c r="I63" s="35"/>
      <c r="J63" s="35"/>
      <c r="K63" s="35"/>
      <c r="L63" s="35"/>
      <c r="M63" s="35"/>
      <c r="N63" s="35"/>
    </row>
    <row r="64" spans="1:14" x14ac:dyDescent="0.25">
      <c r="A64" s="107"/>
      <c r="B64" s="107"/>
      <c r="C64" s="107"/>
      <c r="D64" s="107"/>
      <c r="E64" s="107"/>
      <c r="F64" s="35"/>
      <c r="G64" s="35"/>
      <c r="H64" s="35"/>
      <c r="I64" s="35"/>
      <c r="J64" s="35"/>
      <c r="K64" s="35"/>
      <c r="L64" s="35"/>
      <c r="M64" s="35"/>
      <c r="N64" s="35"/>
    </row>
    <row r="65" spans="1:14" x14ac:dyDescent="0.25">
      <c r="A65" s="107"/>
      <c r="B65" s="107"/>
      <c r="C65" s="107"/>
      <c r="D65" s="107"/>
      <c r="E65" s="107"/>
      <c r="F65" s="35"/>
      <c r="G65" s="35"/>
      <c r="H65" s="35"/>
      <c r="I65" s="35"/>
      <c r="J65" s="35"/>
      <c r="K65" s="35"/>
      <c r="L65" s="35"/>
      <c r="M65" s="35"/>
      <c r="N65" s="35"/>
    </row>
    <row r="66" spans="1:14" x14ac:dyDescent="0.25">
      <c r="A66" s="107"/>
      <c r="B66" s="107"/>
      <c r="C66" s="107"/>
      <c r="D66" s="107"/>
      <c r="E66" s="107"/>
      <c r="F66" s="35"/>
      <c r="G66" s="35"/>
      <c r="H66" s="35"/>
      <c r="I66" s="35"/>
      <c r="J66" s="35"/>
      <c r="K66" s="35"/>
      <c r="L66" s="35"/>
      <c r="M66" s="35"/>
      <c r="N66" s="35"/>
    </row>
    <row r="67" spans="1:14" x14ac:dyDescent="0.25">
      <c r="A67" s="107"/>
      <c r="B67" s="107"/>
      <c r="C67" s="107"/>
      <c r="D67" s="107"/>
      <c r="E67" s="107"/>
      <c r="F67" s="35"/>
      <c r="G67" s="35"/>
      <c r="H67" s="35"/>
      <c r="I67" s="35"/>
      <c r="J67" s="35"/>
      <c r="K67" s="35"/>
      <c r="L67" s="35"/>
      <c r="M67" s="35"/>
      <c r="N67" s="35"/>
    </row>
    <row r="68" spans="1:14" x14ac:dyDescent="0.25">
      <c r="A68" s="107"/>
      <c r="B68" s="107"/>
      <c r="C68" s="107"/>
      <c r="D68" s="107"/>
      <c r="E68" s="107"/>
      <c r="F68" s="108"/>
      <c r="G68" s="35"/>
      <c r="H68" s="35"/>
      <c r="I68" s="35"/>
      <c r="J68" s="35"/>
      <c r="K68" s="35"/>
      <c r="L68" s="35"/>
      <c r="M68" s="35"/>
      <c r="N68" s="35"/>
    </row>
    <row r="69" spans="1:14" x14ac:dyDescent="0.25">
      <c r="A69" s="107"/>
      <c r="B69" s="107"/>
      <c r="C69" s="107"/>
      <c r="D69" s="107"/>
      <c r="E69" s="107"/>
      <c r="F69" s="35"/>
      <c r="G69" s="35"/>
      <c r="H69" s="35"/>
      <c r="I69" s="35"/>
      <c r="J69" s="35"/>
      <c r="K69" s="35"/>
      <c r="L69" s="35"/>
      <c r="M69" s="35"/>
      <c r="N69" s="35"/>
    </row>
    <row r="70" spans="1:14" x14ac:dyDescent="0.25">
      <c r="A70" s="107"/>
      <c r="B70" s="107"/>
      <c r="C70" s="107"/>
      <c r="D70" s="107"/>
      <c r="E70" s="107"/>
      <c r="F70" s="35"/>
      <c r="G70" s="35"/>
      <c r="H70" s="35"/>
      <c r="I70" s="35"/>
      <c r="J70" s="35"/>
      <c r="K70" s="35"/>
      <c r="L70" s="35"/>
      <c r="M70" s="35"/>
      <c r="N70" s="35"/>
    </row>
    <row r="71" spans="1:14" x14ac:dyDescent="0.25">
      <c r="A71" s="107"/>
      <c r="B71" s="107"/>
      <c r="C71" s="107"/>
      <c r="D71" s="107"/>
      <c r="E71" s="107"/>
      <c r="F71" s="35"/>
      <c r="G71" s="35"/>
      <c r="H71" s="35"/>
      <c r="I71" s="35"/>
      <c r="J71" s="35"/>
      <c r="K71" s="35"/>
      <c r="L71" s="35"/>
      <c r="M71" s="35"/>
      <c r="N71" s="35"/>
    </row>
    <row r="72" spans="1:14" x14ac:dyDescent="0.25">
      <c r="A72" s="107"/>
      <c r="B72" s="107"/>
      <c r="C72" s="107"/>
      <c r="D72" s="107"/>
      <c r="E72" s="107"/>
      <c r="F72" s="35"/>
      <c r="G72" s="35"/>
      <c r="H72" s="35"/>
      <c r="I72" s="35"/>
      <c r="J72" s="35"/>
      <c r="K72" s="35"/>
      <c r="L72" s="35"/>
      <c r="M72" s="35"/>
      <c r="N72" s="35"/>
    </row>
    <row r="73" spans="1:14" x14ac:dyDescent="0.25">
      <c r="A73" s="107"/>
      <c r="B73" s="107"/>
      <c r="C73" s="107"/>
      <c r="D73" s="107"/>
      <c r="E73" s="107"/>
      <c r="F73" s="108"/>
      <c r="G73" s="35"/>
      <c r="H73" s="35"/>
      <c r="I73" s="35"/>
      <c r="J73" s="35"/>
      <c r="K73" s="35"/>
      <c r="L73" s="35"/>
      <c r="M73" s="35"/>
      <c r="N73" s="35"/>
    </row>
    <row r="74" spans="1:14" x14ac:dyDescent="0.25">
      <c r="A74" s="107"/>
      <c r="B74" s="107"/>
      <c r="C74" s="107"/>
      <c r="D74" s="107"/>
      <c r="E74" s="107"/>
      <c r="F74" s="35"/>
      <c r="G74" s="35"/>
      <c r="H74" s="35"/>
      <c r="I74" s="35"/>
      <c r="J74" s="35"/>
      <c r="K74" s="35"/>
      <c r="L74" s="35"/>
      <c r="M74" s="35"/>
      <c r="N74" s="35"/>
    </row>
    <row r="75" spans="1:14" x14ac:dyDescent="0.25">
      <c r="A75" s="107"/>
      <c r="B75" s="107"/>
      <c r="C75" s="107"/>
      <c r="D75" s="107"/>
      <c r="E75" s="107"/>
      <c r="F75" s="35"/>
      <c r="G75" s="35"/>
      <c r="H75" s="35"/>
      <c r="I75" s="35"/>
      <c r="J75" s="35"/>
      <c r="K75" s="35"/>
      <c r="L75" s="35"/>
      <c r="M75" s="35"/>
      <c r="N75" s="35"/>
    </row>
    <row r="76" spans="1:14" x14ac:dyDescent="0.25">
      <c r="A76" s="107"/>
      <c r="B76" s="107"/>
      <c r="C76" s="107"/>
      <c r="D76" s="107"/>
      <c r="E76" s="107"/>
      <c r="F76" s="35"/>
      <c r="G76" s="35"/>
      <c r="H76" s="35"/>
      <c r="I76" s="35"/>
      <c r="J76" s="35"/>
      <c r="K76" s="35"/>
      <c r="L76" s="35"/>
      <c r="M76" s="35"/>
      <c r="N76" s="35"/>
    </row>
    <row r="77" spans="1:14" x14ac:dyDescent="0.25">
      <c r="A77" s="107"/>
      <c r="B77" s="107"/>
      <c r="C77" s="107"/>
      <c r="D77" s="107"/>
      <c r="E77" s="107"/>
      <c r="F77" s="35"/>
      <c r="G77" s="35"/>
      <c r="H77" s="35"/>
      <c r="I77" s="35"/>
      <c r="J77" s="35"/>
      <c r="K77" s="35"/>
      <c r="L77" s="35"/>
      <c r="M77" s="35"/>
      <c r="N77" s="35"/>
    </row>
    <row r="78" spans="1:14" x14ac:dyDescent="0.25">
      <c r="A78" s="107"/>
      <c r="B78" s="107"/>
      <c r="C78" s="107"/>
      <c r="D78" s="107"/>
      <c r="E78" s="107"/>
      <c r="F78" s="108"/>
      <c r="G78" s="35"/>
      <c r="H78" s="35"/>
      <c r="I78" s="35"/>
      <c r="J78" s="35"/>
      <c r="K78" s="35"/>
      <c r="L78" s="35"/>
      <c r="M78" s="35"/>
      <c r="N78" s="35"/>
    </row>
    <row r="79" spans="1:14" x14ac:dyDescent="0.25">
      <c r="A79" s="109"/>
      <c r="B79" s="109"/>
      <c r="C79" s="109"/>
      <c r="D79" s="109"/>
      <c r="E79" s="109"/>
      <c r="F79" s="35"/>
      <c r="G79" s="35"/>
      <c r="H79" s="35"/>
      <c r="I79" s="35"/>
      <c r="J79" s="35"/>
      <c r="K79" s="35"/>
      <c r="L79" s="35"/>
      <c r="M79" s="35"/>
      <c r="N79" s="35"/>
    </row>
    <row r="80" spans="1:14" x14ac:dyDescent="0.25">
      <c r="A80" s="109"/>
      <c r="B80" s="109"/>
      <c r="C80" s="109"/>
      <c r="D80" s="109"/>
      <c r="E80" s="109"/>
      <c r="F80" s="35"/>
      <c r="G80" s="35"/>
      <c r="H80" s="35"/>
      <c r="I80" s="35"/>
      <c r="J80" s="35"/>
      <c r="K80" s="35"/>
      <c r="L80" s="35"/>
      <c r="M80" s="35"/>
      <c r="N80" s="35"/>
    </row>
    <row r="81" spans="1:14" x14ac:dyDescent="0.25">
      <c r="A81" s="35"/>
      <c r="B81" s="35"/>
      <c r="C81" s="35"/>
      <c r="D81" s="35"/>
      <c r="E81" s="35"/>
      <c r="F81" s="35"/>
      <c r="G81" s="35"/>
      <c r="H81" s="35"/>
      <c r="I81" s="35"/>
      <c r="J81" s="35"/>
      <c r="K81" s="35"/>
      <c r="L81" s="35"/>
      <c r="M81" s="35"/>
      <c r="N81" s="35"/>
    </row>
  </sheetData>
  <mergeCells count="7">
    <mergeCell ref="A10:I10"/>
    <mergeCell ref="A16:I16"/>
    <mergeCell ref="A8:I8"/>
    <mergeCell ref="A1:A2"/>
    <mergeCell ref="K1:K2"/>
    <mergeCell ref="F1:J1"/>
    <mergeCell ref="B1:E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3ED50-75B1-4CB0-847A-CA426B6C3641}">
  <dimension ref="A1:T23"/>
  <sheetViews>
    <sheetView workbookViewId="0">
      <selection activeCell="A24" sqref="A24"/>
    </sheetView>
  </sheetViews>
  <sheetFormatPr defaultRowHeight="15" x14ac:dyDescent="0.25"/>
  <cols>
    <col min="1" max="1" width="25.42578125" customWidth="1"/>
    <col min="2" max="2" width="12.42578125" customWidth="1"/>
    <col min="3" max="3" width="14.5703125" customWidth="1"/>
    <col min="4" max="4" width="12.85546875" customWidth="1"/>
    <col min="5" max="5" width="13.85546875" customWidth="1"/>
    <col min="6" max="7" width="12.7109375" customWidth="1"/>
    <col min="8" max="8" width="10" customWidth="1"/>
    <col min="9" max="9" width="14.140625" customWidth="1"/>
  </cols>
  <sheetData>
    <row r="1" spans="1:20" ht="30" x14ac:dyDescent="0.25">
      <c r="A1" s="55" t="s">
        <v>151</v>
      </c>
      <c r="B1" s="55" t="s">
        <v>80</v>
      </c>
      <c r="C1" s="55" t="s">
        <v>18</v>
      </c>
      <c r="D1" s="55" t="s">
        <v>21</v>
      </c>
      <c r="E1" s="55" t="s">
        <v>22</v>
      </c>
      <c r="F1" s="55" t="s">
        <v>23</v>
      </c>
      <c r="G1" s="55" t="s">
        <v>24</v>
      </c>
      <c r="H1" s="55" t="s">
        <v>25</v>
      </c>
      <c r="I1" s="55" t="s">
        <v>26</v>
      </c>
      <c r="J1" s="55" t="s">
        <v>43</v>
      </c>
      <c r="M1" s="56"/>
    </row>
    <row r="2" spans="1:20" ht="45" x14ac:dyDescent="0.25">
      <c r="A2" s="43" t="s">
        <v>152</v>
      </c>
      <c r="B2" s="54" t="s">
        <v>81</v>
      </c>
      <c r="C2" s="97">
        <v>5</v>
      </c>
      <c r="D2" s="97">
        <v>6</v>
      </c>
      <c r="E2" s="97">
        <v>5</v>
      </c>
      <c r="F2" s="97">
        <v>5</v>
      </c>
      <c r="G2" s="97">
        <v>5</v>
      </c>
      <c r="H2" s="97">
        <v>5</v>
      </c>
      <c r="I2" s="97">
        <v>5</v>
      </c>
      <c r="J2" s="97">
        <f>+SUM(C2:I2)</f>
        <v>36</v>
      </c>
      <c r="T2" s="57"/>
    </row>
    <row r="3" spans="1:20" x14ac:dyDescent="0.25">
      <c r="A3" s="56"/>
      <c r="B3" s="56"/>
      <c r="C3" s="58"/>
      <c r="D3" s="58"/>
      <c r="E3" s="58"/>
      <c r="F3" s="58"/>
      <c r="G3" s="58"/>
      <c r="H3" s="58"/>
      <c r="I3" s="58"/>
      <c r="J3" s="58"/>
      <c r="T3" s="57"/>
    </row>
    <row r="4" spans="1:20" ht="30" x14ac:dyDescent="0.25">
      <c r="A4" s="43" t="s">
        <v>153</v>
      </c>
      <c r="B4" s="59" t="s">
        <v>82</v>
      </c>
      <c r="C4" s="60">
        <v>584</v>
      </c>
      <c r="D4" s="60">
        <v>600</v>
      </c>
      <c r="E4" s="60">
        <v>600</v>
      </c>
      <c r="F4" s="60">
        <v>625</v>
      </c>
      <c r="G4" s="60">
        <v>583</v>
      </c>
      <c r="H4" s="60">
        <v>585</v>
      </c>
      <c r="I4" s="60">
        <v>583</v>
      </c>
      <c r="J4" s="60">
        <f t="shared" ref="J4:J10" si="0">+SUM(C4:I4)</f>
        <v>4160</v>
      </c>
      <c r="L4" s="40"/>
    </row>
    <row r="5" spans="1:20" ht="60" x14ac:dyDescent="0.25">
      <c r="A5" s="43" t="s">
        <v>154</v>
      </c>
      <c r="B5" s="59" t="s">
        <v>82</v>
      </c>
      <c r="C5" s="60">
        <v>250</v>
      </c>
      <c r="D5" s="60">
        <v>270</v>
      </c>
      <c r="E5" s="60">
        <v>275</v>
      </c>
      <c r="F5" s="60">
        <v>275</v>
      </c>
      <c r="G5" s="60">
        <v>250</v>
      </c>
      <c r="H5" s="60">
        <v>250</v>
      </c>
      <c r="I5" s="60">
        <v>250</v>
      </c>
      <c r="J5" s="60">
        <f t="shared" si="0"/>
        <v>1820</v>
      </c>
      <c r="L5" s="40"/>
    </row>
    <row r="6" spans="1:20" ht="45" x14ac:dyDescent="0.25">
      <c r="A6" s="43" t="s">
        <v>155</v>
      </c>
      <c r="B6" s="59" t="s">
        <v>82</v>
      </c>
      <c r="C6" s="60">
        <v>590</v>
      </c>
      <c r="D6" s="60">
        <v>600</v>
      </c>
      <c r="E6" s="60">
        <v>850</v>
      </c>
      <c r="F6" s="60">
        <v>625</v>
      </c>
      <c r="G6" s="60">
        <v>835</v>
      </c>
      <c r="H6" s="60">
        <v>835</v>
      </c>
      <c r="I6" s="60">
        <v>835</v>
      </c>
      <c r="J6" s="60">
        <f t="shared" si="0"/>
        <v>5170</v>
      </c>
      <c r="L6" s="40"/>
    </row>
    <row r="7" spans="1:20" ht="45" x14ac:dyDescent="0.25">
      <c r="A7" s="43" t="s">
        <v>156</v>
      </c>
      <c r="B7" s="59" t="s">
        <v>82</v>
      </c>
      <c r="C7" s="60">
        <v>250</v>
      </c>
      <c r="D7" s="60">
        <v>270</v>
      </c>
      <c r="E7" s="60"/>
      <c r="F7" s="60">
        <v>300</v>
      </c>
      <c r="G7" s="60"/>
      <c r="H7" s="60"/>
      <c r="I7" s="60"/>
      <c r="J7" s="60">
        <f t="shared" si="0"/>
        <v>820</v>
      </c>
      <c r="L7" s="40"/>
    </row>
    <row r="8" spans="1:20" ht="45" x14ac:dyDescent="0.25">
      <c r="A8" s="43" t="s">
        <v>157</v>
      </c>
      <c r="B8" s="59" t="s">
        <v>82</v>
      </c>
      <c r="C8" s="60">
        <v>850</v>
      </c>
      <c r="D8" s="60">
        <v>840</v>
      </c>
      <c r="E8" s="60">
        <v>875</v>
      </c>
      <c r="F8" s="60">
        <v>900</v>
      </c>
      <c r="G8" s="60">
        <v>490</v>
      </c>
      <c r="H8" s="60">
        <v>515</v>
      </c>
      <c r="I8" s="60">
        <v>835</v>
      </c>
      <c r="J8" s="60">
        <f t="shared" si="0"/>
        <v>5305</v>
      </c>
      <c r="L8" s="40"/>
    </row>
    <row r="9" spans="1:20" ht="105" x14ac:dyDescent="0.25">
      <c r="A9" s="43" t="s">
        <v>158</v>
      </c>
      <c r="B9" s="59" t="s">
        <v>83</v>
      </c>
      <c r="C9" s="60">
        <f>20*(6/1000)*100</f>
        <v>12</v>
      </c>
      <c r="D9" s="60">
        <f>24*(6/1000)*100</f>
        <v>14.400000000000002</v>
      </c>
      <c r="E9" s="60">
        <f>25*(6/1000)*100</f>
        <v>15</v>
      </c>
      <c r="F9" s="60">
        <f t="shared" ref="F9" si="1">15*(6/1000)</f>
        <v>0.09</v>
      </c>
      <c r="G9" s="60">
        <f>15*(6/1000)*100</f>
        <v>9</v>
      </c>
      <c r="H9" s="60">
        <f>15*(6/1000)*100</f>
        <v>9</v>
      </c>
      <c r="I9" s="60">
        <f>15*(6/1000)*100</f>
        <v>9</v>
      </c>
      <c r="J9" s="60">
        <f t="shared" si="0"/>
        <v>68.490000000000009</v>
      </c>
    </row>
    <row r="10" spans="1:20" ht="30" x14ac:dyDescent="0.25">
      <c r="A10" s="61" t="s">
        <v>84</v>
      </c>
      <c r="B10" s="61" t="s">
        <v>82</v>
      </c>
      <c r="C10" s="62">
        <f t="shared" ref="C10:I10" si="2">+SUM(C4:C9)</f>
        <v>2536</v>
      </c>
      <c r="D10" s="62">
        <f t="shared" si="2"/>
        <v>2594.4</v>
      </c>
      <c r="E10" s="62">
        <f t="shared" si="2"/>
        <v>2615</v>
      </c>
      <c r="F10" s="62">
        <f t="shared" si="2"/>
        <v>2725.09</v>
      </c>
      <c r="G10" s="62">
        <f>+SUM(G4:G9)</f>
        <v>2167</v>
      </c>
      <c r="H10" s="62">
        <f t="shared" si="2"/>
        <v>2194</v>
      </c>
      <c r="I10" s="62">
        <f t="shared" si="2"/>
        <v>2512</v>
      </c>
      <c r="J10" s="62">
        <f t="shared" si="0"/>
        <v>17343.489999999998</v>
      </c>
    </row>
    <row r="11" spans="1:20" x14ac:dyDescent="0.25">
      <c r="A11" s="56"/>
      <c r="B11" s="56"/>
      <c r="C11" s="58"/>
      <c r="D11" s="58"/>
      <c r="E11" s="58"/>
      <c r="F11" s="58"/>
      <c r="G11" s="58"/>
      <c r="H11" s="58"/>
      <c r="I11" s="58"/>
      <c r="J11" s="58"/>
    </row>
    <row r="12" spans="1:20" ht="105" x14ac:dyDescent="0.25">
      <c r="A12" s="43" t="s">
        <v>159</v>
      </c>
      <c r="B12" s="63" t="s">
        <v>83</v>
      </c>
      <c r="C12" s="64">
        <f>166*(6/1000)*100</f>
        <v>99.6</v>
      </c>
      <c r="D12" s="64">
        <f>180*(6/1000)*100</f>
        <v>108</v>
      </c>
      <c r="E12" s="64">
        <f>200*(6/1000)*100</f>
        <v>120</v>
      </c>
      <c r="F12" s="64">
        <f>250*(6/1000)*100</f>
        <v>150</v>
      </c>
      <c r="G12" s="64">
        <f>165*(6/1000)*100</f>
        <v>99</v>
      </c>
      <c r="H12" s="64">
        <f>167*(6/1000)*100</f>
        <v>100.2</v>
      </c>
      <c r="I12" s="64">
        <f>165*(6/1000)*100</f>
        <v>99</v>
      </c>
      <c r="J12" s="64">
        <f t="shared" ref="J12:J18" si="3">+SUM(C12:I12)</f>
        <v>775.80000000000007</v>
      </c>
      <c r="L12" s="40"/>
    </row>
    <row r="13" spans="1:20" ht="60" x14ac:dyDescent="0.25">
      <c r="A13" s="43" t="s">
        <v>160</v>
      </c>
      <c r="B13" s="63" t="s">
        <v>82</v>
      </c>
      <c r="C13" s="64">
        <v>167</v>
      </c>
      <c r="D13" s="64">
        <v>180</v>
      </c>
      <c r="E13" s="64"/>
      <c r="F13" s="64">
        <v>165</v>
      </c>
      <c r="G13" s="64">
        <v>100</v>
      </c>
      <c r="H13" s="64"/>
      <c r="I13" s="64"/>
      <c r="J13" s="64">
        <f t="shared" si="3"/>
        <v>612</v>
      </c>
      <c r="L13" s="40"/>
    </row>
    <row r="14" spans="1:20" ht="105" x14ac:dyDescent="0.25">
      <c r="A14" s="43" t="s">
        <v>161</v>
      </c>
      <c r="B14" s="63" t="s">
        <v>83</v>
      </c>
      <c r="C14" s="64">
        <f>167*(6/1000)*100</f>
        <v>100.2</v>
      </c>
      <c r="D14" s="64">
        <f>168*(6/1000)*100</f>
        <v>100.8</v>
      </c>
      <c r="E14" s="64">
        <f>225*(6/1000)*100</f>
        <v>135</v>
      </c>
      <c r="F14" s="64">
        <f>165*(6/1000)*100</f>
        <v>99</v>
      </c>
      <c r="G14" s="64">
        <f>165*(6/1000)*100</f>
        <v>99</v>
      </c>
      <c r="H14" s="64">
        <f>165*(6/1000)*100</f>
        <v>99</v>
      </c>
      <c r="I14" s="64">
        <f>225*(6/1000)*100</f>
        <v>135</v>
      </c>
      <c r="J14" s="64">
        <f t="shared" si="3"/>
        <v>768</v>
      </c>
      <c r="L14" s="40"/>
    </row>
    <row r="15" spans="1:20" ht="30" x14ac:dyDescent="0.25">
      <c r="A15" s="43" t="s">
        <v>162</v>
      </c>
      <c r="B15" s="63" t="s">
        <v>82</v>
      </c>
      <c r="C15" s="64">
        <v>167</v>
      </c>
      <c r="D15" s="64">
        <v>168</v>
      </c>
      <c r="E15" s="64">
        <v>225</v>
      </c>
      <c r="F15" s="64">
        <v>165</v>
      </c>
      <c r="G15" s="64">
        <v>165</v>
      </c>
      <c r="H15" s="64">
        <v>165</v>
      </c>
      <c r="I15" s="64">
        <v>225</v>
      </c>
      <c r="J15" s="64">
        <f t="shared" si="3"/>
        <v>1280</v>
      </c>
      <c r="L15" s="40"/>
    </row>
    <row r="16" spans="1:20" ht="105" x14ac:dyDescent="0.25">
      <c r="A16" s="43" t="s">
        <v>163</v>
      </c>
      <c r="B16" s="63" t="s">
        <v>83</v>
      </c>
      <c r="C16" s="64">
        <f>17*(6/1000)*100</f>
        <v>10.200000000000001</v>
      </c>
      <c r="D16" s="64">
        <f>16*(6/1000)*100</f>
        <v>9.6</v>
      </c>
      <c r="E16" s="64">
        <f>25*(6/1000)*100</f>
        <v>15</v>
      </c>
      <c r="F16" s="64">
        <f>15*(6/1000)*100</f>
        <v>9</v>
      </c>
      <c r="G16" s="64">
        <f>15*(6/1000)*100</f>
        <v>9</v>
      </c>
      <c r="H16" s="64">
        <f>15*(6/1000)*100</f>
        <v>9</v>
      </c>
      <c r="I16" s="64">
        <f>15*(6/1000)*100</f>
        <v>9</v>
      </c>
      <c r="J16" s="64">
        <f t="shared" si="3"/>
        <v>70.8</v>
      </c>
    </row>
    <row r="17" spans="1:13" ht="120" x14ac:dyDescent="0.25">
      <c r="A17" s="43" t="s">
        <v>164</v>
      </c>
      <c r="B17" s="63" t="s">
        <v>85</v>
      </c>
      <c r="C17" s="64">
        <f>17*(0.5/1000)*100</f>
        <v>0.85000000000000009</v>
      </c>
      <c r="D17" s="64">
        <f>16*(0.5/1000)*100</f>
        <v>0.8</v>
      </c>
      <c r="E17" s="64">
        <f>25*(0.5/1000)*100</f>
        <v>1.25</v>
      </c>
      <c r="F17" s="64">
        <f>15*(0.5/1000)*100</f>
        <v>0.75</v>
      </c>
      <c r="G17" s="64">
        <f>15*(0.5/1000)*100</f>
        <v>0.75</v>
      </c>
      <c r="H17" s="64">
        <f>15*(0.5/1000)*100</f>
        <v>0.75</v>
      </c>
      <c r="I17" s="64">
        <f>15*(0.5/1000)*100</f>
        <v>0.75</v>
      </c>
      <c r="J17" s="64">
        <f t="shared" si="3"/>
        <v>5.9</v>
      </c>
    </row>
    <row r="18" spans="1:13" ht="30" x14ac:dyDescent="0.25">
      <c r="A18" s="65" t="s">
        <v>86</v>
      </c>
      <c r="B18" s="65" t="s">
        <v>82</v>
      </c>
      <c r="C18" s="66">
        <f>+SUM(C12:C17)</f>
        <v>544.85</v>
      </c>
      <c r="D18" s="66">
        <f t="shared" ref="D18:I18" si="4">+SUM(D12:D17)</f>
        <v>567.19999999999993</v>
      </c>
      <c r="E18" s="66">
        <f t="shared" si="4"/>
        <v>496.25</v>
      </c>
      <c r="F18" s="66">
        <f t="shared" si="4"/>
        <v>588.75</v>
      </c>
      <c r="G18" s="66">
        <f>+SUM(G12:G17)</f>
        <v>472.75</v>
      </c>
      <c r="H18" s="66">
        <f t="shared" si="4"/>
        <v>373.95</v>
      </c>
      <c r="I18" s="66">
        <f t="shared" si="4"/>
        <v>468.75</v>
      </c>
      <c r="J18" s="66">
        <f t="shared" si="3"/>
        <v>3512.5</v>
      </c>
    </row>
    <row r="19" spans="1:13" x14ac:dyDescent="0.25">
      <c r="C19" s="67"/>
      <c r="D19" s="67"/>
      <c r="E19" s="67"/>
      <c r="F19" s="67"/>
      <c r="G19" s="67"/>
      <c r="H19" s="67"/>
      <c r="I19" s="67"/>
      <c r="J19" s="67"/>
    </row>
    <row r="20" spans="1:13" ht="90" x14ac:dyDescent="0.25">
      <c r="A20" s="43" t="s">
        <v>166</v>
      </c>
      <c r="B20" s="54" t="s">
        <v>81</v>
      </c>
      <c r="C20" s="97">
        <v>15</v>
      </c>
      <c r="D20" s="97">
        <v>41</v>
      </c>
      <c r="E20" s="97"/>
      <c r="F20" s="97">
        <v>10</v>
      </c>
      <c r="G20" s="97">
        <v>23</v>
      </c>
      <c r="H20" s="97"/>
      <c r="I20" s="97">
        <v>20</v>
      </c>
      <c r="J20" s="97">
        <f>+SUM(C20:I20)</f>
        <v>109</v>
      </c>
      <c r="M20" s="40"/>
    </row>
    <row r="21" spans="1:13" ht="60" x14ac:dyDescent="0.25">
      <c r="A21" s="43" t="s">
        <v>165</v>
      </c>
      <c r="B21" s="54" t="s">
        <v>81</v>
      </c>
      <c r="C21" s="97">
        <v>15</v>
      </c>
      <c r="D21" s="97">
        <v>21</v>
      </c>
      <c r="E21" s="97">
        <v>12</v>
      </c>
      <c r="F21" s="97">
        <v>16</v>
      </c>
      <c r="G21" s="97">
        <v>25</v>
      </c>
      <c r="H21" s="97">
        <v>48</v>
      </c>
      <c r="I21" s="97">
        <v>19</v>
      </c>
      <c r="J21" s="97">
        <f>+SUM(C21:I21)</f>
        <v>156</v>
      </c>
      <c r="M21" s="40"/>
    </row>
    <row r="22" spans="1:13" ht="60" x14ac:dyDescent="0.25">
      <c r="A22" s="43" t="s">
        <v>167</v>
      </c>
      <c r="B22" s="54" t="s">
        <v>81</v>
      </c>
      <c r="C22" s="97"/>
      <c r="D22" s="97"/>
      <c r="E22" s="97"/>
      <c r="F22" s="97">
        <v>16</v>
      </c>
      <c r="G22" s="97"/>
      <c r="H22" s="97"/>
      <c r="I22" s="97">
        <v>27</v>
      </c>
      <c r="J22" s="97">
        <f>+SUM(C22:I22)</f>
        <v>43</v>
      </c>
      <c r="M22" s="40"/>
    </row>
    <row r="23" spans="1:13" ht="45" x14ac:dyDescent="0.25">
      <c r="A23" s="43" t="s">
        <v>168</v>
      </c>
      <c r="B23" s="54" t="s">
        <v>81</v>
      </c>
      <c r="C23" s="97"/>
      <c r="D23" s="97"/>
      <c r="E23" s="97">
        <v>15</v>
      </c>
      <c r="F23" s="97">
        <v>12</v>
      </c>
      <c r="G23" s="97"/>
      <c r="H23" s="97">
        <v>11</v>
      </c>
      <c r="I23" s="97"/>
      <c r="J23" s="97">
        <f>+SUM(C23:I23)</f>
        <v>38</v>
      </c>
      <c r="M23" s="40"/>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80680-54A4-4C12-A679-CEDB755B7D13}">
  <dimension ref="A1:K49"/>
  <sheetViews>
    <sheetView topLeftCell="F1" workbookViewId="0">
      <selection activeCell="F7" sqref="F7"/>
    </sheetView>
  </sheetViews>
  <sheetFormatPr defaultRowHeight="15" x14ac:dyDescent="0.25"/>
  <cols>
    <col min="1" max="1" width="13.85546875" hidden="1" customWidth="1"/>
    <col min="2" max="2" width="12.7109375" hidden="1" customWidth="1"/>
    <col min="3" max="3" width="10" hidden="1" customWidth="1"/>
    <col min="4" max="4" width="14.140625" hidden="1" customWidth="1"/>
    <col min="5" max="5" width="0" hidden="1" customWidth="1"/>
    <col min="6" max="6" width="37.42578125" customWidth="1"/>
    <col min="7" max="7" width="19.5703125" customWidth="1"/>
    <col min="8" max="8" width="14.85546875" customWidth="1"/>
    <col min="9" max="9" width="16.85546875" customWidth="1"/>
    <col min="10" max="10" width="17.28515625" customWidth="1"/>
    <col min="11" max="11" width="31.85546875" customWidth="1"/>
    <col min="12" max="12" width="10.85546875" bestFit="1" customWidth="1"/>
  </cols>
  <sheetData>
    <row r="1" spans="1:8" x14ac:dyDescent="0.25">
      <c r="A1" s="162"/>
      <c r="B1" s="162"/>
      <c r="C1" s="162"/>
      <c r="D1" s="162"/>
      <c r="E1" s="162"/>
      <c r="F1" s="57" t="s">
        <v>87</v>
      </c>
    </row>
    <row r="2" spans="1:8" x14ac:dyDescent="0.25">
      <c r="A2" s="97"/>
      <c r="B2" s="97"/>
      <c r="C2" s="97"/>
      <c r="D2" s="97"/>
      <c r="E2" s="97"/>
      <c r="F2" t="s">
        <v>88</v>
      </c>
    </row>
    <row r="3" spans="1:8" ht="15" customHeight="1" x14ac:dyDescent="0.25">
      <c r="A3" s="54" t="s">
        <v>22</v>
      </c>
      <c r="B3" s="54" t="s">
        <v>23</v>
      </c>
      <c r="C3" s="54" t="s">
        <v>25</v>
      </c>
      <c r="D3" s="54" t="s">
        <v>89</v>
      </c>
      <c r="E3" s="54" t="s">
        <v>43</v>
      </c>
    </row>
    <row r="4" spans="1:8" x14ac:dyDescent="0.25">
      <c r="A4" s="54">
        <v>5</v>
      </c>
      <c r="B4" s="54">
        <v>5</v>
      </c>
      <c r="C4" s="54">
        <v>5</v>
      </c>
      <c r="D4" s="54">
        <v>5</v>
      </c>
      <c r="E4" s="54">
        <f t="shared" ref="E4:E21" si="0">+SUM(A4:D4)</f>
        <v>20</v>
      </c>
      <c r="F4" s="67" t="s">
        <v>90</v>
      </c>
      <c r="G4" s="67" t="s">
        <v>91</v>
      </c>
    </row>
    <row r="5" spans="1:8" x14ac:dyDescent="0.25">
      <c r="A5" s="59">
        <v>600</v>
      </c>
      <c r="B5" s="59">
        <v>625</v>
      </c>
      <c r="C5" s="59">
        <v>585</v>
      </c>
      <c r="D5" s="59">
        <v>583</v>
      </c>
      <c r="E5" s="59">
        <f t="shared" si="0"/>
        <v>2393</v>
      </c>
      <c r="F5" s="56" t="s">
        <v>92</v>
      </c>
      <c r="G5">
        <v>31985.82</v>
      </c>
      <c r="H5" t="s">
        <v>93</v>
      </c>
    </row>
    <row r="6" spans="1:8" x14ac:dyDescent="0.25">
      <c r="A6" s="59">
        <v>275</v>
      </c>
      <c r="B6" s="59">
        <v>275</v>
      </c>
      <c r="C6" s="59">
        <v>250</v>
      </c>
      <c r="D6" s="59">
        <v>250</v>
      </c>
      <c r="E6" s="59">
        <f t="shared" si="0"/>
        <v>1050</v>
      </c>
      <c r="F6" t="s">
        <v>94</v>
      </c>
      <c r="G6">
        <v>1257.3</v>
      </c>
      <c r="H6" t="s">
        <v>95</v>
      </c>
    </row>
    <row r="7" spans="1:8" x14ac:dyDescent="0.25">
      <c r="A7" s="59">
        <v>850</v>
      </c>
      <c r="B7" s="59">
        <v>625</v>
      </c>
      <c r="C7" s="59">
        <v>835</v>
      </c>
      <c r="D7" s="59">
        <v>835</v>
      </c>
      <c r="E7" s="59">
        <f t="shared" si="0"/>
        <v>3145</v>
      </c>
      <c r="F7" t="s">
        <v>96</v>
      </c>
      <c r="G7">
        <v>2732.4</v>
      </c>
      <c r="H7" t="s">
        <v>97</v>
      </c>
    </row>
    <row r="8" spans="1:8" x14ac:dyDescent="0.25">
      <c r="A8" s="59"/>
      <c r="B8" s="59">
        <v>300</v>
      </c>
      <c r="C8" s="59"/>
      <c r="D8" s="59"/>
      <c r="E8" s="59">
        <f t="shared" si="0"/>
        <v>300</v>
      </c>
      <c r="F8" t="s">
        <v>98</v>
      </c>
      <c r="G8">
        <v>7370.37</v>
      </c>
      <c r="H8" t="s">
        <v>99</v>
      </c>
    </row>
    <row r="9" spans="1:8" x14ac:dyDescent="0.25">
      <c r="A9" s="61">
        <f t="shared" ref="A9:D9" si="1">+SUM(A5:A8)</f>
        <v>1725</v>
      </c>
      <c r="B9" s="61">
        <f t="shared" si="1"/>
        <v>1825</v>
      </c>
      <c r="C9" s="61">
        <f t="shared" si="1"/>
        <v>1670</v>
      </c>
      <c r="D9" s="61">
        <f t="shared" si="1"/>
        <v>1668</v>
      </c>
      <c r="E9" s="61">
        <f t="shared" si="0"/>
        <v>6888</v>
      </c>
      <c r="F9" t="s">
        <v>100</v>
      </c>
      <c r="G9">
        <v>1494.81</v>
      </c>
      <c r="H9" t="s">
        <v>101</v>
      </c>
    </row>
    <row r="10" spans="1:8" s="70" customFormat="1" x14ac:dyDescent="0.25">
      <c r="A10" s="64">
        <f>200*(6/1000)*100</f>
        <v>120</v>
      </c>
      <c r="B10" s="64">
        <f>250*(6/1000)*100</f>
        <v>150</v>
      </c>
      <c r="C10" s="64">
        <f>167*(6/1000)*100</f>
        <v>100.2</v>
      </c>
      <c r="D10" s="64">
        <f>165*(6/1000)*100</f>
        <v>99</v>
      </c>
      <c r="E10" s="64">
        <f t="shared" si="0"/>
        <v>469.2</v>
      </c>
      <c r="F10" s="68" t="s">
        <v>102</v>
      </c>
      <c r="G10" s="69">
        <v>28252.71</v>
      </c>
      <c r="H10" s="68" t="s">
        <v>103</v>
      </c>
    </row>
    <row r="11" spans="1:8" x14ac:dyDescent="0.25">
      <c r="A11" s="63"/>
      <c r="B11" s="63">
        <v>165</v>
      </c>
      <c r="C11" s="63"/>
      <c r="D11" s="63"/>
      <c r="E11" s="63">
        <f t="shared" si="0"/>
        <v>165</v>
      </c>
      <c r="F11" t="s">
        <v>104</v>
      </c>
      <c r="G11">
        <v>579.33000000000004</v>
      </c>
    </row>
    <row r="12" spans="1:8" x14ac:dyDescent="0.25">
      <c r="A12" s="63">
        <f>225*(6/1000)*100</f>
        <v>135</v>
      </c>
      <c r="B12" s="63">
        <f>165*(6/1000)*100</f>
        <v>99</v>
      </c>
      <c r="C12" s="63">
        <f>165*(6/1000)*100</f>
        <v>99</v>
      </c>
      <c r="D12" s="63">
        <f>225*(6/1000)*100</f>
        <v>135</v>
      </c>
      <c r="E12" s="63">
        <f t="shared" si="0"/>
        <v>468</v>
      </c>
      <c r="F12" t="s">
        <v>105</v>
      </c>
      <c r="G12">
        <v>1.62</v>
      </c>
    </row>
    <row r="13" spans="1:8" x14ac:dyDescent="0.25">
      <c r="A13" s="63">
        <v>225</v>
      </c>
      <c r="B13" s="63">
        <v>165</v>
      </c>
      <c r="C13" s="63">
        <v>165</v>
      </c>
      <c r="D13" s="63">
        <v>225</v>
      </c>
      <c r="E13" s="63">
        <f t="shared" si="0"/>
        <v>780</v>
      </c>
      <c r="F13" t="s">
        <v>106</v>
      </c>
      <c r="G13">
        <v>709.47</v>
      </c>
    </row>
    <row r="14" spans="1:8" x14ac:dyDescent="0.25">
      <c r="A14" s="65">
        <f t="shared" ref="A14:D14" si="2">+SUM(A10:A13)</f>
        <v>480</v>
      </c>
      <c r="B14" s="65">
        <f t="shared" si="2"/>
        <v>579</v>
      </c>
      <c r="C14" s="65">
        <f t="shared" si="2"/>
        <v>364.2</v>
      </c>
      <c r="D14" s="65">
        <f t="shared" si="2"/>
        <v>459</v>
      </c>
      <c r="E14" s="65">
        <f t="shared" si="0"/>
        <v>1882.2</v>
      </c>
      <c r="F14" t="s">
        <v>107</v>
      </c>
      <c r="G14">
        <v>359.19</v>
      </c>
    </row>
    <row r="15" spans="1:8" x14ac:dyDescent="0.25">
      <c r="A15" s="54">
        <v>875</v>
      </c>
      <c r="B15" s="54">
        <v>900</v>
      </c>
      <c r="C15" s="54">
        <v>515</v>
      </c>
      <c r="D15" s="54">
        <v>835</v>
      </c>
      <c r="E15" s="54">
        <f t="shared" si="0"/>
        <v>3125</v>
      </c>
    </row>
    <row r="16" spans="1:8" x14ac:dyDescent="0.25">
      <c r="A16" s="54">
        <f>25*(6/1000)*100</f>
        <v>15</v>
      </c>
      <c r="B16" s="54">
        <f t="shared" ref="B16" si="3">15*(6/1000)</f>
        <v>0.09</v>
      </c>
      <c r="C16" s="54">
        <f>15*(6/1000)*100</f>
        <v>9</v>
      </c>
      <c r="D16" s="54">
        <f>15*(6/1000)*100</f>
        <v>9</v>
      </c>
      <c r="E16" s="54">
        <f t="shared" si="0"/>
        <v>33.090000000000003</v>
      </c>
      <c r="F16" s="57" t="s">
        <v>108</v>
      </c>
    </row>
    <row r="17" spans="1:11" x14ac:dyDescent="0.25">
      <c r="A17" s="54">
        <f>25*(6/1000)*100</f>
        <v>15</v>
      </c>
      <c r="B17" s="54">
        <f>15*(6/1000)*100</f>
        <v>9</v>
      </c>
      <c r="C17" s="54">
        <f>15*(6/1000)*100</f>
        <v>9</v>
      </c>
      <c r="D17" s="54">
        <f>15*(6/1000)*100</f>
        <v>9</v>
      </c>
      <c r="E17" s="54">
        <f t="shared" si="0"/>
        <v>42</v>
      </c>
      <c r="F17" t="s">
        <v>109</v>
      </c>
    </row>
    <row r="18" spans="1:11" x14ac:dyDescent="0.25">
      <c r="A18" s="54">
        <v>25</v>
      </c>
      <c r="B18" s="54">
        <v>15</v>
      </c>
      <c r="C18" s="54">
        <v>15</v>
      </c>
      <c r="D18" s="54">
        <v>15</v>
      </c>
      <c r="E18" s="54">
        <f t="shared" si="0"/>
        <v>70</v>
      </c>
    </row>
    <row r="19" spans="1:11" x14ac:dyDescent="0.25">
      <c r="A19" s="54"/>
      <c r="B19" s="54">
        <v>10</v>
      </c>
      <c r="C19" s="54"/>
      <c r="D19" s="54">
        <v>20</v>
      </c>
      <c r="E19" s="71">
        <f t="shared" si="0"/>
        <v>30</v>
      </c>
      <c r="F19" s="163" t="s">
        <v>110</v>
      </c>
      <c r="G19" s="161" t="s">
        <v>111</v>
      </c>
      <c r="H19" s="161" t="s">
        <v>112</v>
      </c>
      <c r="I19" s="161" t="s">
        <v>113</v>
      </c>
      <c r="J19" s="161" t="s">
        <v>114</v>
      </c>
      <c r="K19" s="161" t="s">
        <v>115</v>
      </c>
    </row>
    <row r="20" spans="1:11" ht="48.75" customHeight="1" x14ac:dyDescent="0.25">
      <c r="A20" s="54">
        <v>12</v>
      </c>
      <c r="B20" s="54">
        <v>16</v>
      </c>
      <c r="C20" s="54">
        <v>48</v>
      </c>
      <c r="D20" s="54">
        <v>19</v>
      </c>
      <c r="E20" s="71">
        <f t="shared" si="0"/>
        <v>95</v>
      </c>
      <c r="F20" s="163"/>
      <c r="G20" s="161"/>
      <c r="H20" s="161"/>
      <c r="I20" s="161"/>
      <c r="J20" s="161"/>
      <c r="K20" s="161"/>
    </row>
    <row r="21" spans="1:11" ht="36" x14ac:dyDescent="0.25">
      <c r="A21" s="54"/>
      <c r="B21" s="72">
        <v>16</v>
      </c>
      <c r="C21" s="54"/>
      <c r="D21" s="72">
        <v>27</v>
      </c>
      <c r="E21" s="71">
        <f t="shared" si="0"/>
        <v>43</v>
      </c>
      <c r="F21" s="73" t="s">
        <v>116</v>
      </c>
      <c r="G21" s="74">
        <v>42.45</v>
      </c>
      <c r="H21" s="74"/>
      <c r="I21" s="74"/>
      <c r="J21" s="74"/>
      <c r="K21" s="74"/>
    </row>
    <row r="22" spans="1:11" ht="24" x14ac:dyDescent="0.25">
      <c r="F22" s="75" t="s">
        <v>117</v>
      </c>
      <c r="G22" s="74"/>
      <c r="H22" s="74">
        <v>28.08</v>
      </c>
      <c r="I22" s="74">
        <v>403.19</v>
      </c>
      <c r="J22" s="74"/>
      <c r="K22" s="74"/>
    </row>
    <row r="23" spans="1:11" ht="48" x14ac:dyDescent="0.25">
      <c r="F23" s="73" t="s">
        <v>118</v>
      </c>
      <c r="G23" s="74"/>
      <c r="H23" s="74"/>
      <c r="I23" s="74"/>
      <c r="J23" s="74">
        <v>45.98</v>
      </c>
      <c r="K23" s="74">
        <v>186.93</v>
      </c>
    </row>
    <row r="24" spans="1:11" ht="48" x14ac:dyDescent="0.25">
      <c r="B24" t="s">
        <v>119</v>
      </c>
      <c r="D24" t="s">
        <v>120</v>
      </c>
      <c r="F24" s="73" t="s">
        <v>121</v>
      </c>
      <c r="G24" s="74">
        <v>5933.03</v>
      </c>
      <c r="H24" s="74"/>
      <c r="I24" s="74"/>
      <c r="J24" s="74"/>
      <c r="K24" s="74"/>
    </row>
    <row r="25" spans="1:11" ht="24" x14ac:dyDescent="0.25">
      <c r="B25">
        <v>4.5</v>
      </c>
      <c r="D25">
        <v>3.5</v>
      </c>
      <c r="F25" s="73" t="s">
        <v>122</v>
      </c>
      <c r="G25" s="74"/>
      <c r="H25" s="74">
        <v>7173.54</v>
      </c>
      <c r="I25" s="74"/>
      <c r="J25" s="74"/>
      <c r="K25" s="74"/>
    </row>
    <row r="26" spans="1:11" ht="36" x14ac:dyDescent="0.25">
      <c r="B26">
        <f>5*B25</f>
        <v>22.5</v>
      </c>
      <c r="C26" t="s">
        <v>123</v>
      </c>
      <c r="D26">
        <f>+D25*5</f>
        <v>17.5</v>
      </c>
      <c r="E26" t="s">
        <v>123</v>
      </c>
      <c r="F26" s="73" t="s">
        <v>124</v>
      </c>
      <c r="G26" s="74"/>
      <c r="H26" s="74"/>
      <c r="I26" s="74">
        <v>31553.71</v>
      </c>
      <c r="J26" s="74"/>
      <c r="K26" s="74"/>
    </row>
    <row r="27" spans="1:11" ht="60" x14ac:dyDescent="0.25">
      <c r="A27" t="s">
        <v>125</v>
      </c>
      <c r="F27" s="73" t="s">
        <v>126</v>
      </c>
      <c r="G27" s="74"/>
      <c r="H27" s="74"/>
      <c r="I27" s="74"/>
      <c r="J27" s="76">
        <v>31553.71</v>
      </c>
      <c r="K27" s="77">
        <v>15112.52</v>
      </c>
    </row>
    <row r="28" spans="1:11" ht="60" x14ac:dyDescent="0.25">
      <c r="F28" s="75" t="s">
        <v>127</v>
      </c>
      <c r="G28" s="74">
        <v>18773.849999999999</v>
      </c>
      <c r="H28" s="74"/>
      <c r="I28" s="74"/>
      <c r="J28" s="74"/>
      <c r="K28" s="78"/>
    </row>
    <row r="29" spans="1:11" ht="60" x14ac:dyDescent="0.25">
      <c r="F29" s="73" t="s">
        <v>128</v>
      </c>
      <c r="G29" s="74"/>
      <c r="H29" s="74">
        <v>9697.06</v>
      </c>
      <c r="I29" s="74"/>
      <c r="J29" s="74"/>
      <c r="K29" s="78"/>
    </row>
    <row r="30" spans="1:11" ht="63" x14ac:dyDescent="0.25">
      <c r="F30" s="73" t="s">
        <v>129</v>
      </c>
      <c r="G30" s="74"/>
      <c r="H30" s="74"/>
      <c r="I30" s="74">
        <v>51541.95</v>
      </c>
      <c r="J30" s="74"/>
      <c r="K30" s="78"/>
    </row>
    <row r="31" spans="1:11" ht="36" x14ac:dyDescent="0.25">
      <c r="F31" s="73" t="s">
        <v>130</v>
      </c>
      <c r="G31" s="74"/>
      <c r="H31" s="74"/>
      <c r="I31" s="74"/>
      <c r="J31" s="74">
        <v>6178.53</v>
      </c>
      <c r="K31" s="78">
        <v>40926.660000000003</v>
      </c>
    </row>
    <row r="32" spans="1:11" ht="48" x14ac:dyDescent="0.25">
      <c r="F32" s="73" t="s">
        <v>131</v>
      </c>
      <c r="G32" s="74"/>
      <c r="H32" s="74"/>
      <c r="I32" s="74"/>
      <c r="J32" s="74"/>
      <c r="K32" s="78"/>
    </row>
    <row r="33" spans="6:11" x14ac:dyDescent="0.25">
      <c r="F33" s="75" t="s">
        <v>132</v>
      </c>
      <c r="G33" s="79">
        <v>2.5299999999999998</v>
      </c>
      <c r="H33" s="78">
        <v>26.98</v>
      </c>
      <c r="I33" s="78">
        <v>156.96</v>
      </c>
      <c r="J33" s="78">
        <v>20.07</v>
      </c>
      <c r="K33" s="78">
        <v>377.38</v>
      </c>
    </row>
    <row r="35" spans="6:11" x14ac:dyDescent="0.25">
      <c r="F35" s="57" t="s">
        <v>87</v>
      </c>
      <c r="G35" t="s">
        <v>82</v>
      </c>
    </row>
    <row r="36" spans="6:11" x14ac:dyDescent="0.25">
      <c r="F36" t="s">
        <v>133</v>
      </c>
      <c r="G36" s="80">
        <f>+SUM(G5:G8)</f>
        <v>43345.890000000007</v>
      </c>
      <c r="H36" s="80"/>
    </row>
    <row r="37" spans="6:11" x14ac:dyDescent="0.25">
      <c r="F37" t="s">
        <v>134</v>
      </c>
      <c r="G37" s="80">
        <f>+'Extension proposed activities'!D10</f>
        <v>2594.4</v>
      </c>
      <c r="H37" s="81">
        <f>+G37*100/G36</f>
        <v>5.9853425549688781</v>
      </c>
      <c r="I37" t="s">
        <v>135</v>
      </c>
    </row>
    <row r="38" spans="6:11" x14ac:dyDescent="0.25">
      <c r="F38" t="s">
        <v>136</v>
      </c>
      <c r="G38" s="80">
        <f>+SUM(G9:G10)</f>
        <v>29747.52</v>
      </c>
      <c r="H38" s="82"/>
    </row>
    <row r="39" spans="6:11" ht="30" x14ac:dyDescent="0.25">
      <c r="F39" s="83" t="s">
        <v>137</v>
      </c>
      <c r="G39" s="84">
        <f>+'Extension proposed activities'!D18</f>
        <v>567.19999999999993</v>
      </c>
      <c r="H39" s="85">
        <f>+G39*100/G38</f>
        <v>1.9067135680554208</v>
      </c>
      <c r="I39" s="83" t="s">
        <v>135</v>
      </c>
    </row>
    <row r="40" spans="6:11" x14ac:dyDescent="0.25">
      <c r="H40" s="86"/>
    </row>
    <row r="41" spans="6:11" x14ac:dyDescent="0.25">
      <c r="F41" s="57" t="s">
        <v>108</v>
      </c>
      <c r="G41" t="s">
        <v>82</v>
      </c>
      <c r="H41" s="86"/>
    </row>
    <row r="42" spans="6:11" x14ac:dyDescent="0.25">
      <c r="F42" t="s">
        <v>133</v>
      </c>
      <c r="G42" s="80">
        <f>+G28+H29+I30+J31+K31</f>
        <v>127118.04999999999</v>
      </c>
      <c r="H42" s="86"/>
    </row>
    <row r="43" spans="6:11" x14ac:dyDescent="0.25">
      <c r="F43" t="s">
        <v>134</v>
      </c>
      <c r="G43" s="80">
        <f>+'Extension proposed activities'!C10</f>
        <v>2536</v>
      </c>
      <c r="H43" s="81">
        <f>+G43*100/G42</f>
        <v>1.9949959899479266</v>
      </c>
      <c r="I43" t="s">
        <v>135</v>
      </c>
    </row>
    <row r="44" spans="6:11" x14ac:dyDescent="0.25">
      <c r="F44" t="s">
        <v>136</v>
      </c>
      <c r="G44" s="87">
        <f>+SUM(G24+H25+I26+J27+K27)</f>
        <v>91326.51</v>
      </c>
      <c r="H44" s="82"/>
    </row>
    <row r="45" spans="6:11" ht="30" x14ac:dyDescent="0.25">
      <c r="F45" s="83" t="s">
        <v>137</v>
      </c>
      <c r="G45" s="84">
        <f>+'Extension proposed activities'!C18</f>
        <v>544.85</v>
      </c>
      <c r="H45" s="85">
        <f>+G45*100/G44</f>
        <v>0.59659566537689879</v>
      </c>
      <c r="I45" s="83" t="s">
        <v>135</v>
      </c>
    </row>
    <row r="47" spans="6:11" x14ac:dyDescent="0.25">
      <c r="F47" s="88" t="s">
        <v>138</v>
      </c>
    </row>
    <row r="48" spans="6:11" x14ac:dyDescent="0.25">
      <c r="F48" s="89" t="s">
        <v>179</v>
      </c>
      <c r="G48" s="90">
        <f>+AVERAGE(H37,H43)</f>
        <v>3.9901692724584024</v>
      </c>
    </row>
    <row r="49" spans="6:7" x14ac:dyDescent="0.25">
      <c r="F49" s="91" t="s">
        <v>180</v>
      </c>
      <c r="G49" s="92">
        <f>+AVERAGE(H39,H45)</f>
        <v>1.2516546167161597</v>
      </c>
    </row>
  </sheetData>
  <mergeCells count="7">
    <mergeCell ref="K19:K20"/>
    <mergeCell ref="A1:E1"/>
    <mergeCell ref="F19:F20"/>
    <mergeCell ref="G19:G20"/>
    <mergeCell ref="H19:H20"/>
    <mergeCell ref="I19:I20"/>
    <mergeCell ref="J19:J20"/>
  </mergeCell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5" ma:contentTypeDescription="Create a new document." ma:contentTypeScope="" ma:versionID="f6ec9612411ccf106e0dd351df2cdfb2">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5b9ace026c8438a9737edf86142a66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EACDE9-5A5E-4E31-A63C-1DFB92528C96}">
  <ds:schemaRefs>
    <ds:schemaRef ds:uri="http://schemas.microsoft.com/sharepoint/v3/contenttype/forms"/>
  </ds:schemaRefs>
</ds:datastoreItem>
</file>

<file path=customXml/itemProps2.xml><?xml version="1.0" encoding="utf-8"?>
<ds:datastoreItem xmlns:ds="http://schemas.openxmlformats.org/officeDocument/2006/customXml" ds:itemID="{0167110D-0A3C-49EF-8FCD-AB37D539D098}">
  <ds:schemaRefs>
    <ds:schemaRef ds:uri="54085111-9fe6-4079-a17f-2fdfb54b7cd5"/>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A874938-D294-4510-A73E-484F68C84B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Multi-country project info</vt:lpstr>
      <vt:lpstr>Budget by country</vt:lpstr>
      <vt:lpstr>Beneficiaries estimation</vt:lpstr>
      <vt:lpstr>Summary Beneficiaries</vt:lpstr>
      <vt:lpstr>Extension proposed activities</vt:lpstr>
      <vt:lpstr>% for 2.1.2. to 2.1.13.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Alyssa Holganza</dc:creator>
  <cp:keywords/>
  <dc:description/>
  <cp:lastModifiedBy>Ana Becerra</cp:lastModifiedBy>
  <cp:revision/>
  <dcterms:created xsi:type="dcterms:W3CDTF">2019-02-08T04:49:50Z</dcterms:created>
  <dcterms:modified xsi:type="dcterms:W3CDTF">2021-04-08T22:03:57Z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