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sheets/sheet3.xml" ContentType="application/vnd.openxmlformats-officedocument.spreadsheetml.worksheet+xml"/>
  <Override PartName="/xl/charts/colors1.xml" ContentType="application/vnd.ms-office.chartcolorstyle+xml"/>
  <Override PartName="/xl/charts/style1.xml" ContentType="application/vnd.ms-office.chart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rtia/Dropbox/UNEP/TIMOR-LESTE/GCF TIMOR-LESTE REVISED SUBMISSION TO ITAP - JULY 2021/"/>
    </mc:Choice>
  </mc:AlternateContent>
  <xr:revisionPtr revIDLastSave="0" documentId="8_{9073B829-63F7-BB4D-89D4-FE206650C456}" xr6:coauthVersionLast="47" xr6:coauthVersionMax="47" xr10:uidLastSave="{00000000-0000-0000-0000-000000000000}"/>
  <bookViews>
    <workbookView xWindow="840" yWindow="500" windowWidth="25780" windowHeight="18920" activeTab="1" xr2:uid="{083D92CC-C124-4208-BB6E-8B8D2394A498}"/>
  </bookViews>
  <sheets>
    <sheet name="SCENARIOS" sheetId="1" r:id="rId1"/>
    <sheet name="BCA_EWS_TL" sheetId="2" r:id="rId2"/>
    <sheet name="TOTALS" sheetId="7" r:id="rId3"/>
    <sheet name="AAL" sheetId="3" r:id="rId4"/>
    <sheet name="BENEFITS" sheetId="6" r:id="rId5"/>
  </sheets>
  <definedNames>
    <definedName name="_ftnref1" localSheetId="3">AAL!$A$33</definedName>
    <definedName name="_ftnref2" localSheetId="3">AAL!$A$38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5" i="2" l="1"/>
  <c r="S24" i="2"/>
  <c r="R24" i="2"/>
  <c r="R25" i="2"/>
  <c r="Q25" i="2"/>
  <c r="Q24" i="2"/>
  <c r="P25" i="2"/>
  <c r="P24" i="2"/>
  <c r="O25" i="2"/>
  <c r="O24" i="2"/>
  <c r="N25" i="2"/>
  <c r="N24" i="2"/>
  <c r="M24" i="2"/>
  <c r="M25" i="2"/>
  <c r="L25" i="2"/>
  <c r="L24" i="2"/>
  <c r="K25" i="2"/>
  <c r="K24" i="2"/>
  <c r="J25" i="2"/>
  <c r="J24" i="2"/>
  <c r="I25" i="2"/>
  <c r="I24" i="2"/>
  <c r="H25" i="2"/>
  <c r="H24" i="2"/>
  <c r="G24" i="2"/>
  <c r="F24" i="2"/>
  <c r="G25" i="2" l="1"/>
  <c r="F25" i="2"/>
  <c r="S106" i="2" l="1"/>
  <c r="R106" i="2"/>
  <c r="P106" i="2"/>
  <c r="S105" i="2"/>
  <c r="R105" i="2"/>
  <c r="P105" i="2"/>
  <c r="H106" i="2"/>
  <c r="I106" i="2"/>
  <c r="J106" i="2"/>
  <c r="K106" i="2"/>
  <c r="L106" i="2"/>
  <c r="M106" i="2"/>
  <c r="N106" i="2"/>
  <c r="O106" i="2"/>
  <c r="G106" i="2"/>
  <c r="F106" i="2"/>
  <c r="H105" i="2"/>
  <c r="I105" i="2"/>
  <c r="J105" i="2"/>
  <c r="K105" i="2"/>
  <c r="L105" i="2"/>
  <c r="M105" i="2"/>
  <c r="N105" i="2"/>
  <c r="O105" i="2"/>
  <c r="G105" i="2"/>
  <c r="F105" i="2"/>
  <c r="Q25" i="3" l="1"/>
  <c r="P25" i="3"/>
  <c r="F8" i="3"/>
  <c r="E164" i="2" s="1"/>
  <c r="Q111" i="2" l="1"/>
  <c r="P31" i="2"/>
  <c r="K62" i="2" l="1"/>
  <c r="F81" i="2"/>
  <c r="Q76" i="2"/>
  <c r="G63" i="2"/>
  <c r="H63" i="2"/>
  <c r="I63" i="2"/>
  <c r="J63" i="2"/>
  <c r="K63" i="2"/>
  <c r="L63" i="2"/>
  <c r="M63" i="2"/>
  <c r="N63" i="2"/>
  <c r="O63" i="2"/>
  <c r="F63" i="2"/>
  <c r="P63" i="2"/>
  <c r="P62" i="2"/>
  <c r="G62" i="2"/>
  <c r="H62" i="2"/>
  <c r="I62" i="2"/>
  <c r="J62" i="2"/>
  <c r="L62" i="2"/>
  <c r="M62" i="2"/>
  <c r="N62" i="2"/>
  <c r="O62" i="2"/>
  <c r="F62" i="2"/>
  <c r="Q117" i="2" l="1"/>
  <c r="Q113" i="2"/>
  <c r="Q52" i="2" l="1"/>
  <c r="Q51" i="2"/>
  <c r="Q11" i="2" l="1"/>
  <c r="Q69" i="2" l="1"/>
  <c r="Q94" i="2" l="1"/>
  <c r="Q79" i="2"/>
  <c r="Q78" i="2"/>
  <c r="F80" i="2" l="1"/>
  <c r="F118" i="2"/>
  <c r="Q31" i="2"/>
  <c r="F122" i="2" l="1"/>
  <c r="Q88" i="2" l="1"/>
  <c r="Q110" i="2" l="1"/>
  <c r="Q114" i="2"/>
  <c r="Q119" i="2" s="1"/>
  <c r="Q104" i="2"/>
  <c r="Q101" i="2"/>
  <c r="Q93" i="2"/>
  <c r="Q87" i="2"/>
  <c r="Q75" i="2"/>
  <c r="Q70" i="2"/>
  <c r="Q54" i="2" l="1"/>
  <c r="Q55" i="2"/>
  <c r="Q57" i="2"/>
  <c r="Q58" i="2"/>
  <c r="Q60" i="2"/>
  <c r="Q61" i="2"/>
  <c r="Q48" i="2"/>
  <c r="Q47" i="2"/>
  <c r="Q45" i="2"/>
  <c r="Q44" i="2"/>
  <c r="Q41" i="2"/>
  <c r="Q42" i="2"/>
  <c r="Q38" i="2"/>
  <c r="Q35" i="2"/>
  <c r="Q34" i="2"/>
  <c r="Q32" i="2"/>
  <c r="Q23" i="2"/>
  <c r="Q20" i="2"/>
  <c r="Q17" i="2"/>
  <c r="Q14" i="2"/>
  <c r="Q63" i="2" l="1"/>
  <c r="Q62" i="2"/>
  <c r="Q91" i="2"/>
  <c r="Q90" i="2"/>
  <c r="Q105" i="2" s="1"/>
  <c r="Q106" i="2" l="1"/>
  <c r="Q107" i="2" s="1"/>
  <c r="Q64" i="2"/>
  <c r="N25" i="3"/>
  <c r="N26" i="3"/>
  <c r="N27" i="3"/>
  <c r="E162" i="2"/>
  <c r="P23" i="3"/>
  <c r="E161" i="2"/>
  <c r="D8" i="3"/>
  <c r="J18" i="3"/>
  <c r="E4" i="3"/>
  <c r="J49" i="3"/>
  <c r="J56" i="3"/>
  <c r="J62" i="3"/>
  <c r="J64" i="3"/>
  <c r="E8" i="3"/>
  <c r="F119" i="2"/>
  <c r="G118" i="2"/>
  <c r="G119" i="2"/>
  <c r="G80" i="2"/>
  <c r="G81" i="2"/>
  <c r="G64" i="2"/>
  <c r="H118" i="2"/>
  <c r="H119" i="2"/>
  <c r="H80" i="2"/>
  <c r="H81" i="2"/>
  <c r="H64" i="2"/>
  <c r="I118" i="2"/>
  <c r="I119" i="2"/>
  <c r="I80" i="2"/>
  <c r="I81" i="2"/>
  <c r="I64" i="2"/>
  <c r="J118" i="2"/>
  <c r="J119" i="2"/>
  <c r="J80" i="2"/>
  <c r="J81" i="2"/>
  <c r="J64" i="2"/>
  <c r="K118" i="2"/>
  <c r="K119" i="2"/>
  <c r="K80" i="2"/>
  <c r="K81" i="2"/>
  <c r="K64" i="2"/>
  <c r="L118" i="2"/>
  <c r="L119" i="2"/>
  <c r="L107" i="2"/>
  <c r="L80" i="2"/>
  <c r="L81" i="2"/>
  <c r="L64" i="2"/>
  <c r="M118" i="2"/>
  <c r="M119" i="2"/>
  <c r="M80" i="2"/>
  <c r="M81" i="2"/>
  <c r="M64" i="2"/>
  <c r="N118" i="2"/>
  <c r="N119" i="2"/>
  <c r="N107" i="2"/>
  <c r="N80" i="2"/>
  <c r="N81" i="2"/>
  <c r="N64" i="2"/>
  <c r="O118" i="2"/>
  <c r="O119" i="2"/>
  <c r="O80" i="2"/>
  <c r="O81" i="2"/>
  <c r="O64" i="2"/>
  <c r="R26" i="2"/>
  <c r="S26" i="2"/>
  <c r="L4" i="7" s="1"/>
  <c r="P64" i="2"/>
  <c r="I5" i="7" s="1"/>
  <c r="R62" i="2"/>
  <c r="R63" i="2"/>
  <c r="S62" i="2"/>
  <c r="S63" i="2"/>
  <c r="P80" i="2"/>
  <c r="P81" i="2"/>
  <c r="Q80" i="2"/>
  <c r="Q82" i="2" s="1"/>
  <c r="Q81" i="2"/>
  <c r="R80" i="2"/>
  <c r="R81" i="2"/>
  <c r="S80" i="2"/>
  <c r="S81" i="2"/>
  <c r="R107" i="2"/>
  <c r="K7" i="7" s="1"/>
  <c r="I8" i="7"/>
  <c r="J8" i="7"/>
  <c r="K8" i="7"/>
  <c r="L8" i="7"/>
  <c r="I9" i="7"/>
  <c r="J9" i="7"/>
  <c r="K9" i="7"/>
  <c r="L9" i="7"/>
  <c r="I10" i="7"/>
  <c r="J10" i="7"/>
  <c r="K10" i="7"/>
  <c r="L10" i="7"/>
  <c r="P118" i="2"/>
  <c r="P122" i="2" s="1"/>
  <c r="P119" i="2"/>
  <c r="Q118" i="2"/>
  <c r="Q120" i="2" s="1"/>
  <c r="R118" i="2"/>
  <c r="R119" i="2"/>
  <c r="S118" i="2"/>
  <c r="S119" i="2"/>
  <c r="T117" i="2"/>
  <c r="T116" i="2"/>
  <c r="T114" i="2"/>
  <c r="T113" i="2"/>
  <c r="T110" i="2"/>
  <c r="T104" i="2"/>
  <c r="T103" i="2"/>
  <c r="T101" i="2"/>
  <c r="T100" i="2"/>
  <c r="T97" i="2"/>
  <c r="T96" i="2"/>
  <c r="T93" i="2"/>
  <c r="T91" i="2"/>
  <c r="T90" i="2"/>
  <c r="T88" i="2"/>
  <c r="T87" i="2"/>
  <c r="T79" i="2"/>
  <c r="T76" i="2"/>
  <c r="T75" i="2"/>
  <c r="T73" i="2"/>
  <c r="T72" i="2"/>
  <c r="T70" i="2"/>
  <c r="T69" i="2"/>
  <c r="T52" i="2"/>
  <c r="T51" i="2"/>
  <c r="T48" i="2"/>
  <c r="T47" i="2"/>
  <c r="T45" i="2"/>
  <c r="T44" i="2"/>
  <c r="T42" i="2"/>
  <c r="T41" i="2"/>
  <c r="T37" i="2"/>
  <c r="T35" i="2"/>
  <c r="T34" i="2"/>
  <c r="T32" i="2"/>
  <c r="T23" i="2"/>
  <c r="T22" i="2"/>
  <c r="T17" i="2"/>
  <c r="T16" i="2"/>
  <c r="T14" i="2"/>
  <c r="T13" i="2"/>
  <c r="T11" i="2"/>
  <c r="T10" i="2"/>
  <c r="T102" i="2"/>
  <c r="T50" i="2"/>
  <c r="T121" i="2"/>
  <c r="T115" i="2"/>
  <c r="T112" i="2"/>
  <c r="T109" i="2"/>
  <c r="T108" i="2"/>
  <c r="T99" i="2"/>
  <c r="T98" i="2"/>
  <c r="T95" i="2"/>
  <c r="T92" i="2"/>
  <c r="T89" i="2"/>
  <c r="T86" i="2"/>
  <c r="T85" i="2"/>
  <c r="T84" i="2"/>
  <c r="T83" i="2"/>
  <c r="T77" i="2"/>
  <c r="T74" i="2"/>
  <c r="T71" i="2"/>
  <c r="T68" i="2"/>
  <c r="T67" i="2"/>
  <c r="T66" i="2"/>
  <c r="T65" i="2"/>
  <c r="T46" i="2"/>
  <c r="T43" i="2"/>
  <c r="T40" i="2"/>
  <c r="T39" i="2"/>
  <c r="T36" i="2"/>
  <c r="T33" i="2"/>
  <c r="T30" i="2"/>
  <c r="T29" i="2"/>
  <c r="T28" i="2"/>
  <c r="T27" i="2"/>
  <c r="T21" i="2"/>
  <c r="T15" i="2"/>
  <c r="T12" i="2"/>
  <c r="F4" i="7"/>
  <c r="F9" i="7"/>
  <c r="G9" i="7"/>
  <c r="F10" i="7"/>
  <c r="G10" i="7"/>
  <c r="F8" i="7"/>
  <c r="G8" i="7"/>
  <c r="P32" i="3"/>
  <c r="Q32" i="3"/>
  <c r="W73" i="3"/>
  <c r="W72" i="3"/>
  <c r="AI4" i="3"/>
  <c r="T68" i="3"/>
  <c r="U66" i="3"/>
  <c r="U65" i="3"/>
  <c r="AK4" i="3"/>
  <c r="U67" i="3"/>
  <c r="U64" i="3"/>
  <c r="U68" i="3"/>
  <c r="T71" i="3"/>
  <c r="T70" i="3"/>
  <c r="W68" i="3"/>
  <c r="Y68" i="3"/>
  <c r="W67" i="3"/>
  <c r="Y67" i="3"/>
  <c r="D32" i="3"/>
  <c r="D31" i="3"/>
  <c r="D30" i="3"/>
  <c r="D29" i="3"/>
  <c r="T58" i="3"/>
  <c r="N18" i="3"/>
  <c r="M18" i="3"/>
  <c r="E7" i="3"/>
  <c r="L18" i="3"/>
  <c r="E5" i="3"/>
  <c r="K18" i="3"/>
  <c r="E6" i="3"/>
  <c r="D6" i="3"/>
  <c r="F6" i="3"/>
  <c r="C9" i="3"/>
  <c r="B9" i="3"/>
  <c r="W71" i="3"/>
  <c r="D7" i="3"/>
  <c r="D5" i="3"/>
  <c r="D4" i="3"/>
  <c r="W74" i="3"/>
  <c r="F7" i="3"/>
  <c r="I7" i="3"/>
  <c r="F5" i="3"/>
  <c r="I5" i="3"/>
  <c r="E9" i="3"/>
  <c r="F4" i="3"/>
  <c r="J6" i="3"/>
  <c r="K6" i="3"/>
  <c r="I6" i="3"/>
  <c r="L6" i="3"/>
  <c r="L7" i="3"/>
  <c r="J7" i="3"/>
  <c r="D9" i="3"/>
  <c r="L5" i="3"/>
  <c r="K7" i="3"/>
  <c r="X72" i="3"/>
  <c r="X73" i="3"/>
  <c r="J5" i="3"/>
  <c r="K8" i="3"/>
  <c r="X71" i="3"/>
  <c r="I8" i="3"/>
  <c r="L8" i="3"/>
  <c r="J8" i="3"/>
  <c r="K5" i="3"/>
  <c r="L4" i="3"/>
  <c r="J4" i="3"/>
  <c r="F9" i="3"/>
  <c r="I9" i="3"/>
  <c r="K4" i="3"/>
  <c r="I4" i="3"/>
  <c r="N31" i="3"/>
  <c r="N33" i="3"/>
  <c r="P31" i="3"/>
  <c r="P33" i="3"/>
  <c r="Q31" i="3"/>
  <c r="Q33" i="3"/>
  <c r="L9" i="3"/>
  <c r="J9" i="3"/>
  <c r="K9" i="3"/>
  <c r="P123" i="2" l="1"/>
  <c r="R64" i="2"/>
  <c r="K5" i="7" s="1"/>
  <c r="N82" i="2"/>
  <c r="F120" i="2"/>
  <c r="G120" i="2"/>
  <c r="S107" i="2"/>
  <c r="L7" i="7" s="1"/>
  <c r="R82" i="2"/>
  <c r="K6" i="7" s="1"/>
  <c r="S120" i="2"/>
  <c r="R120" i="2"/>
  <c r="N120" i="2"/>
  <c r="P107" i="2"/>
  <c r="I7" i="7" s="1"/>
  <c r="F107" i="2"/>
  <c r="J7" i="7"/>
  <c r="J107" i="2"/>
  <c r="G7" i="7"/>
  <c r="H82" i="2"/>
  <c r="I82" i="2"/>
  <c r="G82" i="2"/>
  <c r="T38" i="2"/>
  <c r="F64" i="2"/>
  <c r="G5" i="7"/>
  <c r="T81" i="2"/>
  <c r="F6" i="7"/>
  <c r="S122" i="2"/>
  <c r="S82" i="2"/>
  <c r="L6" i="7" s="1"/>
  <c r="O120" i="2"/>
  <c r="K107" i="2"/>
  <c r="F5" i="7"/>
  <c r="N123" i="2"/>
  <c r="K120" i="2"/>
  <c r="R123" i="2"/>
  <c r="L82" i="2"/>
  <c r="I120" i="2"/>
  <c r="P82" i="2"/>
  <c r="I6" i="7" s="1"/>
  <c r="M120" i="2"/>
  <c r="K122" i="2"/>
  <c r="J82" i="2"/>
  <c r="S123" i="2"/>
  <c r="T118" i="2"/>
  <c r="O82" i="2"/>
  <c r="M82" i="2"/>
  <c r="L120" i="2"/>
  <c r="M9" i="7"/>
  <c r="N9" i="7" s="1"/>
  <c r="J120" i="2"/>
  <c r="S64" i="2"/>
  <c r="L5" i="7" s="1"/>
  <c r="J122" i="2"/>
  <c r="G6" i="7"/>
  <c r="Q122" i="2"/>
  <c r="I107" i="2"/>
  <c r="O107" i="2"/>
  <c r="M107" i="2"/>
  <c r="K26" i="2"/>
  <c r="J123" i="2"/>
  <c r="M26" i="2"/>
  <c r="F82" i="2"/>
  <c r="L26" i="2"/>
  <c r="K82" i="2"/>
  <c r="J6" i="7"/>
  <c r="H120" i="2"/>
  <c r="G107" i="2"/>
  <c r="J5" i="7"/>
  <c r="I26" i="2"/>
  <c r="Q26" i="2"/>
  <c r="J4" i="7" s="1"/>
  <c r="G26" i="2"/>
  <c r="H107" i="2"/>
  <c r="T63" i="2"/>
  <c r="H123" i="2"/>
  <c r="T25" i="2"/>
  <c r="Q123" i="2"/>
  <c r="H10" i="7"/>
  <c r="N26" i="2"/>
  <c r="J26" i="2"/>
  <c r="F26" i="2"/>
  <c r="M8" i="7"/>
  <c r="O123" i="2"/>
  <c r="K123" i="2"/>
  <c r="G123" i="2"/>
  <c r="F7" i="7"/>
  <c r="H9" i="7"/>
  <c r="P120" i="2"/>
  <c r="O26" i="2"/>
  <c r="E163" i="2"/>
  <c r="E165" i="2" s="1"/>
  <c r="E160" i="2" s="1"/>
  <c r="T62" i="2"/>
  <c r="L123" i="2"/>
  <c r="H26" i="2"/>
  <c r="T105" i="2"/>
  <c r="P26" i="2"/>
  <c r="M123" i="2"/>
  <c r="I123" i="2"/>
  <c r="H8" i="7"/>
  <c r="K4" i="7"/>
  <c r="F123" i="2"/>
  <c r="I122" i="2"/>
  <c r="R122" i="2"/>
  <c r="H122" i="2"/>
  <c r="O122" i="2"/>
  <c r="G122" i="2"/>
  <c r="G4" i="7"/>
  <c r="T24" i="2"/>
  <c r="N122" i="2"/>
  <c r="M122" i="2"/>
  <c r="M10" i="7"/>
  <c r="N10" i="7" s="1"/>
  <c r="L122" i="2"/>
  <c r="R124" i="2" l="1"/>
  <c r="G127" i="2"/>
  <c r="F127" i="2"/>
  <c r="E156" i="2"/>
  <c r="F128" i="2" s="1"/>
  <c r="F131" i="2"/>
  <c r="K124" i="2"/>
  <c r="K11" i="7"/>
  <c r="N124" i="2"/>
  <c r="L11" i="7"/>
  <c r="J11" i="7"/>
  <c r="G15" i="7" s="1"/>
  <c r="N8" i="7"/>
  <c r="F124" i="2"/>
  <c r="M7" i="7"/>
  <c r="N7" i="7" s="1"/>
  <c r="H6" i="7"/>
  <c r="G124" i="2"/>
  <c r="F11" i="7"/>
  <c r="G11" i="7"/>
  <c r="H5" i="7"/>
  <c r="M124" i="2"/>
  <c r="I124" i="2"/>
  <c r="O124" i="2"/>
  <c r="L124" i="2"/>
  <c r="P124" i="2"/>
  <c r="M5" i="7"/>
  <c r="N5" i="7" s="1"/>
  <c r="M6" i="7"/>
  <c r="N6" i="7" s="1"/>
  <c r="J124" i="2"/>
  <c r="S124" i="2"/>
  <c r="H124" i="2"/>
  <c r="T64" i="2"/>
  <c r="Q124" i="2"/>
  <c r="H7" i="7"/>
  <c r="J127" i="2"/>
  <c r="K127" i="2" s="1"/>
  <c r="H127" i="2"/>
  <c r="I4" i="7"/>
  <c r="I11" i="7" s="1"/>
  <c r="I127" i="2"/>
  <c r="H4" i="7"/>
  <c r="T26" i="2"/>
  <c r="E158" i="2"/>
  <c r="E151" i="2"/>
  <c r="E150" i="2"/>
  <c r="I131" i="2" l="1"/>
  <c r="I129" i="2"/>
  <c r="F129" i="2"/>
  <c r="H128" i="2"/>
  <c r="Q125" i="2"/>
  <c r="G128" i="2"/>
  <c r="G129" i="2"/>
  <c r="J131" i="2"/>
  <c r="K131" i="2" s="1"/>
  <c r="L131" i="2" s="1"/>
  <c r="M131" i="2" s="1"/>
  <c r="N131" i="2" s="1"/>
  <c r="O131" i="2" s="1"/>
  <c r="J129" i="2"/>
  <c r="K129" i="2" s="1"/>
  <c r="L129" i="2" s="1"/>
  <c r="M129" i="2" s="1"/>
  <c r="N129" i="2" s="1"/>
  <c r="O129" i="2" s="1"/>
  <c r="E152" i="2"/>
  <c r="S125" i="2"/>
  <c r="E153" i="2"/>
  <c r="F125" i="2"/>
  <c r="P125" i="2"/>
  <c r="R125" i="2"/>
  <c r="I128" i="2"/>
  <c r="I130" i="2" s="1"/>
  <c r="I132" i="2" s="1"/>
  <c r="J128" i="2"/>
  <c r="K128" i="2" s="1"/>
  <c r="L128" i="2" s="1"/>
  <c r="M128" i="2" s="1"/>
  <c r="N128" i="2" s="1"/>
  <c r="O128" i="2" s="1"/>
  <c r="H129" i="2"/>
  <c r="H11" i="7"/>
  <c r="G12" i="7" s="1"/>
  <c r="M4" i="7"/>
  <c r="M11" i="7" s="1"/>
  <c r="G131" i="2"/>
  <c r="H131" i="2"/>
  <c r="L127" i="2"/>
  <c r="H130" i="2" l="1"/>
  <c r="P131" i="2"/>
  <c r="P128" i="2"/>
  <c r="P129" i="2"/>
  <c r="F130" i="2"/>
  <c r="F12" i="7"/>
  <c r="O7" i="7"/>
  <c r="I12" i="7"/>
  <c r="K130" i="2"/>
  <c r="K132" i="2" s="1"/>
  <c r="K138" i="2" s="1"/>
  <c r="J8" i="1" s="1"/>
  <c r="G130" i="2"/>
  <c r="G132" i="2" s="1"/>
  <c r="G137" i="2" s="1"/>
  <c r="F7" i="1" s="1"/>
  <c r="I137" i="2"/>
  <c r="H7" i="1" s="1"/>
  <c r="I138" i="2"/>
  <c r="H8" i="1" s="1"/>
  <c r="J130" i="2"/>
  <c r="J132" i="2" s="1"/>
  <c r="J137" i="2" s="1"/>
  <c r="I136" i="2"/>
  <c r="H6" i="1" s="1"/>
  <c r="N4" i="7"/>
  <c r="L12" i="7"/>
  <c r="O5" i="7"/>
  <c r="O8" i="7"/>
  <c r="O4" i="7"/>
  <c r="J12" i="7"/>
  <c r="O11" i="7"/>
  <c r="O9" i="7"/>
  <c r="O6" i="7"/>
  <c r="K12" i="7"/>
  <c r="N11" i="7"/>
  <c r="H15" i="7"/>
  <c r="O10" i="7"/>
  <c r="I134" i="2"/>
  <c r="H5" i="1" s="1"/>
  <c r="H132" i="2"/>
  <c r="H136" i="2" s="1"/>
  <c r="L130" i="2"/>
  <c r="L132" i="2" s="1"/>
  <c r="M127" i="2"/>
  <c r="I7" i="1" l="1"/>
  <c r="F132" i="2"/>
  <c r="F134" i="2" s="1"/>
  <c r="K137" i="2"/>
  <c r="J7" i="1" s="1"/>
  <c r="K136" i="2"/>
  <c r="J6" i="1" s="1"/>
  <c r="K134" i="2"/>
  <c r="J5" i="1" s="1"/>
  <c r="F136" i="2"/>
  <c r="G134" i="2"/>
  <c r="J134" i="2"/>
  <c r="G138" i="2"/>
  <c r="F8" i="1" s="1"/>
  <c r="J136" i="2"/>
  <c r="G136" i="2"/>
  <c r="F6" i="1" s="1"/>
  <c r="J138" i="2"/>
  <c r="G6" i="1"/>
  <c r="H137" i="2"/>
  <c r="G7" i="1" s="1"/>
  <c r="H138" i="2"/>
  <c r="G8" i="1" s="1"/>
  <c r="H134" i="2"/>
  <c r="G5" i="1" s="1"/>
  <c r="M130" i="2"/>
  <c r="M132" i="2" s="1"/>
  <c r="N127" i="2"/>
  <c r="L134" i="2"/>
  <c r="K5" i="1" s="1"/>
  <c r="L136" i="2"/>
  <c r="L137" i="2"/>
  <c r="L138" i="2"/>
  <c r="I8" i="1" l="1"/>
  <c r="I5" i="1"/>
  <c r="I6" i="1"/>
  <c r="F138" i="2"/>
  <c r="E8" i="1" s="1"/>
  <c r="F137" i="2"/>
  <c r="F5" i="1"/>
  <c r="E5" i="1"/>
  <c r="E7" i="1"/>
  <c r="E6" i="1"/>
  <c r="K8" i="1"/>
  <c r="K7" i="1"/>
  <c r="K6" i="1"/>
  <c r="N130" i="2"/>
  <c r="N132" i="2" s="1"/>
  <c r="O127" i="2"/>
  <c r="P127" i="2" s="1"/>
  <c r="M136" i="2"/>
  <c r="L6" i="1" s="1"/>
  <c r="M134" i="2"/>
  <c r="L5" i="1" s="1"/>
  <c r="M138" i="2"/>
  <c r="L8" i="1" s="1"/>
  <c r="M137" i="2"/>
  <c r="L7" i="1" s="1"/>
  <c r="O130" i="2" l="1"/>
  <c r="N138" i="2"/>
  <c r="N137" i="2"/>
  <c r="N136" i="2"/>
  <c r="M6" i="1" s="1"/>
  <c r="N134" i="2"/>
  <c r="O132" i="2" l="1"/>
  <c r="P130" i="2"/>
  <c r="M5" i="1"/>
  <c r="M8" i="1"/>
  <c r="M7" i="1"/>
  <c r="P132" i="2" l="1"/>
  <c r="O136" i="2"/>
  <c r="P153" i="2" s="1"/>
  <c r="O134" i="2"/>
  <c r="O138" i="2"/>
  <c r="P155" i="2" s="1"/>
  <c r="O137" i="2"/>
  <c r="P154" i="2" s="1"/>
  <c r="J142" i="2" l="1"/>
  <c r="P150" i="2"/>
  <c r="I143" i="2"/>
  <c r="J143" i="2"/>
  <c r="I142" i="2"/>
  <c r="P152" i="2"/>
  <c r="P151" i="2"/>
  <c r="N7" i="1"/>
  <c r="Q154" i="2"/>
  <c r="N5" i="1"/>
  <c r="P134" i="2"/>
  <c r="Q151" i="2"/>
  <c r="I141" i="2"/>
  <c r="Q152" i="2"/>
  <c r="J141" i="2"/>
  <c r="Q150" i="2"/>
  <c r="N8" i="1"/>
  <c r="Q155" i="2"/>
  <c r="N6" i="1"/>
  <c r="Q153" i="2"/>
  <c r="Q7" i="1" l="1"/>
  <c r="S7" i="1"/>
  <c r="P7" i="1"/>
  <c r="R7" i="1"/>
  <c r="P6" i="1"/>
  <c r="S6" i="1"/>
  <c r="R6" i="1"/>
  <c r="Q6" i="1"/>
  <c r="O5" i="1"/>
  <c r="Q5" i="1"/>
  <c r="S5" i="1"/>
  <c r="P5" i="1"/>
  <c r="R5" i="1"/>
  <c r="Q8" i="1"/>
  <c r="S8" i="1"/>
  <c r="P8" i="1"/>
  <c r="R8" i="1"/>
  <c r="O6" i="1"/>
  <c r="O7" i="1"/>
  <c r="O8" i="1"/>
</calcChain>
</file>

<file path=xl/sharedStrings.xml><?xml version="1.0" encoding="utf-8"?>
<sst xmlns="http://schemas.openxmlformats.org/spreadsheetml/2006/main" count="520" uniqueCount="328">
  <si>
    <t xml:space="preserve">Cost Benefit Analysis: </t>
  </si>
  <si>
    <t>Timor-Leste</t>
  </si>
  <si>
    <t>NET BENEFITS</t>
  </si>
  <si>
    <t>NPV</t>
  </si>
  <si>
    <t>IRR</t>
  </si>
  <si>
    <t>(US$'000)</t>
  </si>
  <si>
    <t>(US$ Million)</t>
  </si>
  <si>
    <t>(%)</t>
  </si>
  <si>
    <t>SCENARIOS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</si>
  <si>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</si>
  <si>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</si>
  <si>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</si>
  <si>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</si>
  <si>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</si>
  <si>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</si>
  <si>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</si>
  <si>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</si>
  <si>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</si>
  <si>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</si>
  <si>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Reduced Benefits of 10%</t>
  </si>
  <si>
    <t>Increased Costs of 10%</t>
  </si>
  <si>
    <t>Reduced Benefits of 10% + Increase costs by 10%</t>
  </si>
  <si>
    <t>Cost Benefit Analysis: TIMOR-LESTE</t>
  </si>
  <si>
    <t>COSTS YEAR 1 - 10</t>
  </si>
  <si>
    <t>FUNDING SOURCE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</si>
  <si>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</si>
  <si>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</si>
  <si>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</si>
  <si>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</si>
  <si>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</si>
  <si>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</si>
  <si>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</si>
  <si>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</si>
  <si>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</si>
  <si>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</si>
  <si>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TL</t>
  </si>
  <si>
    <t>GCF</t>
  </si>
  <si>
    <t>MAF</t>
  </si>
  <si>
    <t>FAO</t>
  </si>
  <si>
    <t>CAPITAL AND OPERATIONAL COSTS</t>
  </si>
  <si>
    <t>Result 1: Strengthened delivery model and legislation for climate information and multi-hazard early warning services</t>
  </si>
  <si>
    <t xml:space="preserve">1.1 Establish institutional and policy frameworks, legislation and delivery models for climate services </t>
  </si>
  <si>
    <t xml:space="preserve">1.1.1 Establish a National Framework for Climate Services </t>
  </si>
  <si>
    <t>Capital Costs</t>
  </si>
  <si>
    <t>Operational Costs</t>
  </si>
  <si>
    <t>1.1.2  Establish a User Interface Platform</t>
  </si>
  <si>
    <t>1.1.3  Enhance climate data management and governance</t>
  </si>
  <si>
    <t xml:space="preserve"> 1.1.4 Mainstream climate risk knowledge into health, agriculture, disaster risk reduction and other sectors</t>
  </si>
  <si>
    <r>
      <t xml:space="preserve">Result 1: </t>
    </r>
    <r>
      <rPr>
        <i/>
        <sz val="15"/>
        <color theme="0"/>
        <rFont val="Calibri"/>
        <family val="2"/>
        <scheme val="minor"/>
      </rPr>
      <t>TOTALS</t>
    </r>
  </si>
  <si>
    <t>Capital</t>
  </si>
  <si>
    <t>Operational</t>
  </si>
  <si>
    <t>Totals</t>
  </si>
  <si>
    <t>Result 2: Strengthened observations, monitoring, analysis and forecasting of climate and its impacts</t>
  </si>
  <si>
    <t>2.1 Enhance infrastructure and technical support for observations and monitoring</t>
  </si>
  <si>
    <t>2.1.1    Expand and upgrade the meteorological observation network to GBON standards</t>
  </si>
  <si>
    <t xml:space="preserve">2.1.2  Implement a robust program of training and capacity building including QMS </t>
  </si>
  <si>
    <t>2.1.3  Initiate Internet of Things (IoT) approaches</t>
  </si>
  <si>
    <t>2.2 Strengthen climate modelling and impact-based forecasting</t>
  </si>
  <si>
    <t xml:space="preserve">2.2.1 Establish a National Forecasting Centre </t>
  </si>
  <si>
    <t xml:space="preserve">2.2.2 Enhance climate change risk modelling and prediction </t>
  </si>
  <si>
    <t xml:space="preserve">2.2.3  Establish impact-based forecasting and decision-support systems for agriculture, DRR and marine sectors </t>
  </si>
  <si>
    <t>2.3 Establish climate services for health</t>
  </si>
  <si>
    <t xml:space="preserve">2.3.1 Establish a national Climate and Health Working Group 	</t>
  </si>
  <si>
    <t>2.3.2 Establish an air quality monitoring framework</t>
  </si>
  <si>
    <t>2.3.3 Co-develop tailored forecasting and decision support for health</t>
  </si>
  <si>
    <t>2.3.4 Develop a mobile app for health-related forecasts and advisories</t>
  </si>
  <si>
    <r>
      <t xml:space="preserve">Result 2: </t>
    </r>
    <r>
      <rPr>
        <i/>
        <sz val="15"/>
        <color theme="0"/>
        <rFont val="Calibri"/>
        <family val="2"/>
        <scheme val="minor"/>
      </rPr>
      <t>TOTALS</t>
    </r>
  </si>
  <si>
    <t>Result 3: Improved dissemination and communication of risk information and early warning</t>
  </si>
  <si>
    <t>3.1 Establish targeted multi-hazard early warning information systems</t>
  </si>
  <si>
    <t>3.1.1 Convene a technical working group for EWS</t>
  </si>
  <si>
    <t>3.1.2 Co-develop socially inclusive and gender-responsive localised communication strategies</t>
  </si>
  <si>
    <t>3.1.3  Enhance community-based early warning systems</t>
  </si>
  <si>
    <t>3.1.4 Disseminate sector-specific early warning information for agriculture</t>
  </si>
  <si>
    <r>
      <t xml:space="preserve">Result 3: </t>
    </r>
    <r>
      <rPr>
        <i/>
        <sz val="15"/>
        <color theme="0"/>
        <rFont val="Calibri"/>
        <family val="2"/>
        <scheme val="minor"/>
      </rPr>
      <t>TOTALS</t>
    </r>
  </si>
  <si>
    <t>Result 4: Enhanced climate risk management capacity</t>
  </si>
  <si>
    <t>4.1 Build capacity to prepare for and respond to climate risks and hazards</t>
  </si>
  <si>
    <t>4.1.1  Enhance disaster preparedness capabilities from national to community level</t>
  </si>
  <si>
    <t>4.1.3   Increase public awareness and education on climate hazards, related health risks and early warning</t>
  </si>
  <si>
    <t>4.1.4  Conduct a targeted disaster risk awareness and education campaign for women</t>
  </si>
  <si>
    <t>4.2 Establish Forecast-based Financing</t>
  </si>
  <si>
    <r>
      <t xml:space="preserve">Result 4: </t>
    </r>
    <r>
      <rPr>
        <i/>
        <sz val="15"/>
        <color theme="0"/>
        <rFont val="Calibri"/>
        <family val="2"/>
        <scheme val="minor"/>
      </rPr>
      <t>TOTALS</t>
    </r>
  </si>
  <si>
    <t>Project Management Cost (PMC)</t>
  </si>
  <si>
    <t xml:space="preserve">Monitoring and Evaluation (M&amp;E) </t>
  </si>
  <si>
    <t xml:space="preserve">Contingency </t>
  </si>
  <si>
    <r>
      <t xml:space="preserve">OTHERS: </t>
    </r>
    <r>
      <rPr>
        <i/>
        <sz val="15"/>
        <color theme="0"/>
        <rFont val="Calibri"/>
        <family val="2"/>
        <scheme val="minor"/>
      </rPr>
      <t>TOTALS</t>
    </r>
  </si>
  <si>
    <t>TOTAL COSTS</t>
  </si>
  <si>
    <t>BENEFITS (avoided damages &amp; losses)</t>
  </si>
  <si>
    <t>Avoided costs or damages</t>
  </si>
  <si>
    <t>Avoided environmental damages</t>
  </si>
  <si>
    <t>Avoided Indirect economic losses</t>
  </si>
  <si>
    <t>Total annual damages &amp; losses avoided</t>
  </si>
  <si>
    <t>Improved productivity in key sectors</t>
  </si>
  <si>
    <t>TOTAL BENEFITS</t>
  </si>
  <si>
    <t xml:space="preserve">NET BENEFITS </t>
  </si>
  <si>
    <t>SCENARIO 1:</t>
  </si>
  <si>
    <t>NET BENEFITS if benefits reduce by 10%</t>
  </si>
  <si>
    <t>SCENARIO 2:</t>
  </si>
  <si>
    <t>NET BENEFITS if costs increase by 10%</t>
  </si>
  <si>
    <t>SCENARIO 3:</t>
  </si>
  <si>
    <t>NET BENEFITS if benefits decrease by 10% and costs increase by 10%</t>
  </si>
  <si>
    <t>Discounted Net Present Values ($'000)</t>
  </si>
  <si>
    <t>EIRR</t>
  </si>
  <si>
    <t>NPV discounted @</t>
  </si>
  <si>
    <t>Sensitivity Table: Change in cost benefits (US$'000)</t>
  </si>
  <si>
    <t>ASSUMPTIONS FOR ECONOMIC ANALYSIS</t>
  </si>
  <si>
    <t>Timeframes</t>
  </si>
  <si>
    <t>If NPV discount rate @ 10%</t>
  </si>
  <si>
    <t>Timeframe (years)</t>
  </si>
  <si>
    <t>Funding</t>
  </si>
  <si>
    <t>1-5 years</t>
  </si>
  <si>
    <t>Host country funding</t>
  </si>
  <si>
    <t>6-10 years</t>
  </si>
  <si>
    <t>Assumptions</t>
  </si>
  <si>
    <t>Total capital costs (US$'000)</t>
  </si>
  <si>
    <t>Total annual operational costs (US$'000) first 5 years</t>
  </si>
  <si>
    <t>Total costs AWS years 0-5 (US$'000)</t>
  </si>
  <si>
    <t>Total costs AWS years 0-10 (US$'000)</t>
  </si>
  <si>
    <t>Environment costs avoided (% of damages)</t>
  </si>
  <si>
    <t>Indirect economic losses avoided (% of asset damages)</t>
  </si>
  <si>
    <t>Increase in productivity (%)</t>
  </si>
  <si>
    <t>Baseline scenario</t>
  </si>
  <si>
    <t>Assumed lead time</t>
  </si>
  <si>
    <t>Improved residual lead time</t>
  </si>
  <si>
    <t>AAL all disasters (2018US$'000)</t>
  </si>
  <si>
    <t>Assumed avoided losses from EWS (US$'000)</t>
  </si>
  <si>
    <t>Effectiveness</t>
  </si>
  <si>
    <t>First year effectiveness</t>
  </si>
  <si>
    <t>2nd year</t>
  </si>
  <si>
    <t>3rd year</t>
  </si>
  <si>
    <t>4th year</t>
  </si>
  <si>
    <t>5th year onwards</t>
  </si>
  <si>
    <t>CAPITAL</t>
  </si>
  <si>
    <t>OPERATIONAL</t>
  </si>
  <si>
    <t>TOTAL</t>
  </si>
  <si>
    <t>% TL</t>
  </si>
  <si>
    <t>Project Management Costs (PMC)</t>
  </si>
  <si>
    <t>X-Band Radar</t>
  </si>
  <si>
    <t>GCF (%)</t>
  </si>
  <si>
    <t>Estimated Losses from natural disasters (million US$2017)</t>
  </si>
  <si>
    <t>Potential Benefits from implementing  EWS                            (million US$2017)</t>
  </si>
  <si>
    <t xml:space="preserve">Average Annual Losses (AAL) </t>
  </si>
  <si>
    <t>Total    AAL</t>
  </si>
  <si>
    <t>% reduction potential of AAL</t>
  </si>
  <si>
    <t>Country</t>
  </si>
  <si>
    <t>Direct Losses</t>
  </si>
  <si>
    <t>Emergency Losses</t>
  </si>
  <si>
    <t>Total tropical cyclone</t>
  </si>
  <si>
    <t>Total wind, storm surge &amp; flood</t>
  </si>
  <si>
    <t xml:space="preserve">Total estimated losses </t>
  </si>
  <si>
    <t>Fiji</t>
  </si>
  <si>
    <t>Total</t>
  </si>
  <si>
    <t>Vanuatu</t>
  </si>
  <si>
    <t>PNG</t>
  </si>
  <si>
    <t>Adapted from PCRAFI data and adjusted to 2017</t>
  </si>
  <si>
    <t>Solomon Islands</t>
  </si>
  <si>
    <t>Timor Leste</t>
  </si>
  <si>
    <t xml:space="preserve">Total </t>
  </si>
  <si>
    <t>Table 2 Deaths as a result of meteorological events in the five study countries</t>
  </si>
  <si>
    <t>Total Event (descending)</t>
  </si>
  <si>
    <r>
      <t xml:space="preserve">Annual average loss (AAL) by hazard                  </t>
    </r>
    <r>
      <rPr>
        <i/>
        <sz val="9"/>
        <color theme="0"/>
        <rFont val="Trebuchet MS"/>
        <family val="2"/>
      </rPr>
      <t>(millions US$)</t>
    </r>
  </si>
  <si>
    <t>Event              Years*</t>
  </si>
  <si>
    <t>1850-2015</t>
  </si>
  <si>
    <t>1850          -         2014</t>
  </si>
  <si>
    <t>1992-2017</t>
  </si>
  <si>
    <t>Hazard</t>
  </si>
  <si>
    <t>Tropical cyclone</t>
  </si>
  <si>
    <t>-</t>
  </si>
  <si>
    <t>Wind</t>
  </si>
  <si>
    <t>Landslide</t>
  </si>
  <si>
    <t>Storm Surge</t>
  </si>
  <si>
    <t>Flood</t>
  </si>
  <si>
    <t>Drought</t>
  </si>
  <si>
    <t>Severe local storm</t>
  </si>
  <si>
    <t>Adapted from preventionweb to US$2017</t>
  </si>
  <si>
    <t>Rains</t>
  </si>
  <si>
    <t>Strong wind</t>
  </si>
  <si>
    <t>Storm surge</t>
  </si>
  <si>
    <t>TOTAL (descending)</t>
  </si>
  <si>
    <t>&lt;- rough proportion of municipals covered by EWS (baseline)</t>
  </si>
  <si>
    <t>*Data adapted from DesInventar</t>
  </si>
  <si>
    <t>Items</t>
  </si>
  <si>
    <t>Lead time</t>
  </si>
  <si>
    <t>Damage reduction potential</t>
  </si>
  <si>
    <t>Average</t>
  </si>
  <si>
    <t>Baseline</t>
  </si>
  <si>
    <t>After Project</t>
  </si>
  <si>
    <t>Household</t>
  </si>
  <si>
    <t>24h</t>
  </si>
  <si>
    <t>48h</t>
  </si>
  <si>
    <t>Up to 7 days</t>
  </si>
  <si>
    <t>ORDINAL SCALE</t>
  </si>
  <si>
    <t>MIN</t>
  </si>
  <si>
    <t>MAX</t>
  </si>
  <si>
    <t>AVERAGE</t>
  </si>
  <si>
    <t>School or office</t>
  </si>
  <si>
    <t>VERY HIGH</t>
  </si>
  <si>
    <t>AWOS</t>
  </si>
  <si>
    <t>MWOS</t>
  </si>
  <si>
    <t>SATELLITE</t>
  </si>
  <si>
    <t>HIGH</t>
  </si>
  <si>
    <t>Reliability</t>
  </si>
  <si>
    <t>MEDIUM</t>
  </si>
  <si>
    <t>Livestock</t>
  </si>
  <si>
    <t>Accuracy</t>
  </si>
  <si>
    <t>LOW</t>
  </si>
  <si>
    <t>Real-Time data</t>
  </si>
  <si>
    <t>EFFECTIVENESS/ADOPTION RATE:</t>
  </si>
  <si>
    <t>Agriculture</t>
  </si>
  <si>
    <t>Fisheries</t>
  </si>
  <si>
    <t>Open sea fishing</t>
  </si>
  <si>
    <t>Adapted from Subbiah et al. 2008</t>
  </si>
  <si>
    <t>Cost of replacing assets (Million USD)</t>
  </si>
  <si>
    <t>Instrument</t>
  </si>
  <si>
    <t>Measurement</t>
  </si>
  <si>
    <t>Hazard/use</t>
  </si>
  <si>
    <t>Buildings</t>
  </si>
  <si>
    <t>Anemometer</t>
  </si>
  <si>
    <t>Wind speed</t>
  </si>
  <si>
    <t>Tropical Cyclones</t>
  </si>
  <si>
    <t>Infrastructure</t>
  </si>
  <si>
    <t>Wind vane</t>
  </si>
  <si>
    <t>Wind direction</t>
  </si>
  <si>
    <t>Crops</t>
  </si>
  <si>
    <t>Barometer</t>
  </si>
  <si>
    <t>Atmospheric pressure</t>
  </si>
  <si>
    <t>Short-term changes in weather</t>
  </si>
  <si>
    <t>Thermometer</t>
  </si>
  <si>
    <t>Temperature</t>
  </si>
  <si>
    <t>Data adapted from PCRAFI 2011</t>
  </si>
  <si>
    <t>Sunshine recorder</t>
  </si>
  <si>
    <t>amount of sunshine</t>
  </si>
  <si>
    <t>Hygrometer</t>
  </si>
  <si>
    <t>humidity in atmosphere</t>
  </si>
  <si>
    <t>droughts</t>
  </si>
  <si>
    <t>Fiji replacing costs (Million USD)</t>
  </si>
  <si>
    <t>Rain gauge</t>
  </si>
  <si>
    <t>Liquid precipitation</t>
  </si>
  <si>
    <t>storm surge &amp; flood</t>
  </si>
  <si>
    <t>Ceilometer</t>
  </si>
  <si>
    <t>height of a cloud ceiling or cloud base</t>
  </si>
  <si>
    <t>Airports</t>
  </si>
  <si>
    <t>Visibility meter</t>
  </si>
  <si>
    <t>air clarity</t>
  </si>
  <si>
    <t>PCRAFI</t>
  </si>
  <si>
    <t>Earthquake</t>
  </si>
  <si>
    <t>AAL ($US Millions)</t>
  </si>
  <si>
    <t>Proportion of replacing costs (TL/FIJI)</t>
  </si>
  <si>
    <t>Tsunami</t>
  </si>
  <si>
    <t>Multi-hazard</t>
  </si>
  <si>
    <t>Cyclones per decade (average)</t>
  </si>
  <si>
    <t>(Adapted from Preventionweb)</t>
  </si>
  <si>
    <t>page 3</t>
  </si>
  <si>
    <t>unep</t>
  </si>
  <si>
    <t>5 country budget - operational costs</t>
  </si>
  <si>
    <t>&lt;- new economic analyses and budget</t>
  </si>
  <si>
    <t>Proportion</t>
  </si>
  <si>
    <t>($US Millions)</t>
  </si>
  <si>
    <t>1 unit</t>
  </si>
  <si>
    <t>landslides</t>
  </si>
  <si>
    <t>cost of manual station</t>
  </si>
  <si>
    <t>Floods</t>
  </si>
  <si>
    <t>awos</t>
  </si>
  <si>
    <t>baucau</t>
  </si>
  <si>
    <t>1 + 3 aws</t>
  </si>
  <si>
    <t>Erosion</t>
  </si>
  <si>
    <t>operational costs</t>
  </si>
  <si>
    <t>Droughts</t>
  </si>
  <si>
    <t>maintenance</t>
  </si>
  <si>
    <t>twice a year</t>
  </si>
  <si>
    <t>11.5% do GDP</t>
  </si>
  <si>
    <t>Natural hazards (descending order)</t>
  </si>
  <si>
    <t>Floods, winds and storms</t>
  </si>
  <si>
    <t>AREA</t>
  </si>
  <si>
    <t>BENEFIT</t>
  </si>
  <si>
    <t>INDICATOR</t>
  </si>
  <si>
    <t>MEASUREMENT TOOL</t>
  </si>
  <si>
    <t>TANGIBLE</t>
  </si>
  <si>
    <t>SOCIAL</t>
  </si>
  <si>
    <t>Avoidance of injuries/illness</t>
  </si>
  <si>
    <t>VSL</t>
  </si>
  <si>
    <t>N/A</t>
  </si>
  <si>
    <t>Fatalities</t>
  </si>
  <si>
    <t>Safety and security of the travelling public</t>
  </si>
  <si>
    <t>Improved information and data to the scientific community</t>
  </si>
  <si>
    <t>Less displacement of populations</t>
  </si>
  <si>
    <t>Contribution to the day-to-day safety, comfort, enjoyment and general convenience of citizens</t>
  </si>
  <si>
    <t>Survey</t>
  </si>
  <si>
    <t>ECONOMIC</t>
  </si>
  <si>
    <t>Improved decisions for weather events</t>
  </si>
  <si>
    <t>YES</t>
  </si>
  <si>
    <t>Smoothing consumption</t>
  </si>
  <si>
    <t>Avoidance of damage to personal property</t>
  </si>
  <si>
    <t>More efficient planning of energy production and delivery</t>
  </si>
  <si>
    <t>Minimization of search and rescue costs</t>
  </si>
  <si>
    <t>Improved scheduling of flight arrivals and departures</t>
  </si>
  <si>
    <t>Minimization of airline costs from aircraft diversions</t>
  </si>
  <si>
    <t>Aspects of time (delays)</t>
  </si>
  <si>
    <t>ENVIRONMENTAL</t>
  </si>
  <si>
    <t>Allows for a long-term monitoring of basic indicators related to state of the environment;</t>
  </si>
  <si>
    <t>Water savings</t>
  </si>
  <si>
    <t>Better management of fertilizers</t>
  </si>
  <si>
    <t>Minimization of release of toxic substances and other pollutants</t>
  </si>
  <si>
    <t>Comparisons:</t>
  </si>
  <si>
    <t>Frequent, regular, objective and consistent measurements</t>
  </si>
  <si>
    <t>Could be cheaper than manual (though not necessarily)</t>
  </si>
  <si>
    <t>Costs should be more or less the same</t>
  </si>
  <si>
    <t>The absence of a collector and/or moving parts led to more reliable observations, maybe of less accuracy, but less affected by some error source</t>
  </si>
  <si>
    <t>More reliable</t>
  </si>
  <si>
    <t>No moving parts is one of the best features of a sonic anemometer because it reduces failures typical of the traditional cup anemometers</t>
  </si>
  <si>
    <t>Less maintenance and fixing</t>
  </si>
  <si>
    <t>Almost real-time data disposal</t>
  </si>
  <si>
    <t>Real-time data</t>
  </si>
  <si>
    <t>More accurate than satellite</t>
  </si>
  <si>
    <t>Accuracy is high</t>
  </si>
  <si>
    <t>If benefits reduce by 10%</t>
  </si>
  <si>
    <t>If costs increase by 10%</t>
  </si>
  <si>
    <t>If costs increase by 10% and benefits reduce by 10%</t>
  </si>
  <si>
    <t>`</t>
  </si>
  <si>
    <t>NPV 10%</t>
  </si>
  <si>
    <t>Net benefits</t>
  </si>
  <si>
    <t>NPV 8%</t>
  </si>
  <si>
    <t>NPV 12%</t>
  </si>
  <si>
    <t>If NPV discount rate @ 12%</t>
  </si>
  <si>
    <t>If NPV discount rate @ 8%</t>
  </si>
  <si>
    <t>4.1.2 Build capacity of the National Disaster Management Directorate (NDMD) for EWS</t>
  </si>
  <si>
    <t>4.2.2 Develop capacity for Early Warning Early Action (EWEA) in agriculture</t>
  </si>
  <si>
    <t>4.2.1 Establish a Roadmap for FbF</t>
  </si>
  <si>
    <t>1.1.5  Establish a financial framework and business model for sustainable climate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</si>
</sst>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-* #,##0.00_-;\-* #,##0.00_-;_-* &quot;-&quot;??_-;_-@_-"/>
    <numFmt numFmtId="166" formatCode="_(* #,##0_);_(* \(#,##0\);_(* &quot;-&quot;??_);_(@_)"/>
    <numFmt numFmtId="167" formatCode="_-* #,##0_-;\-* #,##0_-;_-* &quot;-&quot;??_-;_-@_-"/>
    <numFmt numFmtId="168" formatCode="0.000"/>
    <numFmt numFmtId="169" formatCode="_(* #,##0.0_);_(* \(#,##0.0\);_(* &quot;-&quot;??_);_(@_)"/>
    <numFmt numFmtId="170" formatCode="0.0%"/>
    <numFmt numFmtId="171" formatCode="_-* #,##0.0\ _X_D_R_-;\-* #,##0.0\ _X_D_R_-;_-* &quot;-&quot;?\ _X_D_R_-;_-@_-"/>
  </numFmts>
  <fonts count="6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9"/>
      <name val="Trebuchet MS"/>
      <family val="2"/>
    </font>
    <font>
      <b/>
      <sz val="9"/>
      <color indexed="9"/>
      <name val="Trebuchet MS"/>
      <family val="2"/>
    </font>
    <font>
      <b/>
      <i/>
      <sz val="11"/>
      <color indexed="9"/>
      <name val="Trebuchet MS"/>
      <family val="2"/>
    </font>
    <font>
      <sz val="9"/>
      <name val="Trebuchet MS"/>
      <family val="2"/>
    </font>
    <font>
      <sz val="9"/>
      <color theme="0" tint="-0.14996795556505021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i/>
      <sz val="9"/>
      <name val="Trebuchet MS"/>
      <family val="2"/>
    </font>
    <font>
      <sz val="8"/>
      <name val="Calibri"/>
      <family val="2"/>
      <scheme val="minor"/>
    </font>
    <font>
      <b/>
      <sz val="9"/>
      <color theme="0"/>
      <name val="Trebuchet MS"/>
      <family val="2"/>
    </font>
    <font>
      <sz val="9"/>
      <color theme="0"/>
      <name val="Trebuchet MS"/>
      <family val="2"/>
    </font>
    <font>
      <sz val="9"/>
      <color rgb="FFFFFFFF"/>
      <name val="Trebuchet MS"/>
      <family val="2"/>
    </font>
    <font>
      <i/>
      <sz val="9"/>
      <color rgb="FFFFFFFF"/>
      <name val="Trebuchet MS"/>
      <family val="2"/>
    </font>
    <font>
      <sz val="9"/>
      <color theme="1"/>
      <name val="Calibri"/>
      <family val="2"/>
      <scheme val="minor"/>
    </font>
    <font>
      <b/>
      <sz val="9"/>
      <color theme="1"/>
      <name val="Trebuchet MS"/>
      <family val="2"/>
    </font>
    <font>
      <b/>
      <i/>
      <sz val="9"/>
      <color theme="1"/>
      <name val="Trebuchet MS"/>
      <family val="2"/>
    </font>
    <font>
      <i/>
      <sz val="9"/>
      <color theme="1"/>
      <name val="Trebuchet MS"/>
      <family val="2"/>
    </font>
    <font>
      <i/>
      <sz val="9"/>
      <color theme="0"/>
      <name val="Trebuchet MS"/>
      <family val="2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name val="Trebuchet MS"/>
      <family val="2"/>
    </font>
    <font>
      <sz val="8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9"/>
      <color indexed="9"/>
      <name val="Calibri"/>
      <family val="2"/>
      <scheme val="minor"/>
    </font>
    <font>
      <sz val="9"/>
      <name val="Calibri"/>
      <family val="2"/>
      <scheme val="minor"/>
    </font>
    <font>
      <b/>
      <i/>
      <sz val="8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indexed="5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0"/>
      <color theme="0"/>
      <name val="Trebuchet MS"/>
      <family val="2"/>
    </font>
    <font>
      <b/>
      <sz val="8"/>
      <name val="Trebuchet MS"/>
      <family val="2"/>
    </font>
    <font>
      <b/>
      <sz val="8"/>
      <color theme="8" tint="-0.249977111117893"/>
      <name val="Calibri"/>
      <family val="2"/>
      <scheme val="minor"/>
    </font>
    <font>
      <sz val="8"/>
      <color theme="8" tint="-0.249977111117893"/>
      <name val="Calibri"/>
      <family val="2"/>
      <scheme val="minor"/>
    </font>
    <font>
      <b/>
      <i/>
      <sz val="8"/>
      <color indexed="9"/>
      <name val="Calibri"/>
      <family val="2"/>
      <scheme val="minor"/>
    </font>
    <font>
      <sz val="8"/>
      <color theme="0" tint="-0.14996795556505021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theme="0"/>
      <name val="Trebuchet MS"/>
      <family val="2"/>
    </font>
    <font>
      <b/>
      <i/>
      <sz val="9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b/>
      <i/>
      <sz val="15"/>
      <color theme="0"/>
      <name val="Calibri"/>
      <family val="2"/>
      <scheme val="minor"/>
    </font>
    <font>
      <i/>
      <sz val="15"/>
      <color theme="0"/>
      <name val="Calibri"/>
      <family val="2"/>
      <scheme val="minor"/>
    </font>
    <font>
      <b/>
      <sz val="30"/>
      <color indexed="9"/>
      <name val="Calibri"/>
      <family val="2"/>
      <scheme val="minor"/>
    </font>
    <font>
      <b/>
      <sz val="15"/>
      <color indexed="9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5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 Light"/>
      <family val="2"/>
      <scheme val="major"/>
    </font>
    <font>
      <b/>
      <sz val="8"/>
      <color theme="0"/>
      <name val="Calibri Light"/>
      <family val="2"/>
      <scheme val="major"/>
    </font>
    <font>
      <b/>
      <i/>
      <sz val="8"/>
      <name val="Trebuchet MS"/>
      <family val="2"/>
    </font>
    <font>
      <b/>
      <sz val="12"/>
      <color theme="0"/>
      <name val="Trebuchet MS"/>
      <family val="2"/>
    </font>
    <font>
      <b/>
      <i/>
      <sz val="8"/>
      <color theme="0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B82A1"/>
        <bgColor indexed="64"/>
      </patternFill>
    </fill>
    <fill>
      <patternFill patternType="solid">
        <fgColor rgb="FF317F6E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382">
    <xf numFmtId="0" fontId="0" fillId="0" borderId="0" xfId="0"/>
    <xf numFmtId="0" fontId="0" fillId="2" borderId="0" xfId="0" applyFill="1"/>
    <xf numFmtId="0" fontId="2" fillId="2" borderId="0" xfId="0" applyFont="1" applyFill="1"/>
    <xf numFmtId="0" fontId="6" fillId="2" borderId="0" xfId="0" applyFont="1" applyFill="1"/>
    <xf numFmtId="43" fontId="6" fillId="2" borderId="1" xfId="1" applyFont="1" applyFill="1" applyBorder="1"/>
    <xf numFmtId="0" fontId="16" fillId="2" borderId="0" xfId="0" applyFont="1" applyFill="1"/>
    <xf numFmtId="9" fontId="16" fillId="2" borderId="0" xfId="3" applyFont="1" applyFill="1"/>
    <xf numFmtId="0" fontId="24" fillId="2" borderId="0" xfId="0" applyFont="1" applyFill="1"/>
    <xf numFmtId="0" fontId="24" fillId="2" borderId="0" xfId="0" applyFont="1" applyFill="1" applyAlignment="1">
      <alignment vertical="center"/>
    </xf>
    <xf numFmtId="0" fontId="24" fillId="2" borderId="3" xfId="0" applyFont="1" applyFill="1" applyBorder="1" applyAlignment="1">
      <alignment horizontal="left" vertical="center"/>
    </xf>
    <xf numFmtId="0" fontId="16" fillId="2" borderId="3" xfId="0" applyFont="1" applyFill="1" applyBorder="1"/>
    <xf numFmtId="9" fontId="16" fillId="2" borderId="3" xfId="3" applyFont="1" applyFill="1" applyBorder="1"/>
    <xf numFmtId="9" fontId="16" fillId="2" borderId="0" xfId="3" applyFont="1" applyFill="1" applyBorder="1"/>
    <xf numFmtId="0" fontId="16" fillId="2" borderId="4" xfId="0" applyFont="1" applyFill="1" applyBorder="1"/>
    <xf numFmtId="9" fontId="16" fillId="2" borderId="0" xfId="0" applyNumberFormat="1" applyFont="1" applyFill="1"/>
    <xf numFmtId="9" fontId="16" fillId="2" borderId="3" xfId="0" applyNumberFormat="1" applyFont="1" applyFill="1" applyBorder="1"/>
    <xf numFmtId="0" fontId="24" fillId="2" borderId="3" xfId="0" applyFont="1" applyFill="1" applyBorder="1"/>
    <xf numFmtId="0" fontId="27" fillId="2" borderId="0" xfId="0" applyFont="1" applyFill="1"/>
    <xf numFmtId="0" fontId="30" fillId="2" borderId="0" xfId="0" applyFont="1" applyFill="1"/>
    <xf numFmtId="43" fontId="30" fillId="2" borderId="1" xfId="1" applyFont="1" applyFill="1" applyBorder="1"/>
    <xf numFmtId="43" fontId="32" fillId="2" borderId="1" xfId="1" applyFont="1" applyFill="1" applyBorder="1" applyAlignment="1">
      <alignment wrapText="1"/>
    </xf>
    <xf numFmtId="43" fontId="16" fillId="2" borderId="0" xfId="1" applyFont="1" applyFill="1"/>
    <xf numFmtId="0" fontId="0" fillId="2" borderId="1" xfId="0" applyFill="1" applyBorder="1"/>
    <xf numFmtId="0" fontId="32" fillId="2" borderId="0" xfId="0" applyFont="1" applyFill="1"/>
    <xf numFmtId="43" fontId="32" fillId="2" borderId="1" xfId="1" applyFont="1" applyFill="1" applyBorder="1"/>
    <xf numFmtId="0" fontId="29" fillId="2" borderId="0" xfId="0" applyFont="1" applyFill="1"/>
    <xf numFmtId="0" fontId="29" fillId="4" borderId="1" xfId="0" applyFont="1" applyFill="1" applyBorder="1"/>
    <xf numFmtId="0" fontId="21" fillId="2" borderId="0" xfId="4" applyFill="1"/>
    <xf numFmtId="0" fontId="16" fillId="2" borderId="0" xfId="0" quotePrefix="1" applyFont="1" applyFill="1"/>
    <xf numFmtId="0" fontId="24" fillId="6" borderId="0" xfId="0" applyFont="1" applyFill="1" applyAlignment="1">
      <alignment vertical="center"/>
    </xf>
    <xf numFmtId="0" fontId="24" fillId="6" borderId="3" xfId="0" applyFont="1" applyFill="1" applyBorder="1" applyAlignment="1">
      <alignment horizontal="left" vertical="center"/>
    </xf>
    <xf numFmtId="0" fontId="24" fillId="6" borderId="3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 wrapText="1"/>
    </xf>
    <xf numFmtId="0" fontId="25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/>
    </xf>
    <xf numFmtId="0" fontId="10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26" fillId="6" borderId="0" xfId="0" applyFont="1" applyFill="1" applyAlignment="1">
      <alignment horizontal="left" vertical="center" wrapText="1"/>
    </xf>
    <xf numFmtId="0" fontId="8" fillId="6" borderId="0" xfId="0" applyFont="1" applyFill="1" applyAlignment="1">
      <alignment horizontal="center" vertical="center"/>
    </xf>
    <xf numFmtId="166" fontId="16" fillId="2" borderId="0" xfId="1" applyNumberFormat="1" applyFont="1" applyFill="1"/>
    <xf numFmtId="0" fontId="23" fillId="2" borderId="0" xfId="0" applyFont="1" applyFill="1"/>
    <xf numFmtId="0" fontId="24" fillId="6" borderId="0" xfId="0" applyFont="1" applyFill="1"/>
    <xf numFmtId="0" fontId="16" fillId="6" borderId="0" xfId="0" applyFont="1" applyFill="1"/>
    <xf numFmtId="0" fontId="24" fillId="6" borderId="3" xfId="0" applyFont="1" applyFill="1" applyBorder="1"/>
    <xf numFmtId="0" fontId="16" fillId="6" borderId="3" xfId="0" applyFont="1" applyFill="1" applyBorder="1"/>
    <xf numFmtId="166" fontId="16" fillId="2" borderId="3" xfId="1" applyNumberFormat="1" applyFont="1" applyFill="1" applyBorder="1"/>
    <xf numFmtId="0" fontId="15" fillId="2" borderId="0" xfId="1" applyNumberFormat="1" applyFont="1" applyFill="1" applyAlignment="1">
      <alignment vertical="center"/>
    </xf>
    <xf numFmtId="9" fontId="15" fillId="2" borderId="0" xfId="3" applyFont="1" applyFill="1" applyAlignment="1">
      <alignment vertical="center"/>
    </xf>
    <xf numFmtId="0" fontId="14" fillId="2" borderId="0" xfId="1" applyNumberFormat="1" applyFont="1" applyFill="1" applyAlignment="1">
      <alignment horizontal="justify" vertical="center" wrapText="1"/>
    </xf>
    <xf numFmtId="9" fontId="15" fillId="2" borderId="0" xfId="3" applyFont="1" applyFill="1" applyAlignment="1">
      <alignment horizontal="center" vertical="center"/>
    </xf>
    <xf numFmtId="1" fontId="9" fillId="2" borderId="0" xfId="1" applyNumberFormat="1" applyFont="1" applyFill="1" applyAlignment="1">
      <alignment horizontal="center"/>
    </xf>
    <xf numFmtId="0" fontId="9" fillId="2" borderId="0" xfId="1" applyNumberFormat="1" applyFont="1" applyFill="1" applyAlignment="1">
      <alignment horizontal="justify" vertical="center" wrapText="1"/>
    </xf>
    <xf numFmtId="2" fontId="9" fillId="2" borderId="0" xfId="1" applyNumberFormat="1" applyFont="1" applyFill="1" applyAlignment="1">
      <alignment horizontal="center"/>
    </xf>
    <xf numFmtId="2" fontId="17" fillId="2" borderId="0" xfId="1" applyNumberFormat="1" applyFont="1" applyFill="1" applyAlignment="1">
      <alignment horizontal="center"/>
    </xf>
    <xf numFmtId="1" fontId="18" fillId="2" borderId="0" xfId="1" applyNumberFormat="1" applyFont="1" applyFill="1" applyAlignment="1">
      <alignment horizontal="center"/>
    </xf>
    <xf numFmtId="0" fontId="17" fillId="2" borderId="0" xfId="1" applyNumberFormat="1" applyFont="1" applyFill="1" applyAlignment="1">
      <alignment horizontal="justify" vertical="center" wrapText="1"/>
    </xf>
    <xf numFmtId="43" fontId="17" fillId="2" borderId="0" xfId="1" applyFont="1" applyFill="1" applyAlignment="1">
      <alignment horizontal="center"/>
    </xf>
    <xf numFmtId="0" fontId="9" fillId="2" borderId="0" xfId="1" applyNumberFormat="1" applyFont="1" applyFill="1" applyAlignment="1">
      <alignment horizontal="center"/>
    </xf>
    <xf numFmtId="0" fontId="19" fillId="2" borderId="0" xfId="1" applyNumberFormat="1" applyFont="1" applyFill="1"/>
    <xf numFmtId="0" fontId="9" fillId="2" borderId="0" xfId="1" applyNumberFormat="1" applyFont="1" applyFill="1" applyBorder="1" applyAlignment="1">
      <alignment horizontal="justify" vertical="center" wrapText="1"/>
    </xf>
    <xf numFmtId="2" fontId="9" fillId="2" borderId="0" xfId="1" applyNumberFormat="1" applyFont="1" applyFill="1" applyBorder="1" applyAlignment="1">
      <alignment horizontal="center"/>
    </xf>
    <xf numFmtId="2" fontId="17" fillId="2" borderId="0" xfId="1" applyNumberFormat="1" applyFont="1" applyFill="1" applyBorder="1" applyAlignment="1">
      <alignment horizontal="center"/>
    </xf>
    <xf numFmtId="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4" fillId="2" borderId="3" xfId="0" applyFont="1" applyFill="1" applyBorder="1" applyAlignment="1">
      <alignment vertical="center"/>
    </xf>
    <xf numFmtId="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9" fontId="16" fillId="2" borderId="3" xfId="0" quotePrefix="1" applyNumberFormat="1" applyFont="1" applyFill="1" applyBorder="1" applyAlignment="1">
      <alignment horizontal="center" vertical="center"/>
    </xf>
    <xf numFmtId="9" fontId="24" fillId="2" borderId="0" xfId="0" applyNumberFormat="1" applyFont="1" applyFill="1" applyAlignment="1">
      <alignment horizontal="center" vertical="center"/>
    </xf>
    <xf numFmtId="9" fontId="24" fillId="2" borderId="3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right"/>
    </xf>
    <xf numFmtId="167" fontId="30" fillId="2" borderId="0" xfId="0" applyNumberFormat="1" applyFont="1" applyFill="1"/>
    <xf numFmtId="167" fontId="33" fillId="2" borderId="0" xfId="0" applyNumberFormat="1" applyFont="1" applyFill="1" applyAlignment="1">
      <alignment horizontal="right"/>
    </xf>
    <xf numFmtId="167" fontId="32" fillId="2" borderId="0" xfId="0" applyNumberFormat="1" applyFont="1" applyFill="1"/>
    <xf numFmtId="0" fontId="30" fillId="2" borderId="1" xfId="1" applyNumberFormat="1" applyFont="1" applyFill="1" applyBorder="1" applyAlignment="1">
      <alignment horizontal="right"/>
    </xf>
    <xf numFmtId="166" fontId="30" fillId="2" borderId="1" xfId="1" applyNumberFormat="1" applyFont="1" applyFill="1" applyBorder="1"/>
    <xf numFmtId="166" fontId="30" fillId="2" borderId="1" xfId="1" applyNumberFormat="1" applyFont="1" applyFill="1" applyBorder="1" applyAlignment="1">
      <alignment horizontal="right"/>
    </xf>
    <xf numFmtId="9" fontId="30" fillId="2" borderId="1" xfId="0" applyNumberFormat="1" applyFont="1" applyFill="1" applyBorder="1"/>
    <xf numFmtId="0" fontId="30" fillId="2" borderId="0" xfId="0" applyFont="1" applyFill="1" applyAlignment="1">
      <alignment horizontal="right"/>
    </xf>
    <xf numFmtId="167" fontId="30" fillId="2" borderId="1" xfId="1" applyNumberFormat="1" applyFont="1" applyFill="1" applyBorder="1"/>
    <xf numFmtId="0" fontId="30" fillId="2" borderId="0" xfId="0" applyFont="1" applyFill="1" applyAlignment="1">
      <alignment wrapText="1"/>
    </xf>
    <xf numFmtId="43" fontId="13" fillId="7" borderId="1" xfId="1" applyFont="1" applyFill="1" applyBorder="1"/>
    <xf numFmtId="0" fontId="30" fillId="6" borderId="0" xfId="0" applyFont="1" applyFill="1"/>
    <xf numFmtId="166" fontId="16" fillId="2" borderId="1" xfId="0" applyNumberFormat="1" applyFont="1" applyFill="1" applyBorder="1"/>
    <xf numFmtId="0" fontId="34" fillId="2" borderId="0" xfId="0" applyFont="1" applyFill="1"/>
    <xf numFmtId="0" fontId="34" fillId="8" borderId="0" xfId="0" applyFont="1" applyFill="1" applyAlignment="1">
      <alignment vertical="center"/>
    </xf>
    <xf numFmtId="0" fontId="0" fillId="8" borderId="0" xfId="0" applyFill="1"/>
    <xf numFmtId="9" fontId="16" fillId="8" borderId="1" xfId="0" applyNumberFormat="1" applyFont="1" applyFill="1" applyBorder="1"/>
    <xf numFmtId="9" fontId="36" fillId="8" borderId="1" xfId="3" applyFont="1" applyFill="1" applyBorder="1" applyAlignment="1">
      <alignment vertical="center"/>
    </xf>
    <xf numFmtId="0" fontId="34" fillId="8" borderId="0" xfId="0" applyFont="1" applyFill="1" applyAlignment="1">
      <alignment vertical="center" wrapText="1"/>
    </xf>
    <xf numFmtId="9" fontId="36" fillId="8" borderId="1" xfId="0" applyNumberFormat="1" applyFont="1" applyFill="1" applyBorder="1" applyAlignment="1">
      <alignment vertical="center"/>
    </xf>
    <xf numFmtId="43" fontId="30" fillId="2" borderId="1" xfId="1" applyFont="1" applyFill="1" applyBorder="1" applyAlignment="1">
      <alignment vertical="center"/>
    </xf>
    <xf numFmtId="0" fontId="32" fillId="5" borderId="0" xfId="0" applyFont="1" applyFill="1"/>
    <xf numFmtId="43" fontId="32" fillId="5" borderId="1" xfId="1" applyFont="1" applyFill="1" applyBorder="1"/>
    <xf numFmtId="43" fontId="37" fillId="5" borderId="1" xfId="1" applyFont="1" applyFill="1" applyBorder="1" applyAlignment="1">
      <alignment horizontal="right"/>
    </xf>
    <xf numFmtId="0" fontId="14" fillId="2" borderId="0" xfId="1" applyNumberFormat="1" applyFont="1" applyFill="1" applyAlignment="1">
      <alignment vertical="center" wrapText="1"/>
    </xf>
    <xf numFmtId="0" fontId="15" fillId="2" borderId="0" xfId="1" applyNumberFormat="1" applyFont="1" applyFill="1" applyAlignment="1">
      <alignment horizontal="center" vertical="center"/>
    </xf>
    <xf numFmtId="0" fontId="6" fillId="2" borderId="0" xfId="1" applyNumberFormat="1" applyFont="1" applyFill="1" applyBorder="1" applyAlignment="1">
      <alignment horizontal="justify" vertical="center" wrapText="1"/>
    </xf>
    <xf numFmtId="0" fontId="9" fillId="2" borderId="0" xfId="1" applyNumberFormat="1" applyFont="1" applyFill="1"/>
    <xf numFmtId="9" fontId="14" fillId="2" borderId="0" xfId="3" applyFont="1" applyFill="1" applyAlignment="1">
      <alignment horizontal="center" vertical="center"/>
    </xf>
    <xf numFmtId="0" fontId="8" fillId="2" borderId="3" xfId="1" applyNumberFormat="1" applyFont="1" applyFill="1" applyBorder="1" applyAlignment="1">
      <alignment horizontal="center" vertical="center" wrapText="1"/>
    </xf>
    <xf numFmtId="0" fontId="17" fillId="2" borderId="0" xfId="1" applyNumberFormat="1" applyFont="1" applyFill="1"/>
    <xf numFmtId="2" fontId="9" fillId="2" borderId="0" xfId="1" applyNumberFormat="1" applyFont="1" applyFill="1"/>
    <xf numFmtId="168" fontId="9" fillId="2" borderId="0" xfId="1" applyNumberFormat="1" applyFont="1" applyFill="1" applyAlignment="1">
      <alignment horizontal="center"/>
    </xf>
    <xf numFmtId="2" fontId="17" fillId="2" borderId="0" xfId="1" applyNumberFormat="1" applyFont="1" applyFill="1"/>
    <xf numFmtId="0" fontId="20" fillId="2" borderId="0" xfId="0" applyFont="1" applyFill="1" applyAlignment="1">
      <alignment horizontal="center" wrapText="1"/>
    </xf>
    <xf numFmtId="9" fontId="8" fillId="2" borderId="0" xfId="3" applyFont="1" applyFill="1" applyAlignment="1">
      <alignment horizontal="center" vertical="center"/>
    </xf>
    <xf numFmtId="0" fontId="9" fillId="2" borderId="0" xfId="0" applyFont="1" applyFill="1" applyAlignment="1">
      <alignment horizontal="left"/>
    </xf>
    <xf numFmtId="2" fontId="9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left"/>
    </xf>
    <xf numFmtId="2" fontId="17" fillId="2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6" fillId="2" borderId="3" xfId="0" applyFont="1" applyFill="1" applyBorder="1"/>
    <xf numFmtId="0" fontId="37" fillId="2" borderId="0" xfId="0" applyFont="1" applyFill="1"/>
    <xf numFmtId="0" fontId="38" fillId="2" borderId="0" xfId="0" applyFont="1" applyFill="1"/>
    <xf numFmtId="0" fontId="39" fillId="2" borderId="0" xfId="0" applyFont="1" applyFill="1"/>
    <xf numFmtId="9" fontId="24" fillId="2" borderId="0" xfId="3" applyFont="1" applyFill="1" applyAlignment="1">
      <alignment horizontal="left"/>
    </xf>
    <xf numFmtId="43" fontId="24" fillId="2" borderId="0" xfId="1" applyFont="1" applyFill="1"/>
    <xf numFmtId="43" fontId="16" fillId="2" borderId="0" xfId="0" applyNumberFormat="1" applyFont="1" applyFill="1"/>
    <xf numFmtId="43" fontId="24" fillId="2" borderId="0" xfId="0" applyNumberFormat="1" applyFont="1" applyFill="1"/>
    <xf numFmtId="2" fontId="16" fillId="2" borderId="0" xfId="0" applyNumberFormat="1" applyFont="1" applyFill="1"/>
    <xf numFmtId="0" fontId="14" fillId="9" borderId="0" xfId="1" applyNumberFormat="1" applyFont="1" applyFill="1" applyAlignment="1">
      <alignment horizontal="justify" vertical="center" wrapText="1"/>
    </xf>
    <xf numFmtId="9" fontId="15" fillId="9" borderId="0" xfId="3" applyFont="1" applyFill="1" applyAlignment="1">
      <alignment horizontal="center" vertical="center" wrapText="1"/>
    </xf>
    <xf numFmtId="0" fontId="13" fillId="9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/>
    <xf numFmtId="0" fontId="20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 wrapText="1"/>
    </xf>
    <xf numFmtId="9" fontId="16" fillId="6" borderId="0" xfId="0" applyNumberFormat="1" applyFont="1" applyFill="1"/>
    <xf numFmtId="0" fontId="32" fillId="6" borderId="3" xfId="0" applyFont="1" applyFill="1" applyBorder="1" applyAlignment="1">
      <alignment horizontal="center" vertical="center"/>
    </xf>
    <xf numFmtId="0" fontId="32" fillId="6" borderId="3" xfId="0" applyFont="1" applyFill="1" applyBorder="1" applyAlignment="1">
      <alignment horizontal="left" vertical="center"/>
    </xf>
    <xf numFmtId="0" fontId="32" fillId="6" borderId="3" xfId="0" applyFont="1" applyFill="1" applyBorder="1" applyAlignment="1">
      <alignment horizontal="center" vertical="center" wrapText="1"/>
    </xf>
    <xf numFmtId="9" fontId="16" fillId="6" borderId="3" xfId="3" applyFont="1" applyFill="1" applyBorder="1"/>
    <xf numFmtId="9" fontId="16" fillId="6" borderId="4" xfId="3" applyFont="1" applyFill="1" applyBorder="1"/>
    <xf numFmtId="9" fontId="16" fillId="6" borderId="0" xfId="3" applyFont="1" applyFill="1"/>
    <xf numFmtId="0" fontId="24" fillId="2" borderId="0" xfId="0" applyFont="1" applyFill="1" applyAlignment="1">
      <alignment vertical="top" wrapText="1"/>
    </xf>
    <xf numFmtId="0" fontId="40" fillId="2" borderId="0" xfId="0" applyFont="1" applyFill="1"/>
    <xf numFmtId="43" fontId="6" fillId="2" borderId="0" xfId="1" applyFont="1" applyFill="1" applyBorder="1"/>
    <xf numFmtId="43" fontId="7" fillId="2" borderId="0" xfId="1" applyFont="1" applyFill="1" applyBorder="1"/>
    <xf numFmtId="43" fontId="42" fillId="2" borderId="2" xfId="1" applyFont="1" applyFill="1" applyBorder="1" applyAlignment="1">
      <alignment horizontal="center" vertical="center" wrapText="1"/>
    </xf>
    <xf numFmtId="43" fontId="42" fillId="2" borderId="0" xfId="1" applyFont="1" applyFill="1" applyBorder="1" applyAlignment="1">
      <alignment horizontal="center" vertical="center" wrapText="1"/>
    </xf>
    <xf numFmtId="0" fontId="43" fillId="2" borderId="0" xfId="0" applyFont="1" applyFill="1"/>
    <xf numFmtId="0" fontId="44" fillId="2" borderId="0" xfId="0" applyFont="1" applyFill="1"/>
    <xf numFmtId="0" fontId="23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43" fontId="47" fillId="2" borderId="0" xfId="1" applyFont="1" applyFill="1" applyAlignment="1">
      <alignment horizontal="center" vertical="center" wrapText="1"/>
    </xf>
    <xf numFmtId="166" fontId="16" fillId="6" borderId="1" xfId="0" applyNumberFormat="1" applyFont="1" applyFill="1" applyBorder="1"/>
    <xf numFmtId="0" fontId="56" fillId="2" borderId="0" xfId="0" applyFont="1" applyFill="1" applyAlignment="1">
      <alignment horizontal="center" vertical="center" wrapText="1"/>
    </xf>
    <xf numFmtId="43" fontId="29" fillId="2" borderId="1" xfId="1" applyFont="1" applyFill="1" applyBorder="1"/>
    <xf numFmtId="0" fontId="14" fillId="9" borderId="0" xfId="1" applyNumberFormat="1" applyFont="1" applyFill="1" applyAlignment="1">
      <alignment horizontal="center" vertical="center" wrapText="1"/>
    </xf>
    <xf numFmtId="0" fontId="9" fillId="2" borderId="0" xfId="1" applyNumberFormat="1" applyFont="1" applyFill="1" applyAlignment="1">
      <alignment horizontal="center" vertical="center"/>
    </xf>
    <xf numFmtId="2" fontId="17" fillId="2" borderId="0" xfId="1" applyNumberFormat="1" applyFont="1" applyFill="1" applyAlignment="1">
      <alignment horizontal="center" vertical="center"/>
    </xf>
    <xf numFmtId="169" fontId="31" fillId="2" borderId="2" xfId="1" applyNumberFormat="1" applyFont="1" applyFill="1" applyBorder="1" applyAlignment="1">
      <alignment horizontal="center" vertical="center"/>
    </xf>
    <xf numFmtId="169" fontId="11" fillId="2" borderId="0" xfId="1" applyNumberFormat="1" applyFont="1" applyFill="1" applyBorder="1" applyAlignment="1">
      <alignment horizontal="center" vertical="center"/>
    </xf>
    <xf numFmtId="169" fontId="46" fillId="2" borderId="0" xfId="1" applyNumberFormat="1" applyFont="1" applyFill="1" applyBorder="1" applyAlignment="1">
      <alignment horizontal="center" vertical="center"/>
    </xf>
    <xf numFmtId="169" fontId="0" fillId="2" borderId="1" xfId="0" applyNumberFormat="1" applyFill="1" applyBorder="1"/>
    <xf numFmtId="169" fontId="0" fillId="2" borderId="0" xfId="0" applyNumberFormat="1" applyFill="1"/>
    <xf numFmtId="169" fontId="40" fillId="2" borderId="2" xfId="0" applyNumberFormat="1" applyFont="1" applyFill="1" applyBorder="1" applyAlignment="1">
      <alignment horizontal="center" vertical="center"/>
    </xf>
    <xf numFmtId="169" fontId="31" fillId="2" borderId="1" xfId="1" applyNumberFormat="1" applyFont="1" applyFill="1" applyBorder="1" applyAlignment="1">
      <alignment horizontal="center" vertical="center"/>
    </xf>
    <xf numFmtId="169" fontId="47" fillId="2" borderId="2" xfId="1" applyNumberFormat="1" applyFont="1" applyFill="1" applyBorder="1" applyAlignment="1">
      <alignment horizontal="center" vertical="center" wrapText="1"/>
    </xf>
    <xf numFmtId="169" fontId="47" fillId="2" borderId="0" xfId="1" applyNumberFormat="1" applyFont="1" applyFill="1" applyBorder="1" applyAlignment="1">
      <alignment horizontal="center" vertical="center" wrapText="1"/>
    </xf>
    <xf numFmtId="169" fontId="27" fillId="2" borderId="0" xfId="1" applyNumberFormat="1" applyFont="1" applyFill="1" applyBorder="1" applyAlignment="1">
      <alignment horizontal="center" vertical="center"/>
    </xf>
    <xf numFmtId="169" fontId="27" fillId="2" borderId="1" xfId="1" applyNumberFormat="1" applyFont="1" applyFill="1" applyBorder="1" applyAlignment="1">
      <alignment horizontal="center" vertical="center"/>
    </xf>
    <xf numFmtId="169" fontId="27" fillId="2" borderId="2" xfId="0" applyNumberFormat="1" applyFont="1" applyFill="1" applyBorder="1" applyAlignment="1">
      <alignment horizontal="center" vertical="center"/>
    </xf>
    <xf numFmtId="169" fontId="27" fillId="2" borderId="0" xfId="0" applyNumberFormat="1" applyFont="1" applyFill="1" applyAlignment="1">
      <alignment horizontal="center" vertical="center"/>
    </xf>
    <xf numFmtId="169" fontId="27" fillId="2" borderId="1" xfId="0" applyNumberFormat="1" applyFont="1" applyFill="1" applyBorder="1" applyAlignment="1">
      <alignment horizontal="center" vertical="center"/>
    </xf>
    <xf numFmtId="169" fontId="0" fillId="2" borderId="2" xfId="0" applyNumberFormat="1" applyFill="1" applyBorder="1"/>
    <xf numFmtId="169" fontId="49" fillId="2" borderId="0" xfId="1" applyNumberFormat="1" applyFont="1" applyFill="1" applyBorder="1" applyAlignment="1">
      <alignment horizontal="center" vertical="center"/>
    </xf>
    <xf numFmtId="169" fontId="49" fillId="2" borderId="1" xfId="1" applyNumberFormat="1" applyFont="1" applyFill="1" applyBorder="1" applyAlignment="1">
      <alignment horizontal="center" vertical="center"/>
    </xf>
    <xf numFmtId="169" fontId="27" fillId="2" borderId="2" xfId="1" applyNumberFormat="1" applyFont="1" applyFill="1" applyBorder="1" applyAlignment="1">
      <alignment horizontal="center" vertical="center"/>
    </xf>
    <xf numFmtId="169" fontId="40" fillId="5" borderId="2" xfId="1" applyNumberFormat="1" applyFont="1" applyFill="1" applyBorder="1" applyAlignment="1">
      <alignment horizontal="center" vertical="center"/>
    </xf>
    <xf numFmtId="169" fontId="40" fillId="5" borderId="0" xfId="1" applyNumberFormat="1" applyFont="1" applyFill="1" applyBorder="1" applyAlignment="1">
      <alignment horizontal="center" vertical="center"/>
    </xf>
    <xf numFmtId="169" fontId="40" fillId="5" borderId="1" xfId="1" applyNumberFormat="1" applyFont="1" applyFill="1" applyBorder="1" applyAlignment="1">
      <alignment horizontal="center" vertical="center"/>
    </xf>
    <xf numFmtId="169" fontId="49" fillId="4" borderId="2" xfId="1" applyNumberFormat="1" applyFont="1" applyFill="1" applyBorder="1" applyAlignment="1">
      <alignment horizontal="center" vertical="center"/>
    </xf>
    <xf numFmtId="169" fontId="49" fillId="4" borderId="0" xfId="1" applyNumberFormat="1" applyFont="1" applyFill="1" applyBorder="1" applyAlignment="1">
      <alignment horizontal="center" vertical="center"/>
    </xf>
    <xf numFmtId="169" fontId="49" fillId="4" borderId="1" xfId="1" applyNumberFormat="1" applyFont="1" applyFill="1" applyBorder="1" applyAlignment="1">
      <alignment horizontal="center" vertical="center"/>
    </xf>
    <xf numFmtId="169" fontId="40" fillId="2" borderId="0" xfId="0" quotePrefix="1" applyNumberFormat="1" applyFont="1" applyFill="1" applyAlignment="1">
      <alignment horizontal="center" vertical="center"/>
    </xf>
    <xf numFmtId="9" fontId="24" fillId="2" borderId="0" xfId="3" applyFont="1" applyFill="1" applyAlignment="1">
      <alignment horizontal="center" vertical="center"/>
    </xf>
    <xf numFmtId="9" fontId="34" fillId="8" borderId="1" xfId="3" applyFont="1" applyFill="1" applyBorder="1" applyAlignment="1">
      <alignment vertical="center"/>
    </xf>
    <xf numFmtId="170" fontId="0" fillId="2" borderId="0" xfId="3" applyNumberFormat="1" applyFont="1" applyFill="1"/>
    <xf numFmtId="169" fontId="27" fillId="2" borderId="0" xfId="0" applyNumberFormat="1" applyFont="1" applyFill="1"/>
    <xf numFmtId="43" fontId="12" fillId="11" borderId="9" xfId="1" applyFont="1" applyFill="1" applyBorder="1" applyAlignment="1">
      <alignment horizontal="center" vertical="center" wrapText="1"/>
    </xf>
    <xf numFmtId="0" fontId="61" fillId="11" borderId="10" xfId="0" applyFont="1" applyFill="1" applyBorder="1" applyAlignment="1">
      <alignment horizontal="center" vertical="center" wrapText="1"/>
    </xf>
    <xf numFmtId="9" fontId="24" fillId="2" borderId="11" xfId="3" applyFont="1" applyFill="1" applyBorder="1" applyAlignment="1">
      <alignment horizontal="center" vertical="center"/>
    </xf>
    <xf numFmtId="169" fontId="31" fillId="2" borderId="0" xfId="1" applyNumberFormat="1" applyFont="1" applyFill="1" applyBorder="1" applyAlignment="1">
      <alignment horizontal="center" vertical="center"/>
    </xf>
    <xf numFmtId="0" fontId="61" fillId="4" borderId="11" xfId="0" applyFont="1" applyFill="1" applyBorder="1" applyAlignment="1">
      <alignment horizontal="center" vertical="center" wrapText="1"/>
    </xf>
    <xf numFmtId="4" fontId="61" fillId="4" borderId="11" xfId="0" applyNumberFormat="1" applyFont="1" applyFill="1" applyBorder="1" applyAlignment="1">
      <alignment horizontal="center" vertical="center"/>
    </xf>
    <xf numFmtId="4" fontId="47" fillId="12" borderId="11" xfId="0" applyNumberFormat="1" applyFont="1" applyFill="1" applyBorder="1" applyAlignment="1">
      <alignment horizontal="center" vertical="center"/>
    </xf>
    <xf numFmtId="9" fontId="61" fillId="13" borderId="11" xfId="3" applyFont="1" applyFill="1" applyBorder="1" applyAlignment="1">
      <alignment horizontal="center" vertical="center"/>
    </xf>
    <xf numFmtId="0" fontId="61" fillId="13" borderId="1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10" fontId="47" fillId="2" borderId="2" xfId="3" applyNumberFormat="1" applyFont="1" applyFill="1" applyBorder="1" applyAlignment="1">
      <alignment horizontal="center" vertical="center"/>
    </xf>
    <xf numFmtId="9" fontId="61" fillId="4" borderId="11" xfId="3" applyFont="1" applyFill="1" applyBorder="1" applyAlignment="1">
      <alignment horizontal="center" vertical="center"/>
    </xf>
    <xf numFmtId="4" fontId="61" fillId="4" borderId="11" xfId="0" applyNumberFormat="1" applyFont="1" applyFill="1" applyBorder="1" applyAlignment="1">
      <alignment horizontal="center" vertical="center" wrapText="1"/>
    </xf>
    <xf numFmtId="10" fontId="60" fillId="2" borderId="0" xfId="3" applyNumberFormat="1" applyFont="1" applyFill="1" applyAlignment="1">
      <alignment horizontal="center" vertical="center"/>
    </xf>
    <xf numFmtId="10" fontId="61" fillId="13" borderId="11" xfId="3" applyNumberFormat="1" applyFont="1" applyFill="1" applyBorder="1" applyAlignment="1">
      <alignment horizontal="center" vertical="center"/>
    </xf>
    <xf numFmtId="43" fontId="64" fillId="2" borderId="2" xfId="1" applyFont="1" applyFill="1" applyBorder="1"/>
    <xf numFmtId="0" fontId="3" fillId="4" borderId="12" xfId="0" applyFont="1" applyFill="1" applyBorder="1" applyAlignment="1">
      <alignment vertical="center"/>
    </xf>
    <xf numFmtId="0" fontId="4" fillId="4" borderId="4" xfId="0" applyFont="1" applyFill="1" applyBorder="1"/>
    <xf numFmtId="0" fontId="3" fillId="4" borderId="13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3" xfId="0" applyFont="1" applyFill="1" applyBorder="1"/>
    <xf numFmtId="43" fontId="4" fillId="4" borderId="6" xfId="1" applyFont="1" applyFill="1" applyBorder="1"/>
    <xf numFmtId="171" fontId="33" fillId="2" borderId="0" xfId="0" applyNumberFormat="1" applyFont="1" applyFill="1" applyAlignment="1">
      <alignment horizontal="right"/>
    </xf>
    <xf numFmtId="0" fontId="22" fillId="14" borderId="0" xfId="0" applyFont="1" applyFill="1" applyAlignment="1">
      <alignment vertical="center"/>
    </xf>
    <xf numFmtId="0" fontId="34" fillId="14" borderId="0" xfId="0" applyFont="1" applyFill="1"/>
    <xf numFmtId="0" fontId="36" fillId="14" borderId="0" xfId="0" applyFont="1" applyFill="1"/>
    <xf numFmtId="43" fontId="36" fillId="14" borderId="1" xfId="1" applyFont="1" applyFill="1" applyBorder="1"/>
    <xf numFmtId="169" fontId="53" fillId="14" borderId="2" xfId="1" applyNumberFormat="1" applyFont="1" applyFill="1" applyBorder="1" applyAlignment="1">
      <alignment horizontal="center" vertical="center"/>
    </xf>
    <xf numFmtId="169" fontId="53" fillId="14" borderId="0" xfId="1" applyNumberFormat="1" applyFont="1" applyFill="1" applyBorder="1" applyAlignment="1">
      <alignment horizontal="center" vertical="center"/>
    </xf>
    <xf numFmtId="169" fontId="53" fillId="14" borderId="1" xfId="1" applyNumberFormat="1" applyFont="1" applyFill="1" applyBorder="1" applyAlignment="1">
      <alignment horizontal="center" vertical="center"/>
    </xf>
    <xf numFmtId="169" fontId="58" fillId="14" borderId="0" xfId="0" applyNumberFormat="1" applyFont="1" applyFill="1"/>
    <xf numFmtId="169" fontId="53" fillId="3" borderId="2" xfId="0" applyNumberFormat="1" applyFont="1" applyFill="1" applyBorder="1" applyAlignment="1">
      <alignment horizontal="center" vertical="center"/>
    </xf>
    <xf numFmtId="169" fontId="53" fillId="3" borderId="0" xfId="0" applyNumberFormat="1" applyFont="1" applyFill="1" applyAlignment="1">
      <alignment horizontal="center" vertical="center"/>
    </xf>
    <xf numFmtId="169" fontId="53" fillId="3" borderId="1" xfId="0" applyNumberFormat="1" applyFont="1" applyFill="1" applyBorder="1" applyAlignment="1">
      <alignment horizontal="center" vertical="center"/>
    </xf>
    <xf numFmtId="169" fontId="11" fillId="15" borderId="2" xfId="0" applyNumberFormat="1" applyFont="1" applyFill="1" applyBorder="1" applyAlignment="1">
      <alignment horizontal="center" vertical="center"/>
    </xf>
    <xf numFmtId="169" fontId="11" fillId="15" borderId="0" xfId="0" applyNumberFormat="1" applyFont="1" applyFill="1" applyAlignment="1">
      <alignment horizontal="center" vertical="center"/>
    </xf>
    <xf numFmtId="169" fontId="11" fillId="15" borderId="1" xfId="0" applyNumberFormat="1" applyFont="1" applyFill="1" applyBorder="1" applyAlignment="1">
      <alignment horizontal="center" vertical="center"/>
    </xf>
    <xf numFmtId="0" fontId="51" fillId="3" borderId="1" xfId="0" applyFont="1" applyFill="1" applyBorder="1" applyAlignment="1">
      <alignment horizontal="center" vertical="center" wrapText="1"/>
    </xf>
    <xf numFmtId="169" fontId="66" fillId="3" borderId="2" xfId="0" applyNumberFormat="1" applyFont="1" applyFill="1" applyBorder="1" applyAlignment="1">
      <alignment horizontal="center" vertical="center" wrapText="1"/>
    </xf>
    <xf numFmtId="169" fontId="66" fillId="3" borderId="0" xfId="0" applyNumberFormat="1" applyFont="1" applyFill="1" applyAlignment="1">
      <alignment horizontal="center" vertical="center" wrapText="1"/>
    </xf>
    <xf numFmtId="169" fontId="66" fillId="3" borderId="1" xfId="0" applyNumberFormat="1" applyFont="1" applyFill="1" applyBorder="1" applyAlignment="1">
      <alignment horizontal="center" vertical="center" wrapText="1"/>
    </xf>
    <xf numFmtId="43" fontId="29" fillId="14" borderId="1" xfId="1" applyFont="1" applyFill="1" applyBorder="1"/>
    <xf numFmtId="169" fontId="49" fillId="14" borderId="2" xfId="1" applyNumberFormat="1" applyFont="1" applyFill="1" applyBorder="1" applyAlignment="1">
      <alignment horizontal="center" vertical="center"/>
    </xf>
    <xf numFmtId="169" fontId="49" fillId="14" borderId="0" xfId="1" applyNumberFormat="1" applyFont="1" applyFill="1" applyBorder="1" applyAlignment="1">
      <alignment horizontal="center" vertical="center"/>
    </xf>
    <xf numFmtId="169" fontId="49" fillId="14" borderId="1" xfId="1" applyNumberFormat="1" applyFont="1" applyFill="1" applyBorder="1" applyAlignment="1">
      <alignment horizontal="center" vertical="center"/>
    </xf>
    <xf numFmtId="169" fontId="49" fillId="14" borderId="0" xfId="1" applyNumberFormat="1" applyFont="1" applyFill="1" applyAlignment="1">
      <alignment horizontal="center" vertical="center"/>
    </xf>
    <xf numFmtId="0" fontId="23" fillId="16" borderId="0" xfId="0" applyFont="1" applyFill="1" applyAlignment="1">
      <alignment horizontal="left" vertical="center" wrapText="1"/>
    </xf>
    <xf numFmtId="0" fontId="23" fillId="16" borderId="1" xfId="0" applyFont="1" applyFill="1" applyBorder="1" applyAlignment="1">
      <alignment horizontal="left" vertical="center" wrapText="1"/>
    </xf>
    <xf numFmtId="169" fontId="27" fillId="16" borderId="2" xfId="0" applyNumberFormat="1" applyFont="1" applyFill="1" applyBorder="1" applyAlignment="1">
      <alignment horizontal="center" vertical="center"/>
    </xf>
    <xf numFmtId="169" fontId="27" fillId="16" borderId="0" xfId="0" applyNumberFormat="1" applyFont="1" applyFill="1" applyAlignment="1">
      <alignment horizontal="center" vertical="center"/>
    </xf>
    <xf numFmtId="169" fontId="27" fillId="16" borderId="1" xfId="0" applyNumberFormat="1" applyFont="1" applyFill="1" applyBorder="1" applyAlignment="1">
      <alignment horizontal="center" vertical="center"/>
    </xf>
    <xf numFmtId="0" fontId="28" fillId="17" borderId="0" xfId="0" applyFont="1" applyFill="1" applyAlignment="1">
      <alignment vertical="center"/>
    </xf>
    <xf numFmtId="0" fontId="28" fillId="17" borderId="0" xfId="0" applyFont="1" applyFill="1" applyAlignment="1">
      <alignment horizontal="right" vertical="center"/>
    </xf>
    <xf numFmtId="0" fontId="28" fillId="17" borderId="1" xfId="0" applyFont="1" applyFill="1" applyBorder="1" applyAlignment="1">
      <alignment horizontal="right" vertical="center"/>
    </xf>
    <xf numFmtId="169" fontId="45" fillId="17" borderId="0" xfId="1" applyNumberFormat="1" applyFont="1" applyFill="1" applyAlignment="1">
      <alignment vertical="center" wrapText="1"/>
    </xf>
    <xf numFmtId="169" fontId="45" fillId="17" borderId="0" xfId="1" applyNumberFormat="1" applyFont="1" applyFill="1" applyAlignment="1">
      <alignment horizontal="center" vertical="center" wrapText="1"/>
    </xf>
    <xf numFmtId="0" fontId="29" fillId="17" borderId="0" xfId="0" applyFont="1" applyFill="1" applyAlignment="1">
      <alignment vertical="center"/>
    </xf>
    <xf numFmtId="0" fontId="29" fillId="17" borderId="0" xfId="0" applyFont="1" applyFill="1"/>
    <xf numFmtId="43" fontId="29" fillId="17" borderId="1" xfId="1" applyFont="1" applyFill="1" applyBorder="1"/>
    <xf numFmtId="0" fontId="34" fillId="17" borderId="0" xfId="0" applyFont="1" applyFill="1" applyAlignment="1">
      <alignment vertical="center"/>
    </xf>
    <xf numFmtId="0" fontId="36" fillId="17" borderId="0" xfId="0" applyFont="1" applyFill="1" applyAlignment="1">
      <alignment vertical="center"/>
    </xf>
    <xf numFmtId="43" fontId="36" fillId="17" borderId="1" xfId="1" applyFont="1" applyFill="1" applyBorder="1" applyAlignment="1">
      <alignment vertical="center"/>
    </xf>
    <xf numFmtId="0" fontId="32" fillId="18" borderId="0" xfId="0" applyFont="1" applyFill="1"/>
    <xf numFmtId="0" fontId="30" fillId="18" borderId="0" xfId="0" applyFont="1" applyFill="1"/>
    <xf numFmtId="43" fontId="30" fillId="18" borderId="1" xfId="1" applyFont="1" applyFill="1" applyBorder="1"/>
    <xf numFmtId="0" fontId="30" fillId="12" borderId="2" xfId="0" applyFont="1" applyFill="1" applyBorder="1"/>
    <xf numFmtId="9" fontId="24" fillId="12" borderId="1" xfId="3" applyFont="1" applyFill="1" applyBorder="1"/>
    <xf numFmtId="0" fontId="30" fillId="12" borderId="5" xfId="0" applyFont="1" applyFill="1" applyBorder="1"/>
    <xf numFmtId="9" fontId="24" fillId="12" borderId="6" xfId="0" applyNumberFormat="1" applyFont="1" applyFill="1" applyBorder="1"/>
    <xf numFmtId="0" fontId="30" fillId="12" borderId="0" xfId="0" applyFont="1" applyFill="1"/>
    <xf numFmtId="167" fontId="16" fillId="12" borderId="1" xfId="0" applyNumberFormat="1" applyFont="1" applyFill="1" applyBorder="1"/>
    <xf numFmtId="166" fontId="30" fillId="12" borderId="1" xfId="1" applyNumberFormat="1" applyFont="1" applyFill="1" applyBorder="1" applyAlignment="1">
      <alignment horizontal="right"/>
    </xf>
    <xf numFmtId="0" fontId="36" fillId="19" borderId="0" xfId="0" applyFont="1" applyFill="1"/>
    <xf numFmtId="0" fontId="58" fillId="19" borderId="0" xfId="0" applyFont="1" applyFill="1"/>
    <xf numFmtId="169" fontId="50" fillId="19" borderId="2" xfId="1" applyNumberFormat="1" applyFont="1" applyFill="1" applyBorder="1" applyAlignment="1">
      <alignment horizontal="center" vertical="center"/>
    </xf>
    <xf numFmtId="169" fontId="50" fillId="19" borderId="0" xfId="1" applyNumberFormat="1" applyFont="1" applyFill="1" applyBorder="1" applyAlignment="1">
      <alignment horizontal="center" vertical="center"/>
    </xf>
    <xf numFmtId="169" fontId="50" fillId="19" borderId="1" xfId="1" applyNumberFormat="1" applyFont="1" applyFill="1" applyBorder="1" applyAlignment="1">
      <alignment horizontal="center" vertical="center"/>
    </xf>
    <xf numFmtId="169" fontId="53" fillId="19" borderId="0" xfId="1" applyNumberFormat="1" applyFont="1" applyFill="1" applyAlignment="1">
      <alignment horizontal="left" vertical="center"/>
    </xf>
    <xf numFmtId="169" fontId="53" fillId="19" borderId="0" xfId="1" applyNumberFormat="1" applyFont="1" applyFill="1" applyAlignment="1">
      <alignment horizontal="center" vertical="center"/>
    </xf>
    <xf numFmtId="9" fontId="53" fillId="19" borderId="0" xfId="3" applyFont="1" applyFill="1" applyAlignment="1">
      <alignment horizontal="center" vertical="center"/>
    </xf>
    <xf numFmtId="169" fontId="53" fillId="19" borderId="0" xfId="2" applyNumberFormat="1" applyFont="1" applyFill="1" applyAlignment="1">
      <alignment horizontal="center" vertical="center"/>
    </xf>
    <xf numFmtId="169" fontId="62" fillId="19" borderId="0" xfId="1" applyNumberFormat="1" applyFont="1" applyFill="1" applyAlignment="1">
      <alignment horizontal="center" vertical="center"/>
    </xf>
    <xf numFmtId="169" fontId="61" fillId="3" borderId="0" xfId="1" applyNumberFormat="1" applyFont="1" applyFill="1" applyAlignment="1">
      <alignment horizontal="center" vertical="center" wrapText="1"/>
    </xf>
    <xf numFmtId="0" fontId="61" fillId="21" borderId="9" xfId="0" applyFont="1" applyFill="1" applyBorder="1" applyAlignment="1">
      <alignment horizontal="center" vertical="center" wrapText="1"/>
    </xf>
    <xf numFmtId="41" fontId="16" fillId="20" borderId="4" xfId="0" applyNumberFormat="1" applyFont="1" applyFill="1" applyBorder="1" applyAlignment="1">
      <alignment horizontal="center" vertical="center"/>
    </xf>
    <xf numFmtId="0" fontId="67" fillId="2" borderId="0" xfId="0" quotePrefix="1" applyFont="1" applyFill="1" applyAlignment="1">
      <alignment horizontal="left" vertical="center"/>
    </xf>
    <xf numFmtId="0" fontId="22" fillId="22" borderId="0" xfId="0" applyFont="1" applyFill="1"/>
    <xf numFmtId="0" fontId="35" fillId="22" borderId="0" xfId="0" applyFont="1" applyFill="1"/>
    <xf numFmtId="0" fontId="30" fillId="22" borderId="0" xfId="0" applyFont="1" applyFill="1"/>
    <xf numFmtId="43" fontId="30" fillId="22" borderId="1" xfId="1" applyFont="1" applyFill="1" applyBorder="1"/>
    <xf numFmtId="169" fontId="27" fillId="22" borderId="2" xfId="0" applyNumberFormat="1" applyFont="1" applyFill="1" applyBorder="1" applyAlignment="1">
      <alignment horizontal="center" vertical="center"/>
    </xf>
    <xf numFmtId="169" fontId="27" fillId="22" borderId="0" xfId="0" applyNumberFormat="1" applyFont="1" applyFill="1" applyAlignment="1">
      <alignment horizontal="center" vertical="center"/>
    </xf>
    <xf numFmtId="169" fontId="27" fillId="22" borderId="1" xfId="0" applyNumberFormat="1" applyFont="1" applyFill="1" applyBorder="1" applyAlignment="1">
      <alignment horizontal="center" vertical="center"/>
    </xf>
    <xf numFmtId="43" fontId="29" fillId="22" borderId="1" xfId="1" applyFont="1" applyFill="1" applyBorder="1"/>
    <xf numFmtId="169" fontId="49" fillId="22" borderId="2" xfId="1" applyNumberFormat="1" applyFont="1" applyFill="1" applyBorder="1" applyAlignment="1">
      <alignment horizontal="center" vertical="center"/>
    </xf>
    <xf numFmtId="169" fontId="49" fillId="22" borderId="0" xfId="1" applyNumberFormat="1" applyFont="1" applyFill="1" applyBorder="1" applyAlignment="1">
      <alignment horizontal="center" vertical="center"/>
    </xf>
    <xf numFmtId="169" fontId="49" fillId="22" borderId="1" xfId="1" applyNumberFormat="1" applyFont="1" applyFill="1" applyBorder="1" applyAlignment="1">
      <alignment horizontal="center" vertical="center"/>
    </xf>
    <xf numFmtId="170" fontId="27" fillId="2" borderId="0" xfId="3" applyNumberFormat="1" applyFont="1" applyFill="1" applyAlignment="1">
      <alignment horizontal="center" vertical="center"/>
    </xf>
    <xf numFmtId="170" fontId="59" fillId="10" borderId="1" xfId="3" applyNumberFormat="1" applyFont="1" applyFill="1" applyBorder="1" applyAlignment="1">
      <alignment horizontal="center" vertical="center"/>
    </xf>
    <xf numFmtId="170" fontId="62" fillId="19" borderId="0" xfId="3" applyNumberFormat="1" applyFont="1" applyFill="1" applyAlignment="1">
      <alignment horizontal="center" vertical="center"/>
    </xf>
    <xf numFmtId="170" fontId="53" fillId="19" borderId="0" xfId="3" applyNumberFormat="1" applyFont="1" applyFill="1" applyAlignment="1">
      <alignment horizontal="center" vertical="center"/>
    </xf>
    <xf numFmtId="43" fontId="50" fillId="7" borderId="0" xfId="1" applyFont="1" applyFill="1" applyAlignment="1">
      <alignment horizontal="left"/>
    </xf>
    <xf numFmtId="43" fontId="50" fillId="7" borderId="0" xfId="1" applyFont="1" applyFill="1" applyBorder="1"/>
    <xf numFmtId="169" fontId="27" fillId="0" borderId="0" xfId="0" applyNumberFormat="1" applyFont="1" applyAlignment="1">
      <alignment horizontal="center" vertical="center"/>
    </xf>
    <xf numFmtId="9" fontId="68" fillId="2" borderId="0" xfId="3" applyFont="1" applyFill="1"/>
    <xf numFmtId="165" fontId="0" fillId="2" borderId="0" xfId="0" applyNumberFormat="1" applyFill="1"/>
    <xf numFmtId="169" fontId="22" fillId="22" borderId="1" xfId="0" applyNumberFormat="1" applyFont="1" applyFill="1" applyBorder="1" applyAlignment="1">
      <alignment horizontal="center" vertical="center"/>
    </xf>
    <xf numFmtId="43" fontId="5" fillId="20" borderId="9" xfId="1" applyFont="1" applyFill="1" applyBorder="1" applyAlignment="1">
      <alignment horizontal="center" vertical="center" wrapText="1"/>
    </xf>
    <xf numFmtId="43" fontId="5" fillId="20" borderId="14" xfId="1" applyFont="1" applyFill="1" applyBorder="1" applyAlignment="1">
      <alignment horizontal="center" vertical="center" wrapText="1"/>
    </xf>
    <xf numFmtId="43" fontId="7" fillId="2" borderId="10" xfId="1" applyFont="1" applyFill="1" applyBorder="1"/>
    <xf numFmtId="43" fontId="42" fillId="2" borderId="10" xfId="1" applyFont="1" applyFill="1" applyBorder="1" applyAlignment="1">
      <alignment horizontal="center" vertical="center" wrapText="1"/>
    </xf>
    <xf numFmtId="41" fontId="16" fillId="20" borderId="9" xfId="0" applyNumberFormat="1" applyFont="1" applyFill="1" applyBorder="1" applyAlignment="1">
      <alignment horizontal="center" vertical="center"/>
    </xf>
    <xf numFmtId="41" fontId="16" fillId="9" borderId="10" xfId="0" applyNumberFormat="1" applyFont="1" applyFill="1" applyBorder="1" applyAlignment="1">
      <alignment horizontal="center" vertical="center"/>
    </xf>
    <xf numFmtId="41" fontId="16" fillId="9" borderId="14" xfId="0" applyNumberFormat="1" applyFont="1" applyFill="1" applyBorder="1" applyAlignment="1">
      <alignment horizontal="center" vertical="center"/>
    </xf>
    <xf numFmtId="41" fontId="16" fillId="9" borderId="0" xfId="0" applyNumberFormat="1" applyFont="1" applyFill="1" applyBorder="1" applyAlignment="1">
      <alignment horizontal="center" vertical="center"/>
    </xf>
    <xf numFmtId="0" fontId="61" fillId="11" borderId="14" xfId="0" applyFont="1" applyFill="1" applyBorder="1" applyAlignment="1">
      <alignment horizontal="center" vertical="center" wrapText="1"/>
    </xf>
    <xf numFmtId="41" fontId="16" fillId="9" borderId="3" xfId="0" applyNumberFormat="1" applyFont="1" applyFill="1" applyBorder="1" applyAlignment="1">
      <alignment horizontal="center" vertical="center"/>
    </xf>
    <xf numFmtId="0" fontId="65" fillId="4" borderId="13" xfId="0" applyFont="1" applyFill="1" applyBorder="1" applyAlignment="1">
      <alignment horizontal="center" vertical="center"/>
    </xf>
    <xf numFmtId="0" fontId="65" fillId="4" borderId="1" xfId="0" applyFont="1" applyFill="1" applyBorder="1" applyAlignment="1">
      <alignment horizontal="center" vertical="center"/>
    </xf>
    <xf numFmtId="0" fontId="65" fillId="4" borderId="14" xfId="0" applyFont="1" applyFill="1" applyBorder="1" applyAlignment="1">
      <alignment horizontal="center" vertical="center"/>
    </xf>
    <xf numFmtId="0" fontId="48" fillId="2" borderId="12" xfId="0" applyFont="1" applyFill="1" applyBorder="1" applyAlignment="1">
      <alignment horizontal="center" vertical="center"/>
    </xf>
    <xf numFmtId="0" fontId="48" fillId="2" borderId="4" xfId="0" applyFont="1" applyFill="1" applyBorder="1" applyAlignment="1">
      <alignment horizontal="center" vertical="center"/>
    </xf>
    <xf numFmtId="0" fontId="48" fillId="2" borderId="13" xfId="0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/>
    </xf>
    <xf numFmtId="0" fontId="48" fillId="2" borderId="3" xfId="0" applyFont="1" applyFill="1" applyBorder="1" applyAlignment="1">
      <alignment horizontal="center" vertical="center"/>
    </xf>
    <xf numFmtId="0" fontId="48" fillId="2" borderId="6" xfId="0" applyFont="1" applyFill="1" applyBorder="1" applyAlignment="1">
      <alignment horizontal="center" vertical="center"/>
    </xf>
    <xf numFmtId="2" fontId="59" fillId="10" borderId="12" xfId="0" applyNumberFormat="1" applyFont="1" applyFill="1" applyBorder="1" applyAlignment="1">
      <alignment horizontal="center" vertical="center"/>
    </xf>
    <xf numFmtId="2" fontId="59" fillId="10" borderId="4" xfId="0" applyNumberFormat="1" applyFont="1" applyFill="1" applyBorder="1" applyAlignment="1">
      <alignment horizontal="center" vertical="center"/>
    </xf>
    <xf numFmtId="170" fontId="59" fillId="10" borderId="13" xfId="3" applyNumberFormat="1" applyFont="1" applyFill="1" applyBorder="1" applyAlignment="1">
      <alignment horizontal="center" vertical="center"/>
    </xf>
    <xf numFmtId="2" fontId="59" fillId="10" borderId="2" xfId="0" applyNumberFormat="1" applyFont="1" applyFill="1" applyBorder="1" applyAlignment="1">
      <alignment horizontal="center" vertical="center"/>
    </xf>
    <xf numFmtId="2" fontId="59" fillId="10" borderId="0" xfId="0" applyNumberFormat="1" applyFont="1" applyFill="1" applyAlignment="1">
      <alignment horizontal="center" vertical="center"/>
    </xf>
    <xf numFmtId="2" fontId="59" fillId="10" borderId="5" xfId="0" applyNumberFormat="1" applyFont="1" applyFill="1" applyBorder="1" applyAlignment="1">
      <alignment horizontal="center" vertical="center"/>
    </xf>
    <xf numFmtId="2" fontId="59" fillId="10" borderId="3" xfId="0" applyNumberFormat="1" applyFont="1" applyFill="1" applyBorder="1" applyAlignment="1">
      <alignment horizontal="center" vertical="center"/>
    </xf>
    <xf numFmtId="170" fontId="59" fillId="10" borderId="6" xfId="3" applyNumberFormat="1" applyFont="1" applyFill="1" applyBorder="1" applyAlignment="1">
      <alignment horizontal="center" vertical="center"/>
    </xf>
    <xf numFmtId="169" fontId="11" fillId="16" borderId="0" xfId="0" applyNumberFormat="1" applyFont="1" applyFill="1" applyAlignment="1">
      <alignment horizontal="center" vertical="center"/>
    </xf>
    <xf numFmtId="0" fontId="41" fillId="4" borderId="12" xfId="0" applyFont="1" applyFill="1" applyBorder="1" applyAlignment="1">
      <alignment horizontal="center" vertical="center"/>
    </xf>
    <xf numFmtId="0" fontId="41" fillId="4" borderId="13" xfId="0" applyFont="1" applyFill="1" applyBorder="1" applyAlignment="1">
      <alignment horizontal="center" vertical="center"/>
    </xf>
    <xf numFmtId="0" fontId="41" fillId="4" borderId="2" xfId="0" applyFont="1" applyFill="1" applyBorder="1" applyAlignment="1">
      <alignment horizontal="center" vertical="center"/>
    </xf>
    <xf numFmtId="0" fontId="41" fillId="4" borderId="1" xfId="0" applyFont="1" applyFill="1" applyBorder="1" applyAlignment="1">
      <alignment horizontal="center" vertical="center"/>
    </xf>
    <xf numFmtId="0" fontId="41" fillId="4" borderId="5" xfId="0" applyFont="1" applyFill="1" applyBorder="1" applyAlignment="1">
      <alignment horizontal="center" vertical="center"/>
    </xf>
    <xf numFmtId="0" fontId="41" fillId="4" borderId="6" xfId="0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43" fontId="5" fillId="20" borderId="12" xfId="1" applyFont="1" applyFill="1" applyBorder="1" applyAlignment="1">
      <alignment horizontal="center" vertical="center" wrapText="1"/>
    </xf>
    <xf numFmtId="43" fontId="5" fillId="20" borderId="4" xfId="1" applyFont="1" applyFill="1" applyBorder="1" applyAlignment="1">
      <alignment horizontal="center" vertical="center" wrapText="1"/>
    </xf>
    <xf numFmtId="43" fontId="5" fillId="20" borderId="5" xfId="1" applyFont="1" applyFill="1" applyBorder="1" applyAlignment="1">
      <alignment horizontal="center" vertical="center" wrapText="1"/>
    </xf>
    <xf numFmtId="43" fontId="5" fillId="20" borderId="3" xfId="1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56" fillId="14" borderId="0" xfId="0" applyFont="1" applyFill="1" applyAlignment="1">
      <alignment horizontal="center" vertical="center" wrapText="1"/>
    </xf>
    <xf numFmtId="0" fontId="51" fillId="3" borderId="0" xfId="0" applyFont="1" applyFill="1" applyAlignment="1">
      <alignment horizontal="left" vertical="center" wrapText="1"/>
    </xf>
    <xf numFmtId="0" fontId="51" fillId="3" borderId="1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52" fillId="15" borderId="0" xfId="0" applyFont="1" applyFill="1" applyAlignment="1">
      <alignment horizontal="left" vertical="center" wrapText="1"/>
    </xf>
    <xf numFmtId="0" fontId="52" fillId="15" borderId="1" xfId="0" applyFont="1" applyFill="1" applyBorder="1" applyAlignment="1">
      <alignment horizontal="left" vertical="center" wrapText="1"/>
    </xf>
    <xf numFmtId="169" fontId="57" fillId="17" borderId="2" xfId="1" applyNumberFormat="1" applyFont="1" applyFill="1" applyBorder="1" applyAlignment="1">
      <alignment horizontal="center" vertical="center" wrapText="1"/>
    </xf>
    <xf numFmtId="169" fontId="57" fillId="17" borderId="0" xfId="1" applyNumberFormat="1" applyFont="1" applyFill="1" applyBorder="1" applyAlignment="1">
      <alignment horizontal="center" vertical="center" wrapText="1"/>
    </xf>
    <xf numFmtId="169" fontId="57" fillId="17" borderId="1" xfId="1" applyNumberFormat="1" applyFont="1" applyFill="1" applyBorder="1" applyAlignment="1">
      <alignment horizontal="center" vertical="center" wrapText="1"/>
    </xf>
    <xf numFmtId="0" fontId="34" fillId="8" borderId="7" xfId="0" applyFont="1" applyFill="1" applyBorder="1" applyAlignment="1">
      <alignment horizontal="center" vertical="center"/>
    </xf>
    <xf numFmtId="0" fontId="34" fillId="8" borderId="8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0" fontId="56" fillId="4" borderId="0" xfId="0" applyFont="1" applyFill="1" applyAlignment="1">
      <alignment horizontal="center" vertical="center"/>
    </xf>
    <xf numFmtId="169" fontId="59" fillId="14" borderId="5" xfId="1" applyNumberFormat="1" applyFont="1" applyFill="1" applyBorder="1" applyAlignment="1">
      <alignment horizontal="center" vertical="center" wrapText="1"/>
    </xf>
    <xf numFmtId="169" fontId="59" fillId="14" borderId="3" xfId="1" applyNumberFormat="1" applyFont="1" applyFill="1" applyBorder="1" applyAlignment="1">
      <alignment horizontal="center" vertical="center" wrapText="1"/>
    </xf>
    <xf numFmtId="0" fontId="56" fillId="22" borderId="0" xfId="0" applyFont="1" applyFill="1" applyAlignment="1">
      <alignment horizontal="center" vertical="center"/>
    </xf>
    <xf numFmtId="0" fontId="54" fillId="3" borderId="0" xfId="0" applyFont="1" applyFill="1" applyAlignment="1">
      <alignment horizontal="center" vertical="center" wrapText="1"/>
    </xf>
    <xf numFmtId="169" fontId="50" fillId="7" borderId="0" xfId="1" applyNumberFormat="1" applyFont="1" applyFill="1" applyAlignment="1">
      <alignment horizontal="left" vertical="center"/>
    </xf>
    <xf numFmtId="169" fontId="63" fillId="19" borderId="0" xfId="0" applyNumberFormat="1" applyFont="1" applyFill="1" applyAlignment="1">
      <alignment horizontal="center" vertical="center"/>
    </xf>
    <xf numFmtId="169" fontId="59" fillId="13" borderId="11" xfId="1" applyNumberFormat="1" applyFont="1" applyFill="1" applyBorder="1" applyAlignment="1">
      <alignment horizontal="center" vertical="center" wrapText="1"/>
    </xf>
    <xf numFmtId="0" fontId="61" fillId="13" borderId="11" xfId="0" applyFont="1" applyFill="1" applyBorder="1" applyAlignment="1">
      <alignment horizontal="left" vertical="center" wrapText="1"/>
    </xf>
    <xf numFmtId="0" fontId="24" fillId="6" borderId="11" xfId="0" applyFont="1" applyFill="1" applyBorder="1" applyAlignment="1">
      <alignment horizontal="left" vertical="top" wrapText="1"/>
    </xf>
    <xf numFmtId="9" fontId="24" fillId="2" borderId="11" xfId="3" applyFont="1" applyFill="1" applyBorder="1" applyAlignment="1">
      <alignment horizontal="center" vertical="center"/>
    </xf>
    <xf numFmtId="0" fontId="14" fillId="9" borderId="0" xfId="1" applyNumberFormat="1" applyFont="1" applyFill="1" applyAlignment="1">
      <alignment horizontal="center" vertical="center" wrapText="1"/>
    </xf>
    <xf numFmtId="0" fontId="20" fillId="9" borderId="0" xfId="0" applyFont="1" applyFill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9" borderId="0" xfId="0" applyFont="1" applyFill="1" applyAlignment="1">
      <alignment horizontal="center"/>
    </xf>
    <xf numFmtId="0" fontId="24" fillId="2" borderId="4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8" fillId="2" borderId="0" xfId="1" applyNumberFormat="1" applyFont="1" applyFill="1" applyBorder="1" applyAlignment="1">
      <alignment horizontal="center" vertical="center" wrapText="1"/>
    </xf>
    <xf numFmtId="9" fontId="24" fillId="2" borderId="0" xfId="3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/>
    </xf>
    <xf numFmtId="0" fontId="24" fillId="6" borderId="3" xfId="0" applyFont="1" applyFill="1" applyBorder="1" applyAlignment="1">
      <alignment horizontal="left" vertic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 cent" xfId="3" builtinId="5"/>
  </cellStyles>
  <dxfs count="0"/>
  <tableStyles count="0" defaultTableStyle="TableStyleMedium2" defaultPivotStyle="PivotStyleLight16"/>
  <colors>
    <mruColors>
      <color rgb="FF556A85"/>
      <color rgb="FF317F6E"/>
      <color rgb="FF2B6BA5"/>
      <color rgb="FF6B82A1"/>
      <color rgb="FF577FC1"/>
      <color rgb="FF426D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AC-44CD-9941-D6123D143663}"/>
              </c:ext>
            </c:extLst>
          </c:dPt>
          <c:dPt>
            <c:idx val="1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9ED1-4737-BE55-A8149E6F6EA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ED1-4737-BE55-A8149E6F6EA6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ED1-4737-BE55-A8149E6F6EA6}"/>
              </c:ext>
            </c:extLst>
          </c:dPt>
          <c:dPt>
            <c:idx val="4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ED1-4737-BE55-A8149E6F6EA6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DAC-44CD-9941-D6123D143663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DAC-44CD-9941-D6123D143663}"/>
              </c:ext>
            </c:extLst>
          </c:dPt>
          <c:dLbls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9ED1-4737-BE55-A8149E6F6EA6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9ED1-4737-BE55-A8149E6F6EA6}"/>
                </c:ext>
              </c:extLst>
            </c:dLbl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9ED1-4737-BE55-A8149E6F6EA6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9ED1-4737-BE55-A8149E6F6EA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TOTALS!$B$4:$B$10</c:f>
              <c:strCache>
                <c:ptCount val="7"/>
                <c:pt idx="0">
                  <c:v>Result 1: Strengthened delivery model and legislation for climate information and multi-hazard early warning services</c:v>
                </c:pt>
                <c:pt idx="1">
                  <c:v>Result 2: Strengthened observations, monitoring, analysis and forecasting of climate and its impacts</c:v>
                </c:pt>
                <c:pt idx="2">
                  <c:v>Result 3: Improved dissemination and communication of risk information and early warning</c:v>
                </c:pt>
                <c:pt idx="3">
                  <c:v>Result 4: Enhanced climate risk management capacity</c:v>
                </c:pt>
                <c:pt idx="4">
                  <c:v>Project Management Costs (PMC)</c:v>
                </c:pt>
                <c:pt idx="5">
                  <c:v>Monitoring and Evaluation (M&amp;E) </c:v>
                </c:pt>
                <c:pt idx="6">
                  <c:v>Contingency </c:v>
                </c:pt>
              </c:strCache>
            </c:strRef>
          </c:cat>
          <c:val>
            <c:numRef>
              <c:f>TOTALS!$M$4:$M$10</c:f>
              <c:numCache>
                <c:formatCode>#,##0.00</c:formatCode>
                <c:ptCount val="7"/>
                <c:pt idx="0">
                  <c:v>491.24760000000003</c:v>
                </c:pt>
                <c:pt idx="1">
                  <c:v>14558.763999999997</c:v>
                </c:pt>
                <c:pt idx="2">
                  <c:v>2532.6349999999998</c:v>
                </c:pt>
                <c:pt idx="3">
                  <c:v>3742.7849999999999</c:v>
                </c:pt>
                <c:pt idx="4">
                  <c:v>987.09500000000003</c:v>
                </c:pt>
                <c:pt idx="5">
                  <c:v>932.47</c:v>
                </c:pt>
                <c:pt idx="6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1-4737-BE55-A8149E6F6EA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259316682449679"/>
          <c:y val="2.1481429865514597E-2"/>
          <c:w val="0.41292284385994765"/>
          <c:h val="0.945385721257204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98424</xdr:colOff>
      <xdr:row>0</xdr:row>
      <xdr:rowOff>101600</xdr:rowOff>
    </xdr:from>
    <xdr:to>
      <xdr:col>24</xdr:col>
      <xdr:colOff>196850</xdr:colOff>
      <xdr:row>16</xdr:row>
      <xdr:rowOff>234950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957EDA-CC2B-428F-9069-C58D14F30F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7C5DA-B2FB-474A-8C1A-FF7AF8769DE2}">
  <sheetPr>
    <pageSetUpPr fitToPage="1"/>
  </sheetPr>
  <dimension ref="A1:S8"/>
  <sheetViews>
    <sheetView zoomScale="140" zoomScaleNormal="140" workbookViewId="0"/>
  </sheetViews>
  <sheetFormatPr baseColWidth="10" defaultColWidth="9.1640625" defaultRowHeight="15" x14ac:dyDescent="0.2"/>
  <cols>
    <col min="1" max="1" width="5.6640625" style="1" customWidth="1"/>
    <col min="2" max="2" width="25.33203125" style="1" customWidth="1"/>
    <col min="3" max="3" width="3.83203125" style="1" customWidth="1"/>
    <col min="4" max="4" width="19.6640625" style="1" customWidth="1"/>
    <col min="5" max="15" width="9.1640625" style="1"/>
    <col min="16" max="16" width="11.83203125" style="1" customWidth="1"/>
    <col min="17" max="17" width="9.1640625" style="1"/>
    <col min="18" max="18" width="11.83203125" style="1" customWidth="1"/>
    <col min="19" max="16384" width="9.1640625" style="1"/>
  </cols>
  <sheetData>
    <row r="1" spans="1:19" x14ac:dyDescent="0.2">
      <c r="A1" s="209" t="s">
        <v>0</v>
      </c>
      <c r="B1" s="210"/>
      <c r="C1" s="210"/>
      <c r="D1" s="211" t="s">
        <v>1</v>
      </c>
      <c r="E1" s="336" t="s">
        <v>2</v>
      </c>
      <c r="F1" s="337"/>
      <c r="G1" s="337"/>
      <c r="H1" s="337"/>
      <c r="I1" s="337"/>
      <c r="J1" s="337"/>
      <c r="K1" s="337"/>
      <c r="L1" s="337"/>
      <c r="M1" s="337"/>
      <c r="N1" s="337"/>
      <c r="O1" s="300"/>
      <c r="P1" s="340" t="s">
        <v>318</v>
      </c>
      <c r="Q1" s="342" t="s">
        <v>320</v>
      </c>
      <c r="R1" s="342" t="s">
        <v>321</v>
      </c>
      <c r="S1" s="334" t="s">
        <v>4</v>
      </c>
    </row>
    <row r="2" spans="1:19" x14ac:dyDescent="0.2">
      <c r="A2" s="212"/>
      <c r="B2" s="213"/>
      <c r="C2" s="213"/>
      <c r="D2" s="214"/>
      <c r="E2" s="338"/>
      <c r="F2" s="339"/>
      <c r="G2" s="339"/>
      <c r="H2" s="339"/>
      <c r="I2" s="339"/>
      <c r="J2" s="339"/>
      <c r="K2" s="339"/>
      <c r="L2" s="339"/>
      <c r="M2" s="339"/>
      <c r="N2" s="339"/>
      <c r="O2" s="301"/>
      <c r="P2" s="341"/>
      <c r="Q2" s="343"/>
      <c r="R2" s="343"/>
      <c r="S2" s="335"/>
    </row>
    <row r="3" spans="1:19" x14ac:dyDescent="0.2">
      <c r="A3" s="3"/>
      <c r="B3" s="3"/>
      <c r="C3" s="3"/>
      <c r="D3" s="4"/>
      <c r="E3" s="208" t="s">
        <v>5</v>
      </c>
      <c r="F3" s="148"/>
      <c r="G3" s="148"/>
      <c r="H3" s="148"/>
      <c r="I3" s="148"/>
      <c r="J3" s="149"/>
      <c r="K3" s="149"/>
      <c r="L3" s="149"/>
      <c r="M3" s="149"/>
      <c r="N3" s="149"/>
      <c r="O3" s="302"/>
      <c r="P3" s="313" t="s">
        <v>6</v>
      </c>
      <c r="Q3" s="314" t="s">
        <v>6</v>
      </c>
      <c r="R3" s="314" t="s">
        <v>6</v>
      </c>
      <c r="S3" s="315" t="s">
        <v>7</v>
      </c>
    </row>
    <row r="4" spans="1:19" x14ac:dyDescent="0.2">
      <c r="A4" s="3"/>
      <c r="B4" s="3"/>
      <c r="C4" s="3"/>
      <c r="D4" s="193" t="s">
        <v>8</v>
      </c>
      <c r="E4" s="150" t="s">
        <v>9</v>
      </c>
      <c r="F4" s="151" t="s">
        <v>10</v>
      </c>
      <c r="G4" s="151" t="s">
        <v>11</v>
      </c>
      <c r="H4" s="151" t="s">
        <v>12</v>
      </c>
      <c r="I4" s="151" t="s">
        <v>13</v>
      </c>
      <c r="J4" s="151" t="s">
        <v>14</v>
      </c>
      <c r="K4" s="151" t="s">
        <v>15</v>
      </c>
      <c r="L4" s="151" t="s">
        <v>16</v>
      </c>
      <c r="M4" s="151" t="s">
        <v>17</v>
      </c>
      <c r="N4" s="151" t="s">
        <v>18</v>
      </c>
      <c r="O4" s="303" t="s">
        <v>150</v>
      </c>
      <c r="P4" s="316"/>
      <c r="Q4" s="317"/>
      <c r="R4" s="317"/>
      <c r="S4" s="318"/>
    </row>
    <row r="5" spans="1:19" ht="13.5" customHeight="1" x14ac:dyDescent="0.2">
      <c r="A5" s="3"/>
      <c r="B5" s="3"/>
      <c r="C5" s="3"/>
      <c r="D5" s="276" t="s">
        <v>319</v>
      </c>
      <c r="E5" s="277">
        <f>BCA_EWS_TL!F134</f>
        <v>-3428.7606955280189</v>
      </c>
      <c r="F5" s="277">
        <f>BCA_EWS_TL!G134</f>
        <v>-2184.9454865840571</v>
      </c>
      <c r="G5" s="277">
        <f>BCA_EWS_TL!H134</f>
        <v>6961.8264268318844</v>
      </c>
      <c r="H5" s="277">
        <f>BCA_EWS_TL!I134</f>
        <v>9187.7047313038638</v>
      </c>
      <c r="I5" s="277">
        <f>BCA_EWS_TL!J134</f>
        <v>14828.845644719806</v>
      </c>
      <c r="J5" s="277">
        <f>BCA_EWS_TL!K134</f>
        <v>17163.766044719807</v>
      </c>
      <c r="K5" s="277">
        <f>BCA_EWS_TL!L134</f>
        <v>17065.113044719805</v>
      </c>
      <c r="L5" s="277">
        <f>BCA_EWS_TL!M134</f>
        <v>17065.113044719805</v>
      </c>
      <c r="M5" s="277">
        <f>BCA_EWS_TL!N134</f>
        <v>17065.113044719805</v>
      </c>
      <c r="N5" s="277">
        <f>BCA_EWS_TL!O134</f>
        <v>17065.113044719805</v>
      </c>
      <c r="O5" s="304">
        <f>SUM(E5:N5)</f>
        <v>110788.88884434251</v>
      </c>
      <c r="P5" s="319">
        <f>NPV(10%,$E$5:$N$5)/1000</f>
        <v>56.013814966993394</v>
      </c>
      <c r="Q5" s="320">
        <f>NPV(8%,$E$5:$N$5)/1000</f>
        <v>63.758423298602814</v>
      </c>
      <c r="R5" s="320">
        <f>NPV(12%,$E$5:$N$5)/1000</f>
        <v>49.361071604170512</v>
      </c>
      <c r="S5" s="321">
        <f>IRR(E5:N5)</f>
        <v>1.0450100565568774</v>
      </c>
    </row>
    <row r="6" spans="1:19" ht="15.5" customHeight="1" x14ac:dyDescent="0.2">
      <c r="A6" s="328" t="s">
        <v>2</v>
      </c>
      <c r="B6" s="329"/>
      <c r="C6" s="310">
        <v>1</v>
      </c>
      <c r="D6" s="194" t="s">
        <v>19</v>
      </c>
      <c r="E6" s="307">
        <f>BCA_EWS_TL!F136</f>
        <v>-3603.1813259752171</v>
      </c>
      <c r="F6" s="307">
        <f>BCA_EWS_TL!G136</f>
        <v>-2708.2073779256516</v>
      </c>
      <c r="G6" s="307">
        <f>BCA_EWS_TL!H136</f>
        <v>5915.3026441486954</v>
      </c>
      <c r="H6" s="307">
        <f>BCA_EWS_TL!I136</f>
        <v>7966.7603181734776</v>
      </c>
      <c r="I6" s="307">
        <f>BCA_EWS_TL!J136</f>
        <v>13084.639340247826</v>
      </c>
      <c r="J6" s="307">
        <f>BCA_EWS_TL!K136</f>
        <v>15419.559740247825</v>
      </c>
      <c r="K6" s="307">
        <f>BCA_EWS_TL!L136</f>
        <v>15320.906740247825</v>
      </c>
      <c r="L6" s="307">
        <f>BCA_EWS_TL!M136</f>
        <v>15320.906740247825</v>
      </c>
      <c r="M6" s="307">
        <f>BCA_EWS_TL!N136</f>
        <v>15320.906740247825</v>
      </c>
      <c r="N6" s="307">
        <f>BCA_EWS_TL!O136</f>
        <v>15320.906740247825</v>
      </c>
      <c r="O6" s="305">
        <f t="shared" ref="O6:O8" si="0">SUM(E6:N6)</f>
        <v>97358.50029990825</v>
      </c>
      <c r="P6" s="322">
        <f>NPV(10%,$E$6:$N$6)/1000</f>
        <v>48.614119255394797</v>
      </c>
      <c r="Q6" s="323">
        <f>NPV(8%,$E$6:$N$6)/1000</f>
        <v>55.493381306341902</v>
      </c>
      <c r="R6" s="323">
        <f>NPV(12%,$E$6:$N$6)/1000</f>
        <v>42.70997976907082</v>
      </c>
      <c r="S6" s="291">
        <f>IRR(E6:N6)</f>
        <v>0.90376595503010759</v>
      </c>
    </row>
    <row r="7" spans="1:19" ht="15.5" customHeight="1" x14ac:dyDescent="0.2">
      <c r="A7" s="330"/>
      <c r="B7" s="331"/>
      <c r="C7" s="311">
        <v>2</v>
      </c>
      <c r="D7" s="194" t="s">
        <v>20</v>
      </c>
      <c r="E7" s="307">
        <f>BCA_EWS_TL!F137</f>
        <v>-3946.0573955280197</v>
      </c>
      <c r="F7" s="307">
        <f>BCA_EWS_TL!G137</f>
        <v>-2926.7019265840581</v>
      </c>
      <c r="G7" s="307">
        <f>BCA_EWS_TL!H137</f>
        <v>6611.485286831884</v>
      </c>
      <c r="H7" s="307">
        <f>BCA_EWS_TL!I137</f>
        <v>8885.5307913038632</v>
      </c>
      <c r="I7" s="307">
        <f>BCA_EWS_TL!J137</f>
        <v>14567.523904719805</v>
      </c>
      <c r="J7" s="307">
        <f>BCA_EWS_TL!K137</f>
        <v>17135.936344719805</v>
      </c>
      <c r="K7" s="307">
        <f>BCA_EWS_TL!L137</f>
        <v>17027.418044719805</v>
      </c>
      <c r="L7" s="307">
        <f>BCA_EWS_TL!M137</f>
        <v>17027.418044719805</v>
      </c>
      <c r="M7" s="307">
        <f>BCA_EWS_TL!N137</f>
        <v>17027.418044719805</v>
      </c>
      <c r="N7" s="307">
        <f>BCA_EWS_TL!O137</f>
        <v>17027.418044719805</v>
      </c>
      <c r="O7" s="305">
        <f t="shared" si="0"/>
        <v>108437.38918434249</v>
      </c>
      <c r="P7" s="322">
        <f>NPV(10%,$E$7:$N$7)/1000</f>
        <v>54.215500752094137</v>
      </c>
      <c r="Q7" s="323">
        <f>NPV(8%,$E$7:$N$7)/1000</f>
        <v>61.869223636202186</v>
      </c>
      <c r="R7" s="323">
        <f>NPV(12%,$E$7:$N$7)/1000</f>
        <v>47.646086929487872</v>
      </c>
      <c r="S7" s="291">
        <f>IRR(E7:N7)</f>
        <v>0.91618654747651163</v>
      </c>
    </row>
    <row r="8" spans="1:19" ht="21" customHeight="1" x14ac:dyDescent="0.2">
      <c r="A8" s="332"/>
      <c r="B8" s="333"/>
      <c r="C8" s="312">
        <v>3</v>
      </c>
      <c r="D8" s="308" t="s">
        <v>21</v>
      </c>
      <c r="E8" s="309">
        <f>BCA_EWS_TL!F138</f>
        <v>-4120.4780259752179</v>
      </c>
      <c r="F8" s="309">
        <f>BCA_EWS_TL!G138</f>
        <v>-3449.9638179256526</v>
      </c>
      <c r="G8" s="309">
        <f>BCA_EWS_TL!H138</f>
        <v>5564.961504148695</v>
      </c>
      <c r="H8" s="309">
        <f>BCA_EWS_TL!I138</f>
        <v>7664.586378173477</v>
      </c>
      <c r="I8" s="309">
        <f>BCA_EWS_TL!J138</f>
        <v>12823.317600247825</v>
      </c>
      <c r="J8" s="309">
        <f>BCA_EWS_TL!K138</f>
        <v>15391.730040247825</v>
      </c>
      <c r="K8" s="309">
        <f>BCA_EWS_TL!L138</f>
        <v>15283.211740247825</v>
      </c>
      <c r="L8" s="309">
        <f>BCA_EWS_TL!M138</f>
        <v>15283.211740247825</v>
      </c>
      <c r="M8" s="309">
        <f>BCA_EWS_TL!N138</f>
        <v>15283.211740247825</v>
      </c>
      <c r="N8" s="309">
        <f>BCA_EWS_TL!O138</f>
        <v>15283.211740247825</v>
      </c>
      <c r="O8" s="306">
        <f t="shared" si="0"/>
        <v>95007.000639908249</v>
      </c>
      <c r="P8" s="324">
        <f>NPV(10%,$E$8:$N$8)/1000</f>
        <v>46.81580504049554</v>
      </c>
      <c r="Q8" s="325">
        <f>NPV(8%,$E$8:$N$8)/1000</f>
        <v>53.604181643941274</v>
      </c>
      <c r="R8" s="325">
        <f>NPV(12%,$E$8:$N$8)/1000</f>
        <v>40.99499509438818</v>
      </c>
      <c r="S8" s="326">
        <f>IRR(E8:N8)</f>
        <v>0.79529053083422396</v>
      </c>
    </row>
  </sheetData>
  <mergeCells count="6">
    <mergeCell ref="A6:B8"/>
    <mergeCell ref="S1:S2"/>
    <mergeCell ref="E1:N2"/>
    <mergeCell ref="P1:P2"/>
    <mergeCell ref="R1:R2"/>
    <mergeCell ref="Q1:Q2"/>
  </mergeCells>
  <phoneticPr fontId="11" type="noConversion"/>
  <pageMargins left="0.25" right="0.25" top="0.75" bottom="0.75" header="0.3" footer="0.3"/>
  <pageSetup paperSize="9" scale="8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AF9D-EF86-421A-94A8-6956D5C518A5}">
  <dimension ref="A1:V183"/>
  <sheetViews>
    <sheetView tabSelected="1" zoomScale="110" zoomScaleNormal="110" workbookViewId="0">
      <pane ySplit="5" topLeftCell="A6" activePane="bottomLeft" state="frozen"/>
      <selection pane="bottomLeft" activeCell="D1" sqref="D1"/>
    </sheetView>
  </sheetViews>
  <sheetFormatPr baseColWidth="10" defaultColWidth="9.1640625" defaultRowHeight="15" x14ac:dyDescent="0.2"/>
  <cols>
    <col min="1" max="1" width="2.5" style="1" customWidth="1"/>
    <col min="2" max="2" width="5" style="1" customWidth="1"/>
    <col min="3" max="3" width="3.6640625" style="1" customWidth="1"/>
    <col min="4" max="4" width="37.5" style="1" customWidth="1"/>
    <col min="5" max="5" width="9" style="1" customWidth="1"/>
    <col min="6" max="15" width="13.33203125" style="176" customWidth="1"/>
    <col min="16" max="16" width="10.5" style="168" customWidth="1"/>
    <col min="17" max="17" width="10" style="168" customWidth="1"/>
    <col min="18" max="19" width="8" style="168" customWidth="1"/>
    <col min="20" max="20" width="10.1640625" style="1" bestFit="1" customWidth="1"/>
    <col min="21" max="21" width="25.1640625" style="1" bestFit="1" customWidth="1"/>
    <col min="22" max="22" width="10.1640625" style="1" customWidth="1"/>
    <col min="23" max="16384" width="9.1640625" style="1"/>
  </cols>
  <sheetData>
    <row r="1" spans="1:22" ht="15" customHeight="1" x14ac:dyDescent="0.2">
      <c r="A1" s="244" t="s">
        <v>22</v>
      </c>
      <c r="B1" s="244"/>
      <c r="C1" s="244"/>
      <c r="D1" s="245"/>
      <c r="E1" s="246"/>
      <c r="F1" s="353" t="s">
        <v>23</v>
      </c>
      <c r="G1" s="354"/>
      <c r="H1" s="354"/>
      <c r="I1" s="354"/>
      <c r="J1" s="354"/>
      <c r="K1" s="354"/>
      <c r="L1" s="354"/>
      <c r="M1" s="354"/>
      <c r="N1" s="354"/>
      <c r="O1" s="355"/>
      <c r="P1" s="247"/>
      <c r="Q1" s="248"/>
      <c r="R1" s="248"/>
      <c r="S1" s="248"/>
    </row>
    <row r="2" spans="1:22" x14ac:dyDescent="0.2">
      <c r="A2" s="249"/>
      <c r="B2" s="249"/>
      <c r="C2" s="249"/>
      <c r="D2" s="250"/>
      <c r="E2" s="251"/>
      <c r="F2" s="353"/>
      <c r="G2" s="354"/>
      <c r="H2" s="354"/>
      <c r="I2" s="354"/>
      <c r="J2" s="354"/>
      <c r="K2" s="354"/>
      <c r="L2" s="354"/>
      <c r="M2" s="354"/>
      <c r="N2" s="354"/>
      <c r="O2" s="355"/>
      <c r="P2" s="247"/>
      <c r="Q2" s="248"/>
      <c r="R2" s="248"/>
      <c r="S2" s="248"/>
    </row>
    <row r="3" spans="1:22" x14ac:dyDescent="0.2">
      <c r="A3" s="18"/>
      <c r="B3" s="18"/>
      <c r="C3" s="18"/>
      <c r="D3" s="18"/>
      <c r="E3" s="19"/>
      <c r="F3" s="164" t="s">
        <v>5</v>
      </c>
      <c r="G3" s="165"/>
      <c r="H3" s="165"/>
      <c r="I3" s="165"/>
      <c r="J3" s="165"/>
      <c r="K3" s="166"/>
      <c r="L3" s="166"/>
      <c r="M3" s="166"/>
      <c r="N3" s="166"/>
      <c r="O3" s="167"/>
    </row>
    <row r="4" spans="1:22" ht="16" x14ac:dyDescent="0.2">
      <c r="A4" s="18"/>
      <c r="B4" s="18"/>
      <c r="C4" s="18"/>
      <c r="D4" s="18"/>
      <c r="E4" s="19"/>
      <c r="F4" s="169"/>
      <c r="G4" s="165"/>
      <c r="H4" s="165"/>
      <c r="I4" s="165"/>
      <c r="J4" s="165"/>
      <c r="K4" s="166"/>
      <c r="L4" s="166"/>
      <c r="M4" s="166"/>
      <c r="N4" s="166"/>
      <c r="O4" s="170"/>
      <c r="P4" s="360" t="s">
        <v>24</v>
      </c>
      <c r="Q4" s="361"/>
      <c r="R4" s="361"/>
      <c r="S4" s="361"/>
    </row>
    <row r="5" spans="1:22" x14ac:dyDescent="0.2">
      <c r="A5" s="18"/>
      <c r="B5" s="18"/>
      <c r="C5" s="18"/>
      <c r="D5" s="18"/>
      <c r="E5" s="20"/>
      <c r="F5" s="171" t="s">
        <v>25</v>
      </c>
      <c r="G5" s="172" t="s">
        <v>26</v>
      </c>
      <c r="H5" s="172" t="s">
        <v>27</v>
      </c>
      <c r="I5" s="172" t="s">
        <v>28</v>
      </c>
      <c r="J5" s="172" t="s">
        <v>29</v>
      </c>
      <c r="K5" s="172" t="s">
        <v>30</v>
      </c>
      <c r="L5" s="172" t="s">
        <v>31</v>
      </c>
      <c r="M5" s="172" t="s">
        <v>32</v>
      </c>
      <c r="N5" s="172" t="s">
        <v>33</v>
      </c>
      <c r="O5" s="172" t="s">
        <v>34</v>
      </c>
      <c r="P5" s="275" t="s">
        <v>35</v>
      </c>
      <c r="Q5" s="275" t="s">
        <v>36</v>
      </c>
      <c r="R5" s="275" t="s">
        <v>37</v>
      </c>
      <c r="S5" s="275" t="s">
        <v>38</v>
      </c>
      <c r="T5" s="157"/>
    </row>
    <row r="6" spans="1:22" x14ac:dyDescent="0.2">
      <c r="A6" s="216" t="s">
        <v>39</v>
      </c>
      <c r="B6" s="217"/>
      <c r="C6" s="217"/>
      <c r="D6" s="218"/>
      <c r="E6" s="219"/>
      <c r="F6" s="220"/>
      <c r="G6" s="221"/>
      <c r="H6" s="221"/>
      <c r="I6" s="221"/>
      <c r="J6" s="221"/>
      <c r="K6" s="221"/>
      <c r="L6" s="221"/>
      <c r="M6" s="221"/>
      <c r="N6" s="221"/>
      <c r="O6" s="222"/>
      <c r="P6" s="223"/>
      <c r="Q6" s="223"/>
      <c r="R6" s="223"/>
      <c r="S6" s="223"/>
    </row>
    <row r="7" spans="1:22" ht="36" customHeight="1" x14ac:dyDescent="0.2">
      <c r="B7" s="347" t="s">
        <v>40</v>
      </c>
      <c r="C7" s="347"/>
      <c r="D7" s="347"/>
      <c r="E7" s="348"/>
      <c r="F7" s="224"/>
      <c r="G7" s="225"/>
      <c r="H7" s="225"/>
      <c r="I7" s="225"/>
      <c r="J7" s="225"/>
      <c r="K7" s="225"/>
      <c r="L7" s="225"/>
      <c r="M7" s="225"/>
      <c r="N7" s="225"/>
      <c r="O7" s="226"/>
      <c r="P7" s="225"/>
      <c r="Q7" s="225"/>
      <c r="R7" s="225"/>
      <c r="S7" s="225"/>
    </row>
    <row r="8" spans="1:22" ht="36" customHeight="1" x14ac:dyDescent="0.2">
      <c r="B8" s="154"/>
      <c r="C8" s="351" t="s">
        <v>41</v>
      </c>
      <c r="D8" s="351"/>
      <c r="E8" s="352"/>
      <c r="F8" s="227"/>
      <c r="G8" s="228"/>
      <c r="H8" s="228"/>
      <c r="I8" s="228"/>
      <c r="J8" s="228"/>
      <c r="K8" s="228"/>
      <c r="L8" s="228"/>
      <c r="M8" s="228"/>
      <c r="N8" s="228"/>
      <c r="O8" s="229"/>
      <c r="P8" s="228"/>
      <c r="Q8" s="228"/>
      <c r="R8" s="228"/>
      <c r="S8" s="228"/>
    </row>
    <row r="9" spans="1:22" ht="15" customHeight="1" x14ac:dyDescent="0.2">
      <c r="B9" s="154"/>
      <c r="C9" s="154"/>
      <c r="D9" s="344" t="s">
        <v>42</v>
      </c>
      <c r="E9" s="345"/>
      <c r="F9" s="175"/>
      <c r="O9" s="177"/>
      <c r="P9" s="176"/>
      <c r="Q9" s="176"/>
      <c r="R9" s="176"/>
      <c r="S9" s="176"/>
    </row>
    <row r="10" spans="1:22" x14ac:dyDescent="0.2">
      <c r="B10" s="154"/>
      <c r="C10" s="154"/>
      <c r="D10" s="239" t="s">
        <v>43</v>
      </c>
      <c r="E10" s="240"/>
      <c r="F10" s="241">
        <v>0</v>
      </c>
      <c r="G10" s="242">
        <v>0</v>
      </c>
      <c r="H10" s="242">
        <v>0</v>
      </c>
      <c r="I10" s="242">
        <v>0</v>
      </c>
      <c r="J10" s="242">
        <v>0</v>
      </c>
      <c r="K10" s="242">
        <v>0</v>
      </c>
      <c r="L10" s="242">
        <v>0</v>
      </c>
      <c r="M10" s="242">
        <v>0</v>
      </c>
      <c r="N10" s="242">
        <v>0</v>
      </c>
      <c r="O10" s="243">
        <v>0</v>
      </c>
      <c r="P10" s="242">
        <v>0</v>
      </c>
      <c r="Q10" s="242">
        <v>0</v>
      </c>
      <c r="R10" s="242">
        <v>0</v>
      </c>
      <c r="S10" s="242">
        <v>0</v>
      </c>
      <c r="T10" s="1" t="str">
        <f>IF(SUM(P10:S10)&lt;&gt;SUM(F10:O10),"CHECK","")</f>
        <v/>
      </c>
    </row>
    <row r="11" spans="1:22" x14ac:dyDescent="0.2">
      <c r="B11" s="154"/>
      <c r="C11" s="154"/>
      <c r="D11" s="239" t="s">
        <v>44</v>
      </c>
      <c r="E11" s="240"/>
      <c r="F11" s="241">
        <v>65.72</v>
      </c>
      <c r="G11" s="242">
        <v>12.04</v>
      </c>
      <c r="H11" s="242">
        <v>12.04</v>
      </c>
      <c r="I11" s="242">
        <v>12.04</v>
      </c>
      <c r="J11" s="242">
        <v>30.53</v>
      </c>
      <c r="K11" s="242">
        <v>0</v>
      </c>
      <c r="L11" s="242">
        <v>0</v>
      </c>
      <c r="M11" s="242">
        <v>0</v>
      </c>
      <c r="N11" s="242">
        <v>0</v>
      </c>
      <c r="O11" s="243">
        <v>0</v>
      </c>
      <c r="P11" s="242">
        <v>0</v>
      </c>
      <c r="Q11" s="242">
        <f>SUM(F11:J11)</f>
        <v>132.36999999999998</v>
      </c>
      <c r="R11" s="242">
        <v>0</v>
      </c>
      <c r="S11" s="242">
        <v>0</v>
      </c>
      <c r="T11" s="1" t="str">
        <f>IF(SUM(P11:S11)&lt;&gt;SUM(F11:O11),"CHECK","")</f>
        <v/>
      </c>
    </row>
    <row r="12" spans="1:22" ht="27.5" customHeight="1" x14ac:dyDescent="0.2">
      <c r="B12" s="154"/>
      <c r="D12" s="344" t="s">
        <v>45</v>
      </c>
      <c r="E12" s="345"/>
      <c r="F12" s="175"/>
      <c r="O12" s="177"/>
      <c r="P12" s="176"/>
      <c r="Q12" s="176"/>
      <c r="R12" s="176"/>
      <c r="S12" s="176"/>
      <c r="T12" s="1" t="str">
        <f t="shared" ref="T12:T71" si="0">IF(SUM(P12:S12)&lt;&gt;SUM(F12:J12),"CHECK","")</f>
        <v/>
      </c>
    </row>
    <row r="13" spans="1:22" x14ac:dyDescent="0.2">
      <c r="B13" s="154"/>
      <c r="C13" s="154"/>
      <c r="D13" s="239" t="s">
        <v>43</v>
      </c>
      <c r="E13" s="240"/>
      <c r="F13" s="241">
        <v>0</v>
      </c>
      <c r="G13" s="242">
        <v>0</v>
      </c>
      <c r="H13" s="242">
        <v>0</v>
      </c>
      <c r="I13" s="242">
        <v>0</v>
      </c>
      <c r="J13" s="242">
        <v>0</v>
      </c>
      <c r="K13" s="242">
        <v>0</v>
      </c>
      <c r="L13" s="242">
        <v>0</v>
      </c>
      <c r="M13" s="242">
        <v>0</v>
      </c>
      <c r="N13" s="242">
        <v>0</v>
      </c>
      <c r="O13" s="243">
        <v>0</v>
      </c>
      <c r="P13" s="242">
        <v>0</v>
      </c>
      <c r="Q13" s="242">
        <v>0</v>
      </c>
      <c r="R13" s="242">
        <v>0</v>
      </c>
      <c r="S13" s="242">
        <v>0</v>
      </c>
      <c r="T13" s="1" t="str">
        <f>IF(SUM(P13:S13)&lt;&gt;SUM(F13:O13),"CHECK","")</f>
        <v/>
      </c>
      <c r="V13" s="79"/>
    </row>
    <row r="14" spans="1:22" x14ac:dyDescent="0.2">
      <c r="B14" s="154"/>
      <c r="C14" s="154"/>
      <c r="D14" s="239" t="s">
        <v>44</v>
      </c>
      <c r="E14" s="240"/>
      <c r="F14" s="241">
        <v>0</v>
      </c>
      <c r="G14" s="242">
        <v>5.3343999999999996</v>
      </c>
      <c r="H14" s="242">
        <v>5.3343999999999996</v>
      </c>
      <c r="I14" s="242">
        <v>5.3343999999999996</v>
      </c>
      <c r="J14" s="242">
        <v>5.3343999999999996</v>
      </c>
      <c r="K14" s="242">
        <v>0</v>
      </c>
      <c r="L14" s="242">
        <v>0</v>
      </c>
      <c r="M14" s="242">
        <v>0</v>
      </c>
      <c r="N14" s="242">
        <v>0</v>
      </c>
      <c r="O14" s="243">
        <v>0</v>
      </c>
      <c r="P14" s="242">
        <v>0</v>
      </c>
      <c r="Q14" s="242">
        <f>SUM(F14:J14)</f>
        <v>21.337599999999998</v>
      </c>
      <c r="R14" s="242">
        <v>0</v>
      </c>
      <c r="S14" s="242">
        <v>0</v>
      </c>
      <c r="T14" s="1" t="str">
        <f>IF(SUM(P14:S14)&lt;&gt;SUM(F14:O14),"CHECK","")</f>
        <v/>
      </c>
      <c r="U14" s="80"/>
      <c r="V14" s="79"/>
    </row>
    <row r="15" spans="1:22" ht="23.25" customHeight="1" x14ac:dyDescent="0.2">
      <c r="B15" s="154"/>
      <c r="C15" s="154"/>
      <c r="D15" s="344" t="s">
        <v>46</v>
      </c>
      <c r="E15" s="345"/>
      <c r="F15" s="175"/>
      <c r="O15" s="177"/>
      <c r="P15" s="176"/>
      <c r="Q15" s="176"/>
      <c r="R15" s="176"/>
      <c r="S15" s="176"/>
      <c r="T15" s="1" t="str">
        <f t="shared" si="0"/>
        <v/>
      </c>
      <c r="U15" s="80"/>
      <c r="V15" s="79"/>
    </row>
    <row r="16" spans="1:22" x14ac:dyDescent="0.2">
      <c r="B16" s="154"/>
      <c r="C16" s="154"/>
      <c r="D16" s="239" t="s">
        <v>43</v>
      </c>
      <c r="E16" s="240"/>
      <c r="F16" s="241">
        <v>0</v>
      </c>
      <c r="G16" s="242">
        <v>0</v>
      </c>
      <c r="H16" s="242">
        <v>0</v>
      </c>
      <c r="I16" s="242">
        <v>0</v>
      </c>
      <c r="J16" s="242">
        <v>0</v>
      </c>
      <c r="K16" s="242">
        <v>0</v>
      </c>
      <c r="L16" s="242">
        <v>0</v>
      </c>
      <c r="M16" s="242">
        <v>0</v>
      </c>
      <c r="N16" s="242">
        <v>0</v>
      </c>
      <c r="O16" s="243">
        <v>0</v>
      </c>
      <c r="P16" s="242">
        <v>0</v>
      </c>
      <c r="Q16" s="242">
        <v>0</v>
      </c>
      <c r="R16" s="242">
        <v>0</v>
      </c>
      <c r="S16" s="242">
        <v>0</v>
      </c>
      <c r="T16" s="1" t="str">
        <f>IF(SUM(P16:S16)&lt;&gt;SUM(F16:O16),"CHECK","")</f>
        <v/>
      </c>
      <c r="U16" s="80"/>
      <c r="V16" s="79"/>
    </row>
    <row r="17" spans="2:22" x14ac:dyDescent="0.2">
      <c r="B17" s="154"/>
      <c r="C17" s="154"/>
      <c r="D17" s="239" t="s">
        <v>44</v>
      </c>
      <c r="E17" s="240"/>
      <c r="F17" s="241">
        <v>0</v>
      </c>
      <c r="G17" s="242">
        <v>82.06</v>
      </c>
      <c r="H17" s="242">
        <v>0</v>
      </c>
      <c r="I17" s="242">
        <v>0</v>
      </c>
      <c r="J17" s="242">
        <v>0</v>
      </c>
      <c r="K17" s="242">
        <v>0</v>
      </c>
      <c r="L17" s="242">
        <v>0</v>
      </c>
      <c r="M17" s="242">
        <v>0</v>
      </c>
      <c r="N17" s="242">
        <v>0</v>
      </c>
      <c r="O17" s="243">
        <v>0</v>
      </c>
      <c r="P17" s="242">
        <v>0</v>
      </c>
      <c r="Q17" s="242">
        <f>SUM(F17:J17)</f>
        <v>82.06</v>
      </c>
      <c r="R17" s="242">
        <v>0</v>
      </c>
      <c r="S17" s="242">
        <v>0</v>
      </c>
      <c r="T17" s="1" t="str">
        <f>IF(SUM(P17:S17)&lt;&gt;SUM(F17:O17),"CHECK","")</f>
        <v/>
      </c>
      <c r="U17" s="80"/>
      <c r="V17" s="79"/>
    </row>
    <row r="18" spans="2:22" ht="22" customHeight="1" x14ac:dyDescent="0.2">
      <c r="B18" s="154"/>
      <c r="C18" s="154"/>
      <c r="D18" s="344" t="s">
        <v>47</v>
      </c>
      <c r="E18" s="345"/>
      <c r="F18" s="175"/>
      <c r="O18" s="177"/>
      <c r="P18" s="176"/>
      <c r="Q18" s="176"/>
      <c r="R18" s="176"/>
      <c r="S18" s="176"/>
      <c r="U18" s="80"/>
      <c r="V18" s="79"/>
    </row>
    <row r="19" spans="2:22" x14ac:dyDescent="0.2">
      <c r="B19" s="154"/>
      <c r="C19" s="154"/>
      <c r="D19" s="239" t="s">
        <v>43</v>
      </c>
      <c r="E19" s="240"/>
      <c r="F19" s="241">
        <v>0</v>
      </c>
      <c r="G19" s="242">
        <v>0</v>
      </c>
      <c r="H19" s="242">
        <v>0</v>
      </c>
      <c r="I19" s="242">
        <v>0</v>
      </c>
      <c r="J19" s="242">
        <v>0</v>
      </c>
      <c r="K19" s="242">
        <v>0</v>
      </c>
      <c r="L19" s="242">
        <v>0</v>
      </c>
      <c r="M19" s="242">
        <v>0</v>
      </c>
      <c r="N19" s="242">
        <v>0</v>
      </c>
      <c r="O19" s="243">
        <v>0</v>
      </c>
      <c r="P19" s="242">
        <v>0</v>
      </c>
      <c r="Q19" s="242">
        <v>0</v>
      </c>
      <c r="R19" s="242">
        <v>0</v>
      </c>
      <c r="S19" s="242">
        <v>0</v>
      </c>
      <c r="U19" s="80"/>
      <c r="V19" s="79"/>
    </row>
    <row r="20" spans="2:22" x14ac:dyDescent="0.2">
      <c r="B20" s="154"/>
      <c r="C20" s="154"/>
      <c r="D20" s="239" t="s">
        <v>44</v>
      </c>
      <c r="E20" s="240"/>
      <c r="F20" s="241">
        <v>0</v>
      </c>
      <c r="G20" s="242">
        <v>53.17</v>
      </c>
      <c r="H20" s="242">
        <v>70.67</v>
      </c>
      <c r="I20" s="242">
        <v>0</v>
      </c>
      <c r="J20" s="242">
        <v>25.52</v>
      </c>
      <c r="K20" s="242">
        <v>0</v>
      </c>
      <c r="L20" s="242">
        <v>0</v>
      </c>
      <c r="M20" s="242">
        <v>0</v>
      </c>
      <c r="N20" s="242">
        <v>0</v>
      </c>
      <c r="O20" s="243">
        <v>0</v>
      </c>
      <c r="P20" s="242">
        <v>0</v>
      </c>
      <c r="Q20" s="242">
        <f>SUM(F20:J20)</f>
        <v>149.36000000000001</v>
      </c>
      <c r="R20" s="242">
        <v>0</v>
      </c>
      <c r="S20" s="242">
        <v>0</v>
      </c>
      <c r="U20" s="80"/>
      <c r="V20" s="79"/>
    </row>
    <row r="21" spans="2:22" ht="24.5" customHeight="1" x14ac:dyDescent="0.2">
      <c r="B21" s="154"/>
      <c r="C21" s="154"/>
      <c r="D21" s="344" t="s">
        <v>327</v>
      </c>
      <c r="E21" s="345"/>
      <c r="F21" s="175"/>
      <c r="O21" s="177"/>
      <c r="P21" s="176"/>
      <c r="Q21" s="176"/>
      <c r="R21" s="176"/>
      <c r="S21" s="176"/>
      <c r="T21" s="1" t="str">
        <f t="shared" si="0"/>
        <v/>
      </c>
      <c r="U21" s="80"/>
      <c r="V21" s="79"/>
    </row>
    <row r="22" spans="2:22" x14ac:dyDescent="0.2">
      <c r="B22" s="154"/>
      <c r="C22" s="154"/>
      <c r="D22" s="239" t="s">
        <v>43</v>
      </c>
      <c r="E22" s="240"/>
      <c r="F22" s="241">
        <v>0</v>
      </c>
      <c r="G22" s="242">
        <v>0</v>
      </c>
      <c r="H22" s="242">
        <v>0</v>
      </c>
      <c r="I22" s="242">
        <v>0</v>
      </c>
      <c r="J22" s="242">
        <v>0</v>
      </c>
      <c r="K22" s="242">
        <v>0</v>
      </c>
      <c r="L22" s="242">
        <v>0</v>
      </c>
      <c r="M22" s="242">
        <v>0</v>
      </c>
      <c r="N22" s="242">
        <v>0</v>
      </c>
      <c r="O22" s="243">
        <v>0</v>
      </c>
      <c r="P22" s="242">
        <v>0</v>
      </c>
      <c r="Q22" s="242">
        <v>0</v>
      </c>
      <c r="R22" s="242">
        <v>0</v>
      </c>
      <c r="S22" s="242">
        <v>0</v>
      </c>
      <c r="T22" s="1" t="str">
        <f>IF(SUM(P22:S22)&lt;&gt;SUM(F22:O22),"CHECK","")</f>
        <v/>
      </c>
      <c r="U22" s="80"/>
      <c r="V22" s="79"/>
    </row>
    <row r="23" spans="2:22" x14ac:dyDescent="0.2">
      <c r="B23" s="154"/>
      <c r="C23" s="154"/>
      <c r="D23" s="239" t="s">
        <v>44</v>
      </c>
      <c r="E23" s="240"/>
      <c r="F23" s="241">
        <v>0</v>
      </c>
      <c r="G23" s="242">
        <v>0</v>
      </c>
      <c r="H23" s="242">
        <v>10.5</v>
      </c>
      <c r="I23" s="242">
        <v>67.62</v>
      </c>
      <c r="J23" s="242">
        <v>28</v>
      </c>
      <c r="K23" s="242">
        <v>0</v>
      </c>
      <c r="L23" s="242">
        <v>0</v>
      </c>
      <c r="M23" s="242">
        <v>0</v>
      </c>
      <c r="N23" s="242">
        <v>0</v>
      </c>
      <c r="O23" s="243">
        <v>0</v>
      </c>
      <c r="P23" s="242">
        <v>0</v>
      </c>
      <c r="Q23" s="242">
        <f>SUM(F23:J23)</f>
        <v>106.12</v>
      </c>
      <c r="R23" s="242">
        <v>0</v>
      </c>
      <c r="S23" s="242">
        <v>0</v>
      </c>
      <c r="T23" s="1" t="str">
        <f>IF(SUM(P23:S23)&lt;&gt;SUM(F23:O23),"CHECK","")</f>
        <v/>
      </c>
      <c r="U23" s="80"/>
      <c r="V23" s="79"/>
    </row>
    <row r="24" spans="2:22" x14ac:dyDescent="0.2">
      <c r="B24" s="363" t="s">
        <v>48</v>
      </c>
      <c r="C24" s="363"/>
      <c r="D24" s="363"/>
      <c r="E24" s="230" t="s">
        <v>49</v>
      </c>
      <c r="F24" s="231">
        <f>F10+F13+F16+F22+F19</f>
        <v>0</v>
      </c>
      <c r="G24" s="232">
        <f>G10+G13+G16+G22+G19</f>
        <v>0</v>
      </c>
      <c r="H24" s="232">
        <f>H10+H13+H16+H22+H19</f>
        <v>0</v>
      </c>
      <c r="I24" s="232">
        <f>I10+I13+I16+I22+I19</f>
        <v>0</v>
      </c>
      <c r="J24" s="232">
        <f>J10+J13+J16+J22+J19</f>
        <v>0</v>
      </c>
      <c r="K24" s="232">
        <f t="shared" ref="K24:S24" si="1">K10+K13+K16+K22</f>
        <v>0</v>
      </c>
      <c r="L24" s="232">
        <f t="shared" si="1"/>
        <v>0</v>
      </c>
      <c r="M24" s="232">
        <f t="shared" si="1"/>
        <v>0</v>
      </c>
      <c r="N24" s="232">
        <f t="shared" si="1"/>
        <v>0</v>
      </c>
      <c r="O24" s="233">
        <f t="shared" si="1"/>
        <v>0</v>
      </c>
      <c r="P24" s="232">
        <f t="shared" si="1"/>
        <v>0</v>
      </c>
      <c r="Q24" s="232">
        <f t="shared" si="1"/>
        <v>0</v>
      </c>
      <c r="R24" s="232">
        <f t="shared" si="1"/>
        <v>0</v>
      </c>
      <c r="S24" s="232">
        <f t="shared" si="1"/>
        <v>0</v>
      </c>
      <c r="T24" s="1" t="str">
        <f t="shared" si="0"/>
        <v/>
      </c>
      <c r="U24" s="80"/>
      <c r="V24" s="79"/>
    </row>
    <row r="25" spans="2:22" x14ac:dyDescent="0.2">
      <c r="B25" s="363"/>
      <c r="C25" s="363"/>
      <c r="D25" s="363"/>
      <c r="E25" s="230" t="s">
        <v>50</v>
      </c>
      <c r="F25" s="231">
        <f t="shared" ref="F25:O25" si="2">F11+F14+F17+F20+F23</f>
        <v>65.72</v>
      </c>
      <c r="G25" s="232">
        <f t="shared" si="2"/>
        <v>152.6044</v>
      </c>
      <c r="H25" s="232">
        <f t="shared" si="2"/>
        <v>98.544399999999996</v>
      </c>
      <c r="I25" s="232">
        <f t="shared" si="2"/>
        <v>84.994399999999999</v>
      </c>
      <c r="J25" s="232">
        <f t="shared" si="2"/>
        <v>89.384399999999999</v>
      </c>
      <c r="K25" s="232">
        <f t="shared" si="2"/>
        <v>0</v>
      </c>
      <c r="L25" s="232">
        <f t="shared" si="2"/>
        <v>0</v>
      </c>
      <c r="M25" s="232">
        <f t="shared" si="2"/>
        <v>0</v>
      </c>
      <c r="N25" s="232">
        <f t="shared" si="2"/>
        <v>0</v>
      </c>
      <c r="O25" s="233">
        <f t="shared" si="2"/>
        <v>0</v>
      </c>
      <c r="P25" s="232">
        <f>P11+P14+P17++P20+P23</f>
        <v>0</v>
      </c>
      <c r="Q25" s="232">
        <f>Q11+Q14+Q17++Q20+Q23</f>
        <v>491.24760000000003</v>
      </c>
      <c r="R25" s="232">
        <f>R11+R14+R17++R20+R23</f>
        <v>0</v>
      </c>
      <c r="S25" s="232">
        <f>S11+S14+S17++S20+S23</f>
        <v>0</v>
      </c>
      <c r="T25" s="1" t="str">
        <f t="shared" si="0"/>
        <v/>
      </c>
      <c r="U25" s="80"/>
      <c r="V25" s="79"/>
    </row>
    <row r="26" spans="2:22" x14ac:dyDescent="0.2">
      <c r="B26" s="363"/>
      <c r="C26" s="363"/>
      <c r="D26" s="363"/>
      <c r="E26" s="230" t="s">
        <v>51</v>
      </c>
      <c r="F26" s="231">
        <f>F24+F25</f>
        <v>65.72</v>
      </c>
      <c r="G26" s="232">
        <f t="shared" ref="G26:J26" si="3">G24+G25</f>
        <v>152.6044</v>
      </c>
      <c r="H26" s="232">
        <f t="shared" si="3"/>
        <v>98.544399999999996</v>
      </c>
      <c r="I26" s="232">
        <f t="shared" si="3"/>
        <v>84.994399999999999</v>
      </c>
      <c r="J26" s="232">
        <f t="shared" si="3"/>
        <v>89.384399999999999</v>
      </c>
      <c r="K26" s="232">
        <f t="shared" ref="K26:O26" si="4">K24+K25</f>
        <v>0</v>
      </c>
      <c r="L26" s="232">
        <f t="shared" si="4"/>
        <v>0</v>
      </c>
      <c r="M26" s="232">
        <f t="shared" si="4"/>
        <v>0</v>
      </c>
      <c r="N26" s="232">
        <f t="shared" si="4"/>
        <v>0</v>
      </c>
      <c r="O26" s="233">
        <f t="shared" si="4"/>
        <v>0</v>
      </c>
      <c r="P26" s="231">
        <f t="shared" ref="P26:S26" si="5">P24+P25</f>
        <v>0</v>
      </c>
      <c r="Q26" s="232">
        <f t="shared" si="5"/>
        <v>491.24760000000003</v>
      </c>
      <c r="R26" s="232">
        <f t="shared" si="5"/>
        <v>0</v>
      </c>
      <c r="S26" s="232">
        <f t="shared" si="5"/>
        <v>0</v>
      </c>
      <c r="T26" s="1" t="str">
        <f t="shared" si="0"/>
        <v/>
      </c>
      <c r="U26" s="80"/>
      <c r="V26" s="79"/>
    </row>
    <row r="27" spans="2:22" ht="5.25" customHeight="1" x14ac:dyDescent="0.2">
      <c r="E27" s="22"/>
      <c r="F27" s="178"/>
      <c r="G27" s="168"/>
      <c r="H27" s="168"/>
      <c r="I27" s="168"/>
      <c r="J27" s="168"/>
      <c r="K27" s="168"/>
      <c r="L27" s="168"/>
      <c r="M27" s="168"/>
      <c r="N27" s="168"/>
      <c r="O27" s="167"/>
      <c r="T27" s="1" t="str">
        <f t="shared" si="0"/>
        <v/>
      </c>
      <c r="V27" s="79"/>
    </row>
    <row r="28" spans="2:22" ht="36" customHeight="1" x14ac:dyDescent="0.2">
      <c r="B28" s="347" t="s">
        <v>52</v>
      </c>
      <c r="C28" s="347"/>
      <c r="D28" s="347"/>
      <c r="E28" s="348"/>
      <c r="F28" s="224"/>
      <c r="G28" s="225"/>
      <c r="H28" s="225"/>
      <c r="I28" s="225"/>
      <c r="J28" s="225"/>
      <c r="K28" s="225"/>
      <c r="L28" s="225"/>
      <c r="M28" s="225"/>
      <c r="N28" s="225"/>
      <c r="O28" s="226"/>
      <c r="P28" s="225"/>
      <c r="Q28" s="225"/>
      <c r="R28" s="225"/>
      <c r="S28" s="225"/>
      <c r="T28" s="1" t="str">
        <f t="shared" si="0"/>
        <v/>
      </c>
    </row>
    <row r="29" spans="2:22" ht="29.25" customHeight="1" x14ac:dyDescent="0.2">
      <c r="B29" s="154"/>
      <c r="C29" s="351" t="s">
        <v>53</v>
      </c>
      <c r="D29" s="351"/>
      <c r="E29" s="352"/>
      <c r="F29" s="227"/>
      <c r="G29" s="228"/>
      <c r="H29" s="228"/>
      <c r="I29" s="228"/>
      <c r="J29" s="228"/>
      <c r="K29" s="228"/>
      <c r="L29" s="228"/>
      <c r="M29" s="228"/>
      <c r="N29" s="228"/>
      <c r="O29" s="229"/>
      <c r="P29" s="228"/>
      <c r="Q29" s="228"/>
      <c r="R29" s="228"/>
      <c r="S29" s="228"/>
      <c r="T29" s="1" t="str">
        <f t="shared" si="0"/>
        <v/>
      </c>
    </row>
    <row r="30" spans="2:22" ht="24" customHeight="1" x14ac:dyDescent="0.2">
      <c r="B30" s="154"/>
      <c r="C30" s="154"/>
      <c r="D30" s="344" t="s">
        <v>54</v>
      </c>
      <c r="E30" s="345"/>
      <c r="F30" s="175"/>
      <c r="O30" s="177"/>
      <c r="P30" s="176"/>
      <c r="Q30" s="176"/>
      <c r="R30" s="176"/>
      <c r="S30" s="176"/>
      <c r="T30" s="1" t="str">
        <f t="shared" si="0"/>
        <v/>
      </c>
      <c r="U30" s="78"/>
      <c r="V30" s="79"/>
    </row>
    <row r="31" spans="2:22" x14ac:dyDescent="0.2">
      <c r="B31" s="154"/>
      <c r="C31" s="154"/>
      <c r="D31" s="239" t="s">
        <v>43</v>
      </c>
      <c r="E31" s="240"/>
      <c r="F31" s="241">
        <v>1344.77</v>
      </c>
      <c r="G31" s="242">
        <v>3464.62</v>
      </c>
      <c r="H31" s="242">
        <v>461.86</v>
      </c>
      <c r="I31" s="242">
        <v>441.86</v>
      </c>
      <c r="J31" s="242">
        <v>461.86</v>
      </c>
      <c r="K31" s="242">
        <v>278.29700000000003</v>
      </c>
      <c r="L31" s="242">
        <v>376.95</v>
      </c>
      <c r="M31" s="242">
        <v>376.95</v>
      </c>
      <c r="N31" s="242">
        <v>376.95</v>
      </c>
      <c r="O31" s="243">
        <v>376.95</v>
      </c>
      <c r="P31" s="242">
        <f>SUM(K31:O31)</f>
        <v>1786.0970000000002</v>
      </c>
      <c r="Q31" s="242">
        <f>SUM(F31:J31)</f>
        <v>6174.9699999999984</v>
      </c>
      <c r="R31" s="242">
        <v>0</v>
      </c>
      <c r="S31" s="242">
        <v>0</v>
      </c>
      <c r="U31" s="215"/>
      <c r="V31" s="79"/>
    </row>
    <row r="32" spans="2:22" x14ac:dyDescent="0.2">
      <c r="B32" s="154"/>
      <c r="C32" s="154"/>
      <c r="D32" s="239" t="s">
        <v>44</v>
      </c>
      <c r="E32" s="240"/>
      <c r="F32" s="241">
        <v>0</v>
      </c>
      <c r="G32" s="242">
        <v>0</v>
      </c>
      <c r="H32" s="242">
        <v>0</v>
      </c>
      <c r="I32" s="242">
        <v>0</v>
      </c>
      <c r="J32" s="242">
        <v>0</v>
      </c>
      <c r="K32" s="242">
        <v>0</v>
      </c>
      <c r="L32" s="242">
        <v>0</v>
      </c>
      <c r="M32" s="242">
        <v>0</v>
      </c>
      <c r="N32" s="242">
        <v>0</v>
      </c>
      <c r="O32" s="243">
        <v>0</v>
      </c>
      <c r="P32" s="242">
        <v>0</v>
      </c>
      <c r="Q32" s="242">
        <f>SUM(F32:J32)</f>
        <v>0</v>
      </c>
      <c r="R32" s="242">
        <v>0</v>
      </c>
      <c r="S32" s="242">
        <v>0</v>
      </c>
      <c r="T32" s="1" t="str">
        <f>IF(SUM(P32:S32)&lt;&gt;SUM(F32:O32),"CHECK","")</f>
        <v/>
      </c>
      <c r="U32" s="78"/>
      <c r="V32" s="79"/>
    </row>
    <row r="33" spans="2:22" ht="26" customHeight="1" x14ac:dyDescent="0.2">
      <c r="B33" s="154"/>
      <c r="C33" s="154"/>
      <c r="D33" s="344" t="s">
        <v>55</v>
      </c>
      <c r="E33" s="358"/>
      <c r="F33" s="175"/>
      <c r="O33" s="177"/>
      <c r="P33" s="176"/>
      <c r="Q33" s="176"/>
      <c r="R33" s="176"/>
      <c r="S33" s="176"/>
      <c r="T33" s="1" t="str">
        <f t="shared" si="0"/>
        <v/>
      </c>
      <c r="U33" s="78"/>
      <c r="V33" s="79"/>
    </row>
    <row r="34" spans="2:22" x14ac:dyDescent="0.2">
      <c r="B34" s="154"/>
      <c r="C34" s="154"/>
      <c r="D34" s="239" t="s">
        <v>43</v>
      </c>
      <c r="E34" s="240"/>
      <c r="F34" s="241">
        <v>40</v>
      </c>
      <c r="G34" s="242">
        <v>14.6</v>
      </c>
      <c r="H34" s="242">
        <v>0</v>
      </c>
      <c r="I34" s="242">
        <v>40</v>
      </c>
      <c r="J34" s="242">
        <v>14.6</v>
      </c>
      <c r="K34" s="242">
        <v>0</v>
      </c>
      <c r="L34" s="242">
        <v>0</v>
      </c>
      <c r="M34" s="242">
        <v>0</v>
      </c>
      <c r="N34" s="242">
        <v>0</v>
      </c>
      <c r="O34" s="243">
        <v>0</v>
      </c>
      <c r="P34" s="242">
        <v>0</v>
      </c>
      <c r="Q34" s="242">
        <f>SUM(F34:J34)</f>
        <v>109.19999999999999</v>
      </c>
      <c r="R34" s="242">
        <v>0</v>
      </c>
      <c r="S34" s="242">
        <v>0</v>
      </c>
      <c r="T34" s="1" t="str">
        <f>IF(SUM(P34:S34)&lt;&gt;SUM(F34:O34),"CHECK","")</f>
        <v/>
      </c>
      <c r="U34" s="78"/>
      <c r="V34" s="79"/>
    </row>
    <row r="35" spans="2:22" x14ac:dyDescent="0.2">
      <c r="B35" s="154"/>
      <c r="C35" s="154"/>
      <c r="D35" s="239" t="s">
        <v>44</v>
      </c>
      <c r="E35" s="240"/>
      <c r="F35" s="241">
        <v>20.94</v>
      </c>
      <c r="G35" s="242">
        <v>6</v>
      </c>
      <c r="H35" s="242">
        <v>6</v>
      </c>
      <c r="I35" s="242">
        <v>6</v>
      </c>
      <c r="J35" s="242">
        <v>23.19</v>
      </c>
      <c r="K35" s="242">
        <v>0</v>
      </c>
      <c r="L35" s="242">
        <v>0</v>
      </c>
      <c r="M35" s="242">
        <v>0</v>
      </c>
      <c r="N35" s="242">
        <v>0</v>
      </c>
      <c r="O35" s="243">
        <v>0</v>
      </c>
      <c r="P35" s="242">
        <v>0</v>
      </c>
      <c r="Q35" s="242">
        <f>SUM(F35:J35)</f>
        <v>62.129999999999995</v>
      </c>
      <c r="R35" s="242">
        <v>0</v>
      </c>
      <c r="S35" s="242">
        <v>0</v>
      </c>
      <c r="T35" s="1" t="str">
        <f>IF(SUM(P35:S35)&lt;&gt;SUM(F35:O35),"CHECK","")</f>
        <v/>
      </c>
      <c r="U35" s="78"/>
      <c r="V35" s="79"/>
    </row>
    <row r="36" spans="2:22" x14ac:dyDescent="0.2">
      <c r="B36" s="154"/>
      <c r="C36" s="154"/>
      <c r="D36" s="344" t="s">
        <v>56</v>
      </c>
      <c r="E36" s="345"/>
      <c r="F36" s="175"/>
      <c r="O36" s="177"/>
      <c r="P36" s="176"/>
      <c r="Q36" s="176"/>
      <c r="R36" s="176"/>
      <c r="S36" s="176"/>
      <c r="T36" s="1" t="str">
        <f t="shared" si="0"/>
        <v/>
      </c>
      <c r="U36" s="78"/>
      <c r="V36" s="79"/>
    </row>
    <row r="37" spans="2:22" x14ac:dyDescent="0.2">
      <c r="B37" s="154"/>
      <c r="C37" s="154"/>
      <c r="D37" s="239" t="s">
        <v>43</v>
      </c>
      <c r="E37" s="240"/>
      <c r="F37" s="241">
        <v>0</v>
      </c>
      <c r="G37" s="242">
        <v>0</v>
      </c>
      <c r="H37" s="242">
        <v>0</v>
      </c>
      <c r="I37" s="242">
        <v>0</v>
      </c>
      <c r="J37" s="242">
        <v>0</v>
      </c>
      <c r="K37" s="242">
        <v>0</v>
      </c>
      <c r="L37" s="242">
        <v>0</v>
      </c>
      <c r="M37" s="242">
        <v>0</v>
      </c>
      <c r="N37" s="242">
        <v>0</v>
      </c>
      <c r="O37" s="243">
        <v>0</v>
      </c>
      <c r="P37" s="242">
        <v>0</v>
      </c>
      <c r="Q37" s="242">
        <v>0</v>
      </c>
      <c r="R37" s="242">
        <v>0</v>
      </c>
      <c r="S37" s="242">
        <v>0</v>
      </c>
      <c r="T37" s="1" t="str">
        <f>IF(SUM(P37:S37)&lt;&gt;SUM(F37:O37),"CHECK","")</f>
        <v/>
      </c>
      <c r="U37" s="78"/>
      <c r="V37" s="79"/>
    </row>
    <row r="38" spans="2:22" x14ac:dyDescent="0.2">
      <c r="B38" s="154"/>
      <c r="C38" s="154"/>
      <c r="D38" s="239" t="s">
        <v>44</v>
      </c>
      <c r="E38" s="240"/>
      <c r="F38" s="241">
        <v>34.261000000000003</v>
      </c>
      <c r="G38" s="242">
        <v>69.260000000000005</v>
      </c>
      <c r="H38" s="242">
        <v>34.261000000000003</v>
      </c>
      <c r="I38" s="242">
        <v>34.261000000000003</v>
      </c>
      <c r="J38" s="242">
        <v>34.261000000000003</v>
      </c>
      <c r="K38" s="242">
        <v>0</v>
      </c>
      <c r="L38" s="242">
        <v>0</v>
      </c>
      <c r="M38" s="242">
        <v>0</v>
      </c>
      <c r="N38" s="242">
        <v>0</v>
      </c>
      <c r="O38" s="243">
        <v>0</v>
      </c>
      <c r="P38" s="242">
        <v>0</v>
      </c>
      <c r="Q38" s="242">
        <f>SUM(F38:J38)</f>
        <v>206.304</v>
      </c>
      <c r="R38" s="242">
        <v>0</v>
      </c>
      <c r="S38" s="242">
        <v>0</v>
      </c>
      <c r="T38" s="1" t="str">
        <f>IF(SUM(P38:S38)&lt;&gt;SUM(F38:O38),"CHECK","")</f>
        <v/>
      </c>
      <c r="U38" s="78"/>
      <c r="V38" s="79"/>
    </row>
    <row r="39" spans="2:22" ht="31.5" customHeight="1" x14ac:dyDescent="0.2">
      <c r="B39" s="154"/>
      <c r="C39" s="351" t="s">
        <v>57</v>
      </c>
      <c r="D39" s="351"/>
      <c r="E39" s="352"/>
      <c r="F39" s="227"/>
      <c r="G39" s="228"/>
      <c r="H39" s="228"/>
      <c r="I39" s="228"/>
      <c r="J39" s="228"/>
      <c r="K39" s="228"/>
      <c r="L39" s="228"/>
      <c r="M39" s="228"/>
      <c r="N39" s="228"/>
      <c r="O39" s="229"/>
      <c r="P39" s="228"/>
      <c r="Q39" s="228"/>
      <c r="R39" s="228"/>
      <c r="S39" s="228"/>
      <c r="T39" s="1" t="str">
        <f t="shared" si="0"/>
        <v/>
      </c>
      <c r="U39" s="154"/>
      <c r="V39" s="79"/>
    </row>
    <row r="40" spans="2:22" x14ac:dyDescent="0.2">
      <c r="B40" s="154"/>
      <c r="C40" s="156"/>
      <c r="D40" s="344" t="s">
        <v>58</v>
      </c>
      <c r="E40" s="345"/>
      <c r="F40" s="175"/>
      <c r="O40" s="177"/>
      <c r="P40" s="176"/>
      <c r="Q40" s="176"/>
      <c r="R40" s="176"/>
      <c r="S40" s="176"/>
      <c r="T40" s="1" t="str">
        <f t="shared" si="0"/>
        <v/>
      </c>
      <c r="U40" s="154"/>
      <c r="V40" s="79"/>
    </row>
    <row r="41" spans="2:22" x14ac:dyDescent="0.2">
      <c r="B41" s="154"/>
      <c r="C41" s="156"/>
      <c r="D41" s="239" t="s">
        <v>43</v>
      </c>
      <c r="E41" s="240"/>
      <c r="F41" s="241">
        <v>411.67500000000001</v>
      </c>
      <c r="G41" s="242">
        <v>31</v>
      </c>
      <c r="H41" s="242">
        <v>31</v>
      </c>
      <c r="I41" s="242">
        <v>41.674999999999997</v>
      </c>
      <c r="J41" s="242">
        <v>31</v>
      </c>
      <c r="K41" s="242">
        <v>0</v>
      </c>
      <c r="L41" s="242">
        <v>0</v>
      </c>
      <c r="M41" s="242">
        <v>0</v>
      </c>
      <c r="N41" s="242">
        <v>0</v>
      </c>
      <c r="O41" s="243">
        <v>0</v>
      </c>
      <c r="P41" s="242">
        <v>0</v>
      </c>
      <c r="Q41" s="242">
        <f>SUM(F41:J41)</f>
        <v>546.35</v>
      </c>
      <c r="R41" s="242">
        <v>0</v>
      </c>
      <c r="S41" s="242">
        <v>0</v>
      </c>
      <c r="T41" s="1" t="str">
        <f>IF(SUM(P41:S41)&lt;&gt;SUM(F41:O41),"CHECK","")</f>
        <v/>
      </c>
      <c r="U41" s="154"/>
      <c r="V41" s="79"/>
    </row>
    <row r="42" spans="2:22" x14ac:dyDescent="0.2">
      <c r="B42" s="154"/>
      <c r="C42" s="156"/>
      <c r="D42" s="239" t="s">
        <v>44</v>
      </c>
      <c r="E42" s="240"/>
      <c r="F42" s="241">
        <v>627.52</v>
      </c>
      <c r="G42" s="242">
        <v>480.75400000000002</v>
      </c>
      <c r="H42" s="242">
        <v>188.4</v>
      </c>
      <c r="I42" s="242">
        <v>78.760000000000005</v>
      </c>
      <c r="J42" s="242">
        <v>95.593999999999994</v>
      </c>
      <c r="K42" s="242">
        <v>0</v>
      </c>
      <c r="L42" s="242">
        <v>0</v>
      </c>
      <c r="M42" s="242">
        <v>0</v>
      </c>
      <c r="N42" s="242">
        <v>0</v>
      </c>
      <c r="O42" s="243">
        <v>0</v>
      </c>
      <c r="P42" s="242">
        <v>0</v>
      </c>
      <c r="Q42" s="242">
        <f>SUM(F42:J42)</f>
        <v>1471.028</v>
      </c>
      <c r="R42" s="242">
        <v>0</v>
      </c>
      <c r="S42" s="242">
        <v>0</v>
      </c>
      <c r="T42" s="1" t="str">
        <f>IF(SUM(P42:S42)&lt;&gt;SUM(F42:O42),"CHECK","")</f>
        <v/>
      </c>
      <c r="U42" s="154"/>
      <c r="V42" s="79"/>
    </row>
    <row r="43" spans="2:22" x14ac:dyDescent="0.2">
      <c r="B43" s="154"/>
      <c r="C43" s="156"/>
      <c r="D43" s="344" t="s">
        <v>59</v>
      </c>
      <c r="E43" s="345"/>
      <c r="F43" s="175"/>
      <c r="O43" s="177"/>
      <c r="P43" s="176"/>
      <c r="Q43" s="176"/>
      <c r="R43" s="176"/>
      <c r="S43" s="176"/>
      <c r="T43" s="1" t="str">
        <f t="shared" si="0"/>
        <v/>
      </c>
      <c r="U43" s="154"/>
      <c r="V43" s="79"/>
    </row>
    <row r="44" spans="2:22" x14ac:dyDescent="0.2">
      <c r="B44" s="154"/>
      <c r="C44" s="156"/>
      <c r="D44" s="239" t="s">
        <v>43</v>
      </c>
      <c r="E44" s="240"/>
      <c r="F44" s="241">
        <v>3</v>
      </c>
      <c r="G44" s="242">
        <v>0</v>
      </c>
      <c r="H44" s="242">
        <v>0</v>
      </c>
      <c r="I44" s="242">
        <v>0</v>
      </c>
      <c r="J44" s="242">
        <v>0</v>
      </c>
      <c r="K44" s="242">
        <v>0</v>
      </c>
      <c r="L44" s="242">
        <v>0</v>
      </c>
      <c r="M44" s="242">
        <v>0</v>
      </c>
      <c r="N44" s="242">
        <v>0</v>
      </c>
      <c r="O44" s="243">
        <v>0</v>
      </c>
      <c r="P44" s="242">
        <v>0</v>
      </c>
      <c r="Q44" s="242">
        <f>SUM(F44:J44)</f>
        <v>3</v>
      </c>
      <c r="R44" s="242">
        <v>0</v>
      </c>
      <c r="S44" s="242">
        <v>0</v>
      </c>
      <c r="T44" s="1" t="str">
        <f>IF(SUM(P44:S44)&lt;&gt;SUM(F44:O44),"CHECK","")</f>
        <v/>
      </c>
      <c r="U44" s="154"/>
      <c r="V44" s="79"/>
    </row>
    <row r="45" spans="2:22" x14ac:dyDescent="0.2">
      <c r="B45" s="154"/>
      <c r="C45" s="156"/>
      <c r="D45" s="239" t="s">
        <v>44</v>
      </c>
      <c r="E45" s="240"/>
      <c r="F45" s="241">
        <v>101.655</v>
      </c>
      <c r="G45" s="242">
        <v>0</v>
      </c>
      <c r="H45" s="242">
        <v>0</v>
      </c>
      <c r="I45" s="242">
        <v>0</v>
      </c>
      <c r="J45" s="242">
        <v>0</v>
      </c>
      <c r="K45" s="242">
        <v>0</v>
      </c>
      <c r="L45" s="242">
        <v>0</v>
      </c>
      <c r="M45" s="242">
        <v>0</v>
      </c>
      <c r="N45" s="242">
        <v>0</v>
      </c>
      <c r="O45" s="243">
        <v>0</v>
      </c>
      <c r="P45" s="242">
        <v>0</v>
      </c>
      <c r="Q45" s="242">
        <f>SUM(F45:J45)</f>
        <v>101.655</v>
      </c>
      <c r="R45" s="242">
        <v>0</v>
      </c>
      <c r="S45" s="242">
        <v>0</v>
      </c>
      <c r="T45" s="1" t="str">
        <f>IF(SUM(P45:S45)&lt;&gt;SUM(F45:O45),"CHECK","")</f>
        <v/>
      </c>
      <c r="U45" s="154"/>
      <c r="V45" s="79"/>
    </row>
    <row r="46" spans="2:22" ht="22" customHeight="1" x14ac:dyDescent="0.2">
      <c r="B46" s="154"/>
      <c r="C46" s="156"/>
      <c r="D46" s="344" t="s">
        <v>60</v>
      </c>
      <c r="E46" s="345"/>
      <c r="F46" s="175"/>
      <c r="O46" s="177"/>
      <c r="P46" s="176"/>
      <c r="Q46" s="176"/>
      <c r="R46" s="176"/>
      <c r="S46" s="176"/>
      <c r="T46" s="1" t="str">
        <f t="shared" si="0"/>
        <v/>
      </c>
      <c r="U46" s="154"/>
      <c r="V46" s="79"/>
    </row>
    <row r="47" spans="2:22" x14ac:dyDescent="0.2">
      <c r="B47" s="154"/>
      <c r="C47" s="156"/>
      <c r="D47" s="239" t="s">
        <v>43</v>
      </c>
      <c r="E47" s="240"/>
      <c r="F47" s="241">
        <v>25</v>
      </c>
      <c r="G47" s="242">
        <v>124.2</v>
      </c>
      <c r="H47" s="242">
        <v>0</v>
      </c>
      <c r="I47" s="242">
        <v>0</v>
      </c>
      <c r="J47" s="242">
        <v>0</v>
      </c>
      <c r="K47" s="242">
        <v>0</v>
      </c>
      <c r="L47" s="242">
        <v>0</v>
      </c>
      <c r="M47" s="242">
        <v>0</v>
      </c>
      <c r="N47" s="242">
        <v>0</v>
      </c>
      <c r="O47" s="243">
        <v>0</v>
      </c>
      <c r="P47" s="242">
        <v>0</v>
      </c>
      <c r="Q47" s="242">
        <f>SUM(F47:J47)</f>
        <v>149.19999999999999</v>
      </c>
      <c r="R47" s="242">
        <v>0</v>
      </c>
      <c r="S47" s="242">
        <v>0</v>
      </c>
      <c r="T47" s="1" t="str">
        <f>IF(SUM(P47:S47)&lt;&gt;SUM(F47:O47),"CHECK","")</f>
        <v/>
      </c>
      <c r="U47" s="154"/>
      <c r="V47" s="79"/>
    </row>
    <row r="48" spans="2:22" x14ac:dyDescent="0.2">
      <c r="B48" s="154"/>
      <c r="C48" s="156"/>
      <c r="D48" s="239" t="s">
        <v>44</v>
      </c>
      <c r="E48" s="240"/>
      <c r="F48" s="241">
        <v>442.09</v>
      </c>
      <c r="G48" s="242">
        <v>502.49</v>
      </c>
      <c r="H48" s="242">
        <v>316.07</v>
      </c>
      <c r="I48" s="242">
        <v>169.61</v>
      </c>
      <c r="J48" s="242">
        <v>120.77</v>
      </c>
      <c r="K48" s="242">
        <v>0</v>
      </c>
      <c r="L48" s="242">
        <v>0</v>
      </c>
      <c r="M48" s="242">
        <v>0</v>
      </c>
      <c r="N48" s="242">
        <v>0</v>
      </c>
      <c r="O48" s="243">
        <v>0</v>
      </c>
      <c r="P48" s="242">
        <v>0</v>
      </c>
      <c r="Q48" s="242">
        <f>SUM(F48:J48)</f>
        <v>1551.0299999999997</v>
      </c>
      <c r="R48" s="242">
        <v>0</v>
      </c>
      <c r="S48" s="242">
        <v>0</v>
      </c>
      <c r="T48" s="1" t="str">
        <f>IF(SUM(P48:S48)&lt;&gt;SUM(F48:O48),"CHECK","")</f>
        <v/>
      </c>
      <c r="U48" s="154"/>
      <c r="V48" s="79"/>
    </row>
    <row r="49" spans="2:22" ht="27" customHeight="1" x14ac:dyDescent="0.2">
      <c r="B49" s="154"/>
      <c r="C49" s="351" t="s">
        <v>61</v>
      </c>
      <c r="D49" s="351"/>
      <c r="E49" s="352"/>
      <c r="F49" s="227"/>
      <c r="G49" s="228"/>
      <c r="H49" s="228"/>
      <c r="I49" s="228"/>
      <c r="J49" s="228"/>
      <c r="K49" s="228"/>
      <c r="L49" s="228"/>
      <c r="M49" s="228"/>
      <c r="N49" s="228"/>
      <c r="O49" s="229"/>
      <c r="P49" s="228"/>
      <c r="Q49" s="228"/>
      <c r="R49" s="228"/>
      <c r="S49" s="228"/>
      <c r="U49" s="154"/>
      <c r="V49" s="79"/>
    </row>
    <row r="50" spans="2:22" ht="22.5" customHeight="1" x14ac:dyDescent="0.2">
      <c r="B50" s="154"/>
      <c r="C50" s="156"/>
      <c r="D50" s="349" t="s">
        <v>62</v>
      </c>
      <c r="E50" s="350"/>
      <c r="F50" s="175"/>
      <c r="O50" s="177"/>
      <c r="P50" s="176"/>
      <c r="Q50" s="176"/>
      <c r="R50" s="176"/>
      <c r="S50" s="176"/>
      <c r="T50" s="1" t="str">
        <f t="shared" ref="T50" si="6">IF(SUM(P50:S50)&lt;&gt;SUM(F50:J50),"CHECK","")</f>
        <v/>
      </c>
      <c r="U50" s="154"/>
      <c r="V50" s="79"/>
    </row>
    <row r="51" spans="2:22" x14ac:dyDescent="0.2">
      <c r="B51" s="154"/>
      <c r="C51" s="156"/>
      <c r="D51" s="239" t="s">
        <v>43</v>
      </c>
      <c r="E51" s="240"/>
      <c r="F51" s="241">
        <v>3.33</v>
      </c>
      <c r="G51" s="242">
        <v>0</v>
      </c>
      <c r="H51" s="242">
        <v>0</v>
      </c>
      <c r="I51" s="242">
        <v>0</v>
      </c>
      <c r="J51" s="242">
        <v>3.33</v>
      </c>
      <c r="K51" s="242">
        <v>0</v>
      </c>
      <c r="L51" s="242">
        <v>0</v>
      </c>
      <c r="M51" s="242">
        <v>0</v>
      </c>
      <c r="N51" s="242">
        <v>0</v>
      </c>
      <c r="O51" s="243">
        <v>0</v>
      </c>
      <c r="P51" s="242">
        <v>0</v>
      </c>
      <c r="Q51" s="242">
        <f>SUM(F51:J51)</f>
        <v>6.66</v>
      </c>
      <c r="R51" s="242">
        <v>0</v>
      </c>
      <c r="S51" s="242">
        <v>0</v>
      </c>
      <c r="T51" s="1" t="str">
        <f>IF(SUM(P51:S51)&lt;&gt;SUM(F51:O51),"CHECK","")</f>
        <v/>
      </c>
      <c r="U51" s="154"/>
      <c r="V51" s="79"/>
    </row>
    <row r="52" spans="2:22" x14ac:dyDescent="0.2">
      <c r="B52" s="154"/>
      <c r="C52" s="156"/>
      <c r="D52" s="239" t="s">
        <v>44</v>
      </c>
      <c r="E52" s="240"/>
      <c r="F52" s="241">
        <v>218.72</v>
      </c>
      <c r="G52" s="242">
        <v>231.35</v>
      </c>
      <c r="H52" s="242">
        <v>218.72</v>
      </c>
      <c r="I52" s="242">
        <v>231.35</v>
      </c>
      <c r="J52" s="242">
        <v>218.72</v>
      </c>
      <c r="K52" s="242">
        <v>0</v>
      </c>
      <c r="L52" s="242">
        <v>0</v>
      </c>
      <c r="M52" s="242">
        <v>0</v>
      </c>
      <c r="N52" s="242">
        <v>0</v>
      </c>
      <c r="O52" s="243">
        <v>0</v>
      </c>
      <c r="P52" s="242">
        <v>0</v>
      </c>
      <c r="Q52" s="242">
        <f>SUM(F52:J52)</f>
        <v>1118.8599999999999</v>
      </c>
      <c r="R52" s="242">
        <v>0</v>
      </c>
      <c r="S52" s="242">
        <v>0</v>
      </c>
      <c r="T52" s="1" t="str">
        <f>IF(SUM(P52:S52)&lt;&gt;SUM(F52:O52),"CHECK","")</f>
        <v/>
      </c>
      <c r="U52" s="154"/>
      <c r="V52" s="79"/>
    </row>
    <row r="53" spans="2:22" x14ac:dyDescent="0.2">
      <c r="B53" s="154"/>
      <c r="C53" s="156"/>
      <c r="D53" s="349" t="s">
        <v>63</v>
      </c>
      <c r="E53" s="350"/>
      <c r="F53" s="175"/>
      <c r="O53" s="177"/>
      <c r="P53" s="176"/>
      <c r="Q53" s="176"/>
      <c r="R53" s="176"/>
      <c r="S53" s="176"/>
      <c r="U53" s="154"/>
      <c r="V53" s="79"/>
    </row>
    <row r="54" spans="2:22" x14ac:dyDescent="0.2">
      <c r="B54" s="154"/>
      <c r="C54" s="156"/>
      <c r="D54" s="239" t="s">
        <v>43</v>
      </c>
      <c r="E54" s="240"/>
      <c r="F54" s="241">
        <v>109</v>
      </c>
      <c r="G54" s="242">
        <v>539.75</v>
      </c>
      <c r="H54" s="242">
        <v>114.75</v>
      </c>
      <c r="I54" s="242">
        <v>131.75</v>
      </c>
      <c r="J54" s="242">
        <v>104.75</v>
      </c>
      <c r="K54" s="242">
        <v>0</v>
      </c>
      <c r="L54" s="242">
        <v>0</v>
      </c>
      <c r="M54" s="242">
        <v>0</v>
      </c>
      <c r="N54" s="242">
        <v>0</v>
      </c>
      <c r="O54" s="243">
        <v>0</v>
      </c>
      <c r="P54" s="242">
        <v>0</v>
      </c>
      <c r="Q54" s="242">
        <f t="shared" ref="Q54:Q61" si="7">SUM(F54:J54)</f>
        <v>1000</v>
      </c>
      <c r="R54" s="242">
        <v>0</v>
      </c>
      <c r="S54" s="242">
        <v>0</v>
      </c>
      <c r="U54" s="154"/>
      <c r="V54" s="79"/>
    </row>
    <row r="55" spans="2:22" x14ac:dyDescent="0.2">
      <c r="B55" s="154"/>
      <c r="C55" s="156"/>
      <c r="D55" s="239" t="s">
        <v>44</v>
      </c>
      <c r="E55" s="240"/>
      <c r="F55" s="241">
        <v>0</v>
      </c>
      <c r="G55" s="242">
        <v>0</v>
      </c>
      <c r="H55" s="242">
        <v>0</v>
      </c>
      <c r="I55" s="242">
        <v>0</v>
      </c>
      <c r="J55" s="242">
        <v>0</v>
      </c>
      <c r="K55" s="242">
        <v>0</v>
      </c>
      <c r="L55" s="242">
        <v>0</v>
      </c>
      <c r="M55" s="242">
        <v>0</v>
      </c>
      <c r="N55" s="242">
        <v>0</v>
      </c>
      <c r="O55" s="243">
        <v>0</v>
      </c>
      <c r="P55" s="242">
        <v>0</v>
      </c>
      <c r="Q55" s="242">
        <f t="shared" si="7"/>
        <v>0</v>
      </c>
      <c r="R55" s="242">
        <v>0</v>
      </c>
      <c r="S55" s="242">
        <v>0</v>
      </c>
      <c r="U55" s="154"/>
      <c r="V55" s="79"/>
    </row>
    <row r="56" spans="2:22" ht="24" customHeight="1" x14ac:dyDescent="0.2">
      <c r="B56" s="154"/>
      <c r="C56" s="156"/>
      <c r="D56" s="344" t="s">
        <v>64</v>
      </c>
      <c r="E56" s="345"/>
      <c r="F56" s="175"/>
      <c r="O56" s="177"/>
      <c r="P56" s="176"/>
      <c r="Q56" s="296"/>
      <c r="R56" s="176"/>
      <c r="S56" s="176"/>
      <c r="U56" s="154"/>
      <c r="V56" s="79"/>
    </row>
    <row r="57" spans="2:22" x14ac:dyDescent="0.2">
      <c r="B57" s="154"/>
      <c r="C57" s="156"/>
      <c r="D57" s="239" t="s">
        <v>43</v>
      </c>
      <c r="E57" s="240"/>
      <c r="F57" s="241">
        <v>0</v>
      </c>
      <c r="G57" s="242">
        <v>0</v>
      </c>
      <c r="H57" s="242">
        <v>0</v>
      </c>
      <c r="I57" s="242">
        <v>0</v>
      </c>
      <c r="J57" s="242">
        <v>0</v>
      </c>
      <c r="K57" s="242">
        <v>0</v>
      </c>
      <c r="L57" s="242">
        <v>0</v>
      </c>
      <c r="M57" s="242">
        <v>0</v>
      </c>
      <c r="N57" s="242">
        <v>0</v>
      </c>
      <c r="O57" s="243">
        <v>0</v>
      </c>
      <c r="P57" s="242">
        <v>0</v>
      </c>
      <c r="Q57" s="242">
        <f t="shared" si="7"/>
        <v>0</v>
      </c>
      <c r="R57" s="242">
        <v>0</v>
      </c>
      <c r="S57" s="242">
        <v>0</v>
      </c>
      <c r="U57" s="154"/>
      <c r="V57" s="79"/>
    </row>
    <row r="58" spans="2:22" x14ac:dyDescent="0.2">
      <c r="B58" s="154"/>
      <c r="C58" s="156"/>
      <c r="D58" s="239" t="s">
        <v>44</v>
      </c>
      <c r="E58" s="240"/>
      <c r="F58" s="241">
        <v>113.64</v>
      </c>
      <c r="G58" s="242">
        <v>102.8</v>
      </c>
      <c r="H58" s="242">
        <v>30.84</v>
      </c>
      <c r="I58" s="242">
        <v>0</v>
      </c>
      <c r="J58" s="242">
        <v>0</v>
      </c>
      <c r="K58" s="242">
        <v>0</v>
      </c>
      <c r="L58" s="242">
        <v>0</v>
      </c>
      <c r="M58" s="242">
        <v>0</v>
      </c>
      <c r="N58" s="242">
        <v>0</v>
      </c>
      <c r="O58" s="243">
        <v>0</v>
      </c>
      <c r="P58" s="242">
        <v>0</v>
      </c>
      <c r="Q58" s="242">
        <f t="shared" si="7"/>
        <v>247.28</v>
      </c>
      <c r="R58" s="242">
        <v>0</v>
      </c>
      <c r="S58" s="242">
        <v>0</v>
      </c>
      <c r="U58" s="154"/>
      <c r="V58" s="79"/>
    </row>
    <row r="59" spans="2:22" ht="22.5" customHeight="1" x14ac:dyDescent="0.2">
      <c r="B59" s="154"/>
      <c r="C59" s="156"/>
      <c r="D59" s="344" t="s">
        <v>65</v>
      </c>
      <c r="E59" s="345"/>
      <c r="F59" s="175"/>
      <c r="O59" s="177"/>
      <c r="P59" s="176"/>
      <c r="Q59" s="296"/>
      <c r="R59" s="176"/>
      <c r="S59" s="176"/>
      <c r="U59" s="154"/>
      <c r="V59" s="79"/>
    </row>
    <row r="60" spans="2:22" x14ac:dyDescent="0.2">
      <c r="B60" s="154"/>
      <c r="C60" s="156"/>
      <c r="D60" s="239" t="s">
        <v>43</v>
      </c>
      <c r="E60" s="240"/>
      <c r="F60" s="241">
        <v>25</v>
      </c>
      <c r="G60" s="242">
        <v>0</v>
      </c>
      <c r="H60" s="242">
        <v>0</v>
      </c>
      <c r="I60" s="242">
        <v>0</v>
      </c>
      <c r="J60" s="242">
        <v>0</v>
      </c>
      <c r="K60" s="242">
        <v>0</v>
      </c>
      <c r="L60" s="242">
        <v>0</v>
      </c>
      <c r="M60" s="242">
        <v>0</v>
      </c>
      <c r="N60" s="242">
        <v>0</v>
      </c>
      <c r="O60" s="243">
        <v>0</v>
      </c>
      <c r="P60" s="242">
        <v>0</v>
      </c>
      <c r="Q60" s="242">
        <f t="shared" si="7"/>
        <v>25</v>
      </c>
      <c r="R60" s="242">
        <v>0</v>
      </c>
      <c r="S60" s="242">
        <v>0</v>
      </c>
      <c r="U60" s="154"/>
      <c r="V60" s="79"/>
    </row>
    <row r="61" spans="2:22" x14ac:dyDescent="0.2">
      <c r="B61" s="154"/>
      <c r="C61" s="156"/>
      <c r="D61" s="239" t="s">
        <v>44</v>
      </c>
      <c r="E61" s="240"/>
      <c r="F61" s="241">
        <v>0</v>
      </c>
      <c r="G61" s="242">
        <v>0</v>
      </c>
      <c r="H61" s="242">
        <v>0</v>
      </c>
      <c r="I61" s="242">
        <v>0</v>
      </c>
      <c r="J61" s="242">
        <v>0</v>
      </c>
      <c r="K61" s="242">
        <v>0</v>
      </c>
      <c r="L61" s="242">
        <v>0</v>
      </c>
      <c r="M61" s="242">
        <v>0</v>
      </c>
      <c r="N61" s="242">
        <v>0</v>
      </c>
      <c r="O61" s="243">
        <v>0</v>
      </c>
      <c r="P61" s="242">
        <v>0</v>
      </c>
      <c r="Q61" s="242">
        <f t="shared" si="7"/>
        <v>0</v>
      </c>
      <c r="R61" s="242">
        <v>0</v>
      </c>
      <c r="S61" s="242">
        <v>0</v>
      </c>
      <c r="U61" s="154"/>
      <c r="V61" s="79"/>
    </row>
    <row r="62" spans="2:22" ht="14.5" customHeight="1" x14ac:dyDescent="0.2">
      <c r="B62" s="363" t="s">
        <v>66</v>
      </c>
      <c r="C62" s="363"/>
      <c r="D62" s="363"/>
      <c r="E62" s="230" t="s">
        <v>49</v>
      </c>
      <c r="F62" s="232">
        <f>F31+F34+F37+F41+F44+F47+F51+F54+F57+F60</f>
        <v>1961.7749999999999</v>
      </c>
      <c r="G62" s="232">
        <f t="shared" ref="G62:O62" si="8">G31+G34+G37+G41+G44+G47+G51+G54+G57+G60</f>
        <v>4174.17</v>
      </c>
      <c r="H62" s="232">
        <f t="shared" si="8"/>
        <v>607.61</v>
      </c>
      <c r="I62" s="232">
        <f t="shared" si="8"/>
        <v>655.28499999999997</v>
      </c>
      <c r="J62" s="232">
        <f t="shared" si="8"/>
        <v>615.54</v>
      </c>
      <c r="K62" s="232">
        <f>K31+K34+K37+K41+K44+K47+K51+K54+K57+K60</f>
        <v>278.29700000000003</v>
      </c>
      <c r="L62" s="232">
        <f t="shared" si="8"/>
        <v>376.95</v>
      </c>
      <c r="M62" s="232">
        <f t="shared" si="8"/>
        <v>376.95</v>
      </c>
      <c r="N62" s="232">
        <f t="shared" si="8"/>
        <v>376.95</v>
      </c>
      <c r="O62" s="233">
        <f t="shared" si="8"/>
        <v>376.95</v>
      </c>
      <c r="P62" s="232">
        <f>P31+P34+P37+P41+P44+P47+P51+P54+P57+P60</f>
        <v>1786.0970000000002</v>
      </c>
      <c r="Q62" s="232">
        <f>Q31+Q34+Q37+Q41+Q44+Q47+Q51+Q54+Q57+Q60</f>
        <v>8014.3799999999983</v>
      </c>
      <c r="R62" s="232">
        <f>R31+R34+R37+R41+R44+R47+R51</f>
        <v>0</v>
      </c>
      <c r="S62" s="232">
        <f>S31+S34+S37+S41+S44+S47+S51</f>
        <v>0</v>
      </c>
      <c r="T62" s="1" t="str">
        <f>IF(SUM(P62:S62)&lt;&gt;SUM(F62:O62),"CHECK","")</f>
        <v/>
      </c>
      <c r="U62" s="154"/>
      <c r="V62" s="79"/>
    </row>
    <row r="63" spans="2:22" ht="21" customHeight="1" x14ac:dyDescent="0.2">
      <c r="B63" s="363"/>
      <c r="C63" s="363"/>
      <c r="D63" s="363"/>
      <c r="E63" s="230" t="s">
        <v>50</v>
      </c>
      <c r="F63" s="232">
        <f>F32+F35+F38+F42+F45+F48+F52+F55+F58+F61</f>
        <v>1558.826</v>
      </c>
      <c r="G63" s="232">
        <f t="shared" ref="G63:O63" si="9">G32+G35+G38+G42+G45+G48+G52+G55+G58+G61</f>
        <v>1392.6539999999998</v>
      </c>
      <c r="H63" s="232">
        <f t="shared" si="9"/>
        <v>794.29100000000005</v>
      </c>
      <c r="I63" s="232">
        <f t="shared" si="9"/>
        <v>519.98099999999999</v>
      </c>
      <c r="J63" s="232">
        <f t="shared" si="9"/>
        <v>492.53499999999997</v>
      </c>
      <c r="K63" s="232">
        <f t="shared" si="9"/>
        <v>0</v>
      </c>
      <c r="L63" s="232">
        <f t="shared" si="9"/>
        <v>0</v>
      </c>
      <c r="M63" s="232">
        <f t="shared" si="9"/>
        <v>0</v>
      </c>
      <c r="N63" s="232">
        <f t="shared" si="9"/>
        <v>0</v>
      </c>
      <c r="O63" s="233">
        <f t="shared" si="9"/>
        <v>0</v>
      </c>
      <c r="P63" s="232">
        <f>P32+P35+P38+P42+P45+P48+P52+P55+P58+P61</f>
        <v>0</v>
      </c>
      <c r="Q63" s="232">
        <f>Q32+Q35+Q38+Q42+Q45+Q48+Q52+Q55+Q58+Q61</f>
        <v>4758.2869999999994</v>
      </c>
      <c r="R63" s="232">
        <f>R32+R35+R38+R42+R45+R48+R52</f>
        <v>0</v>
      </c>
      <c r="S63" s="232">
        <f>S32+S35+S38+S42+S45+S48+S52</f>
        <v>0</v>
      </c>
      <c r="T63" s="1" t="str">
        <f>IF(SUM(P63:S63)&lt;&gt;SUM(F63:O63),"CHECK","")</f>
        <v/>
      </c>
      <c r="U63" s="154"/>
      <c r="V63" s="79"/>
    </row>
    <row r="64" spans="2:22" ht="14.5" customHeight="1" x14ac:dyDescent="0.2">
      <c r="B64" s="363"/>
      <c r="C64" s="363"/>
      <c r="D64" s="363"/>
      <c r="E64" s="230" t="s">
        <v>51</v>
      </c>
      <c r="F64" s="231">
        <f>F62+F63</f>
        <v>3520.6009999999997</v>
      </c>
      <c r="G64" s="232">
        <f t="shared" ref="G64:O64" si="10">G62+G63</f>
        <v>5566.8239999999996</v>
      </c>
      <c r="H64" s="232">
        <f t="shared" si="10"/>
        <v>1401.9010000000001</v>
      </c>
      <c r="I64" s="232">
        <f t="shared" si="10"/>
        <v>1175.2660000000001</v>
      </c>
      <c r="J64" s="232">
        <f t="shared" si="10"/>
        <v>1108.0749999999998</v>
      </c>
      <c r="K64" s="232">
        <f t="shared" si="10"/>
        <v>278.29700000000003</v>
      </c>
      <c r="L64" s="232">
        <f t="shared" si="10"/>
        <v>376.95</v>
      </c>
      <c r="M64" s="232">
        <f t="shared" si="10"/>
        <v>376.95</v>
      </c>
      <c r="N64" s="232">
        <f t="shared" si="10"/>
        <v>376.95</v>
      </c>
      <c r="O64" s="233">
        <f t="shared" si="10"/>
        <v>376.95</v>
      </c>
      <c r="P64" s="232">
        <f t="shared" ref="P64:S64" si="11">P62+P63</f>
        <v>1786.0970000000002</v>
      </c>
      <c r="Q64" s="232">
        <f>Q62+Q63</f>
        <v>12772.666999999998</v>
      </c>
      <c r="R64" s="232">
        <f t="shared" si="11"/>
        <v>0</v>
      </c>
      <c r="S64" s="232">
        <f t="shared" si="11"/>
        <v>0</v>
      </c>
      <c r="T64" s="1" t="str">
        <f>IF(SUM(P64:S64)&lt;&gt;SUM(F64:O64),"CHECK","")</f>
        <v/>
      </c>
      <c r="U64" s="154"/>
      <c r="V64" s="79"/>
    </row>
    <row r="65" spans="2:22" ht="4.5" customHeight="1" x14ac:dyDescent="0.2">
      <c r="E65" s="22"/>
      <c r="F65" s="178"/>
      <c r="G65" s="168"/>
      <c r="H65" s="168"/>
      <c r="I65" s="168"/>
      <c r="J65" s="168"/>
      <c r="K65" s="168"/>
      <c r="L65" s="168"/>
      <c r="M65" s="168"/>
      <c r="N65" s="168"/>
      <c r="O65" s="167"/>
      <c r="T65" s="1" t="str">
        <f t="shared" si="0"/>
        <v/>
      </c>
      <c r="V65" s="79"/>
    </row>
    <row r="66" spans="2:22" ht="36" customHeight="1" x14ac:dyDescent="0.2">
      <c r="B66" s="347" t="s">
        <v>67</v>
      </c>
      <c r="C66" s="347"/>
      <c r="D66" s="347"/>
      <c r="E66" s="348"/>
      <c r="F66" s="224"/>
      <c r="G66" s="225"/>
      <c r="H66" s="225"/>
      <c r="I66" s="225"/>
      <c r="J66" s="225"/>
      <c r="K66" s="225"/>
      <c r="L66" s="225"/>
      <c r="M66" s="225"/>
      <c r="N66" s="225"/>
      <c r="O66" s="226"/>
      <c r="P66" s="225"/>
      <c r="Q66" s="225"/>
      <c r="R66" s="225"/>
      <c r="S66" s="225"/>
      <c r="T66" s="1" t="str">
        <f t="shared" si="0"/>
        <v/>
      </c>
    </row>
    <row r="67" spans="2:22" ht="33.75" customHeight="1" x14ac:dyDescent="0.2">
      <c r="B67" s="154"/>
      <c r="C67" s="351" t="s">
        <v>68</v>
      </c>
      <c r="D67" s="351"/>
      <c r="E67" s="352"/>
      <c r="F67" s="227"/>
      <c r="G67" s="228"/>
      <c r="H67" s="228"/>
      <c r="I67" s="228"/>
      <c r="J67" s="228"/>
      <c r="K67" s="228"/>
      <c r="L67" s="228"/>
      <c r="M67" s="228"/>
      <c r="N67" s="228"/>
      <c r="O67" s="229"/>
      <c r="P67" s="228"/>
      <c r="Q67" s="228"/>
      <c r="R67" s="228"/>
      <c r="S67" s="228"/>
      <c r="T67" s="1" t="str">
        <f t="shared" si="0"/>
        <v/>
      </c>
      <c r="U67" s="78"/>
      <c r="V67" s="79"/>
    </row>
    <row r="68" spans="2:22" x14ac:dyDescent="0.2">
      <c r="B68" s="154"/>
      <c r="C68" s="154"/>
      <c r="D68" s="344" t="s">
        <v>69</v>
      </c>
      <c r="E68" s="345"/>
      <c r="F68" s="175"/>
      <c r="O68" s="177"/>
      <c r="P68" s="176"/>
      <c r="Q68" s="176"/>
      <c r="R68" s="176"/>
      <c r="S68" s="176"/>
      <c r="T68" s="1" t="str">
        <f t="shared" si="0"/>
        <v/>
      </c>
      <c r="U68" s="78"/>
      <c r="V68" s="79"/>
    </row>
    <row r="69" spans="2:22" x14ac:dyDescent="0.2">
      <c r="B69" s="154"/>
      <c r="C69" s="154"/>
      <c r="D69" s="239" t="s">
        <v>43</v>
      </c>
      <c r="E69" s="240"/>
      <c r="F69" s="241">
        <v>3.33</v>
      </c>
      <c r="G69" s="242">
        <v>0</v>
      </c>
      <c r="H69" s="242">
        <v>0</v>
      </c>
      <c r="I69" s="242">
        <v>0</v>
      </c>
      <c r="J69" s="242">
        <v>3.33</v>
      </c>
      <c r="K69" s="242">
        <v>0</v>
      </c>
      <c r="L69" s="242">
        <v>0</v>
      </c>
      <c r="M69" s="242">
        <v>0</v>
      </c>
      <c r="N69" s="242">
        <v>0</v>
      </c>
      <c r="O69" s="243">
        <v>0</v>
      </c>
      <c r="P69" s="242">
        <v>0</v>
      </c>
      <c r="Q69" s="242">
        <f>SUM(F69:J69)</f>
        <v>6.66</v>
      </c>
      <c r="R69" s="242">
        <v>0</v>
      </c>
      <c r="S69" s="242">
        <v>0</v>
      </c>
      <c r="T69" s="1" t="str">
        <f t="shared" ref="T69:T81" si="12">IF(SUM(P69:S69)&lt;&gt;SUM(F69:O69),"CHECK","")</f>
        <v/>
      </c>
      <c r="U69" s="78"/>
      <c r="V69" s="79"/>
    </row>
    <row r="70" spans="2:22" x14ac:dyDescent="0.2">
      <c r="B70" s="154"/>
      <c r="C70" s="154"/>
      <c r="D70" s="239" t="s">
        <v>44</v>
      </c>
      <c r="E70" s="240"/>
      <c r="F70" s="241">
        <v>100.7</v>
      </c>
      <c r="G70" s="242">
        <v>81.58</v>
      </c>
      <c r="H70" s="242">
        <v>81.58</v>
      </c>
      <c r="I70" s="242">
        <v>81.58</v>
      </c>
      <c r="J70" s="242">
        <v>87.58</v>
      </c>
      <c r="K70" s="242">
        <v>0</v>
      </c>
      <c r="L70" s="242">
        <v>0</v>
      </c>
      <c r="M70" s="242">
        <v>0</v>
      </c>
      <c r="N70" s="242">
        <v>0</v>
      </c>
      <c r="O70" s="243">
        <v>0</v>
      </c>
      <c r="P70" s="242">
        <v>0</v>
      </c>
      <c r="Q70" s="242">
        <f>SUM(F70:J70)</f>
        <v>433.02</v>
      </c>
      <c r="R70" s="242">
        <v>0</v>
      </c>
      <c r="S70" s="242">
        <v>0</v>
      </c>
      <c r="T70" s="1" t="str">
        <f t="shared" si="12"/>
        <v/>
      </c>
      <c r="U70" s="78"/>
      <c r="V70" s="79"/>
    </row>
    <row r="71" spans="2:22" ht="27" customHeight="1" x14ac:dyDescent="0.2">
      <c r="B71" s="154"/>
      <c r="C71" s="154"/>
      <c r="D71" s="344" t="s">
        <v>70</v>
      </c>
      <c r="E71" s="345"/>
      <c r="F71" s="175"/>
      <c r="O71" s="177"/>
      <c r="P71" s="176"/>
      <c r="Q71" s="176"/>
      <c r="R71" s="176"/>
      <c r="S71" s="176"/>
      <c r="T71" s="1" t="str">
        <f t="shared" si="0"/>
        <v/>
      </c>
      <c r="U71" s="78"/>
      <c r="V71" s="79"/>
    </row>
    <row r="72" spans="2:22" x14ac:dyDescent="0.2">
      <c r="B72" s="154"/>
      <c r="C72" s="154"/>
      <c r="D72" s="239" t="s">
        <v>43</v>
      </c>
      <c r="E72" s="240"/>
      <c r="F72" s="241">
        <v>0</v>
      </c>
      <c r="G72" s="242">
        <v>0</v>
      </c>
      <c r="H72" s="242">
        <v>0</v>
      </c>
      <c r="I72" s="242">
        <v>0</v>
      </c>
      <c r="J72" s="242">
        <v>0</v>
      </c>
      <c r="K72" s="242">
        <v>0</v>
      </c>
      <c r="L72" s="242">
        <v>0</v>
      </c>
      <c r="M72" s="242">
        <v>0</v>
      </c>
      <c r="N72" s="242">
        <v>0</v>
      </c>
      <c r="O72" s="243">
        <v>0</v>
      </c>
      <c r="P72" s="242">
        <v>0</v>
      </c>
      <c r="Q72" s="242">
        <v>0</v>
      </c>
      <c r="R72" s="242">
        <v>0</v>
      </c>
      <c r="S72" s="242">
        <v>0</v>
      </c>
      <c r="T72" s="1" t="str">
        <f t="shared" si="12"/>
        <v/>
      </c>
      <c r="U72" s="78"/>
      <c r="V72" s="79"/>
    </row>
    <row r="73" spans="2:22" x14ac:dyDescent="0.2">
      <c r="B73" s="154"/>
      <c r="C73" s="154"/>
      <c r="D73" s="239" t="s">
        <v>44</v>
      </c>
      <c r="E73" s="240"/>
      <c r="F73" s="241">
        <v>7.29</v>
      </c>
      <c r="G73" s="242">
        <v>3.54</v>
      </c>
      <c r="H73" s="242">
        <v>3.54</v>
      </c>
      <c r="I73" s="242">
        <v>3.54</v>
      </c>
      <c r="J73" s="242">
        <v>7.29</v>
      </c>
      <c r="K73" s="242">
        <v>0</v>
      </c>
      <c r="L73" s="242">
        <v>0</v>
      </c>
      <c r="M73" s="242">
        <v>0</v>
      </c>
      <c r="N73" s="242">
        <v>0</v>
      </c>
      <c r="O73" s="243">
        <v>0</v>
      </c>
      <c r="P73" s="242">
        <v>0</v>
      </c>
      <c r="Q73" s="242">
        <v>25.2</v>
      </c>
      <c r="R73" s="242">
        <v>0</v>
      </c>
      <c r="S73" s="242">
        <v>0</v>
      </c>
      <c r="T73" s="1" t="str">
        <f t="shared" si="12"/>
        <v/>
      </c>
      <c r="U73" s="78"/>
      <c r="V73" s="79"/>
    </row>
    <row r="74" spans="2:22" ht="25" customHeight="1" x14ac:dyDescent="0.2">
      <c r="B74" s="154"/>
      <c r="C74" s="154"/>
      <c r="D74" s="344" t="s">
        <v>71</v>
      </c>
      <c r="E74" s="345"/>
      <c r="F74" s="175"/>
      <c r="O74" s="177"/>
      <c r="P74" s="176"/>
      <c r="Q74" s="176"/>
      <c r="R74" s="176"/>
      <c r="S74" s="176"/>
      <c r="T74" s="1" t="str">
        <f t="shared" ref="T74:T115" si="13">IF(SUM(P74:S74)&lt;&gt;SUM(F74:J74),"CHECK","")</f>
        <v/>
      </c>
      <c r="U74" s="78"/>
      <c r="V74" s="79"/>
    </row>
    <row r="75" spans="2:22" x14ac:dyDescent="0.2">
      <c r="B75" s="154"/>
      <c r="C75" s="154"/>
      <c r="D75" s="239" t="s">
        <v>43</v>
      </c>
      <c r="E75" s="240"/>
      <c r="F75" s="241">
        <v>25.44</v>
      </c>
      <c r="G75" s="242">
        <v>3.9</v>
      </c>
      <c r="H75" s="242">
        <v>3.9</v>
      </c>
      <c r="I75" s="242">
        <v>3.9</v>
      </c>
      <c r="J75" s="242">
        <v>3.9</v>
      </c>
      <c r="K75" s="242">
        <v>0</v>
      </c>
      <c r="L75" s="242">
        <v>0</v>
      </c>
      <c r="M75" s="242">
        <v>0</v>
      </c>
      <c r="N75" s="242">
        <v>0</v>
      </c>
      <c r="O75" s="243">
        <v>0</v>
      </c>
      <c r="P75" s="242">
        <v>0</v>
      </c>
      <c r="Q75" s="242">
        <f>SUM(F75:J75)</f>
        <v>41.04</v>
      </c>
      <c r="R75" s="242">
        <v>0</v>
      </c>
      <c r="S75" s="242">
        <v>0</v>
      </c>
      <c r="T75" s="1" t="str">
        <f t="shared" si="12"/>
        <v/>
      </c>
      <c r="U75" s="78"/>
      <c r="V75" s="79"/>
    </row>
    <row r="76" spans="2:22" x14ac:dyDescent="0.2">
      <c r="B76" s="154"/>
      <c r="C76" s="154"/>
      <c r="D76" s="239" t="s">
        <v>44</v>
      </c>
      <c r="E76" s="240"/>
      <c r="F76" s="241">
        <v>43.195999999999998</v>
      </c>
      <c r="G76" s="242">
        <v>43.195999999999998</v>
      </c>
      <c r="H76" s="242">
        <v>43.195999999999998</v>
      </c>
      <c r="I76" s="242">
        <v>43.195999999999998</v>
      </c>
      <c r="J76" s="242">
        <v>43.195999999999998</v>
      </c>
      <c r="K76" s="242">
        <v>0</v>
      </c>
      <c r="L76" s="242">
        <v>0</v>
      </c>
      <c r="M76" s="242">
        <v>0</v>
      </c>
      <c r="N76" s="242">
        <v>0</v>
      </c>
      <c r="O76" s="243">
        <v>0</v>
      </c>
      <c r="P76" s="242">
        <v>0</v>
      </c>
      <c r="Q76" s="242">
        <f>SUM(F76:J76)</f>
        <v>215.98</v>
      </c>
      <c r="R76" s="242">
        <v>0</v>
      </c>
      <c r="S76" s="242">
        <v>0</v>
      </c>
      <c r="T76" s="1" t="str">
        <f t="shared" si="12"/>
        <v/>
      </c>
      <c r="U76" s="78"/>
      <c r="V76" s="79"/>
    </row>
    <row r="77" spans="2:22" ht="24.5" customHeight="1" x14ac:dyDescent="0.2">
      <c r="B77" s="154"/>
      <c r="C77" s="154"/>
      <c r="D77" s="344" t="s">
        <v>72</v>
      </c>
      <c r="E77" s="345"/>
      <c r="F77" s="175"/>
      <c r="O77" s="177"/>
      <c r="P77" s="176"/>
      <c r="Q77" s="176"/>
      <c r="R77" s="176"/>
      <c r="S77" s="176"/>
      <c r="T77" s="1" t="str">
        <f t="shared" si="13"/>
        <v/>
      </c>
      <c r="U77" s="78"/>
      <c r="V77" s="79"/>
    </row>
    <row r="78" spans="2:22" x14ac:dyDescent="0.2">
      <c r="B78" s="154"/>
      <c r="C78" s="154"/>
      <c r="D78" s="239" t="s">
        <v>43</v>
      </c>
      <c r="E78" s="240"/>
      <c r="F78" s="241">
        <v>148.4</v>
      </c>
      <c r="G78" s="242">
        <v>20.43</v>
      </c>
      <c r="H78" s="242">
        <v>20.43</v>
      </c>
      <c r="I78" s="242">
        <v>179.42</v>
      </c>
      <c r="J78" s="242">
        <v>20.43</v>
      </c>
      <c r="K78" s="242">
        <v>0</v>
      </c>
      <c r="L78" s="242">
        <v>0</v>
      </c>
      <c r="M78" s="242">
        <v>0</v>
      </c>
      <c r="N78" s="242">
        <v>0</v>
      </c>
      <c r="O78" s="243">
        <v>0</v>
      </c>
      <c r="P78" s="242">
        <v>148.4</v>
      </c>
      <c r="Q78" s="242">
        <f>SUM(G78:J78)</f>
        <v>240.70999999999998</v>
      </c>
      <c r="R78" s="242">
        <v>0</v>
      </c>
      <c r="S78" s="242">
        <v>0</v>
      </c>
      <c r="U78" s="78"/>
      <c r="V78" s="79"/>
    </row>
    <row r="79" spans="2:22" x14ac:dyDescent="0.2">
      <c r="B79" s="154"/>
      <c r="C79" s="154"/>
      <c r="D79" s="239" t="s">
        <v>44</v>
      </c>
      <c r="E79" s="240"/>
      <c r="F79" s="241">
        <v>47.16</v>
      </c>
      <c r="G79" s="242">
        <v>424.78</v>
      </c>
      <c r="H79" s="242">
        <v>424.78</v>
      </c>
      <c r="I79" s="242">
        <v>329.40800000000002</v>
      </c>
      <c r="J79" s="242">
        <v>195.49700000000001</v>
      </c>
      <c r="K79" s="242">
        <v>0</v>
      </c>
      <c r="L79" s="242">
        <v>0</v>
      </c>
      <c r="M79" s="242">
        <v>0</v>
      </c>
      <c r="N79" s="242">
        <v>0</v>
      </c>
      <c r="O79" s="243">
        <v>0</v>
      </c>
      <c r="P79" s="242">
        <v>0</v>
      </c>
      <c r="Q79" s="242">
        <f>SUM(F79:J79)</f>
        <v>1421.625</v>
      </c>
      <c r="R79" s="242">
        <v>0</v>
      </c>
      <c r="S79" s="242">
        <v>0</v>
      </c>
      <c r="T79" s="1" t="str">
        <f t="shared" si="12"/>
        <v/>
      </c>
      <c r="U79" s="78"/>
      <c r="V79" s="79"/>
    </row>
    <row r="80" spans="2:22" ht="15" customHeight="1" x14ac:dyDescent="0.2">
      <c r="B80" s="363" t="s">
        <v>73</v>
      </c>
      <c r="C80" s="363"/>
      <c r="D80" s="363"/>
      <c r="E80" s="230" t="s">
        <v>49</v>
      </c>
      <c r="F80" s="231">
        <f>F69+F72+F75+F78</f>
        <v>177.17000000000002</v>
      </c>
      <c r="G80" s="232">
        <f t="shared" ref="G80:J80" si="14">G69+G72+G75+G78</f>
        <v>24.33</v>
      </c>
      <c r="H80" s="232">
        <f t="shared" si="14"/>
        <v>24.33</v>
      </c>
      <c r="I80" s="232">
        <f t="shared" si="14"/>
        <v>183.32</v>
      </c>
      <c r="J80" s="232">
        <f t="shared" si="14"/>
        <v>27.66</v>
      </c>
      <c r="K80" s="232">
        <f t="shared" ref="K80:O80" si="15">K69+K72+K75+K78</f>
        <v>0</v>
      </c>
      <c r="L80" s="232">
        <f t="shared" si="15"/>
        <v>0</v>
      </c>
      <c r="M80" s="232">
        <f t="shared" si="15"/>
        <v>0</v>
      </c>
      <c r="N80" s="232">
        <f t="shared" si="15"/>
        <v>0</v>
      </c>
      <c r="O80" s="233">
        <f t="shared" si="15"/>
        <v>0</v>
      </c>
      <c r="P80" s="232">
        <f t="shared" ref="P80:S80" si="16">P69+P72+P75+P78</f>
        <v>148.4</v>
      </c>
      <c r="Q80" s="232">
        <f t="shared" si="16"/>
        <v>288.40999999999997</v>
      </c>
      <c r="R80" s="232">
        <f t="shared" si="16"/>
        <v>0</v>
      </c>
      <c r="S80" s="232">
        <f t="shared" si="16"/>
        <v>0</v>
      </c>
      <c r="U80" s="78"/>
      <c r="V80" s="79"/>
    </row>
    <row r="81" spans="2:22" ht="26.25" customHeight="1" x14ac:dyDescent="0.2">
      <c r="B81" s="363"/>
      <c r="C81" s="363"/>
      <c r="D81" s="363"/>
      <c r="E81" s="230" t="s">
        <v>50</v>
      </c>
      <c r="F81" s="231">
        <f>F70+F73+F76+F79</f>
        <v>198.346</v>
      </c>
      <c r="G81" s="232">
        <f t="shared" ref="G81:J81" si="17">G70+G73+G76+G79</f>
        <v>553.096</v>
      </c>
      <c r="H81" s="232">
        <f t="shared" si="17"/>
        <v>553.096</v>
      </c>
      <c r="I81" s="232">
        <f t="shared" si="17"/>
        <v>457.72400000000005</v>
      </c>
      <c r="J81" s="232">
        <f t="shared" si="17"/>
        <v>333.56299999999999</v>
      </c>
      <c r="K81" s="232">
        <f t="shared" ref="K81:O81" si="18">K70+K73+K76+K79</f>
        <v>0</v>
      </c>
      <c r="L81" s="232">
        <f t="shared" si="18"/>
        <v>0</v>
      </c>
      <c r="M81" s="232">
        <f t="shared" si="18"/>
        <v>0</v>
      </c>
      <c r="N81" s="232">
        <f t="shared" si="18"/>
        <v>0</v>
      </c>
      <c r="O81" s="233">
        <f t="shared" si="18"/>
        <v>0</v>
      </c>
      <c r="P81" s="232">
        <f t="shared" ref="P81:S81" si="19">P70+P73+P76+P79</f>
        <v>0</v>
      </c>
      <c r="Q81" s="232">
        <f t="shared" si="19"/>
        <v>2095.8249999999998</v>
      </c>
      <c r="R81" s="232">
        <f t="shared" si="19"/>
        <v>0</v>
      </c>
      <c r="S81" s="232">
        <f t="shared" si="19"/>
        <v>0</v>
      </c>
      <c r="T81" s="1" t="str">
        <f t="shared" si="12"/>
        <v/>
      </c>
      <c r="U81" s="78"/>
      <c r="V81" s="79"/>
    </row>
    <row r="82" spans="2:22" ht="15" customHeight="1" x14ac:dyDescent="0.2">
      <c r="B82" s="363"/>
      <c r="C82" s="363"/>
      <c r="D82" s="363"/>
      <c r="E82" s="230" t="s">
        <v>51</v>
      </c>
      <c r="F82" s="231">
        <f>F80+F81</f>
        <v>375.51600000000002</v>
      </c>
      <c r="G82" s="232">
        <f t="shared" ref="G82:J82" si="20">G80+G81</f>
        <v>577.42600000000004</v>
      </c>
      <c r="H82" s="232">
        <f t="shared" si="20"/>
        <v>577.42600000000004</v>
      </c>
      <c r="I82" s="232">
        <f t="shared" si="20"/>
        <v>641.0440000000001</v>
      </c>
      <c r="J82" s="232">
        <f t="shared" si="20"/>
        <v>361.22300000000001</v>
      </c>
      <c r="K82" s="232">
        <f t="shared" ref="K82:O82" si="21">K80+K81</f>
        <v>0</v>
      </c>
      <c r="L82" s="232">
        <f t="shared" si="21"/>
        <v>0</v>
      </c>
      <c r="M82" s="232">
        <f t="shared" si="21"/>
        <v>0</v>
      </c>
      <c r="N82" s="232">
        <f t="shared" si="21"/>
        <v>0</v>
      </c>
      <c r="O82" s="233">
        <f t="shared" si="21"/>
        <v>0</v>
      </c>
      <c r="P82" s="232">
        <f t="shared" ref="P82:S82" si="22">P80+P81</f>
        <v>148.4</v>
      </c>
      <c r="Q82" s="232">
        <f>Q80+Q81</f>
        <v>2384.2349999999997</v>
      </c>
      <c r="R82" s="232">
        <f t="shared" si="22"/>
        <v>0</v>
      </c>
      <c r="S82" s="232">
        <f t="shared" si="22"/>
        <v>0</v>
      </c>
      <c r="U82" s="78"/>
      <c r="V82" s="79"/>
    </row>
    <row r="83" spans="2:22" ht="5.25" customHeight="1" x14ac:dyDescent="0.2">
      <c r="E83" s="22"/>
      <c r="F83" s="178"/>
      <c r="G83" s="168"/>
      <c r="H83" s="168"/>
      <c r="I83" s="168"/>
      <c r="J83" s="168"/>
      <c r="K83" s="168"/>
      <c r="L83" s="168"/>
      <c r="M83" s="168"/>
      <c r="N83" s="168"/>
      <c r="O83" s="167"/>
      <c r="T83" s="1" t="str">
        <f t="shared" si="13"/>
        <v/>
      </c>
      <c r="U83" s="78"/>
      <c r="V83" s="79"/>
    </row>
    <row r="84" spans="2:22" ht="15" customHeight="1" x14ac:dyDescent="0.2">
      <c r="B84" s="347" t="s">
        <v>74</v>
      </c>
      <c r="C84" s="347"/>
      <c r="D84" s="347"/>
      <c r="E84" s="348"/>
      <c r="F84" s="224"/>
      <c r="G84" s="225"/>
      <c r="H84" s="225"/>
      <c r="I84" s="225"/>
      <c r="J84" s="225"/>
      <c r="K84" s="225"/>
      <c r="L84" s="225"/>
      <c r="M84" s="225"/>
      <c r="N84" s="225"/>
      <c r="O84" s="226"/>
      <c r="P84" s="225"/>
      <c r="Q84" s="225"/>
      <c r="R84" s="225"/>
      <c r="S84" s="225"/>
      <c r="T84" s="1" t="str">
        <f t="shared" si="13"/>
        <v/>
      </c>
      <c r="V84" s="79"/>
    </row>
    <row r="85" spans="2:22" ht="36" customHeight="1" x14ac:dyDescent="0.2">
      <c r="B85" s="154"/>
      <c r="C85" s="351" t="s">
        <v>75</v>
      </c>
      <c r="D85" s="351"/>
      <c r="E85" s="352"/>
      <c r="F85" s="227"/>
      <c r="G85" s="228"/>
      <c r="H85" s="228"/>
      <c r="I85" s="228"/>
      <c r="J85" s="228"/>
      <c r="K85" s="228"/>
      <c r="L85" s="228"/>
      <c r="M85" s="228"/>
      <c r="N85" s="228"/>
      <c r="O85" s="229"/>
      <c r="P85" s="228"/>
      <c r="Q85" s="228"/>
      <c r="R85" s="228"/>
      <c r="S85" s="228"/>
      <c r="T85" s="1" t="str">
        <f t="shared" si="13"/>
        <v/>
      </c>
      <c r="V85" s="79"/>
    </row>
    <row r="86" spans="2:22" ht="25" customHeight="1" x14ac:dyDescent="0.2">
      <c r="B86" s="154"/>
      <c r="C86" s="154"/>
      <c r="D86" s="344" t="s">
        <v>76</v>
      </c>
      <c r="E86" s="345"/>
      <c r="F86" s="175"/>
      <c r="O86" s="177"/>
      <c r="P86" s="176"/>
      <c r="Q86" s="176"/>
      <c r="R86" s="176"/>
      <c r="S86" s="176"/>
      <c r="T86" s="1" t="str">
        <f t="shared" si="13"/>
        <v/>
      </c>
      <c r="V86" s="79"/>
    </row>
    <row r="87" spans="2:22" x14ac:dyDescent="0.2">
      <c r="B87" s="154"/>
      <c r="C87" s="154"/>
      <c r="D87" s="239" t="s">
        <v>43</v>
      </c>
      <c r="E87" s="240"/>
      <c r="F87" s="241">
        <v>8.27</v>
      </c>
      <c r="G87" s="242">
        <v>5.87</v>
      </c>
      <c r="H87" s="242">
        <v>5.87</v>
      </c>
      <c r="I87" s="242">
        <v>5.87</v>
      </c>
      <c r="J87" s="242">
        <v>5.87</v>
      </c>
      <c r="K87" s="242">
        <v>0</v>
      </c>
      <c r="L87" s="242">
        <v>0</v>
      </c>
      <c r="M87" s="242">
        <v>0</v>
      </c>
      <c r="N87" s="242">
        <v>0</v>
      </c>
      <c r="O87" s="243">
        <v>0</v>
      </c>
      <c r="P87" s="242">
        <v>0</v>
      </c>
      <c r="Q87" s="242">
        <f>SUM(F87:J87)</f>
        <v>31.750000000000004</v>
      </c>
      <c r="R87" s="242">
        <v>0</v>
      </c>
      <c r="S87" s="242">
        <v>0</v>
      </c>
      <c r="T87" s="1" t="str">
        <f t="shared" ref="T87:T97" si="23">IF(SUM(P87:S87)&lt;&gt;SUM(F87:O87),"CHECK","")</f>
        <v/>
      </c>
      <c r="V87" s="79"/>
    </row>
    <row r="88" spans="2:22" x14ac:dyDescent="0.2">
      <c r="B88" s="154"/>
      <c r="C88" s="154"/>
      <c r="D88" s="239" t="s">
        <v>44</v>
      </c>
      <c r="E88" s="240"/>
      <c r="F88" s="241">
        <v>93.69</v>
      </c>
      <c r="G88" s="242">
        <v>154.72</v>
      </c>
      <c r="H88" s="242">
        <v>158.32</v>
      </c>
      <c r="I88" s="242">
        <v>143.36000000000001</v>
      </c>
      <c r="J88" s="327">
        <v>148.86000000000001</v>
      </c>
      <c r="K88" s="242">
        <v>0</v>
      </c>
      <c r="L88" s="242">
        <v>0</v>
      </c>
      <c r="M88" s="242">
        <v>0</v>
      </c>
      <c r="N88" s="242">
        <v>0</v>
      </c>
      <c r="O88" s="243">
        <v>0</v>
      </c>
      <c r="P88" s="242">
        <v>0</v>
      </c>
      <c r="Q88" s="242">
        <f>SUM(F88:J88)</f>
        <v>698.95</v>
      </c>
      <c r="R88" s="242">
        <v>0</v>
      </c>
      <c r="S88" s="242">
        <v>0</v>
      </c>
      <c r="T88" s="1" t="str">
        <f t="shared" si="23"/>
        <v/>
      </c>
      <c r="V88" s="79"/>
    </row>
    <row r="89" spans="2:22" ht="33.75" customHeight="1" x14ac:dyDescent="0.2">
      <c r="B89" s="154"/>
      <c r="C89" s="154"/>
      <c r="D89" s="344" t="s">
        <v>324</v>
      </c>
      <c r="E89" s="345"/>
      <c r="F89" s="175"/>
      <c r="O89" s="177"/>
      <c r="P89" s="176"/>
      <c r="Q89" s="176"/>
      <c r="R89" s="176"/>
      <c r="S89" s="176"/>
      <c r="T89" s="1" t="str">
        <f t="shared" si="13"/>
        <v/>
      </c>
      <c r="V89" s="79"/>
    </row>
    <row r="90" spans="2:22" x14ac:dyDescent="0.2">
      <c r="B90" s="154"/>
      <c r="C90" s="154"/>
      <c r="D90" s="239" t="s">
        <v>43</v>
      </c>
      <c r="E90" s="240"/>
      <c r="F90" s="241">
        <v>332.23</v>
      </c>
      <c r="G90" s="242">
        <v>91.6</v>
      </c>
      <c r="H90" s="242">
        <v>36.6</v>
      </c>
      <c r="I90" s="242">
        <v>46.6</v>
      </c>
      <c r="J90" s="242">
        <v>21.6</v>
      </c>
      <c r="K90" s="242">
        <v>0</v>
      </c>
      <c r="L90" s="242">
        <v>0</v>
      </c>
      <c r="M90" s="242">
        <v>0</v>
      </c>
      <c r="N90" s="242">
        <v>0</v>
      </c>
      <c r="O90" s="243">
        <v>0</v>
      </c>
      <c r="P90" s="242">
        <v>0</v>
      </c>
      <c r="Q90" s="242">
        <f>SUM(F90:J90)</f>
        <v>528.63000000000011</v>
      </c>
      <c r="R90" s="242">
        <v>0</v>
      </c>
      <c r="S90" s="242">
        <v>0</v>
      </c>
      <c r="T90" s="1" t="str">
        <f t="shared" si="23"/>
        <v/>
      </c>
      <c r="V90" s="79"/>
    </row>
    <row r="91" spans="2:22" x14ac:dyDescent="0.2">
      <c r="B91" s="154"/>
      <c r="C91" s="154"/>
      <c r="D91" s="239" t="s">
        <v>44</v>
      </c>
      <c r="E91" s="240"/>
      <c r="F91" s="241">
        <v>63.64</v>
      </c>
      <c r="G91" s="242">
        <v>22.96</v>
      </c>
      <c r="H91" s="242">
        <v>12.96</v>
      </c>
      <c r="I91" s="242">
        <v>12.96</v>
      </c>
      <c r="J91" s="242">
        <v>12.96</v>
      </c>
      <c r="K91" s="242">
        <v>0</v>
      </c>
      <c r="L91" s="242">
        <v>0</v>
      </c>
      <c r="M91" s="242">
        <v>0</v>
      </c>
      <c r="N91" s="242">
        <v>0</v>
      </c>
      <c r="O91" s="243">
        <v>0</v>
      </c>
      <c r="P91" s="242">
        <v>0</v>
      </c>
      <c r="Q91" s="242">
        <f>SUM(F91:J91)</f>
        <v>125.48000000000002</v>
      </c>
      <c r="R91" s="242">
        <v>0</v>
      </c>
      <c r="S91" s="242">
        <v>0</v>
      </c>
      <c r="T91" s="1" t="str">
        <f t="shared" si="23"/>
        <v/>
      </c>
      <c r="V91" s="79"/>
    </row>
    <row r="92" spans="2:22" ht="27.5" customHeight="1" x14ac:dyDescent="0.2">
      <c r="B92" s="154"/>
      <c r="C92" s="154"/>
      <c r="D92" s="344" t="s">
        <v>77</v>
      </c>
      <c r="E92" s="345"/>
      <c r="F92" s="175"/>
      <c r="O92" s="177"/>
      <c r="P92" s="176"/>
      <c r="Q92" s="176"/>
      <c r="R92" s="176"/>
      <c r="S92" s="176"/>
      <c r="T92" s="1" t="str">
        <f t="shared" si="13"/>
        <v/>
      </c>
      <c r="V92" s="79"/>
    </row>
    <row r="93" spans="2:22" x14ac:dyDescent="0.2">
      <c r="B93" s="154"/>
      <c r="C93" s="154"/>
      <c r="D93" s="239" t="s">
        <v>43</v>
      </c>
      <c r="E93" s="240"/>
      <c r="F93" s="241">
        <v>0</v>
      </c>
      <c r="G93" s="242">
        <v>0</v>
      </c>
      <c r="H93" s="242">
        <v>0</v>
      </c>
      <c r="I93" s="242">
        <v>0</v>
      </c>
      <c r="J93" s="242">
        <v>0</v>
      </c>
      <c r="K93" s="242">
        <v>0</v>
      </c>
      <c r="L93" s="242">
        <v>0</v>
      </c>
      <c r="M93" s="242">
        <v>0</v>
      </c>
      <c r="N93" s="242">
        <v>0</v>
      </c>
      <c r="O93" s="243">
        <v>0</v>
      </c>
      <c r="P93" s="242">
        <v>0</v>
      </c>
      <c r="Q93" s="242">
        <f>SUM(F93:J93)</f>
        <v>0</v>
      </c>
      <c r="R93" s="242">
        <v>0</v>
      </c>
      <c r="S93" s="242">
        <v>0</v>
      </c>
      <c r="T93" s="1" t="str">
        <f t="shared" si="23"/>
        <v/>
      </c>
      <c r="V93" s="79"/>
    </row>
    <row r="94" spans="2:22" x14ac:dyDescent="0.2">
      <c r="B94" s="154"/>
      <c r="C94" s="154"/>
      <c r="D94" s="239" t="s">
        <v>44</v>
      </c>
      <c r="E94" s="240"/>
      <c r="F94" s="241">
        <v>132.53299999999999</v>
      </c>
      <c r="G94" s="242">
        <v>125.96299999999999</v>
      </c>
      <c r="H94" s="242">
        <v>124.05800000000001</v>
      </c>
      <c r="I94" s="242">
        <v>124.05800000000001</v>
      </c>
      <c r="J94" s="242">
        <v>124.05800000000001</v>
      </c>
      <c r="K94" s="242">
        <v>0</v>
      </c>
      <c r="L94" s="242">
        <v>0</v>
      </c>
      <c r="M94" s="242">
        <v>0</v>
      </c>
      <c r="N94" s="242">
        <v>0</v>
      </c>
      <c r="O94" s="243">
        <v>0</v>
      </c>
      <c r="P94" s="242">
        <v>566.25</v>
      </c>
      <c r="Q94" s="242">
        <f>SUM(F94:J94)-P94</f>
        <v>64.419999999999959</v>
      </c>
      <c r="R94" s="242">
        <v>0</v>
      </c>
      <c r="S94" s="242">
        <v>0</v>
      </c>
      <c r="V94" s="79"/>
    </row>
    <row r="95" spans="2:22" ht="24" customHeight="1" x14ac:dyDescent="0.2">
      <c r="B95" s="154"/>
      <c r="C95" s="154"/>
      <c r="D95" s="344" t="s">
        <v>78</v>
      </c>
      <c r="E95" s="345"/>
      <c r="F95" s="175"/>
      <c r="O95" s="177"/>
      <c r="P95" s="176"/>
      <c r="Q95" s="176"/>
      <c r="R95" s="176"/>
      <c r="S95" s="176"/>
      <c r="T95" s="1" t="str">
        <f t="shared" si="13"/>
        <v/>
      </c>
      <c r="V95" s="79"/>
    </row>
    <row r="96" spans="2:22" x14ac:dyDescent="0.2">
      <c r="B96" s="154"/>
      <c r="C96" s="154"/>
      <c r="D96" s="239" t="s">
        <v>43</v>
      </c>
      <c r="E96" s="240"/>
      <c r="F96" s="241">
        <v>0</v>
      </c>
      <c r="G96" s="242">
        <v>0</v>
      </c>
      <c r="H96" s="242">
        <v>0</v>
      </c>
      <c r="I96" s="242">
        <v>0</v>
      </c>
      <c r="J96" s="242">
        <v>0</v>
      </c>
      <c r="K96" s="242">
        <v>0</v>
      </c>
      <c r="L96" s="242">
        <v>0</v>
      </c>
      <c r="M96" s="242">
        <v>0</v>
      </c>
      <c r="N96" s="242">
        <v>0</v>
      </c>
      <c r="O96" s="243">
        <v>0</v>
      </c>
      <c r="P96" s="242">
        <v>0</v>
      </c>
      <c r="Q96" s="242">
        <v>0</v>
      </c>
      <c r="R96" s="242">
        <v>0</v>
      </c>
      <c r="S96" s="242">
        <v>0</v>
      </c>
      <c r="T96" s="1" t="str">
        <f t="shared" si="23"/>
        <v/>
      </c>
      <c r="V96" s="79"/>
    </row>
    <row r="97" spans="2:22" x14ac:dyDescent="0.2">
      <c r="B97" s="154"/>
      <c r="C97" s="154"/>
      <c r="D97" s="239" t="s">
        <v>44</v>
      </c>
      <c r="E97" s="240"/>
      <c r="F97" s="241">
        <v>7.78</v>
      </c>
      <c r="G97" s="242">
        <v>7.78</v>
      </c>
      <c r="H97" s="242">
        <v>7.78</v>
      </c>
      <c r="I97" s="242">
        <v>7.78</v>
      </c>
      <c r="J97" s="242">
        <v>7.78</v>
      </c>
      <c r="K97" s="242">
        <v>0</v>
      </c>
      <c r="L97" s="242">
        <v>0</v>
      </c>
      <c r="M97" s="242">
        <v>0</v>
      </c>
      <c r="N97" s="242">
        <v>0</v>
      </c>
      <c r="O97" s="243">
        <v>0</v>
      </c>
      <c r="P97" s="242">
        <v>0</v>
      </c>
      <c r="Q97" s="242">
        <v>38.9</v>
      </c>
      <c r="R97" s="242">
        <v>0</v>
      </c>
      <c r="S97" s="242">
        <v>0</v>
      </c>
      <c r="T97" s="1" t="str">
        <f t="shared" si="23"/>
        <v/>
      </c>
      <c r="V97" s="79"/>
    </row>
    <row r="98" spans="2:22" ht="36" customHeight="1" x14ac:dyDescent="0.2">
      <c r="B98" s="154"/>
      <c r="C98" s="351" t="s">
        <v>79</v>
      </c>
      <c r="D98" s="351"/>
      <c r="E98" s="352"/>
      <c r="F98" s="227"/>
      <c r="G98" s="228"/>
      <c r="H98" s="228"/>
      <c r="I98" s="228"/>
      <c r="J98" s="228"/>
      <c r="K98" s="228"/>
      <c r="L98" s="228"/>
      <c r="M98" s="228"/>
      <c r="N98" s="228"/>
      <c r="O98" s="229"/>
      <c r="P98" s="228"/>
      <c r="Q98" s="228"/>
      <c r="R98" s="228"/>
      <c r="S98" s="228"/>
      <c r="T98" s="1" t="str">
        <f t="shared" si="13"/>
        <v/>
      </c>
      <c r="V98" s="79"/>
    </row>
    <row r="99" spans="2:22" x14ac:dyDescent="0.2">
      <c r="B99" s="154"/>
      <c r="C99" s="154"/>
      <c r="D99" s="344" t="s">
        <v>326</v>
      </c>
      <c r="E99" s="345"/>
      <c r="F99" s="175"/>
      <c r="O99" s="177"/>
      <c r="P99" s="176"/>
      <c r="Q99" s="176"/>
      <c r="R99" s="176"/>
      <c r="S99" s="176"/>
      <c r="T99" s="1" t="str">
        <f t="shared" si="13"/>
        <v/>
      </c>
      <c r="V99" s="79"/>
    </row>
    <row r="100" spans="2:22" x14ac:dyDescent="0.2">
      <c r="B100" s="154"/>
      <c r="C100" s="154"/>
      <c r="D100" s="239" t="s">
        <v>43</v>
      </c>
      <c r="E100" s="240"/>
      <c r="F100" s="241">
        <v>0</v>
      </c>
      <c r="G100" s="242">
        <v>0</v>
      </c>
      <c r="H100" s="242">
        <v>0</v>
      </c>
      <c r="I100" s="242">
        <v>0</v>
      </c>
      <c r="J100" s="242">
        <v>0</v>
      </c>
      <c r="K100" s="242">
        <v>0</v>
      </c>
      <c r="L100" s="242">
        <v>0</v>
      </c>
      <c r="M100" s="242">
        <v>0</v>
      </c>
      <c r="N100" s="242">
        <v>0</v>
      </c>
      <c r="O100" s="243">
        <v>0</v>
      </c>
      <c r="P100" s="242">
        <v>0</v>
      </c>
      <c r="Q100" s="242">
        <v>0</v>
      </c>
      <c r="R100" s="242">
        <v>0</v>
      </c>
      <c r="S100" s="242">
        <v>0</v>
      </c>
      <c r="T100" s="1" t="str">
        <f t="shared" ref="T100:T105" si="24">IF(SUM(P100:S100)&lt;&gt;SUM(F100:O100),"CHECK","")</f>
        <v/>
      </c>
      <c r="V100" s="79"/>
    </row>
    <row r="101" spans="2:22" x14ac:dyDescent="0.2">
      <c r="B101" s="154"/>
      <c r="C101" s="154"/>
      <c r="D101" s="239" t="s">
        <v>44</v>
      </c>
      <c r="E101" s="240"/>
      <c r="F101" s="241">
        <v>131.84</v>
      </c>
      <c r="G101" s="242">
        <v>87</v>
      </c>
      <c r="H101" s="242">
        <v>87</v>
      </c>
      <c r="I101" s="242">
        <v>87</v>
      </c>
      <c r="J101" s="242">
        <v>100.02</v>
      </c>
      <c r="K101" s="242">
        <v>0</v>
      </c>
      <c r="L101" s="242">
        <v>0</v>
      </c>
      <c r="M101" s="242">
        <v>0</v>
      </c>
      <c r="N101" s="242">
        <v>0</v>
      </c>
      <c r="O101" s="243">
        <v>0</v>
      </c>
      <c r="P101" s="242">
        <v>0</v>
      </c>
      <c r="Q101" s="242">
        <f>SUM(F101:J101)</f>
        <v>492.86</v>
      </c>
      <c r="R101" s="242">
        <v>0</v>
      </c>
      <c r="S101" s="242">
        <v>0</v>
      </c>
      <c r="T101" s="1" t="str">
        <f t="shared" si="24"/>
        <v/>
      </c>
      <c r="V101" s="79"/>
    </row>
    <row r="102" spans="2:22" ht="29" customHeight="1" x14ac:dyDescent="0.2">
      <c r="B102" s="154"/>
      <c r="C102" s="154"/>
      <c r="D102" s="344" t="s">
        <v>325</v>
      </c>
      <c r="E102" s="345"/>
      <c r="F102" s="175"/>
      <c r="O102" s="177"/>
      <c r="P102" s="176"/>
      <c r="Q102" s="176"/>
      <c r="R102" s="176"/>
      <c r="S102" s="176"/>
      <c r="T102" s="1" t="str">
        <f t="shared" ref="T102" si="25">IF(SUM(P102:S102)&lt;&gt;SUM(F102:J102),"CHECK","")</f>
        <v/>
      </c>
      <c r="V102" s="79"/>
    </row>
    <row r="103" spans="2:22" x14ac:dyDescent="0.2">
      <c r="B103" s="154"/>
      <c r="C103" s="154"/>
      <c r="D103" s="239" t="s">
        <v>43</v>
      </c>
      <c r="E103" s="240"/>
      <c r="F103" s="241">
        <v>0</v>
      </c>
      <c r="G103" s="242">
        <v>0</v>
      </c>
      <c r="H103" s="242">
        <v>0</v>
      </c>
      <c r="I103" s="242"/>
      <c r="J103" s="242">
        <v>0</v>
      </c>
      <c r="K103" s="242">
        <v>0</v>
      </c>
      <c r="L103" s="242">
        <v>0</v>
      </c>
      <c r="M103" s="242">
        <v>0</v>
      </c>
      <c r="N103" s="242">
        <v>0</v>
      </c>
      <c r="O103" s="243">
        <v>0</v>
      </c>
      <c r="P103" s="242">
        <v>0</v>
      </c>
      <c r="Q103" s="242">
        <v>0</v>
      </c>
      <c r="R103" s="242">
        <v>0</v>
      </c>
      <c r="S103" s="242">
        <v>0</v>
      </c>
      <c r="T103" s="1" t="str">
        <f t="shared" si="24"/>
        <v/>
      </c>
      <c r="V103" s="79"/>
    </row>
    <row r="104" spans="2:22" x14ac:dyDescent="0.2">
      <c r="B104" s="154"/>
      <c r="C104" s="154"/>
      <c r="D104" s="239" t="s">
        <v>44</v>
      </c>
      <c r="E104" s="240"/>
      <c r="F104" s="241">
        <v>2.2599999999999998</v>
      </c>
      <c r="G104" s="242">
        <v>215.07</v>
      </c>
      <c r="H104" s="242">
        <v>538.08500000000004</v>
      </c>
      <c r="I104" s="242">
        <v>283.06</v>
      </c>
      <c r="J104" s="242">
        <v>157.07</v>
      </c>
      <c r="K104" s="242">
        <v>0</v>
      </c>
      <c r="L104" s="242">
        <v>0</v>
      </c>
      <c r="M104" s="242">
        <v>0</v>
      </c>
      <c r="N104" s="242">
        <v>0</v>
      </c>
      <c r="O104" s="243">
        <v>0</v>
      </c>
      <c r="P104" s="242">
        <v>0</v>
      </c>
      <c r="Q104" s="242">
        <f>SUM(F104:J104)</f>
        <v>1195.5449999999998</v>
      </c>
      <c r="R104" s="242">
        <v>0</v>
      </c>
      <c r="S104" s="242">
        <v>0</v>
      </c>
      <c r="T104" s="1" t="str">
        <f t="shared" si="24"/>
        <v/>
      </c>
      <c r="V104" s="79"/>
    </row>
    <row r="105" spans="2:22" ht="15" customHeight="1" x14ac:dyDescent="0.2">
      <c r="B105" s="363" t="s">
        <v>80</v>
      </c>
      <c r="C105" s="363"/>
      <c r="D105" s="363"/>
      <c r="E105" s="230" t="s">
        <v>49</v>
      </c>
      <c r="F105" s="231">
        <f>F87+F90+F93+F96+F100+F103</f>
        <v>340.5</v>
      </c>
      <c r="G105" s="232">
        <f>G87+G90+G93+G96+G100+G103</f>
        <v>97.47</v>
      </c>
      <c r="H105" s="232">
        <f t="shared" ref="H105:O105" si="26">H87+H90+H93+H96+H100+H103</f>
        <v>42.47</v>
      </c>
      <c r="I105" s="232">
        <f t="shared" si="26"/>
        <v>52.47</v>
      </c>
      <c r="J105" s="232">
        <f t="shared" si="26"/>
        <v>27.470000000000002</v>
      </c>
      <c r="K105" s="232">
        <f t="shared" si="26"/>
        <v>0</v>
      </c>
      <c r="L105" s="232">
        <f t="shared" si="26"/>
        <v>0</v>
      </c>
      <c r="M105" s="232">
        <f t="shared" si="26"/>
        <v>0</v>
      </c>
      <c r="N105" s="232">
        <f t="shared" si="26"/>
        <v>0</v>
      </c>
      <c r="O105" s="232">
        <f t="shared" si="26"/>
        <v>0</v>
      </c>
      <c r="P105" s="232">
        <f t="shared" ref="P105:S106" si="27">P87+P90+P93+P96+P100+P103</f>
        <v>0</v>
      </c>
      <c r="Q105" s="232">
        <f t="shared" si="27"/>
        <v>560.38000000000011</v>
      </c>
      <c r="R105" s="232">
        <f t="shared" si="27"/>
        <v>0</v>
      </c>
      <c r="S105" s="232">
        <f t="shared" si="27"/>
        <v>0</v>
      </c>
      <c r="T105" s="1" t="str">
        <f t="shared" si="24"/>
        <v/>
      </c>
      <c r="V105" s="79"/>
    </row>
    <row r="106" spans="2:22" ht="15" customHeight="1" x14ac:dyDescent="0.2">
      <c r="B106" s="363"/>
      <c r="C106" s="363"/>
      <c r="D106" s="363"/>
      <c r="E106" s="230" t="s">
        <v>50</v>
      </c>
      <c r="F106" s="231">
        <f>F88+F91+F94+F97+F101+F104</f>
        <v>431.74299999999994</v>
      </c>
      <c r="G106" s="232">
        <f>G88+G91+G94+G97+G101+G104</f>
        <v>613.49299999999994</v>
      </c>
      <c r="H106" s="232">
        <f t="shared" ref="H106:O106" si="28">H88+H91+H94+H97+H101+H104</f>
        <v>928.20299999999997</v>
      </c>
      <c r="I106" s="232">
        <f t="shared" si="28"/>
        <v>658.21800000000007</v>
      </c>
      <c r="J106" s="232">
        <f t="shared" si="28"/>
        <v>550.74800000000005</v>
      </c>
      <c r="K106" s="232">
        <f t="shared" si="28"/>
        <v>0</v>
      </c>
      <c r="L106" s="232">
        <f t="shared" si="28"/>
        <v>0</v>
      </c>
      <c r="M106" s="232">
        <f t="shared" si="28"/>
        <v>0</v>
      </c>
      <c r="N106" s="232">
        <f t="shared" si="28"/>
        <v>0</v>
      </c>
      <c r="O106" s="232">
        <f t="shared" si="28"/>
        <v>0</v>
      </c>
      <c r="P106" s="232">
        <f t="shared" si="27"/>
        <v>566.25</v>
      </c>
      <c r="Q106" s="232">
        <f t="shared" si="27"/>
        <v>2616.1549999999997</v>
      </c>
      <c r="R106" s="232">
        <f t="shared" si="27"/>
        <v>0</v>
      </c>
      <c r="S106" s="232">
        <f t="shared" si="27"/>
        <v>0</v>
      </c>
      <c r="V106" s="79"/>
    </row>
    <row r="107" spans="2:22" ht="15" customHeight="1" x14ac:dyDescent="0.2">
      <c r="B107" s="363"/>
      <c r="C107" s="363"/>
      <c r="D107" s="363"/>
      <c r="E107" s="230" t="s">
        <v>51</v>
      </c>
      <c r="F107" s="231">
        <f>F105+F106</f>
        <v>772.24299999999994</v>
      </c>
      <c r="G107" s="232">
        <f t="shared" ref="G107:J107" si="29">G105+G106</f>
        <v>710.96299999999997</v>
      </c>
      <c r="H107" s="232">
        <f t="shared" si="29"/>
        <v>970.673</v>
      </c>
      <c r="I107" s="232">
        <f t="shared" si="29"/>
        <v>710.6880000000001</v>
      </c>
      <c r="J107" s="232">
        <f t="shared" si="29"/>
        <v>578.21800000000007</v>
      </c>
      <c r="K107" s="232">
        <f t="shared" ref="K107" si="30">K105+K106</f>
        <v>0</v>
      </c>
      <c r="L107" s="232">
        <f t="shared" ref="L107" si="31">L105+L106</f>
        <v>0</v>
      </c>
      <c r="M107" s="232">
        <f t="shared" ref="M107" si="32">M105+M106</f>
        <v>0</v>
      </c>
      <c r="N107" s="232">
        <f t="shared" ref="N107" si="33">N105+N106</f>
        <v>0</v>
      </c>
      <c r="O107" s="233">
        <f t="shared" ref="O107" si="34">O105+O106</f>
        <v>0</v>
      </c>
      <c r="P107" s="232">
        <f t="shared" ref="P107" si="35">P105+P106</f>
        <v>566.25</v>
      </c>
      <c r="Q107" s="232">
        <f>Q105+Q106</f>
        <v>3176.5349999999999</v>
      </c>
      <c r="R107" s="232">
        <f t="shared" ref="R107:S107" si="36">R105+R106</f>
        <v>0</v>
      </c>
      <c r="S107" s="232">
        <f t="shared" si="36"/>
        <v>0</v>
      </c>
      <c r="T107" s="168"/>
      <c r="V107" s="79"/>
    </row>
    <row r="108" spans="2:22" ht="4.5" customHeight="1" x14ac:dyDescent="0.2">
      <c r="E108" s="22"/>
      <c r="F108" s="178"/>
      <c r="G108" s="168"/>
      <c r="H108" s="168"/>
      <c r="I108" s="168"/>
      <c r="J108" s="168"/>
      <c r="K108" s="168"/>
      <c r="L108" s="168"/>
      <c r="M108" s="168"/>
      <c r="N108" s="168"/>
      <c r="O108" s="167"/>
      <c r="T108" s="1" t="str">
        <f t="shared" si="13"/>
        <v/>
      </c>
    </row>
    <row r="109" spans="2:22" ht="15" customHeight="1" x14ac:dyDescent="0.2">
      <c r="B109" s="347" t="s">
        <v>81</v>
      </c>
      <c r="C109" s="347"/>
      <c r="D109" s="347"/>
      <c r="E109" s="348"/>
      <c r="F109" s="224"/>
      <c r="G109" s="225"/>
      <c r="H109" s="225"/>
      <c r="I109" s="225"/>
      <c r="J109" s="225"/>
      <c r="K109" s="225"/>
      <c r="L109" s="225"/>
      <c r="M109" s="225"/>
      <c r="N109" s="225"/>
      <c r="O109" s="226"/>
      <c r="P109" s="225"/>
      <c r="Q109" s="225"/>
      <c r="R109" s="225"/>
      <c r="S109" s="225"/>
      <c r="T109" s="1" t="str">
        <f t="shared" si="13"/>
        <v/>
      </c>
      <c r="V109" s="79"/>
    </row>
    <row r="110" spans="2:22" x14ac:dyDescent="0.2">
      <c r="B110" s="155"/>
      <c r="C110" s="155"/>
      <c r="D110" s="239" t="s">
        <v>43</v>
      </c>
      <c r="E110" s="240"/>
      <c r="F110" s="241">
        <v>25.81</v>
      </c>
      <c r="G110" s="242">
        <v>0</v>
      </c>
      <c r="H110" s="242">
        <v>0</v>
      </c>
      <c r="I110" s="242">
        <v>0</v>
      </c>
      <c r="J110" s="242">
        <v>0</v>
      </c>
      <c r="K110" s="242"/>
      <c r="L110" s="242"/>
      <c r="M110" s="242"/>
      <c r="N110" s="242"/>
      <c r="O110" s="243"/>
      <c r="P110" s="242">
        <v>0</v>
      </c>
      <c r="Q110" s="242">
        <f>SUM(F110:J110)</f>
        <v>25.81</v>
      </c>
      <c r="R110" s="242">
        <v>0</v>
      </c>
      <c r="S110" s="242">
        <v>0</v>
      </c>
      <c r="T110" s="1" t="str">
        <f t="shared" ref="T110:T118" si="37">IF(SUM(P110:S110)&lt;&gt;SUM(F110:O110),"CHECK","")</f>
        <v/>
      </c>
      <c r="V110" s="79"/>
    </row>
    <row r="111" spans="2:22" x14ac:dyDescent="0.2">
      <c r="B111" s="154"/>
      <c r="C111" s="154"/>
      <c r="D111" s="239" t="s">
        <v>44</v>
      </c>
      <c r="E111" s="240"/>
      <c r="F111" s="242">
        <v>192.25700000000001</v>
      </c>
      <c r="G111" s="242">
        <v>192.25700000000001</v>
      </c>
      <c r="H111" s="242">
        <v>192.25700000000001</v>
      </c>
      <c r="I111" s="242">
        <v>192.25700000000001</v>
      </c>
      <c r="J111" s="242">
        <v>192.25700000000001</v>
      </c>
      <c r="K111" s="242"/>
      <c r="L111" s="242"/>
      <c r="M111" s="242"/>
      <c r="N111" s="242"/>
      <c r="O111" s="243"/>
      <c r="P111" s="242">
        <v>33.75</v>
      </c>
      <c r="Q111" s="242">
        <f>SUM(F111:J111)-P111</f>
        <v>927.53500000000008</v>
      </c>
      <c r="R111" s="242">
        <v>0</v>
      </c>
      <c r="S111" s="242">
        <v>0</v>
      </c>
      <c r="V111" s="81"/>
    </row>
    <row r="112" spans="2:22" x14ac:dyDescent="0.2">
      <c r="B112" s="347" t="s">
        <v>82</v>
      </c>
      <c r="C112" s="347"/>
      <c r="D112" s="347"/>
      <c r="E112" s="348"/>
      <c r="F112" s="224"/>
      <c r="G112" s="225"/>
      <c r="H112" s="225"/>
      <c r="I112" s="225"/>
      <c r="J112" s="225"/>
      <c r="K112" s="225"/>
      <c r="L112" s="225"/>
      <c r="M112" s="225"/>
      <c r="N112" s="225"/>
      <c r="O112" s="226"/>
      <c r="P112" s="225"/>
      <c r="Q112" s="225"/>
      <c r="R112" s="225"/>
      <c r="S112" s="225"/>
      <c r="T112" s="1" t="str">
        <f t="shared" si="13"/>
        <v/>
      </c>
      <c r="V112" s="81"/>
    </row>
    <row r="113" spans="1:22" x14ac:dyDescent="0.2">
      <c r="B113" s="155"/>
      <c r="C113" s="155"/>
      <c r="D113" s="239" t="s">
        <v>43</v>
      </c>
      <c r="E113" s="240"/>
      <c r="F113" s="241">
        <v>3.33</v>
      </c>
      <c r="G113" s="242">
        <v>0</v>
      </c>
      <c r="H113" s="242">
        <v>0</v>
      </c>
      <c r="I113" s="242">
        <v>0</v>
      </c>
      <c r="J113" s="242">
        <v>3.33</v>
      </c>
      <c r="K113" s="242"/>
      <c r="L113" s="242"/>
      <c r="M113" s="242"/>
      <c r="N113" s="242"/>
      <c r="O113" s="243"/>
      <c r="P113" s="242">
        <v>0</v>
      </c>
      <c r="Q113" s="242">
        <f>SUM(F113:J113)</f>
        <v>6.66</v>
      </c>
      <c r="R113" s="242">
        <v>0</v>
      </c>
      <c r="S113" s="242">
        <v>0</v>
      </c>
      <c r="T113" s="1" t="str">
        <f t="shared" si="37"/>
        <v/>
      </c>
      <c r="V113" s="81"/>
    </row>
    <row r="114" spans="1:22" x14ac:dyDescent="0.2">
      <c r="B114" s="154"/>
      <c r="C114" s="154"/>
      <c r="D114" s="239" t="s">
        <v>44</v>
      </c>
      <c r="E114" s="240"/>
      <c r="F114" s="241">
        <v>163.49</v>
      </c>
      <c r="G114" s="242">
        <v>163.49</v>
      </c>
      <c r="H114" s="242">
        <v>208.61</v>
      </c>
      <c r="I114" s="242">
        <v>163.49</v>
      </c>
      <c r="J114" s="242">
        <v>226.73</v>
      </c>
      <c r="K114" s="242"/>
      <c r="L114" s="242"/>
      <c r="M114" s="242"/>
      <c r="N114" s="242"/>
      <c r="O114" s="243"/>
      <c r="P114" s="242">
        <v>0</v>
      </c>
      <c r="Q114" s="242">
        <f>SUM(F114:J114)</f>
        <v>925.81000000000006</v>
      </c>
      <c r="R114" s="242">
        <v>0</v>
      </c>
      <c r="S114" s="242">
        <v>0</v>
      </c>
      <c r="T114" s="1" t="str">
        <f t="shared" si="37"/>
        <v/>
      </c>
      <c r="V114" s="81"/>
    </row>
    <row r="115" spans="1:22" x14ac:dyDescent="0.2">
      <c r="B115" s="347" t="s">
        <v>83</v>
      </c>
      <c r="C115" s="347"/>
      <c r="D115" s="347"/>
      <c r="E115" s="348"/>
      <c r="F115" s="224"/>
      <c r="G115" s="225"/>
      <c r="H115" s="225"/>
      <c r="I115" s="225"/>
      <c r="J115" s="225"/>
      <c r="K115" s="225"/>
      <c r="L115" s="225"/>
      <c r="M115" s="225"/>
      <c r="N115" s="225"/>
      <c r="O115" s="226"/>
      <c r="P115" s="225"/>
      <c r="Q115" s="225"/>
      <c r="R115" s="225"/>
      <c r="S115" s="225"/>
      <c r="T115" s="1" t="str">
        <f t="shared" si="13"/>
        <v/>
      </c>
      <c r="V115" s="81"/>
    </row>
    <row r="116" spans="1:22" x14ac:dyDescent="0.2">
      <c r="B116" s="155"/>
      <c r="C116" s="155"/>
      <c r="D116" s="239" t="s">
        <v>43</v>
      </c>
      <c r="E116" s="240"/>
      <c r="F116" s="241">
        <v>0</v>
      </c>
      <c r="G116" s="242">
        <v>0</v>
      </c>
      <c r="H116" s="242">
        <v>0</v>
      </c>
      <c r="I116" s="242">
        <v>0</v>
      </c>
      <c r="J116" s="242">
        <v>0</v>
      </c>
      <c r="K116" s="242"/>
      <c r="L116" s="242"/>
      <c r="M116" s="242"/>
      <c r="N116" s="242"/>
      <c r="O116" s="243"/>
      <c r="P116" s="242">
        <v>0</v>
      </c>
      <c r="Q116" s="242">
        <v>0</v>
      </c>
      <c r="R116" s="242">
        <v>0</v>
      </c>
      <c r="S116" s="242">
        <v>0</v>
      </c>
      <c r="T116" s="1" t="str">
        <f t="shared" si="37"/>
        <v/>
      </c>
      <c r="V116" s="81"/>
    </row>
    <row r="117" spans="1:22" x14ac:dyDescent="0.2">
      <c r="B117" s="154"/>
      <c r="C117" s="154"/>
      <c r="D117" s="239" t="s">
        <v>44</v>
      </c>
      <c r="E117" s="240"/>
      <c r="F117" s="241">
        <v>54</v>
      </c>
      <c r="G117" s="242">
        <v>54</v>
      </c>
      <c r="H117" s="242">
        <v>54</v>
      </c>
      <c r="I117" s="242">
        <v>54</v>
      </c>
      <c r="J117" s="242">
        <v>54</v>
      </c>
      <c r="K117" s="242"/>
      <c r="L117" s="242"/>
      <c r="M117" s="242"/>
      <c r="N117" s="242"/>
      <c r="O117" s="243"/>
      <c r="P117" s="242">
        <v>0</v>
      </c>
      <c r="Q117" s="242">
        <f>SUM(F117:J117)</f>
        <v>270</v>
      </c>
      <c r="R117" s="242">
        <v>0</v>
      </c>
      <c r="S117" s="242">
        <v>0</v>
      </c>
      <c r="T117" s="1" t="str">
        <f t="shared" si="37"/>
        <v/>
      </c>
      <c r="V117" s="81"/>
    </row>
    <row r="118" spans="1:22" ht="15" customHeight="1" x14ac:dyDescent="0.2">
      <c r="B118" s="363" t="s">
        <v>84</v>
      </c>
      <c r="C118" s="363"/>
      <c r="D118" s="363"/>
      <c r="E118" s="230" t="s">
        <v>49</v>
      </c>
      <c r="F118" s="231">
        <f>F110+F113+F116</f>
        <v>29.14</v>
      </c>
      <c r="G118" s="232">
        <f t="shared" ref="G118:J118" si="38">G110+G113+G116</f>
        <v>0</v>
      </c>
      <c r="H118" s="232">
        <f t="shared" si="38"/>
        <v>0</v>
      </c>
      <c r="I118" s="232">
        <f t="shared" si="38"/>
        <v>0</v>
      </c>
      <c r="J118" s="232">
        <f t="shared" si="38"/>
        <v>3.33</v>
      </c>
      <c r="K118" s="232">
        <f t="shared" ref="K118:O118" si="39">K110+K113+K116</f>
        <v>0</v>
      </c>
      <c r="L118" s="232">
        <f t="shared" si="39"/>
        <v>0</v>
      </c>
      <c r="M118" s="232">
        <f t="shared" si="39"/>
        <v>0</v>
      </c>
      <c r="N118" s="232">
        <f t="shared" si="39"/>
        <v>0</v>
      </c>
      <c r="O118" s="233">
        <f t="shared" si="39"/>
        <v>0</v>
      </c>
      <c r="P118" s="232">
        <f t="shared" ref="P118:S118" si="40">P110+P113+P116</f>
        <v>0</v>
      </c>
      <c r="Q118" s="232">
        <f t="shared" si="40"/>
        <v>32.47</v>
      </c>
      <c r="R118" s="232">
        <f t="shared" si="40"/>
        <v>0</v>
      </c>
      <c r="S118" s="232">
        <f t="shared" si="40"/>
        <v>0</v>
      </c>
      <c r="T118" s="1" t="str">
        <f t="shared" si="37"/>
        <v/>
      </c>
      <c r="V118" s="81"/>
    </row>
    <row r="119" spans="1:22" ht="15" customHeight="1" x14ac:dyDescent="0.2">
      <c r="B119" s="363"/>
      <c r="C119" s="363"/>
      <c r="D119" s="363"/>
      <c r="E119" s="230" t="s">
        <v>50</v>
      </c>
      <c r="F119" s="231">
        <f t="shared" ref="F119:J119" si="41">F111+F114+F117</f>
        <v>409.74700000000001</v>
      </c>
      <c r="G119" s="232">
        <f t="shared" si="41"/>
        <v>409.74700000000001</v>
      </c>
      <c r="H119" s="232">
        <f t="shared" si="41"/>
        <v>454.86700000000002</v>
      </c>
      <c r="I119" s="232">
        <f t="shared" si="41"/>
        <v>409.74700000000001</v>
      </c>
      <c r="J119" s="232">
        <f t="shared" si="41"/>
        <v>472.98699999999997</v>
      </c>
      <c r="K119" s="232">
        <f t="shared" ref="K119:O119" si="42">K111+K114+K117</f>
        <v>0</v>
      </c>
      <c r="L119" s="232">
        <f t="shared" si="42"/>
        <v>0</v>
      </c>
      <c r="M119" s="232">
        <f t="shared" si="42"/>
        <v>0</v>
      </c>
      <c r="N119" s="232">
        <f t="shared" si="42"/>
        <v>0</v>
      </c>
      <c r="O119" s="233">
        <f t="shared" si="42"/>
        <v>0</v>
      </c>
      <c r="P119" s="232">
        <f t="shared" ref="P119:S119" si="43">P111+P114+P117</f>
        <v>33.75</v>
      </c>
      <c r="Q119" s="232">
        <f>SUM(Q111,Q114,Q117)</f>
        <v>2123.3450000000003</v>
      </c>
      <c r="R119" s="232">
        <f t="shared" si="43"/>
        <v>0</v>
      </c>
      <c r="S119" s="232">
        <f t="shared" si="43"/>
        <v>0</v>
      </c>
      <c r="V119" s="81"/>
    </row>
    <row r="120" spans="1:22" ht="15" customHeight="1" x14ac:dyDescent="0.2">
      <c r="B120" s="363"/>
      <c r="C120" s="363"/>
      <c r="D120" s="363"/>
      <c r="E120" s="230" t="s">
        <v>51</v>
      </c>
      <c r="F120" s="231">
        <f>F118+F119</f>
        <v>438.887</v>
      </c>
      <c r="G120" s="232">
        <f t="shared" ref="G120:J120" si="44">G118+G119</f>
        <v>409.74700000000001</v>
      </c>
      <c r="H120" s="232">
        <f t="shared" si="44"/>
        <v>454.86700000000002</v>
      </c>
      <c r="I120" s="232">
        <f t="shared" si="44"/>
        <v>409.74700000000001</v>
      </c>
      <c r="J120" s="232">
        <f t="shared" si="44"/>
        <v>476.31699999999995</v>
      </c>
      <c r="K120" s="232">
        <f t="shared" ref="K120:O120" si="45">K118+K119</f>
        <v>0</v>
      </c>
      <c r="L120" s="232">
        <f t="shared" si="45"/>
        <v>0</v>
      </c>
      <c r="M120" s="232">
        <f t="shared" si="45"/>
        <v>0</v>
      </c>
      <c r="N120" s="232">
        <f t="shared" si="45"/>
        <v>0</v>
      </c>
      <c r="O120" s="233">
        <f t="shared" si="45"/>
        <v>0</v>
      </c>
      <c r="P120" s="232">
        <f t="shared" ref="P120:S120" si="46">P118+P119</f>
        <v>33.75</v>
      </c>
      <c r="Q120" s="232">
        <f>SUM(Q118:Q119)</f>
        <v>2155.8150000000001</v>
      </c>
      <c r="R120" s="232">
        <f t="shared" si="46"/>
        <v>0</v>
      </c>
      <c r="S120" s="232">
        <f t="shared" si="46"/>
        <v>0</v>
      </c>
      <c r="V120" s="81"/>
    </row>
    <row r="121" spans="1:22" ht="3.75" customHeight="1" x14ac:dyDescent="0.2">
      <c r="E121" s="22"/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  <c r="T121" s="1" t="str">
        <f t="shared" ref="T121" si="47">IF(SUM(P121:S121)&lt;&gt;SUM(F121:J121),"CHECK","")</f>
        <v/>
      </c>
    </row>
    <row r="122" spans="1:22" x14ac:dyDescent="0.2">
      <c r="A122" s="346" t="s">
        <v>85</v>
      </c>
      <c r="B122" s="346"/>
      <c r="C122" s="346"/>
      <c r="D122" s="346"/>
      <c r="E122" s="234" t="s">
        <v>49</v>
      </c>
      <c r="F122" s="235">
        <f t="shared" ref="F122:S122" si="48">F118+F105+F80+F62+F24</f>
        <v>2508.585</v>
      </c>
      <c r="G122" s="236">
        <f t="shared" si="48"/>
        <v>4295.97</v>
      </c>
      <c r="H122" s="236">
        <f t="shared" si="48"/>
        <v>674.41</v>
      </c>
      <c r="I122" s="236">
        <f t="shared" si="48"/>
        <v>891.07499999999993</v>
      </c>
      <c r="J122" s="236">
        <f t="shared" si="48"/>
        <v>674</v>
      </c>
      <c r="K122" s="236">
        <f t="shared" si="48"/>
        <v>278.29700000000003</v>
      </c>
      <c r="L122" s="236">
        <f t="shared" si="48"/>
        <v>376.95</v>
      </c>
      <c r="M122" s="236">
        <f t="shared" si="48"/>
        <v>376.95</v>
      </c>
      <c r="N122" s="236">
        <f t="shared" si="48"/>
        <v>376.95</v>
      </c>
      <c r="O122" s="237">
        <f t="shared" si="48"/>
        <v>376.95</v>
      </c>
      <c r="P122" s="238">
        <f t="shared" si="48"/>
        <v>1934.4970000000003</v>
      </c>
      <c r="Q122" s="238">
        <f t="shared" si="48"/>
        <v>8895.6399999999976</v>
      </c>
      <c r="R122" s="238">
        <f t="shared" si="48"/>
        <v>0</v>
      </c>
      <c r="S122" s="238">
        <f t="shared" si="48"/>
        <v>0</v>
      </c>
      <c r="V122" s="298"/>
    </row>
    <row r="123" spans="1:22" x14ac:dyDescent="0.2">
      <c r="A123" s="346"/>
      <c r="B123" s="346"/>
      <c r="C123" s="346"/>
      <c r="D123" s="346"/>
      <c r="E123" s="234" t="s">
        <v>50</v>
      </c>
      <c r="F123" s="235">
        <f t="shared" ref="F123:S123" si="49">F119+F106+F81+F63+F25</f>
        <v>2664.3820000000001</v>
      </c>
      <c r="G123" s="236">
        <f t="shared" si="49"/>
        <v>3121.5944</v>
      </c>
      <c r="H123" s="236">
        <f t="shared" si="49"/>
        <v>2829.0014000000001</v>
      </c>
      <c r="I123" s="236">
        <f t="shared" si="49"/>
        <v>2130.6644000000001</v>
      </c>
      <c r="J123" s="236">
        <f t="shared" si="49"/>
        <v>1939.2174</v>
      </c>
      <c r="K123" s="236">
        <f t="shared" si="49"/>
        <v>0</v>
      </c>
      <c r="L123" s="236">
        <f t="shared" si="49"/>
        <v>0</v>
      </c>
      <c r="M123" s="236">
        <f t="shared" si="49"/>
        <v>0</v>
      </c>
      <c r="N123" s="236">
        <f t="shared" si="49"/>
        <v>0</v>
      </c>
      <c r="O123" s="237">
        <f t="shared" si="49"/>
        <v>0</v>
      </c>
      <c r="P123" s="238">
        <f t="shared" si="49"/>
        <v>600</v>
      </c>
      <c r="Q123" s="238">
        <f t="shared" si="49"/>
        <v>12084.8596</v>
      </c>
      <c r="R123" s="238">
        <f t="shared" si="49"/>
        <v>0</v>
      </c>
      <c r="S123" s="238">
        <f t="shared" si="49"/>
        <v>0</v>
      </c>
      <c r="V123" s="298"/>
    </row>
    <row r="124" spans="1:22" x14ac:dyDescent="0.2">
      <c r="A124" s="346"/>
      <c r="B124" s="346"/>
      <c r="C124" s="346"/>
      <c r="D124" s="346"/>
      <c r="E124" s="234" t="s">
        <v>51</v>
      </c>
      <c r="F124" s="235">
        <f t="shared" ref="F124:S124" si="50">F120+F107+F82+F64+F26</f>
        <v>5172.9669999999996</v>
      </c>
      <c r="G124" s="236">
        <f t="shared" si="50"/>
        <v>7417.5643999999993</v>
      </c>
      <c r="H124" s="236">
        <f t="shared" si="50"/>
        <v>3503.4114</v>
      </c>
      <c r="I124" s="236">
        <f t="shared" si="50"/>
        <v>3021.7394000000004</v>
      </c>
      <c r="J124" s="236">
        <f t="shared" si="50"/>
        <v>2613.2173999999995</v>
      </c>
      <c r="K124" s="236">
        <f t="shared" si="50"/>
        <v>278.29700000000003</v>
      </c>
      <c r="L124" s="236">
        <f t="shared" si="50"/>
        <v>376.95</v>
      </c>
      <c r="M124" s="236">
        <f t="shared" si="50"/>
        <v>376.95</v>
      </c>
      <c r="N124" s="236">
        <f t="shared" si="50"/>
        <v>376.95</v>
      </c>
      <c r="O124" s="237">
        <f t="shared" si="50"/>
        <v>376.95</v>
      </c>
      <c r="P124" s="238">
        <f t="shared" si="50"/>
        <v>2534.4970000000003</v>
      </c>
      <c r="Q124" s="238">
        <f t="shared" si="50"/>
        <v>20980.499599999996</v>
      </c>
      <c r="R124" s="238">
        <f t="shared" si="50"/>
        <v>0</v>
      </c>
      <c r="S124" s="238">
        <f t="shared" si="50"/>
        <v>0</v>
      </c>
      <c r="T124" s="298"/>
      <c r="U124" s="298"/>
      <c r="V124" s="298"/>
    </row>
    <row r="125" spans="1:22" ht="9.75" customHeight="1" x14ac:dyDescent="0.2">
      <c r="A125" s="159"/>
      <c r="B125" s="159"/>
      <c r="C125" s="159"/>
      <c r="D125" s="159"/>
      <c r="E125" s="160"/>
      <c r="F125" s="203">
        <f>SUM(F122:O122)/SUM(F124:O124)</f>
        <v>0.46056298387897709</v>
      </c>
      <c r="G125" s="179"/>
      <c r="H125" s="179"/>
      <c r="I125" s="179"/>
      <c r="J125" s="179"/>
      <c r="K125" s="179"/>
      <c r="L125" s="179"/>
      <c r="M125" s="179"/>
      <c r="N125" s="179"/>
      <c r="O125" s="180"/>
      <c r="P125" s="206">
        <f>P124/SUM($F$124:$J$124)</f>
        <v>0.11664175575646729</v>
      </c>
      <c r="Q125" s="206">
        <f>Q124/SUM($F$124:$J$124)</f>
        <v>0.9655573906743069</v>
      </c>
      <c r="R125" s="206">
        <f t="shared" ref="R125:S125" si="51">R124/SUM($F$124:$J$124)</f>
        <v>0</v>
      </c>
      <c r="S125" s="206">
        <f t="shared" si="51"/>
        <v>0</v>
      </c>
    </row>
    <row r="126" spans="1:22" x14ac:dyDescent="0.2">
      <c r="A126" s="279" t="s">
        <v>86</v>
      </c>
      <c r="B126" s="280"/>
      <c r="C126" s="280"/>
      <c r="D126" s="281"/>
      <c r="E126" s="282"/>
      <c r="F126" s="283"/>
      <c r="G126" s="284"/>
      <c r="H126" s="284"/>
      <c r="I126" s="284"/>
      <c r="J126" s="284"/>
      <c r="K126" s="284"/>
      <c r="L126" s="284"/>
      <c r="M126" s="284"/>
      <c r="N126" s="284"/>
      <c r="O126" s="285"/>
      <c r="P126" s="299" t="s">
        <v>51</v>
      </c>
      <c r="Q126" s="192"/>
    </row>
    <row r="127" spans="1:22" x14ac:dyDescent="0.2">
      <c r="A127" s="23"/>
      <c r="B127" s="18" t="s">
        <v>87</v>
      </c>
      <c r="C127" s="18"/>
      <c r="E127" s="24"/>
      <c r="F127" s="181">
        <f>$E$165*E167</f>
        <v>1585.6420949745279</v>
      </c>
      <c r="G127" s="173">
        <f>$E$165*E168</f>
        <v>4756.9262849235838</v>
      </c>
      <c r="H127" s="173">
        <f>$E$165*E169</f>
        <v>9513.8525698471676</v>
      </c>
      <c r="I127" s="173">
        <f>$E$165*E170</f>
        <v>11099.494664821696</v>
      </c>
      <c r="J127" s="173">
        <f>$E$165*E171</f>
        <v>15856.420949745279</v>
      </c>
      <c r="K127" s="173">
        <f t="shared" ref="K127:O128" si="52">J127</f>
        <v>15856.420949745279</v>
      </c>
      <c r="L127" s="173">
        <f t="shared" si="52"/>
        <v>15856.420949745279</v>
      </c>
      <c r="M127" s="173">
        <f t="shared" si="52"/>
        <v>15856.420949745279</v>
      </c>
      <c r="N127" s="173">
        <f t="shared" si="52"/>
        <v>15856.420949745279</v>
      </c>
      <c r="O127" s="174">
        <f t="shared" si="52"/>
        <v>15856.420949745279</v>
      </c>
      <c r="P127" s="174">
        <f t="shared" ref="P127:P132" si="53">SUM(F127:O127)</f>
        <v>122094.44131303867</v>
      </c>
      <c r="T127" s="168"/>
    </row>
    <row r="128" spans="1:22" x14ac:dyDescent="0.2">
      <c r="A128" s="23"/>
      <c r="B128" s="18" t="s">
        <v>88</v>
      </c>
      <c r="C128" s="18"/>
      <c r="E128" s="24"/>
      <c r="F128" s="181">
        <f>$E$156*E167</f>
        <v>47.569262849235841</v>
      </c>
      <c r="G128" s="173">
        <f>$E$156*E168</f>
        <v>142.70778854770751</v>
      </c>
      <c r="H128" s="173">
        <f>$E$156*E169</f>
        <v>285.41557709541502</v>
      </c>
      <c r="I128" s="173">
        <f>$E$156*E170</f>
        <v>332.98483994465084</v>
      </c>
      <c r="J128" s="173">
        <f>$E$156*E171</f>
        <v>475.69262849235838</v>
      </c>
      <c r="K128" s="173">
        <f t="shared" si="52"/>
        <v>475.69262849235838</v>
      </c>
      <c r="L128" s="173">
        <f t="shared" si="52"/>
        <v>475.69262849235838</v>
      </c>
      <c r="M128" s="173">
        <f t="shared" si="52"/>
        <v>475.69262849235838</v>
      </c>
      <c r="N128" s="173">
        <f t="shared" si="52"/>
        <v>475.69262849235838</v>
      </c>
      <c r="O128" s="174">
        <f t="shared" si="52"/>
        <v>475.69262849235838</v>
      </c>
      <c r="P128" s="174">
        <f t="shared" si="53"/>
        <v>3662.8332393911596</v>
      </c>
    </row>
    <row r="129" spans="1:20" x14ac:dyDescent="0.2">
      <c r="A129" s="23"/>
      <c r="B129" s="18" t="s">
        <v>89</v>
      </c>
      <c r="C129" s="18"/>
      <c r="E129" s="24"/>
      <c r="F129" s="181">
        <f>$E$158*E167</f>
        <v>79.282104748726397</v>
      </c>
      <c r="G129" s="173">
        <f>$E$158*E168</f>
        <v>237.84631424617919</v>
      </c>
      <c r="H129" s="173">
        <f>$E$158*E169</f>
        <v>475.69262849235838</v>
      </c>
      <c r="I129" s="173">
        <f>$E$158*E170</f>
        <v>554.97473324108478</v>
      </c>
      <c r="J129" s="173">
        <f>$E$158*E171</f>
        <v>792.82104748726397</v>
      </c>
      <c r="K129" s="173">
        <f t="shared" ref="K129:O131" si="54">J129</f>
        <v>792.82104748726397</v>
      </c>
      <c r="L129" s="173">
        <f t="shared" si="54"/>
        <v>792.82104748726397</v>
      </c>
      <c r="M129" s="173">
        <f t="shared" si="54"/>
        <v>792.82104748726397</v>
      </c>
      <c r="N129" s="173">
        <f t="shared" si="54"/>
        <v>792.82104748726397</v>
      </c>
      <c r="O129" s="174">
        <f t="shared" si="54"/>
        <v>792.82104748726397</v>
      </c>
      <c r="P129" s="174">
        <f t="shared" si="53"/>
        <v>6104.722065651933</v>
      </c>
    </row>
    <row r="130" spans="1:20" x14ac:dyDescent="0.2">
      <c r="A130" s="25"/>
      <c r="B130" s="25"/>
      <c r="C130" s="25"/>
      <c r="D130" s="100" t="s">
        <v>90</v>
      </c>
      <c r="E130" s="101"/>
      <c r="F130" s="182">
        <f>SUM(F127:F129)</f>
        <v>1712.4934625724902</v>
      </c>
      <c r="G130" s="183">
        <f t="shared" ref="G130:O130" si="55">SUM(G127:G129)</f>
        <v>5137.4803877174709</v>
      </c>
      <c r="H130" s="183">
        <f t="shared" si="55"/>
        <v>10274.960775434942</v>
      </c>
      <c r="I130" s="183">
        <f t="shared" si="55"/>
        <v>11987.454238007431</v>
      </c>
      <c r="J130" s="183">
        <f t="shared" si="55"/>
        <v>17124.934625724902</v>
      </c>
      <c r="K130" s="183">
        <f t="shared" si="55"/>
        <v>17124.934625724902</v>
      </c>
      <c r="L130" s="183">
        <f t="shared" si="55"/>
        <v>17124.934625724902</v>
      </c>
      <c r="M130" s="183">
        <f t="shared" si="55"/>
        <v>17124.934625724902</v>
      </c>
      <c r="N130" s="183">
        <f t="shared" si="55"/>
        <v>17124.934625724902</v>
      </c>
      <c r="O130" s="184">
        <f t="shared" si="55"/>
        <v>17124.934625724902</v>
      </c>
      <c r="P130" s="184">
        <f t="shared" si="53"/>
        <v>131861.99661808173</v>
      </c>
    </row>
    <row r="131" spans="1:20" x14ac:dyDescent="0.2">
      <c r="A131" s="25"/>
      <c r="B131" s="25"/>
      <c r="C131" s="25"/>
      <c r="D131" s="100" t="s">
        <v>91</v>
      </c>
      <c r="E131" s="102"/>
      <c r="F131" s="182">
        <f>$E$160*E167</f>
        <v>31.712841899490559</v>
      </c>
      <c r="G131" s="183">
        <f>$E$160*E168</f>
        <v>95.138525698471668</v>
      </c>
      <c r="H131" s="183">
        <f>$E$160*E169</f>
        <v>190.27705139694334</v>
      </c>
      <c r="I131" s="183">
        <f>$E$160*E170</f>
        <v>221.98989329643391</v>
      </c>
      <c r="J131" s="183">
        <f>$E$160*E171</f>
        <v>317.12841899490559</v>
      </c>
      <c r="K131" s="183">
        <f t="shared" si="54"/>
        <v>317.12841899490559</v>
      </c>
      <c r="L131" s="183">
        <f t="shared" si="54"/>
        <v>317.12841899490559</v>
      </c>
      <c r="M131" s="183">
        <f t="shared" si="54"/>
        <v>317.12841899490559</v>
      </c>
      <c r="N131" s="183">
        <f t="shared" si="54"/>
        <v>317.12841899490559</v>
      </c>
      <c r="O131" s="184">
        <f t="shared" si="54"/>
        <v>317.12841899490559</v>
      </c>
      <c r="P131" s="184">
        <f t="shared" si="53"/>
        <v>2441.8888262607729</v>
      </c>
    </row>
    <row r="132" spans="1:20" ht="39" x14ac:dyDescent="0.2">
      <c r="A132" s="362" t="s">
        <v>92</v>
      </c>
      <c r="B132" s="362"/>
      <c r="C132" s="362"/>
      <c r="D132" s="362"/>
      <c r="E132" s="286"/>
      <c r="F132" s="287">
        <f>F130+F131</f>
        <v>1744.2063044719807</v>
      </c>
      <c r="G132" s="288">
        <f t="shared" ref="G132:O132" si="56">G130+G131</f>
        <v>5232.6189134159422</v>
      </c>
      <c r="H132" s="288">
        <f t="shared" si="56"/>
        <v>10465.237826831884</v>
      </c>
      <c r="I132" s="288">
        <f t="shared" si="56"/>
        <v>12209.444131303864</v>
      </c>
      <c r="J132" s="288">
        <f t="shared" si="56"/>
        <v>17442.063044719805</v>
      </c>
      <c r="K132" s="288">
        <f t="shared" si="56"/>
        <v>17442.063044719805</v>
      </c>
      <c r="L132" s="288">
        <f t="shared" si="56"/>
        <v>17442.063044719805</v>
      </c>
      <c r="M132" s="288">
        <f t="shared" si="56"/>
        <v>17442.063044719805</v>
      </c>
      <c r="N132" s="288">
        <f t="shared" si="56"/>
        <v>17442.063044719805</v>
      </c>
      <c r="O132" s="289">
        <f t="shared" si="56"/>
        <v>17442.063044719805</v>
      </c>
      <c r="P132" s="289">
        <f t="shared" si="53"/>
        <v>134303.88544434251</v>
      </c>
    </row>
    <row r="133" spans="1:20" ht="6.75" customHeight="1" x14ac:dyDescent="0.2">
      <c r="E133" s="22"/>
      <c r="F133" s="175"/>
      <c r="O133" s="177"/>
    </row>
    <row r="134" spans="1:20" ht="39" x14ac:dyDescent="0.2">
      <c r="A134" s="359" t="s">
        <v>93</v>
      </c>
      <c r="B134" s="359"/>
      <c r="C134" s="359"/>
      <c r="D134" s="359"/>
      <c r="E134" s="26"/>
      <c r="F134" s="185">
        <f>F132-F124</f>
        <v>-3428.7606955280189</v>
      </c>
      <c r="G134" s="186">
        <f t="shared" ref="G134:O134" si="57">G132-G124</f>
        <v>-2184.9454865840571</v>
      </c>
      <c r="H134" s="186">
        <f t="shared" si="57"/>
        <v>6961.8264268318844</v>
      </c>
      <c r="I134" s="186">
        <f t="shared" si="57"/>
        <v>9187.7047313038638</v>
      </c>
      <c r="J134" s="186">
        <f t="shared" si="57"/>
        <v>14828.845644719806</v>
      </c>
      <c r="K134" s="186">
        <f t="shared" si="57"/>
        <v>17163.766044719807</v>
      </c>
      <c r="L134" s="186">
        <f t="shared" si="57"/>
        <v>17065.113044719805</v>
      </c>
      <c r="M134" s="186">
        <f t="shared" si="57"/>
        <v>17065.113044719805</v>
      </c>
      <c r="N134" s="186">
        <f t="shared" si="57"/>
        <v>17065.113044719805</v>
      </c>
      <c r="O134" s="187">
        <f t="shared" si="57"/>
        <v>17065.113044719805</v>
      </c>
      <c r="P134" s="187">
        <f>SUM(F134:O134)</f>
        <v>110788.88884434251</v>
      </c>
    </row>
    <row r="135" spans="1:20" ht="3" customHeight="1" x14ac:dyDescent="0.2">
      <c r="A135" s="168"/>
      <c r="B135" s="168"/>
      <c r="C135" s="168"/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</row>
    <row r="136" spans="1:20" ht="16.5" customHeight="1" x14ac:dyDescent="0.2">
      <c r="A136" s="265" t="s">
        <v>94</v>
      </c>
      <c r="B136" s="266"/>
      <c r="C136" s="266"/>
      <c r="D136" s="294" t="s">
        <v>95</v>
      </c>
      <c r="E136" s="89"/>
      <c r="F136" s="267">
        <f>(F132*0.9)-F124</f>
        <v>-3603.1813259752171</v>
      </c>
      <c r="G136" s="268">
        <f>(G132*0.9)-G124</f>
        <v>-2708.2073779256516</v>
      </c>
      <c r="H136" s="268">
        <f>(H132*0.9)-H124</f>
        <v>5915.3026441486954</v>
      </c>
      <c r="I136" s="268">
        <f>(I132*0.9)-I124</f>
        <v>7966.7603181734776</v>
      </c>
      <c r="J136" s="268">
        <f>(J132*0.9)-J124</f>
        <v>13084.639340247826</v>
      </c>
      <c r="K136" s="268">
        <f t="shared" ref="K136:O136" si="58">(K132*0.9)-K124</f>
        <v>15419.559740247825</v>
      </c>
      <c r="L136" s="268">
        <f t="shared" si="58"/>
        <v>15320.906740247825</v>
      </c>
      <c r="M136" s="268">
        <f t="shared" si="58"/>
        <v>15320.906740247825</v>
      </c>
      <c r="N136" s="268">
        <f t="shared" si="58"/>
        <v>15320.906740247825</v>
      </c>
      <c r="O136" s="269">
        <f t="shared" si="58"/>
        <v>15320.906740247825</v>
      </c>
    </row>
    <row r="137" spans="1:20" ht="16.5" customHeight="1" x14ac:dyDescent="0.2">
      <c r="A137" s="265" t="s">
        <v>96</v>
      </c>
      <c r="B137" s="266"/>
      <c r="C137" s="266"/>
      <c r="D137" s="295" t="s">
        <v>97</v>
      </c>
      <c r="E137" s="89"/>
      <c r="F137" s="268">
        <f>F132-(F124*1.1)</f>
        <v>-3946.0573955280197</v>
      </c>
      <c r="G137" s="268">
        <f t="shared" ref="G137:O137" si="59">G132-(G124*1.1)</f>
        <v>-2926.7019265840581</v>
      </c>
      <c r="H137" s="268">
        <f t="shared" si="59"/>
        <v>6611.485286831884</v>
      </c>
      <c r="I137" s="268">
        <f t="shared" si="59"/>
        <v>8885.5307913038632</v>
      </c>
      <c r="J137" s="268">
        <f t="shared" si="59"/>
        <v>14567.523904719805</v>
      </c>
      <c r="K137" s="268">
        <f t="shared" si="59"/>
        <v>17135.936344719805</v>
      </c>
      <c r="L137" s="268">
        <f t="shared" si="59"/>
        <v>17027.418044719805</v>
      </c>
      <c r="M137" s="268">
        <f t="shared" si="59"/>
        <v>17027.418044719805</v>
      </c>
      <c r="N137" s="268">
        <f t="shared" si="59"/>
        <v>17027.418044719805</v>
      </c>
      <c r="O137" s="269">
        <f t="shared" si="59"/>
        <v>17027.418044719805</v>
      </c>
    </row>
    <row r="138" spans="1:20" ht="16.5" customHeight="1" x14ac:dyDescent="0.2">
      <c r="A138" s="265" t="s">
        <v>98</v>
      </c>
      <c r="B138" s="266"/>
      <c r="C138" s="266"/>
      <c r="D138" s="295" t="s">
        <v>99</v>
      </c>
      <c r="E138" s="89"/>
      <c r="F138" s="268">
        <f>(F132*0.9)-(F124*1.1)</f>
        <v>-4120.4780259752179</v>
      </c>
      <c r="G138" s="268">
        <f t="shared" ref="G138:O138" si="60">(G132*0.9)-(G124*1.1)</f>
        <v>-3449.9638179256526</v>
      </c>
      <c r="H138" s="268">
        <f t="shared" si="60"/>
        <v>5564.961504148695</v>
      </c>
      <c r="I138" s="268">
        <f t="shared" si="60"/>
        <v>7664.586378173477</v>
      </c>
      <c r="J138" s="268">
        <f t="shared" si="60"/>
        <v>12823.317600247825</v>
      </c>
      <c r="K138" s="268">
        <f t="shared" si="60"/>
        <v>15391.730040247825</v>
      </c>
      <c r="L138" s="268">
        <f t="shared" si="60"/>
        <v>15283.211740247825</v>
      </c>
      <c r="M138" s="268">
        <f t="shared" si="60"/>
        <v>15283.211740247825</v>
      </c>
      <c r="N138" s="268">
        <f t="shared" si="60"/>
        <v>15283.211740247825</v>
      </c>
      <c r="O138" s="269">
        <f t="shared" si="60"/>
        <v>15283.211740247825</v>
      </c>
    </row>
    <row r="139" spans="1:20" x14ac:dyDescent="0.2">
      <c r="E139" s="22"/>
    </row>
    <row r="140" spans="1:20" x14ac:dyDescent="0.2">
      <c r="E140" s="22"/>
      <c r="F140" s="270" t="s">
        <v>100</v>
      </c>
      <c r="G140" s="271"/>
      <c r="H140" s="271"/>
      <c r="I140" s="271" t="s">
        <v>3</v>
      </c>
      <c r="J140" s="271" t="s">
        <v>101</v>
      </c>
      <c r="L140" s="1"/>
      <c r="M140" s="1"/>
      <c r="N140" s="1"/>
      <c r="O140" s="1"/>
      <c r="P140" s="1"/>
      <c r="Q140" s="1"/>
    </row>
    <row r="141" spans="1:20" x14ac:dyDescent="0.2">
      <c r="E141" s="22"/>
      <c r="F141" s="270" t="s">
        <v>102</v>
      </c>
      <c r="G141" s="271"/>
      <c r="H141" s="272">
        <v>0.08</v>
      </c>
      <c r="I141" s="273">
        <f>NPV(H141,F134:O134)</f>
        <v>63758.423298602815</v>
      </c>
      <c r="J141" s="293">
        <f>IRR(F134:O134)</f>
        <v>1.0450100565568774</v>
      </c>
      <c r="T141" s="168"/>
    </row>
    <row r="142" spans="1:20" x14ac:dyDescent="0.2">
      <c r="E142" s="22"/>
      <c r="F142" s="270" t="s">
        <v>102</v>
      </c>
      <c r="G142" s="271"/>
      <c r="H142" s="272">
        <v>0.1</v>
      </c>
      <c r="I142" s="273">
        <f>NPV(H142,$F$134:$O$134)</f>
        <v>56013.814966993392</v>
      </c>
      <c r="J142" s="293">
        <f>IRR($F$134:$O$134)</f>
        <v>1.0450100565568774</v>
      </c>
      <c r="S142" s="1"/>
    </row>
    <row r="143" spans="1:20" x14ac:dyDescent="0.2">
      <c r="A143" s="252" t="s">
        <v>104</v>
      </c>
      <c r="B143" s="252"/>
      <c r="C143" s="252"/>
      <c r="D143" s="253"/>
      <c r="E143" s="254"/>
      <c r="F143" s="270" t="s">
        <v>102</v>
      </c>
      <c r="G143" s="271"/>
      <c r="H143" s="272">
        <v>0.12</v>
      </c>
      <c r="I143" s="273">
        <f>NPV(H143,$F$134:$O$134)</f>
        <v>49361.071604170509</v>
      </c>
      <c r="J143" s="293">
        <f>IRR($F$134:$O$134)</f>
        <v>1.0450100565568774</v>
      </c>
      <c r="S143" s="1"/>
    </row>
    <row r="144" spans="1:20" x14ac:dyDescent="0.2">
      <c r="A144" s="255" t="s">
        <v>105</v>
      </c>
      <c r="B144" s="255"/>
      <c r="C144" s="255"/>
      <c r="D144" s="256"/>
      <c r="E144" s="257"/>
      <c r="G144" s="176" t="s">
        <v>317</v>
      </c>
      <c r="S144" s="1"/>
    </row>
    <row r="145" spans="1:19" x14ac:dyDescent="0.2">
      <c r="A145" s="18"/>
      <c r="B145" s="18"/>
      <c r="C145" s="18"/>
      <c r="D145" s="18" t="s">
        <v>9</v>
      </c>
      <c r="E145" s="82">
        <v>2020</v>
      </c>
      <c r="S145" s="1"/>
    </row>
    <row r="146" spans="1:19" x14ac:dyDescent="0.2">
      <c r="A146" s="18"/>
      <c r="B146" s="18"/>
      <c r="C146" s="18"/>
      <c r="D146" s="18" t="s">
        <v>107</v>
      </c>
      <c r="E146" s="83">
        <v>10</v>
      </c>
    </row>
    <row r="147" spans="1:19" x14ac:dyDescent="0.2">
      <c r="A147" s="18"/>
      <c r="B147" s="18"/>
      <c r="C147" s="18"/>
      <c r="D147" s="18" t="s">
        <v>108</v>
      </c>
      <c r="E147" s="84" t="s">
        <v>109</v>
      </c>
    </row>
    <row r="148" spans="1:19" x14ac:dyDescent="0.2">
      <c r="A148" s="18"/>
      <c r="B148" s="18"/>
      <c r="C148" s="18"/>
      <c r="D148" s="262" t="s">
        <v>110</v>
      </c>
      <c r="E148" s="264" t="s">
        <v>111</v>
      </c>
    </row>
    <row r="149" spans="1:19" x14ac:dyDescent="0.2">
      <c r="A149" s="255" t="s">
        <v>112</v>
      </c>
      <c r="B149" s="255"/>
      <c r="C149" s="255"/>
      <c r="D149" s="256"/>
      <c r="E149" s="257"/>
      <c r="L149" s="365" t="s">
        <v>103</v>
      </c>
      <c r="M149" s="365"/>
      <c r="N149" s="365"/>
      <c r="O149" s="365"/>
      <c r="P149" s="365"/>
      <c r="Q149" s="365"/>
    </row>
    <row r="150" spans="1:19" x14ac:dyDescent="0.2">
      <c r="A150" s="23"/>
      <c r="B150" s="23"/>
      <c r="C150" s="23"/>
      <c r="D150" s="18" t="s">
        <v>113</v>
      </c>
      <c r="E150" s="91">
        <f>SUM(F122:O122)</f>
        <v>10830.137000000004</v>
      </c>
      <c r="L150" s="364" t="s">
        <v>323</v>
      </c>
      <c r="M150" s="364"/>
      <c r="N150" s="364"/>
      <c r="O150" s="364"/>
      <c r="P150" s="274">
        <f>NPV(8%,BCA_EWS_TL!F134:O134)</f>
        <v>63758.423298602815</v>
      </c>
      <c r="Q150" s="292">
        <f>IRR(BCA_EWS_TL!F134:O134)</f>
        <v>1.0450100565568774</v>
      </c>
    </row>
    <row r="151" spans="1:19" ht="14" customHeight="1" x14ac:dyDescent="0.2">
      <c r="B151" s="5"/>
      <c r="C151" s="5"/>
      <c r="D151" s="88" t="s">
        <v>114</v>
      </c>
      <c r="E151" s="91">
        <f>SUM(F123:J123)</f>
        <v>12684.8596</v>
      </c>
      <c r="L151" s="364" t="s">
        <v>106</v>
      </c>
      <c r="M151" s="364"/>
      <c r="N151" s="364"/>
      <c r="O151" s="364"/>
      <c r="P151" s="274">
        <f>NPV(10%,BCA_EWS_TL!F134:O134)</f>
        <v>56013.814966993392</v>
      </c>
      <c r="Q151" s="292">
        <f>IRR(BCA_EWS_TL!F134:O134)</f>
        <v>1.0450100565568774</v>
      </c>
    </row>
    <row r="152" spans="1:19" x14ac:dyDescent="0.2">
      <c r="B152" s="5"/>
      <c r="C152" s="5"/>
      <c r="D152" s="90" t="s">
        <v>115</v>
      </c>
      <c r="E152" s="158">
        <f>SUM(F124:J124)</f>
        <v>21728.899600000004</v>
      </c>
      <c r="L152" s="364" t="s">
        <v>322</v>
      </c>
      <c r="M152" s="364"/>
      <c r="N152" s="364"/>
      <c r="O152" s="364"/>
      <c r="P152" s="274">
        <f>NPV(12%,BCA_EWS_TL!F134:O134)</f>
        <v>49361.071604170509</v>
      </c>
      <c r="Q152" s="292">
        <f>IRR(BCA_EWS_TL!F134:O134)</f>
        <v>1.0450100565568774</v>
      </c>
    </row>
    <row r="153" spans="1:19" x14ac:dyDescent="0.2">
      <c r="B153" s="5"/>
      <c r="C153" s="5"/>
      <c r="D153" s="262" t="s">
        <v>116</v>
      </c>
      <c r="E153" s="263">
        <f>SUM(F124:O124)</f>
        <v>23514.996600000006</v>
      </c>
      <c r="L153" s="364" t="s">
        <v>314</v>
      </c>
      <c r="M153" s="364"/>
      <c r="N153" s="364"/>
      <c r="O153" s="364"/>
      <c r="P153" s="274">
        <f>NPV(BCA_EWS_TL!$H$142,BCA_EWS_TL!F136:O136)</f>
        <v>48614.119255394799</v>
      </c>
      <c r="Q153" s="292">
        <f>IRR(BCA_EWS_TL!F136:O136)</f>
        <v>0.90376595503010759</v>
      </c>
    </row>
    <row r="154" spans="1:19" x14ac:dyDescent="0.2">
      <c r="B154" s="5"/>
      <c r="C154" s="5"/>
      <c r="E154" s="85"/>
      <c r="L154" s="364" t="s">
        <v>315</v>
      </c>
      <c r="M154" s="364"/>
      <c r="N154" s="364"/>
      <c r="O154" s="364"/>
      <c r="P154" s="274">
        <f>NPV(BCA_EWS_TL!$H$142,BCA_EWS_TL!F137:O137)</f>
        <v>54215.500752094136</v>
      </c>
      <c r="Q154" s="292">
        <f>IRR(BCA_EWS_TL!F137:O137)</f>
        <v>0.91618654747651163</v>
      </c>
    </row>
    <row r="155" spans="1:19" x14ac:dyDescent="0.2">
      <c r="A155" s="23"/>
      <c r="B155" s="23"/>
      <c r="C155" s="23"/>
      <c r="D155" s="93" t="s">
        <v>117</v>
      </c>
      <c r="E155" s="98">
        <v>0.03</v>
      </c>
      <c r="L155" s="364" t="s">
        <v>316</v>
      </c>
      <c r="M155" s="364"/>
      <c r="N155" s="364"/>
      <c r="O155" s="364"/>
      <c r="P155" s="274">
        <f>NPV(H142,BCA_EWS_TL!F138:O138)</f>
        <v>46815.805040495543</v>
      </c>
      <c r="Q155" s="292">
        <f>IRR(BCA_EWS_TL!F138:O138)</f>
        <v>0.79529053083422396</v>
      </c>
    </row>
    <row r="156" spans="1:19" x14ac:dyDescent="0.2">
      <c r="A156" s="23"/>
      <c r="B156" s="23"/>
      <c r="C156" s="23"/>
      <c r="D156" s="86" t="s">
        <v>5</v>
      </c>
      <c r="E156" s="87">
        <f>E155*E165</f>
        <v>475.69262849235838</v>
      </c>
    </row>
    <row r="157" spans="1:19" x14ac:dyDescent="0.2">
      <c r="A157" s="23"/>
      <c r="B157" s="23"/>
      <c r="C157" s="23"/>
      <c r="D157" s="97" t="s">
        <v>118</v>
      </c>
      <c r="E157" s="96">
        <v>0.05</v>
      </c>
      <c r="F157" s="176" t="s">
        <v>317</v>
      </c>
    </row>
    <row r="158" spans="1:19" x14ac:dyDescent="0.2">
      <c r="A158" s="23"/>
      <c r="B158" s="23"/>
      <c r="C158" s="23"/>
      <c r="D158" s="86" t="s">
        <v>5</v>
      </c>
      <c r="E158" s="87">
        <f>E157*E165</f>
        <v>792.82104748726397</v>
      </c>
    </row>
    <row r="159" spans="1:19" x14ac:dyDescent="0.2">
      <c r="A159" s="23"/>
      <c r="B159" s="23"/>
      <c r="C159" s="23"/>
      <c r="D159" s="93" t="s">
        <v>119</v>
      </c>
      <c r="E159" s="96">
        <v>0.02</v>
      </c>
    </row>
    <row r="160" spans="1:19" x14ac:dyDescent="0.2">
      <c r="A160" s="23"/>
      <c r="B160" s="23"/>
      <c r="C160" s="23"/>
      <c r="D160" s="86" t="s">
        <v>5</v>
      </c>
      <c r="E160" s="19">
        <f>E159*E165</f>
        <v>317.12841899490559</v>
      </c>
    </row>
    <row r="161" spans="1:10" x14ac:dyDescent="0.2">
      <c r="A161" s="23"/>
      <c r="B161" s="23"/>
      <c r="C161" s="23"/>
      <c r="D161" s="93" t="s">
        <v>120</v>
      </c>
      <c r="E161" s="96">
        <f>AAL!P25</f>
        <v>5.7692307692307696E-2</v>
      </c>
    </row>
    <row r="162" spans="1:10" x14ac:dyDescent="0.2">
      <c r="A162" s="23"/>
      <c r="B162" s="23"/>
      <c r="C162" s="23"/>
      <c r="D162" s="93" t="s">
        <v>121</v>
      </c>
      <c r="E162" s="96">
        <f>AAL!Q25</f>
        <v>0.36000000000000004</v>
      </c>
    </row>
    <row r="163" spans="1:10" x14ac:dyDescent="0.2">
      <c r="A163" s="23"/>
      <c r="B163" s="23"/>
      <c r="C163" s="23"/>
      <c r="D163" s="93" t="s">
        <v>122</v>
      </c>
      <c r="E163" s="190">
        <f>E162-E161</f>
        <v>0.30230769230769233</v>
      </c>
    </row>
    <row r="164" spans="1:10" x14ac:dyDescent="0.2">
      <c r="A164" s="23"/>
      <c r="B164" s="23"/>
      <c r="C164" s="23"/>
      <c r="D164" s="18" t="s">
        <v>123</v>
      </c>
      <c r="E164" s="19">
        <f>AAL!F8*1000</f>
        <v>52451.265228165044</v>
      </c>
      <c r="F164" s="188"/>
    </row>
    <row r="165" spans="1:10" x14ac:dyDescent="0.2">
      <c r="A165" s="23"/>
      <c r="B165" s="23"/>
      <c r="C165" s="23"/>
      <c r="D165" s="88" t="s">
        <v>124</v>
      </c>
      <c r="E165" s="99">
        <f>E163*E164</f>
        <v>15856.420949745279</v>
      </c>
    </row>
    <row r="166" spans="1:10" x14ac:dyDescent="0.2">
      <c r="A166" s="23"/>
      <c r="B166" s="23"/>
      <c r="C166" s="23"/>
      <c r="D166" s="356" t="s">
        <v>125</v>
      </c>
      <c r="E166" s="357"/>
      <c r="J166" s="188"/>
    </row>
    <row r="167" spans="1:10" x14ac:dyDescent="0.2">
      <c r="A167" s="23"/>
      <c r="B167" s="23"/>
      <c r="C167" s="92">
        <v>1</v>
      </c>
      <c r="D167" s="258" t="s">
        <v>126</v>
      </c>
      <c r="E167" s="259">
        <v>0.1</v>
      </c>
    </row>
    <row r="168" spans="1:10" x14ac:dyDescent="0.2">
      <c r="A168" s="23"/>
      <c r="B168" s="23"/>
      <c r="C168" s="92">
        <v>2</v>
      </c>
      <c r="D168" s="258" t="s">
        <v>127</v>
      </c>
      <c r="E168" s="259">
        <v>0.3</v>
      </c>
    </row>
    <row r="169" spans="1:10" x14ac:dyDescent="0.2">
      <c r="A169" s="23"/>
      <c r="B169" s="23"/>
      <c r="C169" s="92">
        <v>3</v>
      </c>
      <c r="D169" s="258" t="s">
        <v>128</v>
      </c>
      <c r="E169" s="259">
        <v>0.6</v>
      </c>
    </row>
    <row r="170" spans="1:10" x14ac:dyDescent="0.2">
      <c r="A170" s="23"/>
      <c r="B170" s="23"/>
      <c r="C170" s="92">
        <v>4</v>
      </c>
      <c r="D170" s="258" t="s">
        <v>129</v>
      </c>
      <c r="E170" s="259">
        <v>0.7</v>
      </c>
    </row>
    <row r="171" spans="1:10" x14ac:dyDescent="0.2">
      <c r="A171" s="23"/>
      <c r="B171" s="23"/>
      <c r="C171" s="92">
        <v>5</v>
      </c>
      <c r="D171" s="260" t="s">
        <v>130</v>
      </c>
      <c r="E171" s="261">
        <v>1</v>
      </c>
    </row>
    <row r="172" spans="1:10" x14ac:dyDescent="0.2">
      <c r="A172" s="23"/>
      <c r="B172" s="23"/>
      <c r="C172" s="23"/>
      <c r="D172" s="94"/>
      <c r="E172" s="95"/>
    </row>
    <row r="177" spans="4:4" x14ac:dyDescent="0.2">
      <c r="D177" s="27"/>
    </row>
    <row r="183" spans="4:4" x14ac:dyDescent="0.2">
      <c r="D183" s="2"/>
    </row>
  </sheetData>
  <mergeCells count="57">
    <mergeCell ref="L154:O154"/>
    <mergeCell ref="L155:O155"/>
    <mergeCell ref="L152:O152"/>
    <mergeCell ref="L149:Q149"/>
    <mergeCell ref="L151:O151"/>
    <mergeCell ref="L150:O150"/>
    <mergeCell ref="L153:O153"/>
    <mergeCell ref="A134:D134"/>
    <mergeCell ref="P4:S4"/>
    <mergeCell ref="A132:D132"/>
    <mergeCell ref="B24:D26"/>
    <mergeCell ref="B80:D82"/>
    <mergeCell ref="B105:D107"/>
    <mergeCell ref="B118:D120"/>
    <mergeCell ref="C85:E85"/>
    <mergeCell ref="B62:D64"/>
    <mergeCell ref="C39:E39"/>
    <mergeCell ref="D40:E40"/>
    <mergeCell ref="C98:E98"/>
    <mergeCell ref="D99:E99"/>
    <mergeCell ref="D92:E92"/>
    <mergeCell ref="D15:E15"/>
    <mergeCell ref="F1:O2"/>
    <mergeCell ref="D166:E166"/>
    <mergeCell ref="B7:E7"/>
    <mergeCell ref="B28:E28"/>
    <mergeCell ref="B66:E66"/>
    <mergeCell ref="B84:E84"/>
    <mergeCell ref="B109:E109"/>
    <mergeCell ref="C8:E8"/>
    <mergeCell ref="C29:E29"/>
    <mergeCell ref="D9:E9"/>
    <mergeCell ref="D12:E12"/>
    <mergeCell ref="D30:E30"/>
    <mergeCell ref="D33:E33"/>
    <mergeCell ref="D86:E86"/>
    <mergeCell ref="B115:E115"/>
    <mergeCell ref="D102:E102"/>
    <mergeCell ref="D21:E21"/>
    <mergeCell ref="D46:E46"/>
    <mergeCell ref="D71:E71"/>
    <mergeCell ref="D43:E43"/>
    <mergeCell ref="D18:E18"/>
    <mergeCell ref="D68:E68"/>
    <mergeCell ref="D50:E50"/>
    <mergeCell ref="D36:E36"/>
    <mergeCell ref="C67:E67"/>
    <mergeCell ref="C49:E49"/>
    <mergeCell ref="D53:E53"/>
    <mergeCell ref="D56:E56"/>
    <mergeCell ref="D59:E59"/>
    <mergeCell ref="D89:E89"/>
    <mergeCell ref="A122:D124"/>
    <mergeCell ref="D77:E77"/>
    <mergeCell ref="D74:E74"/>
    <mergeCell ref="D95:E95"/>
    <mergeCell ref="B112:E112"/>
  </mergeCells>
  <phoneticPr fontId="11" type="noConversion"/>
  <pageMargins left="0.7" right="0.7" top="0.75" bottom="0.75" header="0.3" footer="0.3"/>
  <pageSetup orientation="portrait" horizontalDpi="1200" verticalDpi="1200" r:id="rId1"/>
  <ignoredErrors>
    <ignoredError sqref="K130:O130 T12 Q119:Q1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50015-6700-4252-B767-8C333D2D0DDF}">
  <dimension ref="B2:O15"/>
  <sheetViews>
    <sheetView zoomScale="130" zoomScaleNormal="130" workbookViewId="0">
      <selection activeCell="J16" sqref="J16"/>
    </sheetView>
  </sheetViews>
  <sheetFormatPr baseColWidth="10" defaultColWidth="8.6640625" defaultRowHeight="15" x14ac:dyDescent="0.2"/>
  <cols>
    <col min="1" max="1" width="3.6640625" style="1" customWidth="1"/>
    <col min="2" max="6" width="8.6640625" style="1"/>
    <col min="7" max="7" width="10.33203125" style="1" customWidth="1"/>
    <col min="8" max="16384" width="8.6640625" style="1"/>
  </cols>
  <sheetData>
    <row r="2" spans="2:15" ht="15.5" customHeight="1" x14ac:dyDescent="0.2">
      <c r="H2" s="196" t="s">
        <v>5</v>
      </c>
      <c r="I2" s="366" t="s">
        <v>24</v>
      </c>
      <c r="J2" s="366"/>
      <c r="K2" s="366"/>
      <c r="L2" s="366"/>
      <c r="M2" s="366"/>
      <c r="N2" s="366"/>
    </row>
    <row r="3" spans="2:15" x14ac:dyDescent="0.2">
      <c r="F3" s="197" t="s">
        <v>131</v>
      </c>
      <c r="G3" s="197" t="s">
        <v>132</v>
      </c>
      <c r="H3" s="197" t="s">
        <v>133</v>
      </c>
      <c r="I3" s="197" t="s">
        <v>35</v>
      </c>
      <c r="J3" s="197" t="s">
        <v>36</v>
      </c>
      <c r="K3" s="197" t="s">
        <v>37</v>
      </c>
      <c r="L3" s="197" t="s">
        <v>38</v>
      </c>
      <c r="M3" s="197" t="s">
        <v>133</v>
      </c>
      <c r="N3" s="201" t="s">
        <v>134</v>
      </c>
    </row>
    <row r="4" spans="2:15" ht="33" customHeight="1" x14ac:dyDescent="0.2">
      <c r="B4" s="367" t="s">
        <v>40</v>
      </c>
      <c r="C4" s="367"/>
      <c r="D4" s="367"/>
      <c r="E4" s="367"/>
      <c r="F4" s="199">
        <f>SUM(BCA_EWS_TL!F24:J24)</f>
        <v>0</v>
      </c>
      <c r="G4" s="199">
        <f>SUM(BCA_EWS_TL!F25:J25)</f>
        <v>491.24759999999992</v>
      </c>
      <c r="H4" s="198">
        <f>SUM(F4:G4)</f>
        <v>491.24759999999992</v>
      </c>
      <c r="I4" s="199">
        <f>SUM(BCA_EWS_TL!P26)</f>
        <v>0</v>
      </c>
      <c r="J4" s="199">
        <f>SUM(BCA_EWS_TL!Q26)</f>
        <v>491.24760000000003</v>
      </c>
      <c r="K4" s="199">
        <f>SUM(BCA_EWS_TL!R26)</f>
        <v>0</v>
      </c>
      <c r="L4" s="199">
        <f>SUM(BCA_EWS_TL!S26)</f>
        <v>0</v>
      </c>
      <c r="M4" s="198">
        <f>SUM(I4:L4)</f>
        <v>491.24760000000003</v>
      </c>
      <c r="N4" s="200">
        <f>I4/M4</f>
        <v>0</v>
      </c>
      <c r="O4" s="290">
        <f>M4/$M$11</f>
        <v>2.0890821646982506E-2</v>
      </c>
    </row>
    <row r="5" spans="2:15" ht="26" customHeight="1" x14ac:dyDescent="0.2">
      <c r="B5" s="367" t="s">
        <v>52</v>
      </c>
      <c r="C5" s="367"/>
      <c r="D5" s="367"/>
      <c r="E5" s="367"/>
      <c r="F5" s="199">
        <f>SUM(BCA_EWS_TL!F62:J62)</f>
        <v>8014.3799999999992</v>
      </c>
      <c r="G5" s="199">
        <f>SUM(BCA_EWS_TL!F63:J63)</f>
        <v>4758.2869999999994</v>
      </c>
      <c r="H5" s="198">
        <f t="shared" ref="H5:H10" si="0">SUM(F5:G5)</f>
        <v>12772.666999999998</v>
      </c>
      <c r="I5" s="199">
        <f>BCA_EWS_TL!P64</f>
        <v>1786.0970000000002</v>
      </c>
      <c r="J5" s="199">
        <f>BCA_EWS_TL!Q64</f>
        <v>12772.666999999998</v>
      </c>
      <c r="K5" s="199">
        <f>BCA_EWS_TL!R64</f>
        <v>0</v>
      </c>
      <c r="L5" s="199">
        <f>BCA_EWS_TL!S64</f>
        <v>0</v>
      </c>
      <c r="M5" s="198">
        <f t="shared" ref="M5:M10" si="1">SUM(I5:L5)</f>
        <v>14558.763999999997</v>
      </c>
      <c r="N5" s="200">
        <f t="shared" ref="N5:N10" si="2">I5/M5</f>
        <v>0.1226819117337159</v>
      </c>
      <c r="O5" s="290">
        <f t="shared" ref="O5:O11" si="3">M5/$M$11</f>
        <v>0.61912677461326948</v>
      </c>
    </row>
    <row r="6" spans="2:15" ht="35.25" customHeight="1" x14ac:dyDescent="0.2">
      <c r="B6" s="367" t="s">
        <v>67</v>
      </c>
      <c r="C6" s="367"/>
      <c r="D6" s="367"/>
      <c r="E6" s="367"/>
      <c r="F6" s="199">
        <f>SUM(BCA_EWS_TL!F80:J80)</f>
        <v>436.81</v>
      </c>
      <c r="G6" s="199">
        <f>SUM(BCA_EWS_TL!F81:J81)</f>
        <v>2095.8250000000003</v>
      </c>
      <c r="H6" s="198">
        <f t="shared" si="0"/>
        <v>2532.6350000000002</v>
      </c>
      <c r="I6" s="199">
        <f>BCA_EWS_TL!P82</f>
        <v>148.4</v>
      </c>
      <c r="J6" s="199">
        <f>BCA_EWS_TL!Q82</f>
        <v>2384.2349999999997</v>
      </c>
      <c r="K6" s="199">
        <f>BCA_EWS_TL!R82</f>
        <v>0</v>
      </c>
      <c r="L6" s="199">
        <f>BCA_EWS_TL!S82</f>
        <v>0</v>
      </c>
      <c r="M6" s="198">
        <f t="shared" si="1"/>
        <v>2532.6349999999998</v>
      </c>
      <c r="N6" s="200">
        <f t="shared" si="2"/>
        <v>5.8595099570210481E-2</v>
      </c>
      <c r="O6" s="290">
        <f t="shared" si="3"/>
        <v>0.10770297113289823</v>
      </c>
    </row>
    <row r="7" spans="2:15" ht="26.25" customHeight="1" x14ac:dyDescent="0.2">
      <c r="B7" s="367" t="s">
        <v>74</v>
      </c>
      <c r="C7" s="367"/>
      <c r="D7" s="367"/>
      <c r="E7" s="367"/>
      <c r="F7" s="199">
        <f>SUM(BCA_EWS_TL!F105:J105)</f>
        <v>560.38000000000011</v>
      </c>
      <c r="G7" s="199">
        <f>SUM(BCA_EWS_TL!F106:J106)</f>
        <v>3182.4050000000002</v>
      </c>
      <c r="H7" s="198">
        <f t="shared" si="0"/>
        <v>3742.7850000000003</v>
      </c>
      <c r="I7" s="199">
        <f>BCA_EWS_TL!P107</f>
        <v>566.25</v>
      </c>
      <c r="J7" s="199">
        <f>BCA_EWS_TL!Q107</f>
        <v>3176.5349999999999</v>
      </c>
      <c r="K7" s="199">
        <f>BCA_EWS_TL!R107</f>
        <v>0</v>
      </c>
      <c r="L7" s="199">
        <f>BCA_EWS_TL!S107</f>
        <v>0</v>
      </c>
      <c r="M7" s="198">
        <f t="shared" si="1"/>
        <v>3742.7849999999999</v>
      </c>
      <c r="N7" s="200">
        <f t="shared" si="2"/>
        <v>0.15129108404570393</v>
      </c>
      <c r="O7" s="290">
        <f t="shared" si="3"/>
        <v>0.15916587459765996</v>
      </c>
    </row>
    <row r="8" spans="2:15" ht="15" customHeight="1" x14ac:dyDescent="0.2">
      <c r="B8" s="367" t="s">
        <v>135</v>
      </c>
      <c r="C8" s="367"/>
      <c r="D8" s="367"/>
      <c r="E8" s="367"/>
      <c r="F8" s="199">
        <f>SUM(BCA_EWS_TL!F110:J110)</f>
        <v>25.81</v>
      </c>
      <c r="G8" s="199">
        <f>SUM(BCA_EWS_TL!F111:J111)</f>
        <v>961.28500000000008</v>
      </c>
      <c r="H8" s="198">
        <f t="shared" si="0"/>
        <v>987.09500000000003</v>
      </c>
      <c r="I8" s="199">
        <f>SUM(BCA_EWS_TL!P110:P111)</f>
        <v>33.75</v>
      </c>
      <c r="J8" s="199">
        <f>SUM(BCA_EWS_TL!Q110:Q111)</f>
        <v>953.34500000000003</v>
      </c>
      <c r="K8" s="199">
        <f>SUM(BCA_EWS_TL!R110:R111)</f>
        <v>0</v>
      </c>
      <c r="L8" s="199">
        <f>SUM(BCA_EWS_TL!S110:S111)</f>
        <v>0</v>
      </c>
      <c r="M8" s="198">
        <f t="shared" si="1"/>
        <v>987.09500000000003</v>
      </c>
      <c r="N8" s="200">
        <f t="shared" si="2"/>
        <v>3.4191237925427644E-2</v>
      </c>
      <c r="O8" s="290">
        <f t="shared" si="3"/>
        <v>4.1977254634176731E-2</v>
      </c>
    </row>
    <row r="9" spans="2:15" ht="15" customHeight="1" x14ac:dyDescent="0.2">
      <c r="B9" s="367" t="s">
        <v>82</v>
      </c>
      <c r="C9" s="367"/>
      <c r="D9" s="367"/>
      <c r="E9" s="367"/>
      <c r="F9" s="199">
        <f>SUM(BCA_EWS_TL!F113:J113)</f>
        <v>6.66</v>
      </c>
      <c r="G9" s="199">
        <f>SUM(BCA_EWS_TL!F114:J114)</f>
        <v>925.81000000000006</v>
      </c>
      <c r="H9" s="198">
        <f t="shared" si="0"/>
        <v>932.47</v>
      </c>
      <c r="I9" s="199">
        <f>SUM(BCA_EWS_TL!P113:P114)</f>
        <v>0</v>
      </c>
      <c r="J9" s="199">
        <f>SUM(BCA_EWS_TL!Q113:Q114)</f>
        <v>932.47</v>
      </c>
      <c r="K9" s="199">
        <f>SUM(BCA_EWS_TL!R113:R114)</f>
        <v>0</v>
      </c>
      <c r="L9" s="199">
        <f>SUM(BCA_EWS_TL!S113:S114)</f>
        <v>0</v>
      </c>
      <c r="M9" s="198">
        <f t="shared" si="1"/>
        <v>932.47</v>
      </c>
      <c r="N9" s="200">
        <f t="shared" si="2"/>
        <v>0</v>
      </c>
      <c r="O9" s="290">
        <f t="shared" si="3"/>
        <v>3.9654268969785862E-2</v>
      </c>
    </row>
    <row r="10" spans="2:15" x14ac:dyDescent="0.2">
      <c r="B10" s="367" t="s">
        <v>83</v>
      </c>
      <c r="C10" s="367"/>
      <c r="D10" s="367"/>
      <c r="E10" s="367"/>
      <c r="F10" s="199">
        <f>SUM(BCA_EWS_TL!F116:J116)</f>
        <v>0</v>
      </c>
      <c r="G10" s="199">
        <f>SUM(BCA_EWS_TL!F117:J117)</f>
        <v>270</v>
      </c>
      <c r="H10" s="198">
        <f t="shared" si="0"/>
        <v>270</v>
      </c>
      <c r="I10" s="199">
        <f>SUM(BCA_EWS_TL!P116:P117)</f>
        <v>0</v>
      </c>
      <c r="J10" s="199">
        <f>SUM(BCA_EWS_TL!Q116:Q117)</f>
        <v>270</v>
      </c>
      <c r="K10" s="199">
        <f>SUM(BCA_EWS_TL!R116:R117)</f>
        <v>0</v>
      </c>
      <c r="L10" s="199">
        <f>SUM(BCA_EWS_TL!S116:S117)</f>
        <v>0</v>
      </c>
      <c r="M10" s="198">
        <f t="shared" si="1"/>
        <v>270</v>
      </c>
      <c r="N10" s="200">
        <f t="shared" si="2"/>
        <v>0</v>
      </c>
      <c r="O10" s="290">
        <f t="shared" si="3"/>
        <v>1.1482034405227173E-2</v>
      </c>
    </row>
    <row r="11" spans="2:15" x14ac:dyDescent="0.2">
      <c r="F11" s="198">
        <f>SUM(F4:F10)</f>
        <v>9044.0399999999991</v>
      </c>
      <c r="G11" s="198">
        <f t="shared" ref="G11:H11" si="4">SUM(G4:G10)</f>
        <v>12684.8596</v>
      </c>
      <c r="H11" s="198">
        <f t="shared" si="4"/>
        <v>21728.899600000001</v>
      </c>
      <c r="I11" s="198">
        <f t="shared" ref="I11" si="5">SUM(I4:I10)</f>
        <v>2534.4970000000003</v>
      </c>
      <c r="J11" s="198">
        <f>SUM(J4:J10)</f>
        <v>20980.499599999999</v>
      </c>
      <c r="K11" s="198">
        <f t="shared" ref="K11" si="6">SUM(K4:K10)</f>
        <v>0</v>
      </c>
      <c r="L11" s="198">
        <f t="shared" ref="L11:M11" si="7">SUM(L4:L10)</f>
        <v>0</v>
      </c>
      <c r="M11" s="198">
        <f t="shared" si="7"/>
        <v>23514.996599999999</v>
      </c>
      <c r="N11" s="200">
        <f>I11/M11</f>
        <v>0.10778215464424096</v>
      </c>
      <c r="O11" s="290">
        <f t="shared" si="3"/>
        <v>1</v>
      </c>
    </row>
    <row r="12" spans="2:15" x14ac:dyDescent="0.2">
      <c r="F12" s="297">
        <f>F11/$H$11</f>
        <v>0.4162217216006649</v>
      </c>
      <c r="G12" s="297">
        <f>G11/$H$11</f>
        <v>0.58377827839933505</v>
      </c>
      <c r="I12" s="207">
        <f>I11/M11</f>
        <v>0.10778215464424096</v>
      </c>
      <c r="J12" s="207">
        <f>J11/M11</f>
        <v>0.8922178453557591</v>
      </c>
      <c r="K12" s="207">
        <f>K11/M11</f>
        <v>0</v>
      </c>
      <c r="L12" s="207">
        <f>L11/M11</f>
        <v>0</v>
      </c>
    </row>
    <row r="14" spans="2:15" x14ac:dyDescent="0.2">
      <c r="F14" s="205" t="s">
        <v>136</v>
      </c>
      <c r="G14" s="198" t="s">
        <v>137</v>
      </c>
      <c r="H14" s="198" t="s">
        <v>133</v>
      </c>
      <c r="J14" s="191"/>
    </row>
    <row r="15" spans="2:15" x14ac:dyDescent="0.2">
      <c r="F15" s="198">
        <v>915.2</v>
      </c>
      <c r="G15" s="204">
        <f>F15/J11</f>
        <v>4.3621458852200069E-2</v>
      </c>
      <c r="H15" s="204">
        <f>F15/M11</f>
        <v>3.8919844028384852E-2</v>
      </c>
    </row>
  </sheetData>
  <mergeCells count="8">
    <mergeCell ref="I2:N2"/>
    <mergeCell ref="B10:E10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1687C-0755-4F6B-8BF2-59EA371BE0E9}">
  <dimension ref="A1:AN74"/>
  <sheetViews>
    <sheetView zoomScale="70" zoomScaleNormal="70" workbookViewId="0">
      <selection activeCell="P23" sqref="P23"/>
    </sheetView>
  </sheetViews>
  <sheetFormatPr baseColWidth="10" defaultColWidth="8.6640625" defaultRowHeight="14.25" customHeight="1" x14ac:dyDescent="0.15"/>
  <cols>
    <col min="1" max="1" width="13.33203125" style="5" customWidth="1"/>
    <col min="2" max="6" width="9.83203125" style="5" customWidth="1"/>
    <col min="7" max="7" width="11.1640625" style="5" customWidth="1"/>
    <col min="8" max="8" width="13.33203125" style="5" customWidth="1"/>
    <col min="9" max="9" width="19.33203125" style="5" customWidth="1"/>
    <col min="10" max="10" width="9.6640625" style="5" customWidth="1"/>
    <col min="11" max="11" width="8.83203125" style="5" bestFit="1" customWidth="1"/>
    <col min="12" max="12" width="12.83203125" style="5" customWidth="1"/>
    <col min="13" max="13" width="26.5" style="5" bestFit="1" customWidth="1"/>
    <col min="14" max="14" width="9.5" style="5" bestFit="1" customWidth="1"/>
    <col min="15" max="15" width="1" style="5" customWidth="1"/>
    <col min="16" max="16" width="8.83203125" style="5" bestFit="1" customWidth="1"/>
    <col min="17" max="17" width="12.6640625" style="5" customWidth="1"/>
    <col min="18" max="18" width="10.5" style="5" bestFit="1" customWidth="1"/>
    <col min="19" max="19" width="13.5" style="5" bestFit="1" customWidth="1"/>
    <col min="20" max="20" width="31.5" style="5" bestFit="1" customWidth="1"/>
    <col min="21" max="21" width="12.6640625" style="5" customWidth="1"/>
    <col min="22" max="31" width="16.1640625" style="5" customWidth="1"/>
    <col min="32" max="32" width="37.1640625" style="5" customWidth="1"/>
    <col min="33" max="33" width="8.6640625" style="5"/>
    <col min="34" max="34" width="11.1640625" style="5" customWidth="1"/>
    <col min="35" max="35" width="8.6640625" style="5"/>
    <col min="36" max="36" width="11.5" style="5" customWidth="1"/>
    <col min="37" max="16384" width="8.6640625" style="5"/>
  </cols>
  <sheetData>
    <row r="1" spans="1:37" ht="14.25" customHeight="1" x14ac:dyDescent="0.15">
      <c r="A1" s="370" t="s">
        <v>138</v>
      </c>
      <c r="B1" s="370"/>
      <c r="C1" s="370"/>
      <c r="D1" s="370"/>
      <c r="E1" s="370"/>
      <c r="F1" s="370"/>
      <c r="G1" s="103"/>
      <c r="H1" s="370" t="s">
        <v>139</v>
      </c>
      <c r="I1" s="370"/>
      <c r="J1" s="370"/>
      <c r="K1" s="370"/>
      <c r="L1" s="370"/>
      <c r="M1" s="54"/>
      <c r="N1" s="54"/>
      <c r="O1" s="10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376" t="s">
        <v>138</v>
      </c>
      <c r="AG1" s="376"/>
      <c r="AH1" s="376"/>
      <c r="AI1" s="376"/>
      <c r="AJ1" s="376"/>
      <c r="AK1" s="376"/>
    </row>
    <row r="2" spans="1:37" ht="14.25" customHeight="1" x14ac:dyDescent="0.15">
      <c r="A2" s="130"/>
      <c r="B2" s="370" t="s">
        <v>140</v>
      </c>
      <c r="C2" s="370"/>
      <c r="D2" s="370"/>
      <c r="E2" s="370"/>
      <c r="F2" s="370"/>
      <c r="G2" s="56"/>
      <c r="H2" s="130"/>
      <c r="I2" s="370" t="s">
        <v>141</v>
      </c>
      <c r="J2" s="370" t="s">
        <v>142</v>
      </c>
      <c r="K2" s="370"/>
      <c r="L2" s="370"/>
      <c r="M2" s="55"/>
      <c r="N2" s="55"/>
      <c r="O2" s="57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105"/>
      <c r="AG2" s="376" t="s">
        <v>140</v>
      </c>
      <c r="AH2" s="376"/>
      <c r="AI2" s="376"/>
      <c r="AJ2" s="376"/>
      <c r="AK2" s="376"/>
    </row>
    <row r="3" spans="1:37" s="71" customFormat="1" ht="39" x14ac:dyDescent="0.2">
      <c r="A3" s="161" t="s">
        <v>143</v>
      </c>
      <c r="B3" s="161" t="s">
        <v>144</v>
      </c>
      <c r="C3" s="161" t="s">
        <v>145</v>
      </c>
      <c r="D3" s="161" t="s">
        <v>146</v>
      </c>
      <c r="E3" s="161" t="s">
        <v>147</v>
      </c>
      <c r="F3" s="161" t="s">
        <v>148</v>
      </c>
      <c r="G3" s="162"/>
      <c r="H3" s="161" t="s">
        <v>143</v>
      </c>
      <c r="I3" s="370"/>
      <c r="J3" s="131">
        <v>0.02</v>
      </c>
      <c r="K3" s="131">
        <v>9.1700000000000004E-2</v>
      </c>
      <c r="L3" s="131">
        <v>0.15</v>
      </c>
      <c r="M3" s="107"/>
      <c r="N3" s="57"/>
      <c r="O3" s="57"/>
      <c r="P3" s="107"/>
      <c r="T3" s="10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108"/>
      <c r="AG3" s="108" t="s">
        <v>144</v>
      </c>
      <c r="AH3" s="108" t="s">
        <v>145</v>
      </c>
      <c r="AI3" s="108" t="s">
        <v>146</v>
      </c>
      <c r="AJ3" s="108" t="s">
        <v>147</v>
      </c>
      <c r="AK3" s="108" t="s">
        <v>148</v>
      </c>
    </row>
    <row r="4" spans="1:37" ht="14.25" customHeight="1" x14ac:dyDescent="0.15">
      <c r="A4" s="59" t="s">
        <v>149</v>
      </c>
      <c r="B4" s="60">
        <v>86.54</v>
      </c>
      <c r="C4" s="60">
        <v>19.90985620915033</v>
      </c>
      <c r="D4" s="60">
        <f>(SUM(B4:C4))*1.13124183006536</f>
        <v>120.42053014823365</v>
      </c>
      <c r="E4" s="60">
        <f>J18</f>
        <v>135.74352941176471</v>
      </c>
      <c r="F4" s="61">
        <f>SUM(D4:E4)</f>
        <v>256.16405955999835</v>
      </c>
      <c r="G4" s="109"/>
      <c r="H4" s="59" t="s">
        <v>149</v>
      </c>
      <c r="I4" s="110">
        <f t="shared" ref="I4:I9" si="0">F4</f>
        <v>256.16405955999835</v>
      </c>
      <c r="J4" s="60">
        <f>$J$3*F4</f>
        <v>5.1232811911999674</v>
      </c>
      <c r="K4" s="60">
        <f>$K$3*F4</f>
        <v>23.490244261651849</v>
      </c>
      <c r="L4" s="60">
        <f>$L$3*F4</f>
        <v>38.42460893399975</v>
      </c>
      <c r="M4" s="60"/>
      <c r="N4" s="111"/>
      <c r="O4" s="58"/>
      <c r="P4" s="60"/>
      <c r="T4" s="60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67" t="s">
        <v>150</v>
      </c>
      <c r="AG4" s="68">
        <v>0.79186928104575161</v>
      </c>
      <c r="AH4" s="68">
        <v>0.22624836601307191</v>
      </c>
      <c r="AI4" s="68">
        <f>(SUM(AG4:AH4))*1.13124183006536</f>
        <v>1.1517372702806619</v>
      </c>
      <c r="AJ4" s="68">
        <v>88.233294117647063</v>
      </c>
      <c r="AK4" s="69">
        <f>SUM(AI4:AJ4)</f>
        <v>89.385031387927725</v>
      </c>
    </row>
    <row r="5" spans="1:37" ht="14.25" customHeight="1" x14ac:dyDescent="0.15">
      <c r="A5" s="59" t="s">
        <v>151</v>
      </c>
      <c r="B5" s="60">
        <v>41.629699346405225</v>
      </c>
      <c r="C5" s="60">
        <v>9.6155555555555559</v>
      </c>
      <c r="D5" s="60">
        <f>(SUM(B5:C5))*1.13124183006536</f>
        <v>57.970775937459969</v>
      </c>
      <c r="E5" s="60">
        <f>L18</f>
        <v>61.343529411764706</v>
      </c>
      <c r="F5" s="61">
        <f>SUM(D5:E5)</f>
        <v>119.31430534922467</v>
      </c>
      <c r="G5" s="106"/>
      <c r="H5" s="59" t="s">
        <v>151</v>
      </c>
      <c r="I5" s="110">
        <f t="shared" si="0"/>
        <v>119.31430534922467</v>
      </c>
      <c r="J5" s="60">
        <f>$J$3*F5</f>
        <v>2.3862861069844934</v>
      </c>
      <c r="K5" s="60">
        <f>$K$3*F5</f>
        <v>10.941121800523902</v>
      </c>
      <c r="L5" s="60">
        <f>$L$3*F5</f>
        <v>17.897145802383701</v>
      </c>
      <c r="M5" s="60"/>
      <c r="N5" s="58"/>
      <c r="O5" s="58"/>
      <c r="P5" s="60"/>
      <c r="T5" s="60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G5" s="60"/>
      <c r="AH5" s="60"/>
      <c r="AI5" s="60"/>
      <c r="AJ5" s="60"/>
      <c r="AK5" s="61"/>
    </row>
    <row r="6" spans="1:37" ht="14.25" customHeight="1" x14ac:dyDescent="0.15">
      <c r="A6" s="59" t="s">
        <v>152</v>
      </c>
      <c r="B6" s="60">
        <v>25.679189542483659</v>
      </c>
      <c r="C6" s="60">
        <v>5.88245751633987</v>
      </c>
      <c r="D6" s="60">
        <f>(SUM(B6:C6))*1.13124183006536</f>
        <v>35.70385537870051</v>
      </c>
      <c r="E6" s="60">
        <f>K18</f>
        <v>99.679327731092442</v>
      </c>
      <c r="F6" s="61">
        <f>SUM(D6:E6)</f>
        <v>135.38318310979295</v>
      </c>
      <c r="G6" s="106"/>
      <c r="H6" s="59" t="s">
        <v>152</v>
      </c>
      <c r="I6" s="110">
        <f t="shared" si="0"/>
        <v>135.38318310979295</v>
      </c>
      <c r="J6" s="60">
        <f>$J$3*F6</f>
        <v>2.7076636621958592</v>
      </c>
      <c r="K6" s="60">
        <f>$K$3*F6</f>
        <v>12.414637891168015</v>
      </c>
      <c r="L6" s="60">
        <f>$L$3*F6</f>
        <v>20.307477466468942</v>
      </c>
      <c r="M6" s="60"/>
      <c r="N6" s="58"/>
      <c r="O6" s="58"/>
      <c r="P6" s="60"/>
      <c r="T6" s="60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66" t="s">
        <v>153</v>
      </c>
      <c r="AG6" s="60"/>
      <c r="AH6" s="60"/>
      <c r="AI6" s="60"/>
      <c r="AJ6" s="60"/>
      <c r="AK6" s="61"/>
    </row>
    <row r="7" spans="1:37" ht="14.25" customHeight="1" x14ac:dyDescent="0.15">
      <c r="A7" s="59" t="s">
        <v>154</v>
      </c>
      <c r="B7" s="60">
        <v>6.5612026143790851</v>
      </c>
      <c r="C7" s="60">
        <v>1.4706143790849675</v>
      </c>
      <c r="D7" s="60">
        <f>(SUM(B7:C7))*1.13124183006536</f>
        <v>9.0859273544363326</v>
      </c>
      <c r="E7" s="60">
        <f>M18</f>
        <v>41.326386554621848</v>
      </c>
      <c r="F7" s="61">
        <f>SUM(D7:E7)</f>
        <v>50.412313909058184</v>
      </c>
      <c r="G7" s="106"/>
      <c r="H7" s="59" t="s">
        <v>154</v>
      </c>
      <c r="I7" s="110">
        <f t="shared" si="0"/>
        <v>50.412313909058184</v>
      </c>
      <c r="J7" s="60">
        <f>$J$3*F7</f>
        <v>1.0082462781811636</v>
      </c>
      <c r="K7" s="60">
        <f>$K$3*F7</f>
        <v>4.6228091854606355</v>
      </c>
      <c r="L7" s="60">
        <f>$L$3*F7</f>
        <v>7.5618470863587275</v>
      </c>
      <c r="M7" s="60"/>
      <c r="N7" s="58"/>
      <c r="O7" s="58"/>
      <c r="P7" s="60"/>
      <c r="T7" s="60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9"/>
      <c r="AG7" s="60"/>
      <c r="AH7" s="60"/>
      <c r="AI7" s="60"/>
      <c r="AJ7" s="60"/>
      <c r="AK7" s="61"/>
    </row>
    <row r="8" spans="1:37" ht="14.25" customHeight="1" x14ac:dyDescent="0.15">
      <c r="A8" s="59" t="s">
        <v>155</v>
      </c>
      <c r="B8" s="60">
        <v>0.79186928104575161</v>
      </c>
      <c r="C8" s="60">
        <v>0.22624836601307191</v>
      </c>
      <c r="D8" s="60">
        <f>(SUM(B8:C8))*1.13124183006536</f>
        <v>1.1517372702806619</v>
      </c>
      <c r="E8" s="60">
        <f>E4*J64</f>
        <v>51.299527957884379</v>
      </c>
      <c r="F8" s="61">
        <f>SUM(D8:E8)</f>
        <v>52.451265228165042</v>
      </c>
      <c r="G8" s="106"/>
      <c r="H8" s="59" t="s">
        <v>155</v>
      </c>
      <c r="I8" s="110">
        <f t="shared" si="0"/>
        <v>52.451265228165042</v>
      </c>
      <c r="J8" s="60">
        <f>$J$3*F8</f>
        <v>1.0490253045633009</v>
      </c>
      <c r="K8" s="60">
        <f>$K$3*F8</f>
        <v>4.8097810214227348</v>
      </c>
      <c r="L8" s="60">
        <f>$L$3*F8</f>
        <v>7.8676897842247557</v>
      </c>
      <c r="M8" s="60"/>
      <c r="N8" s="58"/>
      <c r="O8" s="58"/>
      <c r="P8" s="60"/>
      <c r="T8" s="60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7" ht="14.25" customHeight="1" x14ac:dyDescent="0.15">
      <c r="A9" s="63" t="s">
        <v>156</v>
      </c>
      <c r="B9" s="163">
        <f>SUM(B4:B8)</f>
        <v>161.20196078431374</v>
      </c>
      <c r="C9" s="163">
        <f>SUM(C4:C8)</f>
        <v>37.1047320261438</v>
      </c>
      <c r="D9" s="163">
        <f>SUM(D4:D8)</f>
        <v>224.33282608911114</v>
      </c>
      <c r="E9" s="163">
        <f>SUM(E4:E8)</f>
        <v>389.39230106712807</v>
      </c>
      <c r="F9" s="163">
        <f>SUM(F4:F8)</f>
        <v>613.7251271562393</v>
      </c>
      <c r="G9" s="106"/>
      <c r="H9" s="63" t="s">
        <v>156</v>
      </c>
      <c r="I9" s="112">
        <f t="shared" si="0"/>
        <v>613.7251271562393</v>
      </c>
      <c r="J9" s="61">
        <f>SUM(J4:J8)</f>
        <v>12.274502543124784</v>
      </c>
      <c r="K9" s="61">
        <f>SUM(K4:K8)</f>
        <v>56.278594160227144</v>
      </c>
      <c r="L9" s="61">
        <f>SUM(L4:L8)</f>
        <v>92.058769073435869</v>
      </c>
      <c r="M9" s="61"/>
      <c r="N9" s="62"/>
      <c r="O9" s="62"/>
      <c r="P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3"/>
      <c r="AG9" s="61"/>
      <c r="AH9" s="61"/>
      <c r="AI9" s="61"/>
      <c r="AJ9" s="61"/>
      <c r="AK9" s="64"/>
    </row>
    <row r="10" spans="1:37" ht="14.25" customHeight="1" x14ac:dyDescent="0.15">
      <c r="A10" s="66" t="s">
        <v>153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G10" s="65"/>
      <c r="AH10" s="65"/>
      <c r="AI10" s="65"/>
      <c r="AJ10" s="65"/>
      <c r="AK10" s="65"/>
    </row>
    <row r="11" spans="1:37" ht="14.25" customHeight="1" x14ac:dyDescent="0.15">
      <c r="I11" s="65"/>
      <c r="J11" s="65"/>
      <c r="K11" s="65"/>
      <c r="L11" s="65"/>
      <c r="M11" s="65"/>
      <c r="N11" s="65"/>
    </row>
    <row r="12" spans="1:37" ht="14.25" customHeight="1" x14ac:dyDescent="0.15">
      <c r="A12" s="134" t="s">
        <v>157</v>
      </c>
      <c r="B12" s="135"/>
      <c r="C12" s="135"/>
      <c r="D12" s="135"/>
      <c r="E12" s="135"/>
      <c r="F12" s="135"/>
      <c r="G12" s="135"/>
      <c r="H12" s="3"/>
      <c r="I12" s="65"/>
      <c r="J12" s="65"/>
      <c r="K12" s="65"/>
      <c r="L12" s="65"/>
      <c r="M12" s="65"/>
      <c r="N12" s="65"/>
      <c r="P12" s="3"/>
    </row>
    <row r="13" spans="1:37" ht="14.25" customHeight="1" x14ac:dyDescent="0.15">
      <c r="A13" s="136" t="s">
        <v>143</v>
      </c>
      <c r="B13" s="137" t="s">
        <v>152</v>
      </c>
      <c r="C13" s="137" t="s">
        <v>149</v>
      </c>
      <c r="D13" s="137" t="s">
        <v>151</v>
      </c>
      <c r="E13" s="138" t="s">
        <v>154</v>
      </c>
      <c r="F13" s="138" t="s">
        <v>155</v>
      </c>
      <c r="G13" s="371" t="s">
        <v>158</v>
      </c>
      <c r="H13" s="113"/>
      <c r="I13" s="132"/>
      <c r="J13" s="372" t="s">
        <v>159</v>
      </c>
      <c r="K13" s="372"/>
      <c r="L13" s="372"/>
      <c r="M13" s="372"/>
      <c r="N13" s="372"/>
      <c r="P13" s="3"/>
      <c r="T13" s="49" t="s">
        <v>1</v>
      </c>
      <c r="U13" s="50"/>
      <c r="V13" s="50"/>
    </row>
    <row r="14" spans="1:37" ht="14.25" customHeight="1" x14ac:dyDescent="0.15">
      <c r="A14" s="136" t="s">
        <v>160</v>
      </c>
      <c r="B14" s="135" t="s">
        <v>161</v>
      </c>
      <c r="C14" s="373" t="s">
        <v>162</v>
      </c>
      <c r="D14" s="373"/>
      <c r="E14" s="373"/>
      <c r="F14" s="135" t="s">
        <v>163</v>
      </c>
      <c r="G14" s="371"/>
      <c r="H14" s="113"/>
      <c r="I14" s="132" t="s">
        <v>164</v>
      </c>
      <c r="J14" s="133" t="s">
        <v>149</v>
      </c>
      <c r="K14" s="133" t="s">
        <v>152</v>
      </c>
      <c r="L14" s="133" t="s">
        <v>151</v>
      </c>
      <c r="M14" s="133" t="s">
        <v>154</v>
      </c>
      <c r="N14" s="133" t="s">
        <v>35</v>
      </c>
      <c r="P14" s="3"/>
      <c r="T14" s="45" t="s">
        <v>160</v>
      </c>
      <c r="U14" s="50"/>
      <c r="V14" s="46" t="s">
        <v>163</v>
      </c>
    </row>
    <row r="15" spans="1:37" ht="14.25" customHeight="1" x14ac:dyDescent="0.15">
      <c r="A15" s="34" t="s">
        <v>165</v>
      </c>
      <c r="B15" s="35">
        <v>399</v>
      </c>
      <c r="C15" s="35">
        <v>1276</v>
      </c>
      <c r="D15" s="35">
        <v>381</v>
      </c>
      <c r="E15" s="35">
        <v>462</v>
      </c>
      <c r="F15" s="35" t="s">
        <v>166</v>
      </c>
      <c r="G15" s="35">
        <v>2518</v>
      </c>
      <c r="H15" s="114"/>
      <c r="I15" s="115" t="s">
        <v>167</v>
      </c>
      <c r="J15" s="116">
        <v>47.120000000000005</v>
      </c>
      <c r="K15" s="116">
        <v>0.90655462184873958</v>
      </c>
      <c r="L15" s="116">
        <v>36.522689075630254</v>
      </c>
      <c r="M15" s="116">
        <v>22.132436974789915</v>
      </c>
      <c r="N15" s="116" t="s">
        <v>166</v>
      </c>
      <c r="P15" s="3"/>
      <c r="T15" s="39" t="s">
        <v>165</v>
      </c>
      <c r="V15" s="35" t="s">
        <v>166</v>
      </c>
    </row>
    <row r="16" spans="1:37" ht="14.25" customHeight="1" x14ac:dyDescent="0.15">
      <c r="A16" s="3" t="s">
        <v>168</v>
      </c>
      <c r="B16" s="35">
        <v>1093</v>
      </c>
      <c r="C16" s="35">
        <v>16</v>
      </c>
      <c r="D16" s="35">
        <v>2</v>
      </c>
      <c r="E16" s="35">
        <v>0</v>
      </c>
      <c r="F16" s="35">
        <v>6</v>
      </c>
      <c r="G16" s="35">
        <v>1117</v>
      </c>
      <c r="H16" s="114"/>
      <c r="I16" s="115" t="s">
        <v>169</v>
      </c>
      <c r="J16" s="116">
        <v>88.623529411764707</v>
      </c>
      <c r="K16" s="116">
        <v>0.58352941176470596</v>
      </c>
      <c r="L16" s="116">
        <v>24.820840336134456</v>
      </c>
      <c r="M16" s="116">
        <v>19.193949579831937</v>
      </c>
      <c r="N16" s="116" t="s">
        <v>166</v>
      </c>
      <c r="P16" s="3"/>
      <c r="T16" s="40" t="s">
        <v>168</v>
      </c>
      <c r="V16" s="35">
        <v>6</v>
      </c>
    </row>
    <row r="17" spans="1:22" ht="14.25" customHeight="1" x14ac:dyDescent="0.15">
      <c r="A17" s="3" t="s">
        <v>170</v>
      </c>
      <c r="B17" s="35">
        <v>467</v>
      </c>
      <c r="C17" s="35">
        <v>139</v>
      </c>
      <c r="D17" s="35">
        <v>1</v>
      </c>
      <c r="E17" s="35">
        <v>68</v>
      </c>
      <c r="F17" s="35">
        <v>46</v>
      </c>
      <c r="G17" s="35">
        <v>721</v>
      </c>
      <c r="H17" s="114"/>
      <c r="I17" s="115" t="s">
        <v>170</v>
      </c>
      <c r="J17" s="116" t="s">
        <v>166</v>
      </c>
      <c r="K17" s="116">
        <v>98.189243697479</v>
      </c>
      <c r="L17" s="116" t="s">
        <v>166</v>
      </c>
      <c r="M17" s="116" t="s">
        <v>166</v>
      </c>
      <c r="N17" s="116">
        <v>1.0836974789915967</v>
      </c>
      <c r="P17" s="3"/>
      <c r="T17" s="40" t="s">
        <v>170</v>
      </c>
      <c r="V17" s="35">
        <v>46</v>
      </c>
    </row>
    <row r="18" spans="1:22" ht="14.25" customHeight="1" x14ac:dyDescent="0.15">
      <c r="A18" s="3" t="s">
        <v>171</v>
      </c>
      <c r="B18" s="35">
        <v>440</v>
      </c>
      <c r="C18" s="35">
        <v>0</v>
      </c>
      <c r="D18" s="35" t="s">
        <v>166</v>
      </c>
      <c r="E18" s="35">
        <v>0</v>
      </c>
      <c r="F18" s="35">
        <v>1</v>
      </c>
      <c r="G18" s="35">
        <v>441</v>
      </c>
      <c r="H18" s="114"/>
      <c r="I18" s="117" t="s">
        <v>150</v>
      </c>
      <c r="J18" s="118">
        <f>SUM(J15:J17)</f>
        <v>135.74352941176471</v>
      </c>
      <c r="K18" s="118">
        <f>SUM(K15:K17)</f>
        <v>99.679327731092442</v>
      </c>
      <c r="L18" s="118">
        <f>SUM(L15:L17)</f>
        <v>61.343529411764706</v>
      </c>
      <c r="M18" s="118">
        <f>SUM(M15:M17)</f>
        <v>41.326386554621848</v>
      </c>
      <c r="N18" s="118">
        <f>SUM(N15:N17)</f>
        <v>1.0836974789915967</v>
      </c>
      <c r="P18" s="3"/>
      <c r="T18" s="40" t="s">
        <v>171</v>
      </c>
      <c r="V18" s="35">
        <v>1</v>
      </c>
    </row>
    <row r="19" spans="1:22" ht="14.25" customHeight="1" x14ac:dyDescent="0.15">
      <c r="A19" s="34" t="s">
        <v>172</v>
      </c>
      <c r="B19" s="35">
        <v>3</v>
      </c>
      <c r="C19" s="35">
        <v>29</v>
      </c>
      <c r="D19" s="35">
        <v>62</v>
      </c>
      <c r="E19" s="35">
        <v>200</v>
      </c>
      <c r="F19" s="35" t="s">
        <v>166</v>
      </c>
      <c r="G19" s="35">
        <v>294</v>
      </c>
      <c r="H19" s="114"/>
      <c r="I19" s="119" t="s">
        <v>173</v>
      </c>
      <c r="L19" s="120"/>
      <c r="M19" s="120"/>
      <c r="N19" s="120"/>
      <c r="P19" s="3"/>
      <c r="T19" s="39" t="s">
        <v>172</v>
      </c>
      <c r="V19" s="35" t="s">
        <v>166</v>
      </c>
    </row>
    <row r="20" spans="1:22" ht="14.25" customHeight="1" x14ac:dyDescent="0.15">
      <c r="A20" s="3" t="s">
        <v>174</v>
      </c>
      <c r="B20" s="35" t="s">
        <v>166</v>
      </c>
      <c r="C20" s="35" t="s">
        <v>166</v>
      </c>
      <c r="D20" s="35" t="s">
        <v>166</v>
      </c>
      <c r="E20" s="35" t="s">
        <v>166</v>
      </c>
      <c r="F20" s="35">
        <v>21</v>
      </c>
      <c r="G20" s="35">
        <v>21</v>
      </c>
      <c r="H20" s="114"/>
      <c r="P20" s="3"/>
      <c r="T20" s="40" t="s">
        <v>174</v>
      </c>
      <c r="V20" s="35">
        <v>21</v>
      </c>
    </row>
    <row r="21" spans="1:22" ht="14.25" customHeight="1" x14ac:dyDescent="0.15">
      <c r="A21" s="34" t="s">
        <v>175</v>
      </c>
      <c r="B21" s="35" t="s">
        <v>166</v>
      </c>
      <c r="C21" s="35" t="s">
        <v>166</v>
      </c>
      <c r="D21" s="35" t="s">
        <v>166</v>
      </c>
      <c r="E21" s="35" t="s">
        <v>166</v>
      </c>
      <c r="F21" s="35">
        <v>11</v>
      </c>
      <c r="G21" s="35">
        <v>11</v>
      </c>
      <c r="H21" s="114"/>
      <c r="P21" s="3"/>
      <c r="T21" s="39" t="s">
        <v>175</v>
      </c>
      <c r="V21" s="35">
        <v>11</v>
      </c>
    </row>
    <row r="22" spans="1:22" ht="14.25" customHeight="1" x14ac:dyDescent="0.15">
      <c r="A22" s="34" t="s">
        <v>176</v>
      </c>
      <c r="B22" s="35">
        <v>1</v>
      </c>
      <c r="C22" s="35" t="s">
        <v>166</v>
      </c>
      <c r="D22" s="35" t="s">
        <v>166</v>
      </c>
      <c r="E22" s="35">
        <v>0</v>
      </c>
      <c r="F22" s="35">
        <v>0</v>
      </c>
      <c r="G22" s="35">
        <v>1</v>
      </c>
      <c r="H22" s="114"/>
      <c r="J22" s="120"/>
      <c r="K22" s="120"/>
      <c r="P22" s="3"/>
      <c r="T22" s="39" t="s">
        <v>176</v>
      </c>
      <c r="V22" s="35">
        <v>0</v>
      </c>
    </row>
    <row r="23" spans="1:22" ht="14.25" customHeight="1" x14ac:dyDescent="0.15">
      <c r="A23" s="36" t="s">
        <v>177</v>
      </c>
      <c r="B23" s="37">
        <v>2403</v>
      </c>
      <c r="C23" s="37">
        <v>1460</v>
      </c>
      <c r="D23" s="37">
        <v>446</v>
      </c>
      <c r="E23" s="37">
        <v>730</v>
      </c>
      <c r="F23" s="37">
        <v>85</v>
      </c>
      <c r="G23" s="37">
        <v>5124</v>
      </c>
      <c r="H23" s="37"/>
      <c r="I23" s="121"/>
      <c r="J23" s="10"/>
      <c r="K23" s="10"/>
      <c r="M23" s="10"/>
      <c r="N23" s="10"/>
      <c r="P23" s="114">
        <f>3/13</f>
        <v>0.23076923076923078</v>
      </c>
      <c r="Q23" s="278" t="s">
        <v>178</v>
      </c>
      <c r="T23" s="41" t="s">
        <v>133</v>
      </c>
      <c r="V23" s="42">
        <v>85</v>
      </c>
    </row>
    <row r="24" spans="1:22" ht="23.25" customHeight="1" x14ac:dyDescent="0.15">
      <c r="A24" s="38" t="s">
        <v>179</v>
      </c>
      <c r="B24" s="3"/>
      <c r="C24" s="3"/>
      <c r="D24" s="3"/>
      <c r="E24" s="3"/>
      <c r="F24" s="3"/>
      <c r="G24" s="3"/>
      <c r="H24" s="3"/>
      <c r="I24" s="140" t="s">
        <v>180</v>
      </c>
      <c r="J24" s="141" t="s">
        <v>181</v>
      </c>
      <c r="K24" s="142" t="s">
        <v>182</v>
      </c>
      <c r="M24" s="30" t="s">
        <v>181</v>
      </c>
      <c r="N24" s="32" t="s">
        <v>183</v>
      </c>
      <c r="P24" s="42" t="s">
        <v>184</v>
      </c>
      <c r="Q24" s="202" t="s">
        <v>185</v>
      </c>
      <c r="T24" s="43" t="s">
        <v>179</v>
      </c>
      <c r="V24" s="44"/>
    </row>
    <row r="25" spans="1:22" ht="14.25" customHeight="1" x14ac:dyDescent="0.15">
      <c r="I25" s="374" t="s">
        <v>186</v>
      </c>
      <c r="J25" s="5" t="s">
        <v>187</v>
      </c>
      <c r="K25" s="6">
        <v>0.2</v>
      </c>
      <c r="M25" s="5" t="s">
        <v>187</v>
      </c>
      <c r="N25" s="14">
        <f>AVERAGE(K25,K28,K31,K34,K37,K40)</f>
        <v>0.14166666666666666</v>
      </c>
      <c r="P25" s="377">
        <f>AVERAGE(N25:N26)*P23</f>
        <v>5.7692307692307696E-2</v>
      </c>
      <c r="Q25" s="377">
        <f>AVERAGE(N25:N27)</f>
        <v>0.36000000000000004</v>
      </c>
    </row>
    <row r="26" spans="1:22" ht="14.25" customHeight="1" x14ac:dyDescent="0.15">
      <c r="I26" s="375"/>
      <c r="J26" s="5" t="s">
        <v>188</v>
      </c>
      <c r="K26" s="145">
        <v>0.8</v>
      </c>
      <c r="M26" s="5" t="s">
        <v>188</v>
      </c>
      <c r="N26" s="139">
        <f>AVERAGE(K26,K29,K32,K35,K38,K41)</f>
        <v>0.35833333333333334</v>
      </c>
      <c r="P26" s="377"/>
      <c r="Q26" s="377"/>
    </row>
    <row r="27" spans="1:22" ht="14.25" customHeight="1" x14ac:dyDescent="0.15">
      <c r="I27" s="375"/>
      <c r="J27" s="10" t="s">
        <v>189</v>
      </c>
      <c r="K27" s="11">
        <v>0.9</v>
      </c>
      <c r="M27" s="10" t="s">
        <v>189</v>
      </c>
      <c r="N27" s="15">
        <f>AVERAGE(K27,K30,K33,K36,K39)</f>
        <v>0.58000000000000007</v>
      </c>
      <c r="P27" s="377"/>
      <c r="Q27" s="377"/>
    </row>
    <row r="28" spans="1:22" ht="14.25" customHeight="1" x14ac:dyDescent="0.15">
      <c r="A28" s="51" t="s">
        <v>190</v>
      </c>
      <c r="B28" s="31" t="s">
        <v>191</v>
      </c>
      <c r="C28" s="31" t="s">
        <v>192</v>
      </c>
      <c r="D28" s="31" t="s">
        <v>193</v>
      </c>
      <c r="I28" s="374" t="s">
        <v>194</v>
      </c>
      <c r="J28" s="5" t="s">
        <v>187</v>
      </c>
      <c r="K28" s="6">
        <v>0.05</v>
      </c>
    </row>
    <row r="29" spans="1:22" ht="14.25" customHeight="1" x14ac:dyDescent="0.15">
      <c r="A29" s="7" t="s">
        <v>195</v>
      </c>
      <c r="B29" s="70">
        <v>0.96</v>
      </c>
      <c r="C29" s="70">
        <v>1</v>
      </c>
      <c r="D29" s="76">
        <f>AVERAGE(B29:C29)</f>
        <v>0.98</v>
      </c>
      <c r="I29" s="375"/>
      <c r="J29" s="5" t="s">
        <v>188</v>
      </c>
      <c r="K29" s="6">
        <v>0.1</v>
      </c>
      <c r="M29" s="52"/>
      <c r="N29" s="31" t="s">
        <v>196</v>
      </c>
      <c r="O29" s="31"/>
      <c r="P29" s="31" t="s">
        <v>197</v>
      </c>
      <c r="Q29" s="31" t="s">
        <v>198</v>
      </c>
    </row>
    <row r="30" spans="1:22" ht="14.25" customHeight="1" x14ac:dyDescent="0.15">
      <c r="A30" s="7" t="s">
        <v>199</v>
      </c>
      <c r="B30" s="70">
        <v>0.91</v>
      </c>
      <c r="C30" s="70">
        <v>0.95</v>
      </c>
      <c r="D30" s="76">
        <f>AVERAGE(B30:C30)</f>
        <v>0.92999999999999994</v>
      </c>
      <c r="I30" s="375"/>
      <c r="J30" s="10" t="s">
        <v>189</v>
      </c>
      <c r="K30" s="11">
        <v>0.15</v>
      </c>
      <c r="M30" s="8" t="s">
        <v>200</v>
      </c>
      <c r="N30" s="70">
        <v>0.98</v>
      </c>
      <c r="O30" s="71"/>
      <c r="P30" s="70">
        <v>0.93</v>
      </c>
      <c r="Q30" s="70">
        <v>0.98</v>
      </c>
    </row>
    <row r="31" spans="1:22" ht="14.25" customHeight="1" x14ac:dyDescent="0.15">
      <c r="A31" s="7" t="s">
        <v>201</v>
      </c>
      <c r="B31" s="70">
        <v>0.86</v>
      </c>
      <c r="C31" s="70">
        <v>0.9</v>
      </c>
      <c r="D31" s="76">
        <f>AVERAGE(B31:C31)</f>
        <v>0.88</v>
      </c>
      <c r="I31" s="374" t="s">
        <v>202</v>
      </c>
      <c r="J31" s="5" t="s">
        <v>187</v>
      </c>
      <c r="K31" s="6">
        <v>0.1</v>
      </c>
      <c r="M31" s="8" t="s">
        <v>203</v>
      </c>
      <c r="N31" s="70">
        <f>X71*D29+D29*X72</f>
        <v>0.97629570987933234</v>
      </c>
      <c r="O31" s="71"/>
      <c r="P31" s="70">
        <f>D29*X71+X72*D29</f>
        <v>0.97629570987933234</v>
      </c>
      <c r="Q31" s="70">
        <f>X71*D31+X72*D30</f>
        <v>0.88770341149583687</v>
      </c>
    </row>
    <row r="32" spans="1:22" ht="14.25" customHeight="1" x14ac:dyDescent="0.15">
      <c r="A32" s="16" t="s">
        <v>204</v>
      </c>
      <c r="B32" s="75">
        <v>0</v>
      </c>
      <c r="C32" s="73">
        <v>0.85</v>
      </c>
      <c r="D32" s="77">
        <f>AVERAGE(B32:C32)</f>
        <v>0.42499999999999999</v>
      </c>
      <c r="I32" s="375"/>
      <c r="J32" s="5" t="s">
        <v>188</v>
      </c>
      <c r="K32" s="145">
        <v>0.4</v>
      </c>
      <c r="M32" s="72" t="s">
        <v>205</v>
      </c>
      <c r="N32" s="73">
        <v>0.98</v>
      </c>
      <c r="O32" s="74"/>
      <c r="P32" s="73">
        <f>0.88</f>
        <v>0.88</v>
      </c>
      <c r="Q32" s="73">
        <f>0.98</f>
        <v>0.98</v>
      </c>
    </row>
    <row r="33" spans="9:40" ht="14.25" customHeight="1" x14ac:dyDescent="0.15">
      <c r="I33" s="375"/>
      <c r="J33" s="10" t="s">
        <v>189</v>
      </c>
      <c r="K33" s="11">
        <v>0.45</v>
      </c>
      <c r="M33" s="7" t="s">
        <v>206</v>
      </c>
      <c r="N33" s="76">
        <f>N30*N31*N32</f>
        <v>0.9376343997681108</v>
      </c>
      <c r="O33" s="76"/>
      <c r="P33" s="76">
        <f>P30*P31*P32</f>
        <v>0.7990004089652456</v>
      </c>
      <c r="Q33" s="76">
        <f>Q30*Q31*Q32</f>
        <v>0.85255035640060173</v>
      </c>
    </row>
    <row r="34" spans="9:40" ht="14.25" customHeight="1" x14ac:dyDescent="0.15">
      <c r="I34" s="374" t="s">
        <v>207</v>
      </c>
      <c r="J34" s="5" t="s">
        <v>187</v>
      </c>
      <c r="K34" s="6">
        <v>0.1</v>
      </c>
      <c r="M34" s="146"/>
      <c r="N34" s="146"/>
      <c r="O34" s="146"/>
      <c r="P34" s="146"/>
      <c r="Q34" s="146"/>
    </row>
    <row r="35" spans="9:40" ht="14.25" customHeight="1" x14ac:dyDescent="0.15">
      <c r="I35" s="375"/>
      <c r="J35" s="5" t="s">
        <v>188</v>
      </c>
      <c r="K35" s="6">
        <v>0.3</v>
      </c>
      <c r="R35" s="7"/>
    </row>
    <row r="36" spans="9:40" ht="14.25" customHeight="1" x14ac:dyDescent="0.15">
      <c r="I36" s="375"/>
      <c r="J36" s="10" t="s">
        <v>189</v>
      </c>
      <c r="K36" s="143">
        <v>0.7</v>
      </c>
      <c r="R36" s="7"/>
    </row>
    <row r="37" spans="9:40" ht="14.25" customHeight="1" x14ac:dyDescent="0.15">
      <c r="I37" s="374" t="s">
        <v>208</v>
      </c>
      <c r="J37" s="5" t="s">
        <v>187</v>
      </c>
      <c r="K37" s="6">
        <v>0.3</v>
      </c>
      <c r="R37" s="7"/>
    </row>
    <row r="38" spans="9:40" ht="14.25" customHeight="1" x14ac:dyDescent="0.15">
      <c r="I38" s="375"/>
      <c r="J38" s="5" t="s">
        <v>188</v>
      </c>
      <c r="K38" s="12">
        <v>0.4</v>
      </c>
      <c r="R38" s="7"/>
      <c r="X38" s="7"/>
    </row>
    <row r="39" spans="9:40" ht="14.25" customHeight="1" x14ac:dyDescent="0.15">
      <c r="I39" s="375"/>
      <c r="J39" s="10" t="s">
        <v>189</v>
      </c>
      <c r="K39" s="143">
        <v>0.7</v>
      </c>
    </row>
    <row r="40" spans="9:40" ht="14.25" customHeight="1" x14ac:dyDescent="0.15">
      <c r="I40" s="374" t="s">
        <v>209</v>
      </c>
      <c r="J40" s="13" t="s">
        <v>187</v>
      </c>
      <c r="K40" s="144">
        <v>0.1</v>
      </c>
    </row>
    <row r="41" spans="9:40" ht="14.25" customHeight="1" x14ac:dyDescent="0.15">
      <c r="I41" s="379"/>
      <c r="J41" s="10" t="s">
        <v>188</v>
      </c>
      <c r="K41" s="11">
        <v>0.15</v>
      </c>
      <c r="V41" s="122"/>
    </row>
    <row r="42" spans="9:40" ht="14.25" customHeight="1" x14ac:dyDescent="0.15">
      <c r="I42" s="33" t="s">
        <v>210</v>
      </c>
      <c r="V42" s="122"/>
      <c r="AF42" s="8"/>
      <c r="AG42" s="8"/>
      <c r="AH42" s="8"/>
      <c r="AI42" s="8"/>
      <c r="AJ42" s="8"/>
      <c r="AK42" s="8"/>
      <c r="AL42" s="8"/>
      <c r="AM42" s="8"/>
      <c r="AN42" s="8"/>
    </row>
    <row r="43" spans="9:40" ht="14.25" customHeight="1" x14ac:dyDescent="0.15">
      <c r="V43" s="122"/>
      <c r="AF43" s="8"/>
      <c r="AG43" s="8"/>
      <c r="AH43" s="8"/>
      <c r="AI43" s="8"/>
      <c r="AJ43" s="8"/>
      <c r="AK43" s="8"/>
      <c r="AL43" s="8"/>
      <c r="AM43" s="8"/>
      <c r="AN43" s="8"/>
    </row>
    <row r="44" spans="9:40" ht="14.25" customHeight="1" x14ac:dyDescent="0.15">
      <c r="L44" s="29" t="s">
        <v>196</v>
      </c>
      <c r="M44" s="29"/>
      <c r="N44" s="8"/>
      <c r="V44" s="122"/>
      <c r="AF44" s="8"/>
      <c r="AG44" s="8"/>
      <c r="AH44" s="8"/>
      <c r="AI44" s="8"/>
      <c r="AJ44" s="8"/>
      <c r="AK44" s="8"/>
      <c r="AL44" s="8"/>
      <c r="AM44" s="8"/>
      <c r="AN44" s="8"/>
    </row>
    <row r="45" spans="9:40" ht="14.25" customHeight="1" x14ac:dyDescent="0.15">
      <c r="I45" s="51" t="s">
        <v>211</v>
      </c>
      <c r="J45" s="52"/>
      <c r="L45" s="30" t="s">
        <v>212</v>
      </c>
      <c r="M45" s="30" t="s">
        <v>213</v>
      </c>
      <c r="N45" s="9" t="s">
        <v>214</v>
      </c>
      <c r="V45" s="122"/>
      <c r="AF45" s="8"/>
      <c r="AG45" s="8"/>
      <c r="AH45" s="8"/>
      <c r="AI45" s="8"/>
      <c r="AJ45" s="8"/>
      <c r="AK45" s="8"/>
      <c r="AL45" s="8"/>
      <c r="AM45" s="8"/>
      <c r="AN45" s="8"/>
    </row>
    <row r="46" spans="9:40" ht="14.25" customHeight="1" x14ac:dyDescent="0.15">
      <c r="I46" s="5" t="s">
        <v>215</v>
      </c>
      <c r="J46" s="47">
        <v>17881</v>
      </c>
      <c r="L46" s="147" t="s">
        <v>216</v>
      </c>
      <c r="M46" s="17" t="s">
        <v>217</v>
      </c>
      <c r="N46" s="378" t="s">
        <v>218</v>
      </c>
      <c r="V46" s="122"/>
      <c r="AF46" s="8"/>
      <c r="AG46" s="8"/>
      <c r="AH46" s="8"/>
      <c r="AI46" s="8"/>
      <c r="AJ46" s="8"/>
      <c r="AK46" s="8"/>
      <c r="AL46" s="8"/>
      <c r="AM46" s="8"/>
      <c r="AN46" s="8"/>
    </row>
    <row r="47" spans="9:40" ht="14.25" customHeight="1" x14ac:dyDescent="0.15">
      <c r="I47" s="5" t="s">
        <v>219</v>
      </c>
      <c r="J47" s="47">
        <v>2161</v>
      </c>
      <c r="L47" s="147" t="s">
        <v>220</v>
      </c>
      <c r="M47" s="17" t="s">
        <v>221</v>
      </c>
      <c r="N47" s="378"/>
      <c r="V47" s="122"/>
      <c r="AF47" s="8"/>
      <c r="AG47" s="8"/>
      <c r="AH47" s="8"/>
      <c r="AI47" s="8"/>
      <c r="AJ47" s="8"/>
      <c r="AK47" s="8"/>
      <c r="AL47" s="8"/>
      <c r="AM47" s="8"/>
      <c r="AN47" s="8"/>
    </row>
    <row r="48" spans="9:40" ht="14.25" customHeight="1" x14ac:dyDescent="0.15">
      <c r="I48" s="5" t="s">
        <v>222</v>
      </c>
      <c r="J48" s="47">
        <v>103</v>
      </c>
      <c r="L48" s="147" t="s">
        <v>223</v>
      </c>
      <c r="M48" s="17" t="s">
        <v>224</v>
      </c>
      <c r="N48" s="5" t="s">
        <v>225</v>
      </c>
      <c r="V48" s="122"/>
    </row>
    <row r="49" spans="9:24" ht="14.25" customHeight="1" x14ac:dyDescent="0.15">
      <c r="I49" s="10" t="s">
        <v>150</v>
      </c>
      <c r="J49" s="53">
        <f>SUM(J46:J48)</f>
        <v>20145</v>
      </c>
      <c r="L49" s="147" t="s">
        <v>226</v>
      </c>
      <c r="M49" s="17" t="s">
        <v>227</v>
      </c>
      <c r="V49" s="122"/>
    </row>
    <row r="50" spans="9:24" ht="14.25" customHeight="1" x14ac:dyDescent="0.15">
      <c r="I50" s="48" t="s">
        <v>228</v>
      </c>
      <c r="L50" s="147" t="s">
        <v>229</v>
      </c>
      <c r="M50" s="17" t="s">
        <v>230</v>
      </c>
      <c r="V50" s="122"/>
    </row>
    <row r="51" spans="9:24" ht="14.25" customHeight="1" x14ac:dyDescent="0.15">
      <c r="L51" s="147" t="s">
        <v>231</v>
      </c>
      <c r="M51" s="17" t="s">
        <v>232</v>
      </c>
      <c r="N51" s="5" t="s">
        <v>233</v>
      </c>
      <c r="V51" s="122"/>
    </row>
    <row r="52" spans="9:24" ht="14.25" customHeight="1" x14ac:dyDescent="0.15">
      <c r="I52" s="51" t="s">
        <v>234</v>
      </c>
      <c r="J52" s="52"/>
      <c r="L52" s="147" t="s">
        <v>235</v>
      </c>
      <c r="M52" s="17" t="s">
        <v>236</v>
      </c>
      <c r="N52" s="5" t="s">
        <v>237</v>
      </c>
    </row>
    <row r="53" spans="9:24" ht="14.25" customHeight="1" x14ac:dyDescent="0.15">
      <c r="I53" s="10" t="s">
        <v>150</v>
      </c>
      <c r="J53" s="53">
        <v>25085</v>
      </c>
      <c r="L53" s="152" t="s">
        <v>238</v>
      </c>
      <c r="M53" s="153" t="s">
        <v>239</v>
      </c>
      <c r="N53" s="5" t="s">
        <v>240</v>
      </c>
    </row>
    <row r="54" spans="9:24" ht="14.25" customHeight="1" x14ac:dyDescent="0.15">
      <c r="I54" s="48" t="s">
        <v>228</v>
      </c>
      <c r="L54" s="152" t="s">
        <v>241</v>
      </c>
      <c r="M54" s="153" t="s">
        <v>242</v>
      </c>
      <c r="V54" s="123" t="s">
        <v>243</v>
      </c>
    </row>
    <row r="55" spans="9:24" ht="14.25" customHeight="1" x14ac:dyDescent="0.15">
      <c r="S55" s="5" t="s">
        <v>244</v>
      </c>
      <c r="T55" s="124">
        <v>14.59</v>
      </c>
      <c r="V55" s="7" t="s">
        <v>245</v>
      </c>
    </row>
    <row r="56" spans="9:24" ht="14.25" customHeight="1" x14ac:dyDescent="0.15">
      <c r="I56" s="368" t="s">
        <v>246</v>
      </c>
      <c r="J56" s="369">
        <f>J49/J53</f>
        <v>0.80306956348415393</v>
      </c>
      <c r="S56" s="5" t="s">
        <v>247</v>
      </c>
      <c r="T56" s="5">
        <v>0.25</v>
      </c>
      <c r="V56" s="5" t="s">
        <v>244</v>
      </c>
      <c r="W56" s="124">
        <v>5.2</v>
      </c>
    </row>
    <row r="57" spans="9:24" ht="14.25" customHeight="1" x14ac:dyDescent="0.15">
      <c r="I57" s="368"/>
      <c r="J57" s="369"/>
      <c r="S57" s="10" t="s">
        <v>170</v>
      </c>
      <c r="T57" s="10">
        <v>1.04</v>
      </c>
      <c r="V57" s="5" t="s">
        <v>218</v>
      </c>
      <c r="W57" s="5">
        <v>0.7</v>
      </c>
    </row>
    <row r="58" spans="9:24" ht="14.25" customHeight="1" x14ac:dyDescent="0.15">
      <c r="S58" s="7" t="s">
        <v>248</v>
      </c>
      <c r="T58" s="7">
        <f>SUM(T55:T57)</f>
        <v>15.879999999999999</v>
      </c>
    </row>
    <row r="59" spans="9:24" ht="14.25" customHeight="1" x14ac:dyDescent="0.15">
      <c r="I59" s="51" t="s">
        <v>249</v>
      </c>
      <c r="J59" s="52"/>
      <c r="S59" s="7" t="s">
        <v>250</v>
      </c>
    </row>
    <row r="60" spans="9:24" ht="14.25" customHeight="1" x14ac:dyDescent="0.15">
      <c r="I60" s="5" t="s">
        <v>149</v>
      </c>
      <c r="J60" s="71">
        <v>17</v>
      </c>
    </row>
    <row r="61" spans="9:24" ht="14.25" customHeight="1" x14ac:dyDescent="0.15">
      <c r="I61" s="10" t="s">
        <v>1</v>
      </c>
      <c r="J61" s="74">
        <v>8</v>
      </c>
      <c r="S61" s="5" t="s">
        <v>251</v>
      </c>
      <c r="T61" s="5" t="s">
        <v>252</v>
      </c>
      <c r="V61" s="5" t="s">
        <v>253</v>
      </c>
      <c r="X61" s="28" t="s">
        <v>254</v>
      </c>
    </row>
    <row r="62" spans="9:24" ht="14.25" customHeight="1" x14ac:dyDescent="0.15">
      <c r="I62" s="5" t="s">
        <v>255</v>
      </c>
      <c r="J62" s="189">
        <f>J61/J60</f>
        <v>0.47058823529411764</v>
      </c>
    </row>
    <row r="63" spans="9:24" ht="14.25" customHeight="1" x14ac:dyDescent="0.15">
      <c r="T63" s="7" t="s">
        <v>256</v>
      </c>
      <c r="W63" s="7" t="s">
        <v>257</v>
      </c>
    </row>
    <row r="64" spans="9:24" ht="14.25" customHeight="1" x14ac:dyDescent="0.15">
      <c r="J64" s="195">
        <f>J56*J62</f>
        <v>0.37791508869842538</v>
      </c>
      <c r="S64" s="5" t="s">
        <v>258</v>
      </c>
      <c r="T64" s="5">
        <v>203</v>
      </c>
      <c r="U64" s="125">
        <f>T64/$T$68</f>
        <v>0.77333333333333332</v>
      </c>
      <c r="V64" s="7" t="s">
        <v>259</v>
      </c>
      <c r="W64" s="126">
        <v>20000</v>
      </c>
    </row>
    <row r="65" spans="19:25" ht="14.25" customHeight="1" x14ac:dyDescent="0.15">
      <c r="S65" s="5" t="s">
        <v>260</v>
      </c>
      <c r="T65" s="5">
        <v>37</v>
      </c>
      <c r="U65" s="125">
        <f>T65/$T$68</f>
        <v>0.14095238095238094</v>
      </c>
      <c r="V65" s="7" t="s">
        <v>261</v>
      </c>
      <c r="W65" s="126">
        <v>35500</v>
      </c>
      <c r="X65" s="7" t="s">
        <v>262</v>
      </c>
      <c r="Y65" s="5" t="s">
        <v>263</v>
      </c>
    </row>
    <row r="66" spans="19:25" ht="14.25" customHeight="1" x14ac:dyDescent="0.15">
      <c r="S66" s="5" t="s">
        <v>264</v>
      </c>
      <c r="T66" s="5">
        <v>10</v>
      </c>
      <c r="U66" s="125">
        <f>T66/$T$68</f>
        <v>3.8095238095238099E-2</v>
      </c>
      <c r="V66" s="5" t="s">
        <v>265</v>
      </c>
    </row>
    <row r="67" spans="19:25" ht="14.25" customHeight="1" x14ac:dyDescent="0.15">
      <c r="S67" s="5" t="s">
        <v>266</v>
      </c>
      <c r="T67" s="5">
        <v>12.5</v>
      </c>
      <c r="U67" s="125">
        <f>T67/$T$68</f>
        <v>4.7619047619047616E-2</v>
      </c>
      <c r="V67" s="5" t="s">
        <v>267</v>
      </c>
      <c r="W67" s="21">
        <f>40*2</f>
        <v>80</v>
      </c>
      <c r="X67" s="5" t="s">
        <v>268</v>
      </c>
      <c r="Y67" s="126">
        <f>W67*2</f>
        <v>160</v>
      </c>
    </row>
    <row r="68" spans="19:25" ht="14.25" customHeight="1" x14ac:dyDescent="0.15">
      <c r="S68" s="5" t="s">
        <v>133</v>
      </c>
      <c r="T68" s="7">
        <f>SUM(T64:T67)</f>
        <v>262.5</v>
      </c>
      <c r="U68" s="125">
        <f>T68/$T$68</f>
        <v>1</v>
      </c>
      <c r="V68" s="5" t="s">
        <v>267</v>
      </c>
      <c r="W68" s="127">
        <f>0.1*W65</f>
        <v>3550</v>
      </c>
      <c r="X68" s="5">
        <v>2.5</v>
      </c>
      <c r="Y68" s="128">
        <f>W68*2.5</f>
        <v>8875</v>
      </c>
    </row>
    <row r="70" spans="19:25" ht="14.25" customHeight="1" x14ac:dyDescent="0.15">
      <c r="S70" s="7" t="s">
        <v>269</v>
      </c>
      <c r="T70" s="7">
        <f>Y56*0.115</f>
        <v>0</v>
      </c>
      <c r="V70" s="7" t="s">
        <v>270</v>
      </c>
    </row>
    <row r="71" spans="19:25" ht="14.25" customHeight="1" x14ac:dyDescent="0.15">
      <c r="T71" s="5">
        <f>2487*0.115</f>
        <v>286.005</v>
      </c>
      <c r="V71" s="5" t="s">
        <v>271</v>
      </c>
      <c r="W71" s="129">
        <f>E8</f>
        <v>51.299527957884379</v>
      </c>
      <c r="X71" s="6">
        <f>W71/$W$74</f>
        <v>0.77562585554814267</v>
      </c>
    </row>
    <row r="72" spans="19:25" ht="14.25" customHeight="1" x14ac:dyDescent="0.15">
      <c r="V72" s="5" t="s">
        <v>244</v>
      </c>
      <c r="W72" s="5">
        <f>T55</f>
        <v>14.59</v>
      </c>
      <c r="X72" s="6">
        <f>W72/$W$74</f>
        <v>0.22059425657362514</v>
      </c>
    </row>
    <row r="73" spans="19:25" ht="14.25" customHeight="1" x14ac:dyDescent="0.15">
      <c r="V73" s="5" t="s">
        <v>247</v>
      </c>
      <c r="W73" s="5">
        <f>T56</f>
        <v>0.25</v>
      </c>
      <c r="X73" s="6">
        <f>W73/$W$74</f>
        <v>3.779887878232096E-3</v>
      </c>
    </row>
    <row r="74" spans="19:25" ht="14.25" customHeight="1" x14ac:dyDescent="0.15">
      <c r="W74" s="129">
        <f>SUM(W71:W73)</f>
        <v>66.139527957884383</v>
      </c>
    </row>
  </sheetData>
  <mergeCells count="21">
    <mergeCell ref="AF1:AK1"/>
    <mergeCell ref="AG2:AK2"/>
    <mergeCell ref="Q25:Q27"/>
    <mergeCell ref="N46:N47"/>
    <mergeCell ref="I31:I33"/>
    <mergeCell ref="I34:I36"/>
    <mergeCell ref="I37:I39"/>
    <mergeCell ref="I40:I41"/>
    <mergeCell ref="P25:P27"/>
    <mergeCell ref="I56:I57"/>
    <mergeCell ref="J56:J57"/>
    <mergeCell ref="A1:F1"/>
    <mergeCell ref="H1:L1"/>
    <mergeCell ref="B2:F2"/>
    <mergeCell ref="I2:I3"/>
    <mergeCell ref="J2:L2"/>
    <mergeCell ref="G13:G14"/>
    <mergeCell ref="J13:N13"/>
    <mergeCell ref="C14:E14"/>
    <mergeCell ref="I25:I27"/>
    <mergeCell ref="I28:I30"/>
  </mergeCells>
  <hyperlinks>
    <hyperlink ref="A33" location="_ftn1" display="_ftn1" xr:uid="{CE8610E4-C758-4924-81E6-B17FF9C1D036}"/>
    <hyperlink ref="A38" location="_ftn2" display="_ftn2" xr:uid="{2A195729-8527-4A98-9DB1-CB88AE69D65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0E354-856E-47FD-A741-FABD2DA7556E}">
  <dimension ref="B2:G30"/>
  <sheetViews>
    <sheetView zoomScale="67" workbookViewId="0">
      <selection activeCell="D71" sqref="D71"/>
    </sheetView>
  </sheetViews>
  <sheetFormatPr baseColWidth="10" defaultColWidth="9.1640625" defaultRowHeight="12" x14ac:dyDescent="0.15"/>
  <cols>
    <col min="1" max="1" width="5.1640625" style="5" customWidth="1"/>
    <col min="2" max="2" width="13.83203125" style="5" bestFit="1" customWidth="1"/>
    <col min="3" max="3" width="75.83203125" style="5" bestFit="1" customWidth="1"/>
    <col min="4" max="4" width="38.83203125" style="5" bestFit="1" customWidth="1"/>
    <col min="5" max="5" width="16.83203125" style="5" bestFit="1" customWidth="1"/>
    <col min="6" max="6" width="5.6640625" style="5" bestFit="1" customWidth="1"/>
    <col min="7" max="16384" width="9.1640625" style="5"/>
  </cols>
  <sheetData>
    <row r="2" spans="2:6" x14ac:dyDescent="0.15">
      <c r="B2" s="380" t="s">
        <v>272</v>
      </c>
      <c r="C2" s="380" t="s">
        <v>273</v>
      </c>
      <c r="D2" s="7" t="s">
        <v>274</v>
      </c>
      <c r="E2" s="7" t="s">
        <v>275</v>
      </c>
      <c r="F2" s="7" t="s">
        <v>276</v>
      </c>
    </row>
    <row r="3" spans="2:6" x14ac:dyDescent="0.15">
      <c r="B3" s="381"/>
      <c r="C3" s="381"/>
      <c r="D3" s="7"/>
      <c r="E3" s="7"/>
      <c r="F3" s="7"/>
    </row>
    <row r="4" spans="2:6" x14ac:dyDescent="0.15">
      <c r="B4" s="7" t="s">
        <v>277</v>
      </c>
      <c r="C4" s="5" t="s">
        <v>278</v>
      </c>
      <c r="E4" s="5" t="s">
        <v>279</v>
      </c>
      <c r="F4" s="5" t="s">
        <v>280</v>
      </c>
    </row>
    <row r="5" spans="2:6" x14ac:dyDescent="0.15">
      <c r="B5" s="7"/>
      <c r="C5" s="5" t="s">
        <v>281</v>
      </c>
      <c r="F5" s="5" t="s">
        <v>280</v>
      </c>
    </row>
    <row r="6" spans="2:6" x14ac:dyDescent="0.15">
      <c r="B6" s="7"/>
      <c r="C6" s="5" t="s">
        <v>282</v>
      </c>
      <c r="F6" s="5" t="s">
        <v>280</v>
      </c>
    </row>
    <row r="7" spans="2:6" x14ac:dyDescent="0.15">
      <c r="B7" s="7"/>
      <c r="C7" s="5" t="s">
        <v>283</v>
      </c>
      <c r="F7" s="5" t="s">
        <v>280</v>
      </c>
    </row>
    <row r="8" spans="2:6" x14ac:dyDescent="0.15">
      <c r="B8" s="7"/>
      <c r="C8" s="5" t="s">
        <v>284</v>
      </c>
      <c r="F8" s="5" t="s">
        <v>280</v>
      </c>
    </row>
    <row r="9" spans="2:6" x14ac:dyDescent="0.15">
      <c r="B9" s="16"/>
      <c r="C9" s="10" t="s">
        <v>285</v>
      </c>
      <c r="E9" s="5" t="s">
        <v>286</v>
      </c>
      <c r="F9" s="5" t="s">
        <v>280</v>
      </c>
    </row>
    <row r="10" spans="2:6" x14ac:dyDescent="0.15">
      <c r="B10" s="7" t="s">
        <v>287</v>
      </c>
      <c r="C10" s="5" t="s">
        <v>288</v>
      </c>
      <c r="F10" s="5" t="s">
        <v>289</v>
      </c>
    </row>
    <row r="11" spans="2:6" x14ac:dyDescent="0.15">
      <c r="B11" s="7"/>
      <c r="C11" s="5" t="s">
        <v>290</v>
      </c>
    </row>
    <row r="12" spans="2:6" x14ac:dyDescent="0.15">
      <c r="B12" s="7"/>
      <c r="C12" s="5" t="s">
        <v>291</v>
      </c>
    </row>
    <row r="13" spans="2:6" x14ac:dyDescent="0.15">
      <c r="B13" s="7"/>
      <c r="C13" s="5" t="s">
        <v>292</v>
      </c>
    </row>
    <row r="14" spans="2:6" x14ac:dyDescent="0.15">
      <c r="B14" s="7"/>
      <c r="C14" s="5" t="s">
        <v>293</v>
      </c>
    </row>
    <row r="15" spans="2:6" x14ac:dyDescent="0.15">
      <c r="B15" s="7"/>
      <c r="C15" s="5" t="s">
        <v>294</v>
      </c>
    </row>
    <row r="16" spans="2:6" x14ac:dyDescent="0.15">
      <c r="B16" s="7"/>
      <c r="C16" s="5" t="s">
        <v>295</v>
      </c>
    </row>
    <row r="17" spans="2:7" x14ac:dyDescent="0.15">
      <c r="B17" s="16"/>
      <c r="C17" s="10" t="s">
        <v>296</v>
      </c>
    </row>
    <row r="18" spans="2:7" x14ac:dyDescent="0.15">
      <c r="B18" s="7" t="s">
        <v>297</v>
      </c>
      <c r="C18" s="5" t="s">
        <v>298</v>
      </c>
    </row>
    <row r="19" spans="2:7" x14ac:dyDescent="0.15">
      <c r="C19" s="5" t="s">
        <v>299</v>
      </c>
    </row>
    <row r="20" spans="2:7" x14ac:dyDescent="0.15">
      <c r="C20" s="5" t="s">
        <v>300</v>
      </c>
    </row>
    <row r="21" spans="2:7" x14ac:dyDescent="0.15">
      <c r="B21" s="10"/>
      <c r="C21" s="10" t="s">
        <v>301</v>
      </c>
    </row>
    <row r="25" spans="2:7" ht="15" x14ac:dyDescent="0.2">
      <c r="B25" s="7" t="s">
        <v>302</v>
      </c>
      <c r="C25" s="1" t="s">
        <v>303</v>
      </c>
    </row>
    <row r="26" spans="2:7" ht="15" x14ac:dyDescent="0.2">
      <c r="C26" s="1" t="s">
        <v>304</v>
      </c>
      <c r="G26" s="5" t="s">
        <v>305</v>
      </c>
    </row>
    <row r="27" spans="2:7" ht="15" x14ac:dyDescent="0.2">
      <c r="C27" s="1" t="s">
        <v>306</v>
      </c>
      <c r="G27" s="5" t="s">
        <v>307</v>
      </c>
    </row>
    <row r="28" spans="2:7" ht="15" x14ac:dyDescent="0.2">
      <c r="C28" s="1" t="s">
        <v>308</v>
      </c>
      <c r="G28" s="5" t="s">
        <v>309</v>
      </c>
    </row>
    <row r="29" spans="2:7" ht="15" x14ac:dyDescent="0.2">
      <c r="C29" s="1" t="s">
        <v>310</v>
      </c>
      <c r="G29" s="5" t="s">
        <v>311</v>
      </c>
    </row>
    <row r="30" spans="2:7" ht="15" x14ac:dyDescent="0.2">
      <c r="C30" s="1" t="s">
        <v>312</v>
      </c>
      <c r="G30" s="5" t="s">
        <v>313</v>
      </c>
    </row>
  </sheetData>
  <mergeCells count="2">
    <mergeCell ref="B2:B3"/>
    <mergeCell ref="C2:C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u 4 R 1 U U T Y e y y j A A A A 9 g A A A B I A H A B D b 2 5 m a W c v U G F j a 2 F n Z S 5 4 b W w g o h g A K K A U A A A A A A A A A A A A A A A A A A A A A A A A A A A A h Y 8 x D o I w G I W v Q r r T l h q U k F I G V 0 l M T I x r U y o 0 w o + h x X I 3 B 4 / k F c Q o 6 u b 4 3 v c N 7 9 2 v N 5 6 P b R N c d G 9 N B x m K M E W B B t W V B q o M D e 4 Y J i g X f C v V S V Y 6 m G S w 6 W j L D N X O n V N C v P f Y L 3 D X V 4 R R G p F D s d m p W r c S f W T z X w 4 N W C d B a S T 4 / j V G M J w s 8 Y r F m H I y d 7 w w 8 O V s m v u k P y V f D 4 0 b e i 0 0 h F E 8 s T l z 8 v 4 g H l B L A w Q U A A I A C A C 7 h H V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4 R 1 U S i K R 7 g O A A A A E Q A A A B M A H A B G b 3 J t d W x h c y 9 T Z W N 0 a W 9 u M S 5 t I K I Y A C i g F A A A A A A A A A A A A A A A A A A A A A A A A A A A A C t O T S 7 J z M 9 T C I b Q h t Y A U E s B A i 0 A F A A C A A g A u 4 R 1 U U T Y e y y j A A A A 9 g A A A B I A A A A A A A A A A A A A A A A A A A A A A E N v b m Z p Z y 9 Q Y W N r Y W d l L n h t b F B L A Q I t A B Q A A g A I A L u E d V E P y u m r p A A A A O k A A A A T A A A A A A A A A A A A A A A A A O 8 A A A B b Q 2 9 u d G V u d F 9 U e X B l c 1 0 u e G 1 s U E s B A i 0 A F A A C A A g A u 4 R 1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s 4 R m I y L + l J i W d v u E 4 b l R I A A A A A A g A A A A A A E G Y A A A A B A A A g A A A A C M x w e X I q D p 3 + 6 l k 3 S L c 9 t W o p I H t d N 0 C 5 n 0 G O e V B V w j 8 A A A A A D o A A A A A C A A A g A A A A x 8 3 c s E I h A b 2 e u k h A z J 0 R S l p 2 W O W f o 0 5 e N r 0 q B u V o P W Z Q A A A A 5 5 W s r 8 i B f X R c H x N l T z W w 1 Y x 1 0 u z E S S m 0 n r Y u b i T C c w 6 P R X k F 9 v o Y 6 m C + G F i u C e W o h o x A N a P X P O w L M y c X c I w l 5 D u F + 0 q A 6 H s B Q w N H o o i A e u 5 A A A A A R 9 S a 7 L q 7 M a P N 6 a V x 9 b c 3 I O S G K + R / p T F t g 8 H 6 l F M 5 q X v x 8 Y t L f m 5 / c d 8 Q s m g C G m Y e c 2 1 g R S D u b d Z j m o 8 2 + 9 F K +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9C02AF7C-7C73-4719-BE61-9F6ED28FD81A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D1C10B4E-4A30-4059-86EE-F924F900F696}"/>
</file>

<file path=customXml/itemProps3.xml><?xml version="1.0" encoding="utf-8"?>
<ds:datastoreItem xmlns:ds="http://schemas.openxmlformats.org/officeDocument/2006/customXml" ds:itemID="{CCC19F37-F337-4A23-8C35-89B0E5F98C3B}"/>
</file>

<file path=customXml/itemProps4.xml><?xml version="1.0" encoding="utf-8"?>
<ds:datastoreItem xmlns:ds="http://schemas.openxmlformats.org/officeDocument/2006/customXml" ds:itemID="{AA1718E3-4C6A-4EDC-9916-06B1A87DC4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SCENARIOS</vt:lpstr>
      <vt:lpstr>BCA_EWS_TL</vt:lpstr>
      <vt:lpstr>TOTALS</vt:lpstr>
      <vt:lpstr>AAL</vt:lpstr>
      <vt:lpstr>BENEFITS</vt:lpstr>
      <vt:lpstr>AAL!_ftnref1</vt:lpstr>
      <vt:lpstr>AAL!_ftnref2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Monteiro</dc:creator>
  <cp:keywords/>
  <dc:description/>
  <cp:lastModifiedBy>Portia Hunt</cp:lastModifiedBy>
  <cp:revision/>
  <dcterms:created xsi:type="dcterms:W3CDTF">2019-10-23T11:11:05Z</dcterms:created>
  <dcterms:modified xsi:type="dcterms:W3CDTF">2021-07-19T13:02:08Z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