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defaultThemeVersion="166925"/>
  <mc:AlternateContent xmlns:mc="http://schemas.openxmlformats.org/markup-compatibility/2006">
    <mc:Choice Requires="x15">
      <x15ac:absPath xmlns:x15ac="http://schemas.microsoft.com/office/spreadsheetml/2010/11/ac" url="G:\Shared drives\Assignments 16-20\19\113 TREPA Rwanda - ENABEL (IUCN) (O19-018)\Implementation\D-3 Funding Proposal Package\0 Sixth revision 5 May 2021\"/>
    </mc:Choice>
  </mc:AlternateContent>
  <xr:revisionPtr revIDLastSave="0" documentId="8_{7957AEF4-E9DD-448D-B0C4-A6FA30A1F93E}" xr6:coauthVersionLast="46" xr6:coauthVersionMax="46" xr10:uidLastSave="{00000000-0000-0000-0000-000000000000}"/>
  <bookViews>
    <workbookView xWindow="-120" yWindow="-120" windowWidth="29040" windowHeight="15840" activeTab="1" xr2:uid="{04650CB6-41EF-4C46-B0A4-62E05DDD69DC}"/>
  </bookViews>
  <sheets>
    <sheet name="Values and parameters" sheetId="1" r:id="rId1"/>
    <sheet name="Emission reduction calculation" sheetId="2" r:id="rId2"/>
    <sheet name="Note on data sources"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62" i="2" l="1"/>
  <c r="E62" i="2" s="1"/>
  <c r="G62" i="2" s="1"/>
  <c r="C91" i="2"/>
  <c r="B91" i="2"/>
  <c r="C84" i="2"/>
  <c r="B84" i="2"/>
  <c r="H67" i="2"/>
  <c r="H65" i="2"/>
  <c r="H64" i="2"/>
  <c r="H63" i="2"/>
  <c r="H62" i="2"/>
  <c r="G65" i="2"/>
  <c r="G64" i="2"/>
  <c r="G63" i="2"/>
  <c r="E63" i="2"/>
  <c r="F63" i="2"/>
  <c r="E64" i="2"/>
  <c r="F64" i="2"/>
  <c r="E65" i="2"/>
  <c r="F65" i="2"/>
  <c r="E66" i="2"/>
  <c r="F66" i="2"/>
  <c r="F67" i="2"/>
  <c r="F62" i="2"/>
  <c r="B24" i="2" l="1"/>
  <c r="C24" i="2"/>
  <c r="D24" i="2"/>
  <c r="E24" i="2"/>
  <c r="F24" i="2"/>
  <c r="G24" i="2"/>
  <c r="H24" i="2"/>
  <c r="I24" i="2"/>
  <c r="J24" i="2"/>
  <c r="K24" i="2"/>
  <c r="L24" i="2"/>
  <c r="M24" i="2"/>
  <c r="N24" i="2"/>
  <c r="O24" i="2"/>
  <c r="P24" i="2"/>
  <c r="Q24" i="2"/>
  <c r="R24" i="2"/>
  <c r="S24" i="2"/>
  <c r="T24" i="2"/>
  <c r="U24" i="2"/>
  <c r="B25" i="2"/>
  <c r="C25" i="2"/>
  <c r="D25" i="2"/>
  <c r="E25" i="2"/>
  <c r="F25" i="2"/>
  <c r="G25" i="2"/>
  <c r="H25" i="2"/>
  <c r="I25" i="2"/>
  <c r="J25" i="2"/>
  <c r="K25" i="2"/>
  <c r="L25" i="2"/>
  <c r="M25" i="2"/>
  <c r="N25" i="2"/>
  <c r="O25" i="2"/>
  <c r="P25" i="2"/>
  <c r="Q25" i="2"/>
  <c r="R25" i="2"/>
  <c r="S25" i="2"/>
  <c r="T25" i="2"/>
  <c r="U25" i="2"/>
  <c r="B26" i="2"/>
  <c r="C26" i="2"/>
  <c r="D26" i="2"/>
  <c r="E26" i="2"/>
  <c r="F26" i="2"/>
  <c r="G26" i="2"/>
  <c r="H26" i="2"/>
  <c r="I26" i="2"/>
  <c r="J26" i="2"/>
  <c r="K26" i="2"/>
  <c r="L26" i="2"/>
  <c r="M26" i="2"/>
  <c r="N26" i="2"/>
  <c r="O26" i="2"/>
  <c r="P26" i="2"/>
  <c r="Q26" i="2"/>
  <c r="R26" i="2"/>
  <c r="S26" i="2"/>
  <c r="T26" i="2"/>
  <c r="U26" i="2"/>
  <c r="B27" i="2"/>
  <c r="C27" i="2"/>
  <c r="D27" i="2"/>
  <c r="E27" i="2"/>
  <c r="F27" i="2"/>
  <c r="G27" i="2"/>
  <c r="H27" i="2"/>
  <c r="I27" i="2"/>
  <c r="J27" i="2"/>
  <c r="K27" i="2"/>
  <c r="L27" i="2"/>
  <c r="M27" i="2"/>
  <c r="N27" i="2"/>
  <c r="O27" i="2"/>
  <c r="P27" i="2"/>
  <c r="Q27" i="2"/>
  <c r="R27" i="2"/>
  <c r="S27" i="2"/>
  <c r="T27" i="2"/>
  <c r="U27" i="2"/>
  <c r="U38" i="2" l="1"/>
  <c r="T38" i="2"/>
  <c r="S38" i="2"/>
  <c r="R38" i="2"/>
  <c r="Q38" i="2"/>
  <c r="P38" i="2"/>
  <c r="O38" i="2"/>
  <c r="N38" i="2"/>
  <c r="M38" i="2"/>
  <c r="L38" i="2"/>
  <c r="K38" i="2"/>
  <c r="J38" i="2"/>
  <c r="I38" i="2"/>
  <c r="H38" i="2"/>
  <c r="G38" i="2"/>
  <c r="F38" i="2"/>
  <c r="E38" i="2"/>
  <c r="D38" i="2"/>
  <c r="C38" i="2"/>
  <c r="B38" i="2"/>
  <c r="C33" i="2"/>
  <c r="D33" i="2"/>
  <c r="E33" i="2"/>
  <c r="F33" i="2"/>
  <c r="G33" i="2"/>
  <c r="H33" i="2"/>
  <c r="I33" i="2"/>
  <c r="J33" i="2"/>
  <c r="K33" i="2"/>
  <c r="L33" i="2"/>
  <c r="M33" i="2"/>
  <c r="N33" i="2"/>
  <c r="O33" i="2"/>
  <c r="P33" i="2"/>
  <c r="Q33" i="2"/>
  <c r="R33" i="2"/>
  <c r="S33" i="2"/>
  <c r="T33" i="2"/>
  <c r="U33" i="2"/>
  <c r="B33" i="2"/>
  <c r="C86" i="2" s="1"/>
  <c r="C49" i="2"/>
  <c r="D49" i="2"/>
  <c r="E49" i="2"/>
  <c r="F49" i="2"/>
  <c r="G49" i="2"/>
  <c r="H49" i="2"/>
  <c r="I49" i="2"/>
  <c r="J49" i="2"/>
  <c r="L49" i="2"/>
  <c r="M49" i="2"/>
  <c r="N49" i="2"/>
  <c r="O49" i="2"/>
  <c r="P49" i="2"/>
  <c r="Q49" i="2"/>
  <c r="R49" i="2"/>
  <c r="S49" i="2"/>
  <c r="T49" i="2"/>
  <c r="U49" i="2"/>
  <c r="C50" i="2"/>
  <c r="D50" i="2"/>
  <c r="E50" i="2"/>
  <c r="F50" i="2"/>
  <c r="G50" i="2"/>
  <c r="H50" i="2"/>
  <c r="I50" i="2"/>
  <c r="J50" i="2"/>
  <c r="K50" i="2"/>
  <c r="L50" i="2"/>
  <c r="M50" i="2"/>
  <c r="N50" i="2"/>
  <c r="O50" i="2"/>
  <c r="P50" i="2"/>
  <c r="Q50" i="2"/>
  <c r="R50" i="2"/>
  <c r="S50" i="2"/>
  <c r="T50" i="2"/>
  <c r="U50" i="2"/>
  <c r="B50" i="2"/>
  <c r="B49" i="2"/>
  <c r="F45" i="1"/>
  <c r="E45" i="1"/>
  <c r="F44" i="1"/>
  <c r="E44" i="1"/>
  <c r="F43" i="1"/>
  <c r="E43" i="1"/>
  <c r="A5" i="2"/>
  <c r="C5" i="1"/>
  <c r="T51" i="2" l="1"/>
  <c r="P51" i="2"/>
  <c r="L51" i="2"/>
  <c r="H51" i="2"/>
  <c r="D51" i="2"/>
  <c r="B86" i="2"/>
  <c r="K49" i="2"/>
  <c r="K51" i="2" s="1"/>
  <c r="S51" i="2"/>
  <c r="O51" i="2"/>
  <c r="G51" i="2"/>
  <c r="C51" i="2"/>
  <c r="R51" i="2"/>
  <c r="N51" i="2"/>
  <c r="J51" i="2"/>
  <c r="F51" i="2"/>
  <c r="U51" i="2"/>
  <c r="Q51" i="2"/>
  <c r="M51" i="2"/>
  <c r="I51" i="2"/>
  <c r="E51" i="2"/>
  <c r="B51" i="2"/>
  <c r="C96" i="2"/>
  <c r="B96" i="2"/>
  <c r="C90" i="2"/>
  <c r="B90" i="2"/>
  <c r="C83" i="2"/>
  <c r="B83" i="2"/>
  <c r="B72" i="2"/>
  <c r="C71" i="2"/>
  <c r="C72" i="2"/>
  <c r="B71" i="2"/>
  <c r="C57" i="2"/>
  <c r="D57" i="2"/>
  <c r="E57" i="2"/>
  <c r="F57" i="2"/>
  <c r="G57" i="2"/>
  <c r="H57" i="2"/>
  <c r="I57" i="2"/>
  <c r="J57" i="2"/>
  <c r="K57" i="2"/>
  <c r="L57" i="2"/>
  <c r="M57" i="2"/>
  <c r="N57" i="2"/>
  <c r="O57" i="2"/>
  <c r="P57" i="2"/>
  <c r="Q57" i="2"/>
  <c r="R57" i="2"/>
  <c r="S57" i="2"/>
  <c r="T57" i="2"/>
  <c r="U57" i="2"/>
  <c r="B57" i="2"/>
  <c r="C92" i="2" l="1"/>
  <c r="B92" i="2"/>
  <c r="B73" i="2"/>
  <c r="C73" i="2"/>
  <c r="C66" i="2"/>
  <c r="C97" i="2" s="1"/>
  <c r="B66" i="2"/>
  <c r="B97" i="2" s="1"/>
  <c r="I44" i="2"/>
  <c r="T44" i="2"/>
  <c r="P44" i="2"/>
  <c r="L44" i="2"/>
  <c r="H44" i="2"/>
  <c r="D44" i="2"/>
  <c r="O43" i="2"/>
  <c r="K43" i="2"/>
  <c r="C43" i="2"/>
  <c r="P43" i="2"/>
  <c r="B43" i="2"/>
  <c r="C44" i="2"/>
  <c r="M43" i="2"/>
  <c r="E43" i="2"/>
  <c r="S43" i="2"/>
  <c r="S44" i="2"/>
  <c r="K44" i="2"/>
  <c r="O44" i="2"/>
  <c r="G44" i="2"/>
  <c r="R43" i="2"/>
  <c r="N43" i="2"/>
  <c r="J43" i="2"/>
  <c r="F43" i="2"/>
  <c r="U43" i="2"/>
  <c r="Q43" i="2"/>
  <c r="I43" i="2"/>
  <c r="R44" i="2"/>
  <c r="N44" i="2"/>
  <c r="J44" i="2"/>
  <c r="F44" i="2"/>
  <c r="U44" i="2"/>
  <c r="Q44" i="2"/>
  <c r="E44" i="2"/>
  <c r="L43" i="2"/>
  <c r="D43" i="2"/>
  <c r="M44" i="2"/>
  <c r="T43" i="2"/>
  <c r="H43" i="2"/>
  <c r="B42" i="2"/>
  <c r="G43" i="2" l="1"/>
  <c r="B44" i="2"/>
  <c r="B65" i="2" s="1"/>
  <c r="B93" i="2" s="1"/>
  <c r="B13" i="2"/>
  <c r="B64" i="2" l="1"/>
  <c r="B87" i="2" s="1"/>
  <c r="C64" i="2"/>
  <c r="C87" i="2" s="1"/>
  <c r="C65" i="2"/>
  <c r="C93" i="2" s="1"/>
  <c r="B20" i="2" l="1"/>
  <c r="B41" i="2" l="1"/>
  <c r="B28" i="2"/>
  <c r="C41" i="2"/>
  <c r="B45" i="2" l="1"/>
  <c r="E41" i="2"/>
  <c r="D41" i="2"/>
  <c r="F41" i="2" l="1"/>
  <c r="G41" i="2" l="1"/>
  <c r="B74" i="2" l="1"/>
  <c r="H41" i="2"/>
  <c r="I41" i="2" l="1"/>
  <c r="J41" i="2" l="1"/>
  <c r="K41" i="2" l="1"/>
  <c r="L41" i="2" l="1"/>
  <c r="M41" i="2" l="1"/>
  <c r="N41" i="2" l="1"/>
  <c r="O41" i="2" l="1"/>
  <c r="P41" i="2" l="1"/>
  <c r="Q41" i="2" l="1"/>
  <c r="R41" i="2" l="1"/>
  <c r="S41" i="2" l="1"/>
  <c r="T41" i="2" l="1"/>
  <c r="U41" i="2" l="1"/>
  <c r="C74" i="2" s="1"/>
  <c r="C62" i="2" l="1"/>
  <c r="D13" i="2" l="1"/>
  <c r="C13" i="2"/>
  <c r="C20" i="2"/>
  <c r="E13" i="2" l="1"/>
  <c r="D20" i="2"/>
  <c r="C42" i="2"/>
  <c r="C28" i="2"/>
  <c r="D42" i="2" l="1"/>
  <c r="D45" i="2" s="1"/>
  <c r="D28" i="2"/>
  <c r="C45" i="2"/>
  <c r="E20" i="2"/>
  <c r="F13" i="2" l="1"/>
  <c r="E42" i="2"/>
  <c r="E28" i="2"/>
  <c r="F20" i="2"/>
  <c r="G13" i="2"/>
  <c r="B85" i="2"/>
  <c r="E45" i="2" l="1"/>
  <c r="G20" i="2"/>
  <c r="F42" i="2"/>
  <c r="F45" i="2" s="1"/>
  <c r="F28" i="2"/>
  <c r="B77" i="2"/>
  <c r="B78" i="2"/>
  <c r="B79" i="2" s="1"/>
  <c r="G42" i="2" l="1"/>
  <c r="G45" i="2" s="1"/>
  <c r="G28" i="2"/>
  <c r="H13" i="2"/>
  <c r="B63" i="2"/>
  <c r="H20" i="2"/>
  <c r="I13" i="2"/>
  <c r="J13" i="2" l="1"/>
  <c r="B80" i="2"/>
  <c r="B67" i="2"/>
  <c r="E67" i="2" s="1"/>
  <c r="G67" i="2" s="1"/>
  <c r="J20" i="2"/>
  <c r="H42" i="2"/>
  <c r="H28" i="2"/>
  <c r="I20" i="2"/>
  <c r="I42" i="2" l="1"/>
  <c r="I45" i="2" s="1"/>
  <c r="I28" i="2"/>
  <c r="K20" i="2"/>
  <c r="H45" i="2"/>
  <c r="J42" i="2"/>
  <c r="J45" i="2" s="1"/>
  <c r="J28" i="2"/>
  <c r="K13" i="2"/>
  <c r="L20" i="2"/>
  <c r="M20" i="2" l="1"/>
  <c r="K42" i="2" l="1"/>
  <c r="K45" i="2" s="1"/>
  <c r="K28" i="2"/>
  <c r="N20" i="2"/>
  <c r="L13" i="2"/>
  <c r="N13" i="2" l="1"/>
  <c r="L42" i="2"/>
  <c r="L45" i="2" s="1"/>
  <c r="L28" i="2"/>
  <c r="O20" i="2"/>
  <c r="M13" i="2"/>
  <c r="O13" i="2" l="1"/>
  <c r="M42" i="2"/>
  <c r="M45" i="2" s="1"/>
  <c r="M28" i="2"/>
  <c r="P20" i="2"/>
  <c r="N42" i="2"/>
  <c r="N45" i="2" s="1"/>
  <c r="N28" i="2"/>
  <c r="Q20" i="2" l="1"/>
  <c r="O42" i="2"/>
  <c r="O45" i="2" s="1"/>
  <c r="O28" i="2"/>
  <c r="Q13" i="2" l="1"/>
  <c r="P13" i="2"/>
  <c r="R20" i="2"/>
  <c r="S20" i="2" l="1"/>
  <c r="P42" i="2"/>
  <c r="P45" i="2" s="1"/>
  <c r="P28" i="2"/>
  <c r="Q42" i="2"/>
  <c r="Q45" i="2" s="1"/>
  <c r="Q28" i="2"/>
  <c r="S13" i="2" l="1"/>
  <c r="T20" i="2"/>
  <c r="R13" i="2"/>
  <c r="T13" i="2" l="1"/>
  <c r="U20" i="2"/>
  <c r="C78" i="2"/>
  <c r="C85" i="2"/>
  <c r="R42" i="2"/>
  <c r="R45" i="2" s="1"/>
  <c r="R28" i="2"/>
  <c r="S42" i="2"/>
  <c r="S45" i="2" s="1"/>
  <c r="S28" i="2"/>
  <c r="T42" i="2" l="1"/>
  <c r="T45" i="2" s="1"/>
  <c r="T28" i="2"/>
  <c r="U13" i="2" l="1"/>
  <c r="C77" i="2"/>
  <c r="C79" i="2" s="1"/>
  <c r="U42" i="2" l="1"/>
  <c r="U28" i="2"/>
  <c r="U45" i="2" l="1"/>
  <c r="C63" i="2"/>
  <c r="C80" i="2" l="1"/>
  <c r="C67" i="2"/>
</calcChain>
</file>

<file path=xl/sharedStrings.xml><?xml version="1.0" encoding="utf-8"?>
<sst xmlns="http://schemas.openxmlformats.org/spreadsheetml/2006/main" count="337" uniqueCount="145">
  <si>
    <t>Output 1.1</t>
  </si>
  <si>
    <t>Output 1.2</t>
  </si>
  <si>
    <t>Output 1.3</t>
  </si>
  <si>
    <t>Parameter</t>
  </si>
  <si>
    <t>Description</t>
  </si>
  <si>
    <t>Value</t>
  </si>
  <si>
    <t>Source</t>
  </si>
  <si>
    <t>Oven-dry wood density, t/m^3</t>
  </si>
  <si>
    <t xml:space="preserve">  “Allometric equations, wood density and partitioning of aboveground biomass in the arboretum of Ruhande, Rwanda”, Trees, Forest, People (3) 2021. https://www.sciencedirect.com/science/article/pii/S2666719320300509</t>
  </si>
  <si>
    <t>R</t>
  </si>
  <si>
    <t>Root-shoot-ratio, amount of below-ground biomass per m^3 of above-ground biomass</t>
  </si>
  <si>
    <t>D</t>
  </si>
  <si>
    <t>CF</t>
  </si>
  <si>
    <t>50% is the IPCC default value for carbon content of dry biomass. https://www.ipcc-nggip.iges.or.jp/public/gpglulucf/gpglulucf_files/Chp3/Chp3_2_Forest_Land.pdf</t>
  </si>
  <si>
    <t>Carbon fraction of dry matter</t>
  </si>
  <si>
    <t>Conversion factor for tC to tCO2</t>
  </si>
  <si>
    <t>CO2/C</t>
  </si>
  <si>
    <t>Stoichiometric equation: 1 mole CO2 = 44g, 1 mole C = 12g. (44/12 = 3.67)</t>
  </si>
  <si>
    <t xml:space="preserve">Research conducted on the assessment of root-shoot ratio and carbon storage of Quercus b. in Iran gave a root-shoot ratio of 0,72 in the case of high forest and 0,88 in the case of coppice. “Assessment of root-shoot ratio biomass and carbon storage of Quercus brantii Lindl. in the central Zagros forests of Iran”, JOURNAL OF FOREST SCIENCE, 63, 2017 (6): 282–289 </t>
  </si>
  <si>
    <t>V</t>
  </si>
  <si>
    <t>Above-ground wood volume (m^3)</t>
  </si>
  <si>
    <t>Field observations or calculated value</t>
  </si>
  <si>
    <t>Formula for conversion of wood volume (m3) to tCO2</t>
  </si>
  <si>
    <t>V x D x (1+R) x CF x (CO2/C)</t>
  </si>
  <si>
    <t>Using the figures in the "Values and Parameters" yields an over-ground to CO2 factor (tCO2 per m^3 wood) of</t>
  </si>
  <si>
    <t>Output 1.4</t>
  </si>
  <si>
    <t>Total</t>
  </si>
  <si>
    <t>see biomass resource spreadsheet</t>
  </si>
  <si>
    <t>Year 1</t>
  </si>
  <si>
    <t>Year 2</t>
  </si>
  <si>
    <t>Year 3</t>
  </si>
  <si>
    <t>Year 4</t>
  </si>
  <si>
    <t>Year 5</t>
  </si>
  <si>
    <t>Year 6</t>
  </si>
  <si>
    <t>Year 7</t>
  </si>
  <si>
    <t>Year 8</t>
  </si>
  <si>
    <t>Year 9</t>
  </si>
  <si>
    <t>Year 10</t>
  </si>
  <si>
    <t>Year 11</t>
  </si>
  <si>
    <t>Year 12</t>
  </si>
  <si>
    <t>Year 13</t>
  </si>
  <si>
    <t>Year 14</t>
  </si>
  <si>
    <t>Year 15</t>
  </si>
  <si>
    <t>Year 16</t>
  </si>
  <si>
    <t>Year 17</t>
  </si>
  <si>
    <t>Year 18</t>
  </si>
  <si>
    <t>Year 19</t>
  </si>
  <si>
    <t>Year 20</t>
  </si>
  <si>
    <t>6 year total</t>
  </si>
  <si>
    <t>20 year total</t>
  </si>
  <si>
    <t>Non-renewable biomass fraction (fNRB)</t>
  </si>
  <si>
    <t xml:space="preserve">TREPA Direct tonnes of wood saved </t>
  </si>
  <si>
    <t>TREPA Direct tonnes of CO2 emission saved</t>
  </si>
  <si>
    <t>Output 1.5 - Emission reductions from ICS adoption</t>
  </si>
  <si>
    <t>Summary - cumulative CO2 benefits, tCO2e</t>
  </si>
  <si>
    <t>Output 1.5</t>
  </si>
  <si>
    <t>Output 1 - Total stock progress - BAU (m3)</t>
  </si>
  <si>
    <t>Cumulative results</t>
  </si>
  <si>
    <t>Output 1.5 - tonnes of wood saved</t>
  </si>
  <si>
    <t>Output 1.5 - Net CO2 reduction, tCO2e</t>
  </si>
  <si>
    <t>General overall scenario parameters</t>
  </si>
  <si>
    <t>Name</t>
  </si>
  <si>
    <t>Unit</t>
  </si>
  <si>
    <t>Recommended value - BAU scenario</t>
  </si>
  <si>
    <t>Applied value - BAU scenario</t>
  </si>
  <si>
    <t>Recommended value - TREPA scenario</t>
  </si>
  <si>
    <t>Applied value - TREPA scenario</t>
  </si>
  <si>
    <t>Why this value?</t>
  </si>
  <si>
    <t>Parameter description / comment</t>
  </si>
  <si>
    <t>%</t>
  </si>
  <si>
    <t>Volume to CO2 ratio</t>
  </si>
  <si>
    <t>Root-Shoot ratio</t>
  </si>
  <si>
    <t>0.29 according to the IPCC table 4.4 (internationally accepted default value).</t>
  </si>
  <si>
    <t>Ratio between volume of wood under ground (roots) and over ground</t>
  </si>
  <si>
    <t>Expension factor for roots volume (=1+RSR)</t>
  </si>
  <si>
    <t>For 1 m3 wood over ground, we have a total over and under ground volume of 1,8 m3</t>
  </si>
  <si>
    <t>Wood density at 12% moisture in t/m3</t>
  </si>
  <si>
    <t>1m3 wood at 12% moisture = 0,75 tons of wood</t>
  </si>
  <si>
    <t>Moisture conversion factor</t>
  </si>
  <si>
    <t>1 tons at 12% moisture = 0,725 oven dry tons of wood</t>
  </si>
  <si>
    <t>Carbon content factor</t>
  </si>
  <si>
    <t>1 oven dry tons of wood = 0,5 tons of carbon</t>
  </si>
  <si>
    <t>Carbon to CO2 conversion factor</t>
  </si>
  <si>
    <t>1 tons of carbon = 3,667 tons of CO2. One mole of CO2 has a mass of (12+16*2) = 44 gr, while one mole of C has a mass of 12 gr, hence 44/12 = 3,66…6667.</t>
  </si>
  <si>
    <t>Over ground volume to CO2 factor of conversion</t>
  </si>
  <si>
    <t>1 m3 of over ground wood correspond to 1,796 tons of C02 over and under ground</t>
  </si>
  <si>
    <t>Wood tree density</t>
  </si>
  <si>
    <t>Air dry tons per m3</t>
  </si>
  <si>
    <t>1 head of diary cow (Cross breeding) CH4 emission</t>
  </si>
  <si>
    <t>Kg/year</t>
  </si>
  <si>
    <t>https://www.ipcc-nggip.iges.or.jp/public/gp/bgp/4_1_CH4_Enteric_Fermentation.pdf</t>
  </si>
  <si>
    <t>By default value for Africa, Tier 1 (annex 1)</t>
  </si>
  <si>
    <t>1 head of non-diary cow (Ankole) CH4 emission</t>
  </si>
  <si>
    <t>1 CH4 kg =&gt; kg CO2 equivalent ratio</t>
  </si>
  <si>
    <t>kg/kg</t>
  </si>
  <si>
    <t>Fraction of harvested biomass that is non-renewable year 1</t>
  </si>
  <si>
    <t>Value = 1-(wood Sustainable supply of EP / wood Demand of EP). See projection in sheet "1.5CO2 Impact Trepa Dir &amp; Ind.</t>
  </si>
  <si>
    <t xml:space="preserve">  - Wood demand of EP (BAU and TREPA scenario): source = projection model developed by MININFRA in 2019 in the context of the review of the Biomass Energy Strategy (using the LEAP software developed by SEI). Wood demand = nbr HH x Energy need per HH (Mj/year) x  1/ICS efficiency (%) x 1/Calorific content of fuel
  - Sustainable supply of EP (BAU and TREPA scenario): for each type of forest land use (Agroforestry, Private forets, State forest, shrubland, etc..), = Area in ha (baseline = National Forest Cover Map of 2012) x average yield (estimate based on National Forest Inventory of 2015).</t>
  </si>
  <si>
    <t>Fraction of harvested biomass that is non-renewable year 20</t>
  </si>
  <si>
    <t>Ratio</t>
  </si>
  <si>
    <t>1 m3 wood at 12% moisture - 0.75 t wood. 1m3 wood at 12% moisture = 0.75t wood oven-dry</t>
  </si>
  <si>
    <t>Summary - Incremental above-ground wood volume (m^3) - BAU</t>
  </si>
  <si>
    <t>Summary - Incremental above-ground wood volume (m^3) - PROJECT</t>
  </si>
  <si>
    <t>Summary - annual net change in above-ground wood volume (m^3) BAU vs PROJECT</t>
  </si>
  <si>
    <t>Summary - annual net change in CO2 carbon stocks, tCO2  BAU vs PROJECT</t>
  </si>
  <si>
    <t>Summary - annual net change in emissions from cattle enteric fermentation (Output 1.3), tCO2e - BAU vs PROJECT</t>
  </si>
  <si>
    <t>Output 1.1 - Total stock progress - TREPA (m3)</t>
  </si>
  <si>
    <t>Output 1.1 - Net change in above ground wood volume (m3)</t>
  </si>
  <si>
    <t>Output 1.1 - Net CO2 reduction, tCO2</t>
  </si>
  <si>
    <t>Output 1.2 - Total stock progress - BAU (m3)</t>
  </si>
  <si>
    <t>Output 1.2 - Total stock progress - TREPA (m3)</t>
  </si>
  <si>
    <t>Output 1.2 - Net change in above ground wood volume (m3)</t>
  </si>
  <si>
    <t>Output 1.2 - Net CO2 reduction, tCO2</t>
  </si>
  <si>
    <t>Output 1.3 - Total stock progress - BAU (m3)</t>
  </si>
  <si>
    <t>Output 1.3 - Total stock progress - TREPA (m3)</t>
  </si>
  <si>
    <t>Output 1.3 - Net change in above ground wood volume (m3)</t>
  </si>
  <si>
    <t>Output 1.4 - Total stock progress - BAU (m3)</t>
  </si>
  <si>
    <t>Output 1.4 - Total stock progress - TREPA (m3)</t>
  </si>
  <si>
    <t>Output 1.4 - Net change in above ground wood volume (m3)</t>
  </si>
  <si>
    <t>Output 1.4 - Net CO2 reduction, tCO2</t>
  </si>
  <si>
    <t>Output 1.3 - Net change in number of cattle</t>
  </si>
  <si>
    <t>Output 1.3 - Net CO2 reduction, tCO2e</t>
  </si>
  <si>
    <r>
      <t>·</t>
    </r>
    <r>
      <rPr>
        <sz val="7"/>
        <color rgb="FF222222"/>
        <rFont val="Times New Roman"/>
        <family val="1"/>
      </rPr>
      <t>       </t>
    </r>
    <r>
      <rPr>
        <sz val="12"/>
        <color rgb="FF222222"/>
        <rFont val="Arial"/>
        <family val="2"/>
      </rPr>
      <t>The sheet </t>
    </r>
    <r>
      <rPr>
        <b/>
        <sz val="12"/>
        <color rgb="FF222222"/>
        <rFont val="Arial"/>
        <family val="2"/>
      </rPr>
      <t>“0. Key Finan Scenar Parameters”</t>
    </r>
    <r>
      <rPr>
        <sz val="12"/>
        <color rgb="FF222222"/>
        <rFont val="Arial"/>
        <family val="2"/>
      </rPr>
      <t> centralizes</t>
    </r>
  </si>
  <si>
    <r>
      <t>o</t>
    </r>
    <r>
      <rPr>
        <sz val="7"/>
        <color rgb="FF222222"/>
        <rFont val="Times New Roman"/>
        <family val="1"/>
      </rPr>
      <t>   </t>
    </r>
    <r>
      <rPr>
        <sz val="12"/>
        <color rgb="FF222222"/>
        <rFont val="Arial"/>
        <family val="2"/>
      </rPr>
      <t> all the key parameters on initial stock (m3/ha) and stock evolution, initial growth (m3/ha/year) and expected growth evolution, tree density, harvesting scheme (% and rotation), area progress, etc for both BAU and TREPA scenario, for each type of targeted landscape (agroforestry, state forest, private forest, district forest, silvopastoral land, road/river/buffer plantation)</t>
    </r>
  </si>
  <si>
    <r>
      <t>o</t>
    </r>
    <r>
      <rPr>
        <sz val="7"/>
        <color rgb="FF222222"/>
        <rFont val="Times New Roman"/>
        <family val="1"/>
      </rPr>
      <t>   </t>
    </r>
    <r>
      <rPr>
        <sz val="12"/>
        <color rgb="FF222222"/>
        <rFont val="Arial"/>
        <family val="2"/>
      </rPr>
      <t>The key parameter on herd constitution (for 1.3)</t>
    </r>
  </si>
  <si>
    <r>
      <t>o</t>
    </r>
    <r>
      <rPr>
        <sz val="7"/>
        <color rgb="FF222222"/>
        <rFont val="Times New Roman"/>
        <family val="1"/>
      </rPr>
      <t>   </t>
    </r>
    <r>
      <rPr>
        <sz val="12"/>
        <color rgb="FF222222"/>
        <rFont val="Arial"/>
        <family val="2"/>
      </rPr>
      <t>The key parameters use for the ICS dissemination (1.5) BAU and TREPA scenario: thermal efficiency of ICSs, Calorific energy required per HH per year (MJ), Calorific content of fuelwood (MJ per kg), etc…</t>
    </r>
  </si>
  <si>
    <r>
      <t>·</t>
    </r>
    <r>
      <rPr>
        <sz val="7"/>
        <color rgb="FF222222"/>
        <rFont val="Times New Roman"/>
        <family val="1"/>
      </rPr>
      <t>       </t>
    </r>
    <r>
      <rPr>
        <sz val="12"/>
        <color rgb="FF222222"/>
        <rFont val="Arial"/>
        <family val="2"/>
      </rPr>
      <t>The sheet </t>
    </r>
    <r>
      <rPr>
        <b/>
        <sz val="12"/>
        <color rgb="FF222222"/>
        <rFont val="Arial"/>
        <family val="2"/>
      </rPr>
      <t>“0.Key Econo Scenar Parameters”</t>
    </r>
    <r>
      <rPr>
        <sz val="12"/>
        <color rgb="FF222222"/>
        <rFont val="Arial"/>
        <family val="2"/>
      </rPr>
      <t> contain:</t>
    </r>
  </si>
  <si>
    <r>
      <t>o</t>
    </r>
    <r>
      <rPr>
        <sz val="7"/>
        <color rgb="FF222222"/>
        <rFont val="Times New Roman"/>
        <family val="1"/>
      </rPr>
      <t>   </t>
    </r>
    <r>
      <rPr>
        <sz val="12"/>
        <color rgb="FF222222"/>
        <rFont val="Arial"/>
        <family val="2"/>
      </rPr>
      <t> the different ratios used to convert the above wood ground biomass (m3) into C02 (tons).</t>
    </r>
  </si>
  <si>
    <r>
      <t>o</t>
    </r>
    <r>
      <rPr>
        <sz val="7"/>
        <color rgb="FF222222"/>
        <rFont val="Times New Roman"/>
        <family val="1"/>
      </rPr>
      <t>   </t>
    </r>
    <r>
      <rPr>
        <sz val="12"/>
        <color rgb="FF222222"/>
        <rFont val="Arial"/>
        <family val="2"/>
      </rPr>
      <t>The ratio used to convert the number of cows into CH4 =&gt; C02 emissions</t>
    </r>
  </si>
  <si>
    <r>
      <t>·</t>
    </r>
    <r>
      <rPr>
        <sz val="7"/>
        <color rgb="FF222222"/>
        <rFont val="Times New Roman"/>
        <family val="1"/>
      </rPr>
      <t>       </t>
    </r>
    <r>
      <rPr>
        <sz val="12"/>
        <color rgb="FF222222"/>
        <rFont val="Arial"/>
        <family val="2"/>
      </rPr>
      <t>The sheet </t>
    </r>
    <r>
      <rPr>
        <b/>
        <sz val="12"/>
        <color rgb="FF222222"/>
        <rFont val="Arial"/>
        <family val="2"/>
      </rPr>
      <t>“1.1Carb impact targtd ha-detail”</t>
    </r>
    <r>
      <rPr>
        <sz val="12"/>
        <color rgb="FF222222"/>
        <rFont val="Arial"/>
        <family val="2"/>
      </rPr>
      <t> is calculating the wood stock evolution under output 1.1 and its related C02 carbon impact (BAU vs TREPA scenario)</t>
    </r>
  </si>
  <si>
    <r>
      <t>·</t>
    </r>
    <r>
      <rPr>
        <sz val="7"/>
        <color rgb="FF222222"/>
        <rFont val="Times New Roman"/>
        <family val="1"/>
      </rPr>
      <t>       </t>
    </r>
    <r>
      <rPr>
        <sz val="12"/>
        <color rgb="FF222222"/>
        <rFont val="Arial"/>
        <family val="2"/>
      </rPr>
      <t>The sheet </t>
    </r>
    <r>
      <rPr>
        <b/>
        <sz val="12"/>
        <color rgb="FF222222"/>
        <rFont val="Arial"/>
        <family val="2"/>
      </rPr>
      <t>“1.2C impact targeted ha- detail”</t>
    </r>
    <r>
      <rPr>
        <sz val="12"/>
        <color rgb="FF222222"/>
        <rFont val="Arial"/>
        <family val="2"/>
      </rPr>
      <t> is calculating the wood stock evolution under output 1.2 and its related C02 carbon impact (BAU vs TREPA scenario), for each type of main forest category (State forest very degraded, State forest contracted, District forest, Small-holder woodlots)</t>
    </r>
  </si>
  <si>
    <r>
      <t>·</t>
    </r>
    <r>
      <rPr>
        <sz val="7"/>
        <color rgb="FF222222"/>
        <rFont val="Times New Roman"/>
        <family val="1"/>
      </rPr>
      <t>       </t>
    </r>
    <r>
      <rPr>
        <sz val="12"/>
        <color rgb="FF222222"/>
        <rFont val="Arial"/>
        <family val="2"/>
      </rPr>
      <t>The sheet </t>
    </r>
    <r>
      <rPr>
        <b/>
        <sz val="12"/>
        <color rgb="FF222222"/>
        <rFont val="Arial"/>
        <family val="2"/>
      </rPr>
      <t>“1.3C impact targeted ha- detail”</t>
    </r>
    <r>
      <rPr>
        <sz val="12"/>
        <color rgb="FF222222"/>
        <rFont val="Arial"/>
        <family val="2"/>
      </rPr>
      <t> is calculating the wood stock evolution under output 1.3 and its related C02 carbon impact (BAU vs TREPA scenario)</t>
    </r>
  </si>
  <si>
    <r>
      <t>·</t>
    </r>
    <r>
      <rPr>
        <sz val="7"/>
        <color rgb="FF222222"/>
        <rFont val="Times New Roman"/>
        <family val="1"/>
      </rPr>
      <t>       </t>
    </r>
    <r>
      <rPr>
        <sz val="12"/>
        <color rgb="FF222222"/>
        <rFont val="Arial"/>
        <family val="2"/>
      </rPr>
      <t>The sheet </t>
    </r>
    <r>
      <rPr>
        <b/>
        <sz val="12"/>
        <color rgb="FF222222"/>
        <rFont val="Arial"/>
        <family val="2"/>
      </rPr>
      <t>“1.4C impact targeted ha- detail” </t>
    </r>
    <r>
      <rPr>
        <sz val="12"/>
        <color rgb="FF222222"/>
        <rFont val="Arial"/>
        <family val="2"/>
      </rPr>
      <t>is calculating the wood stock evolution under output 1.4 and its related C02 carbon impact (BAU vs TREPA scenario), for road/river side plantation from one side and for Akagera buffer zone from other side</t>
    </r>
  </si>
  <si>
    <r>
      <t>·</t>
    </r>
    <r>
      <rPr>
        <sz val="7"/>
        <color rgb="FF222222"/>
        <rFont val="Times New Roman"/>
        <family val="1"/>
      </rPr>
      <t>       </t>
    </r>
    <r>
      <rPr>
        <sz val="12"/>
        <color rgb="FF222222"/>
        <rFont val="Arial"/>
        <family val="2"/>
      </rPr>
      <t>The sheet </t>
    </r>
    <r>
      <rPr>
        <b/>
        <sz val="12"/>
        <color rgb="FF222222"/>
        <rFont val="Arial"/>
        <family val="2"/>
      </rPr>
      <t>“1.5CO2 Impact TREPADir &amp; Indir”</t>
    </r>
    <r>
      <rPr>
        <sz val="12"/>
        <color rgb="FF222222"/>
        <rFont val="Arial"/>
        <family val="2"/>
      </rPr>
      <t> is calculating the C02 carbon impact (BAU vs TREPA scenario) under 1.5 (ICS dissemination). Basically it is calculating the tons of wood saved due to the use of ICS (which are transformed into tons of C02), but for which only a part (FNRB = fraction of non-renewable biomass) is considered to avoid double counting with C02 sequestration considered under 1.1 to 1.4. The following linked sheets are used to compute these data:</t>
    </r>
  </si>
  <si>
    <r>
      <t>o</t>
    </r>
    <r>
      <rPr>
        <sz val="7"/>
        <color rgb="FF222222"/>
        <rFont val="Times New Roman"/>
        <family val="1"/>
      </rPr>
      <t>   </t>
    </r>
    <r>
      <rPr>
        <sz val="12"/>
        <color rgb="FF222222"/>
        <rFont val="Arial"/>
        <family val="2"/>
      </rPr>
      <t>The sheet </t>
    </r>
    <r>
      <rPr>
        <b/>
        <sz val="12"/>
        <color rgb="FF222222"/>
        <rFont val="Arial"/>
        <family val="2"/>
      </rPr>
      <t>“1.5DemandWoodTREPADIR”</t>
    </r>
    <r>
      <rPr>
        <sz val="12"/>
        <color rgb="FF222222"/>
        <rFont val="Arial"/>
        <family val="2"/>
      </rPr>
      <t> is calculating the demand of wood and the related tons of wood saved in EP (BAU vs TREPA scenario): this table has been computed using the LEAP software developed by Stockholm Environment Institute (SEI) and which has been customized for the case of the 5 Province of Rwanda for the review of the Biomass Energy Strategy (BEST, 2019), considering the target provided in term of ICS penetration in the EP</t>
    </r>
  </si>
  <si>
    <r>
      <t>o</t>
    </r>
    <r>
      <rPr>
        <sz val="7"/>
        <color rgb="FF222222"/>
        <rFont val="Times New Roman"/>
        <family val="1"/>
      </rPr>
      <t>   </t>
    </r>
    <r>
      <rPr>
        <sz val="12"/>
        <color rgb="FF222222"/>
        <rFont val="Arial"/>
        <family val="2"/>
      </rPr>
      <t>The sheets </t>
    </r>
    <r>
      <rPr>
        <b/>
        <sz val="12"/>
        <color rgb="FF222222"/>
        <rFont val="Arial"/>
        <family val="2"/>
      </rPr>
      <t>“1.5EP Wood Growth BAU”</t>
    </r>
    <r>
      <rPr>
        <sz val="12"/>
        <color rgb="FF222222"/>
        <rFont val="Arial"/>
        <family val="2"/>
      </rPr>
      <t> and </t>
    </r>
    <r>
      <rPr>
        <b/>
        <sz val="12"/>
        <color rgb="FF222222"/>
        <rFont val="Arial"/>
        <family val="2"/>
      </rPr>
      <t>“1.5EP Wood Growth TREPA Dirc”</t>
    </r>
    <r>
      <rPr>
        <sz val="12"/>
        <color rgb="FF222222"/>
        <rFont val="Arial"/>
        <family val="2"/>
      </rPr>
      <t> are calculating the sustainable supply capacity of woody biomass in the EP in the BAU and TREPA scenario. The comparison of the demand (above sheet) with this sustainable supply provide an estimate of the FNRB.</t>
    </r>
  </si>
  <si>
    <t>Data to calculate GHG Emission Reductions for the Rwanda TREPA project are drawn from the Financial Analysis presented in Annex 3, as follows:</t>
  </si>
  <si>
    <t>Change in cattle herd density (Output 1.3) - BAU</t>
  </si>
  <si>
    <t>Number of Ankole (non-dairy)</t>
  </si>
  <si>
    <t>Number of Cross breed (dairy)</t>
  </si>
  <si>
    <t>Ankole cattle (non-dairy), tCO2e/year</t>
  </si>
  <si>
    <t>Cross-breed cattle, tCO2e/year</t>
  </si>
  <si>
    <t>Change in cattle herd density (Output 1.3) - PROJECT</t>
  </si>
  <si>
    <t>Total emission reductions - sequestration</t>
  </si>
  <si>
    <t>Total emission reductions - enteric fermentation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</si>
</sst>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0.0"/>
    <numFmt numFmtId="165" formatCode="_-* #,##0_-;\-* #,##0_-;_-* &quot;-&quot;??_-;_-@_-"/>
    <numFmt numFmtId="166" formatCode="_-* #,##0.00\ _€_-;\-* #,##0.00\ _€_-;_-* &quot;-&quot;??\ _€_-;_-@_-"/>
    <numFmt numFmtId="167" formatCode="0.000"/>
    <numFmt numFmtId="168" formatCode="0.0%"/>
  </numFmts>
  <fonts count="19" x14ac:knownFonts="1">
    <font>
      <sz val="11"/>
      <color theme="1"/>
      <name val="Calibri"/>
      <family val="2"/>
      <scheme val="minor"/>
    </font>
    <font>
      <sz val="11"/>
      <color theme="1"/>
      <name val="Calibri"/>
      <family val="2"/>
      <scheme val="minor"/>
    </font>
    <font>
      <b/>
      <sz val="11"/>
      <color theme="1"/>
      <name val="Calibri"/>
      <family val="2"/>
      <scheme val="minor"/>
    </font>
    <font>
      <sz val="10"/>
      <name val="Calibri"/>
      <family val="2"/>
      <scheme val="minor"/>
    </font>
    <font>
      <sz val="10"/>
      <name val="Trebuchet MS"/>
      <family val="2"/>
    </font>
    <font>
      <sz val="8"/>
      <name val="Calibri"/>
      <family val="2"/>
      <scheme val="minor"/>
    </font>
    <font>
      <sz val="11"/>
      <name val="Calibri"/>
      <family val="2"/>
      <scheme val="minor"/>
    </font>
    <font>
      <sz val="10"/>
      <color theme="1"/>
      <name val="Calibri"/>
      <family val="2"/>
      <scheme val="minor"/>
    </font>
    <font>
      <b/>
      <sz val="11"/>
      <name val="Calibri"/>
      <family val="2"/>
      <scheme val="minor"/>
    </font>
    <font>
      <u/>
      <sz val="11"/>
      <color theme="10"/>
      <name val="Calibri"/>
      <family val="2"/>
      <scheme val="minor"/>
    </font>
    <font>
      <b/>
      <sz val="18"/>
      <color theme="1"/>
      <name val="Calibri"/>
      <family val="2"/>
      <scheme val="minor"/>
    </font>
    <font>
      <sz val="11"/>
      <color rgb="FFFF0000"/>
      <name val="Calibri"/>
      <family val="2"/>
      <charset val="1"/>
      <scheme val="minor"/>
    </font>
    <font>
      <sz val="10.5"/>
      <color rgb="FF23282C"/>
      <name val="Segoe UI"/>
      <family val="2"/>
    </font>
    <font>
      <sz val="12"/>
      <color rgb="FF222222"/>
      <name val="Arial"/>
      <family val="2"/>
    </font>
    <font>
      <sz val="12"/>
      <color rgb="FF222222"/>
      <name val="Symbol"/>
      <family val="1"/>
      <charset val="2"/>
    </font>
    <font>
      <sz val="7"/>
      <color rgb="FF222222"/>
      <name val="Times New Roman"/>
      <family val="1"/>
    </font>
    <font>
      <b/>
      <sz val="12"/>
      <color rgb="FF222222"/>
      <name val="Arial"/>
      <family val="2"/>
    </font>
    <font>
      <sz val="12"/>
      <color rgb="FF222222"/>
      <name val="Courier New"/>
      <family val="3"/>
    </font>
    <font>
      <b/>
      <sz val="14"/>
      <color rgb="FFFF0000"/>
      <name val="Calibri"/>
      <family val="2"/>
      <scheme val="minor"/>
    </font>
  </fonts>
  <fills count="13">
    <fill>
      <patternFill patternType="none"/>
    </fill>
    <fill>
      <patternFill patternType="gray125"/>
    </fill>
    <fill>
      <patternFill patternType="solid">
        <fgColor theme="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9"/>
        <bgColor indexed="64"/>
      </patternFill>
    </fill>
    <fill>
      <patternFill patternType="solid">
        <fgColor theme="0" tint="-0.249977111117893"/>
        <bgColor indexed="64"/>
      </patternFill>
    </fill>
    <fill>
      <patternFill patternType="solid">
        <fgColor theme="7" tint="0.59999389629810485"/>
        <bgColor indexed="64"/>
      </patternFill>
    </fill>
    <fill>
      <patternFill patternType="solid">
        <fgColor theme="5"/>
        <bgColor indexed="64"/>
      </patternFill>
    </fill>
    <fill>
      <patternFill patternType="solid">
        <fgColor theme="9" tint="0.59999389629810485"/>
        <bgColor indexed="64"/>
      </patternFill>
    </fill>
    <fill>
      <patternFill patternType="solid">
        <fgColor rgb="FF00B050"/>
        <bgColor indexed="64"/>
      </patternFill>
    </fill>
    <fill>
      <patternFill patternType="solid">
        <fgColor theme="4"/>
        <bgColor indexed="64"/>
      </patternFill>
    </fill>
    <fill>
      <patternFill patternType="solid">
        <fgColor theme="0" tint="-0.34998626667073579"/>
        <bgColor indexed="64"/>
      </patternFill>
    </fill>
  </fills>
  <borders count="6">
    <border>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s>
  <cellStyleXfs count="6">
    <xf numFmtId="0" fontId="0"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166" fontId="1" fillId="0" borderId="0" applyFont="0" applyFill="0" applyBorder="0" applyAlignment="0" applyProtection="0"/>
    <xf numFmtId="0" fontId="9" fillId="0" borderId="0" applyNumberFormat="0" applyFill="0" applyBorder="0" applyAlignment="0" applyProtection="0"/>
  </cellStyleXfs>
  <cellXfs count="78">
    <xf numFmtId="0" fontId="0" fillId="0" borderId="0" xfId="0"/>
    <xf numFmtId="0" fontId="0" fillId="0" borderId="0" xfId="0" applyAlignment="1">
      <alignment wrapText="1"/>
    </xf>
    <xf numFmtId="0" fontId="0" fillId="0" borderId="0" xfId="0" applyAlignment="1"/>
    <xf numFmtId="0" fontId="3" fillId="0" borderId="0" xfId="0" applyFont="1" applyAlignment="1">
      <alignment wrapText="1"/>
    </xf>
    <xf numFmtId="0" fontId="4" fillId="0" borderId="0" xfId="0" applyFont="1" applyAlignment="1">
      <alignment wrapText="1"/>
    </xf>
    <xf numFmtId="0" fontId="3" fillId="2" borderId="0" xfId="0" applyFont="1" applyFill="1" applyAlignment="1">
      <alignment wrapText="1"/>
    </xf>
    <xf numFmtId="0" fontId="3" fillId="0" borderId="0" xfId="0" applyFont="1" applyFill="1" applyAlignment="1">
      <alignment wrapText="1"/>
    </xf>
    <xf numFmtId="0" fontId="0" fillId="2" borderId="0" xfId="0" applyFill="1" applyAlignment="1">
      <alignment wrapText="1"/>
    </xf>
    <xf numFmtId="164" fontId="2" fillId="2" borderId="0" xfId="0" applyNumberFormat="1" applyFont="1" applyFill="1" applyAlignment="1"/>
    <xf numFmtId="0" fontId="2" fillId="2" borderId="0" xfId="0" applyFont="1" applyFill="1" applyAlignment="1">
      <alignment wrapText="1"/>
    </xf>
    <xf numFmtId="0" fontId="0" fillId="2" borderId="0" xfId="0" applyFill="1" applyAlignment="1"/>
    <xf numFmtId="0" fontId="0" fillId="0" borderId="1" xfId="0" applyBorder="1" applyAlignment="1"/>
    <xf numFmtId="3" fontId="0" fillId="0" borderId="0" xfId="0" applyNumberFormat="1" applyAlignment="1"/>
    <xf numFmtId="3" fontId="0" fillId="0" borderId="1" xfId="0" applyNumberFormat="1" applyBorder="1" applyAlignment="1"/>
    <xf numFmtId="165" fontId="0" fillId="0" borderId="0" xfId="1" applyNumberFormat="1" applyFont="1" applyAlignment="1"/>
    <xf numFmtId="165" fontId="0" fillId="0" borderId="1" xfId="1" applyNumberFormat="1" applyFont="1" applyBorder="1" applyAlignment="1"/>
    <xf numFmtId="0" fontId="0" fillId="3" borderId="0" xfId="0" applyFill="1" applyAlignment="1">
      <alignment wrapText="1"/>
    </xf>
    <xf numFmtId="0" fontId="0" fillId="3" borderId="0" xfId="0" applyFill="1" applyAlignment="1"/>
    <xf numFmtId="0" fontId="0" fillId="0" borderId="0" xfId="0" applyFont="1" applyAlignment="1"/>
    <xf numFmtId="0" fontId="6" fillId="0" borderId="0" xfId="0" applyFont="1" applyBorder="1" applyAlignment="1"/>
    <xf numFmtId="0" fontId="1" fillId="0" borderId="0" xfId="3" applyFill="1" applyBorder="1"/>
    <xf numFmtId="0" fontId="0" fillId="0" borderId="0" xfId="0" applyFill="1" applyBorder="1" applyAlignment="1"/>
    <xf numFmtId="0" fontId="1" fillId="0" borderId="0" xfId="3" applyFill="1" applyBorder="1" applyAlignment="1">
      <alignment wrapText="1"/>
    </xf>
    <xf numFmtId="9" fontId="7" fillId="0" borderId="0" xfId="2" applyFont="1" applyFill="1" applyBorder="1" applyAlignment="1">
      <alignment horizontal="center"/>
    </xf>
    <xf numFmtId="9" fontId="1" fillId="0" borderId="0" xfId="2" applyFont="1" applyFill="1" applyBorder="1" applyAlignment="1"/>
    <xf numFmtId="165" fontId="1" fillId="0" borderId="0" xfId="1" applyNumberFormat="1" applyFont="1" applyFill="1" applyBorder="1" applyAlignment="1">
      <alignment wrapText="1"/>
    </xf>
    <xf numFmtId="165" fontId="1" fillId="0" borderId="0" xfId="1" applyNumberFormat="1" applyFont="1" applyFill="1" applyBorder="1" applyAlignment="1"/>
    <xf numFmtId="0" fontId="6" fillId="4" borderId="3" xfId="0" applyFont="1" applyFill="1" applyBorder="1" applyAlignment="1">
      <alignment horizontal="center" vertical="center"/>
    </xf>
    <xf numFmtId="165" fontId="6" fillId="0" borderId="4" xfId="0" applyNumberFormat="1" applyFont="1" applyBorder="1" applyAlignment="1"/>
    <xf numFmtId="165" fontId="0" fillId="0" borderId="2" xfId="0" applyNumberFormat="1" applyBorder="1" applyAlignment="1"/>
    <xf numFmtId="165" fontId="8" fillId="0" borderId="2" xfId="0" applyNumberFormat="1" applyFont="1" applyBorder="1" applyAlignment="1"/>
    <xf numFmtId="0" fontId="0" fillId="4" borderId="3" xfId="0" applyFont="1" applyFill="1" applyBorder="1" applyAlignment="1">
      <alignment wrapText="1"/>
    </xf>
    <xf numFmtId="0" fontId="0" fillId="0" borderId="4" xfId="0" applyBorder="1" applyAlignment="1">
      <alignment wrapText="1"/>
    </xf>
    <xf numFmtId="0" fontId="0" fillId="0" borderId="2" xfId="0" applyFill="1" applyBorder="1" applyAlignment="1">
      <alignment wrapText="1"/>
    </xf>
    <xf numFmtId="0" fontId="2" fillId="0" borderId="2" xfId="0" applyFont="1" applyBorder="1" applyAlignment="1">
      <alignment wrapText="1"/>
    </xf>
    <xf numFmtId="0" fontId="2" fillId="6" borderId="5" xfId="0" applyFont="1" applyFill="1" applyBorder="1" applyAlignment="1">
      <alignment horizontal="center" wrapText="1"/>
    </xf>
    <xf numFmtId="0" fontId="2" fillId="7" borderId="5" xfId="0" applyFont="1" applyFill="1" applyBorder="1" applyAlignment="1">
      <alignment horizontal="center" wrapText="1"/>
    </xf>
    <xf numFmtId="0" fontId="2" fillId="8" borderId="5" xfId="0" applyFont="1" applyFill="1" applyBorder="1" applyAlignment="1">
      <alignment horizontal="center" wrapText="1"/>
    </xf>
    <xf numFmtId="0" fontId="2" fillId="9" borderId="5" xfId="0" applyFont="1" applyFill="1" applyBorder="1" applyAlignment="1">
      <alignment horizontal="center" wrapText="1"/>
    </xf>
    <xf numFmtId="0" fontId="2" fillId="10" borderId="5" xfId="0" applyFont="1" applyFill="1" applyBorder="1" applyAlignment="1">
      <alignment horizontal="center" wrapText="1"/>
    </xf>
    <xf numFmtId="0" fontId="0" fillId="0" borderId="5" xfId="0" applyBorder="1" applyAlignment="1">
      <alignment horizontal="center" vertical="center" wrapText="1"/>
    </xf>
    <xf numFmtId="0" fontId="0" fillId="0" borderId="5" xfId="0" applyBorder="1" applyAlignment="1">
      <alignment vertical="center" wrapText="1"/>
    </xf>
    <xf numFmtId="0" fontId="0" fillId="9" borderId="5" xfId="0" applyFill="1" applyBorder="1" applyAlignment="1">
      <alignment vertical="center" wrapText="1"/>
    </xf>
    <xf numFmtId="0" fontId="0" fillId="10" borderId="5" xfId="0" applyFill="1" applyBorder="1" applyAlignment="1">
      <alignment vertical="center" wrapText="1"/>
    </xf>
    <xf numFmtId="0" fontId="11" fillId="0" borderId="5" xfId="0" applyFont="1" applyBorder="1" applyAlignment="1">
      <alignment vertical="center" wrapText="1"/>
    </xf>
    <xf numFmtId="0" fontId="2" fillId="11" borderId="5" xfId="0" applyFont="1" applyFill="1" applyBorder="1" applyAlignment="1">
      <alignment vertical="center" wrapText="1"/>
    </xf>
    <xf numFmtId="0" fontId="0" fillId="7" borderId="5" xfId="0" applyFill="1" applyBorder="1" applyAlignment="1">
      <alignment vertical="center" wrapText="1"/>
    </xf>
    <xf numFmtId="0" fontId="0" fillId="8" borderId="5" xfId="0" applyFill="1" applyBorder="1" applyAlignment="1">
      <alignment vertical="center" wrapText="1"/>
    </xf>
    <xf numFmtId="167" fontId="0" fillId="7" borderId="5" xfId="0" applyNumberFormat="1" applyFill="1" applyBorder="1" applyAlignment="1">
      <alignment vertical="center" wrapText="1"/>
    </xf>
    <xf numFmtId="167" fontId="0" fillId="8" borderId="5" xfId="0" applyNumberFormat="1" applyFill="1" applyBorder="1" applyAlignment="1">
      <alignment vertical="center" wrapText="1"/>
    </xf>
    <xf numFmtId="167" fontId="0" fillId="6" borderId="5" xfId="0" applyNumberFormat="1" applyFill="1" applyBorder="1" applyAlignment="1">
      <alignment vertical="center" wrapText="1"/>
    </xf>
    <xf numFmtId="0" fontId="12" fillId="0" borderId="0" xfId="0" applyFont="1"/>
    <xf numFmtId="1" fontId="0" fillId="7" borderId="5" xfId="2" applyNumberFormat="1" applyFont="1" applyFill="1" applyBorder="1" applyAlignment="1">
      <alignment vertical="center" wrapText="1"/>
    </xf>
    <xf numFmtId="1" fontId="0" fillId="8" borderId="5" xfId="2" applyNumberFormat="1" applyFont="1" applyFill="1" applyBorder="1" applyAlignment="1">
      <alignment vertical="center" wrapText="1"/>
    </xf>
    <xf numFmtId="0" fontId="0" fillId="6" borderId="5" xfId="0" applyFill="1" applyBorder="1" applyAlignment="1">
      <alignment vertical="center" wrapText="1"/>
    </xf>
    <xf numFmtId="9" fontId="0" fillId="12" borderId="5" xfId="2" applyFont="1" applyFill="1" applyBorder="1" applyAlignment="1">
      <alignment vertical="center" wrapText="1"/>
    </xf>
    <xf numFmtId="164" fontId="0" fillId="7" borderId="5" xfId="2" applyNumberFormat="1" applyFont="1" applyFill="1" applyBorder="1" applyAlignment="1">
      <alignment vertical="center" wrapText="1"/>
    </xf>
    <xf numFmtId="164" fontId="0" fillId="8" borderId="5" xfId="2" applyNumberFormat="1" applyFont="1" applyFill="1" applyBorder="1" applyAlignment="1">
      <alignment vertical="center" wrapText="1"/>
    </xf>
    <xf numFmtId="167" fontId="0" fillId="7" borderId="5" xfId="2" applyNumberFormat="1" applyFont="1" applyFill="1" applyBorder="1" applyAlignment="1">
      <alignment vertical="center" wrapText="1"/>
    </xf>
    <xf numFmtId="167" fontId="0" fillId="8" borderId="5" xfId="2" applyNumberFormat="1" applyFont="1" applyFill="1" applyBorder="1" applyAlignment="1">
      <alignment vertical="center" wrapText="1"/>
    </xf>
    <xf numFmtId="165" fontId="0" fillId="0" borderId="0" xfId="0" applyNumberFormat="1" applyAlignment="1"/>
    <xf numFmtId="10" fontId="0" fillId="0" borderId="0" xfId="2" applyNumberFormat="1" applyFont="1" applyAlignment="1"/>
    <xf numFmtId="3" fontId="0" fillId="0" borderId="4" xfId="0" applyNumberFormat="1" applyBorder="1" applyAlignment="1"/>
    <xf numFmtId="3" fontId="0" fillId="0" borderId="4" xfId="0" applyNumberFormat="1" applyFont="1" applyBorder="1" applyAlignment="1"/>
    <xf numFmtId="165" fontId="0" fillId="0" borderId="2" xfId="1" applyNumberFormat="1" applyFont="1" applyBorder="1" applyAlignment="1"/>
    <xf numFmtId="0" fontId="0" fillId="0" borderId="4" xfId="0" applyBorder="1" applyAlignment="1"/>
    <xf numFmtId="0" fontId="0" fillId="0" borderId="4" xfId="0" applyFont="1" applyBorder="1" applyAlignment="1"/>
    <xf numFmtId="0" fontId="0" fillId="0" borderId="2" xfId="0" applyFont="1" applyBorder="1" applyAlignment="1"/>
    <xf numFmtId="0" fontId="0" fillId="0" borderId="2" xfId="0" applyBorder="1" applyAlignment="1"/>
    <xf numFmtId="0" fontId="14" fillId="0" borderId="0" xfId="0" applyFont="1" applyAlignment="1">
      <alignment vertical="center" wrapText="1"/>
    </xf>
    <xf numFmtId="0" fontId="17" fillId="0" borderId="0" xfId="0" applyFont="1" applyAlignment="1">
      <alignment horizontal="left" vertical="center" wrapText="1" indent="10"/>
    </xf>
    <xf numFmtId="0" fontId="13" fillId="0" borderId="0" xfId="0" applyFont="1" applyAlignment="1">
      <alignment horizontal="left" vertical="center" wrapText="1" indent="10"/>
    </xf>
    <xf numFmtId="0" fontId="18" fillId="0" borderId="0" xfId="0" applyFont="1"/>
    <xf numFmtId="168" fontId="0" fillId="0" borderId="0" xfId="2" applyNumberFormat="1" applyFont="1" applyAlignment="1"/>
    <xf numFmtId="0" fontId="9" fillId="0" borderId="3" xfId="5"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10" fillId="5" borderId="1" xfId="0" applyFont="1" applyFill="1" applyBorder="1" applyAlignment="1">
      <alignment horizontal="center" wrapText="1"/>
    </xf>
  </cellXfs>
  <cellStyles count="6">
    <cellStyle name="Comma" xfId="1" builtinId="3"/>
    <cellStyle name="Comma 3" xfId="4" xr:uid="{A19E7892-18EC-4FDC-9A46-3F02F8814B5D}"/>
    <cellStyle name="Hyperlink" xfId="5" builtinId="8"/>
    <cellStyle name="Normal" xfId="0" builtinId="0"/>
    <cellStyle name="Normal 2 2" xfId="3" xr:uid="{78A0454F-4D5A-4DFF-8B7F-AF6C03E6986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0</xdr:row>
      <xdr:rowOff>0</xdr:rowOff>
    </xdr:from>
    <xdr:to>
      <xdr:col>12</xdr:col>
      <xdr:colOff>570730</xdr:colOff>
      <xdr:row>10</xdr:row>
      <xdr:rowOff>18315</xdr:rowOff>
    </xdr:to>
    <xdr:pic>
      <xdr:nvPicPr>
        <xdr:cNvPr id="3" name="Picture 2">
          <a:extLst>
            <a:ext uri="{FF2B5EF4-FFF2-40B4-BE49-F238E27FC236}">
              <a16:creationId xmlns:a16="http://schemas.microsoft.com/office/drawing/2014/main" id="{DC0CFFF2-0809-4266-BC35-F09A717BC29C}"/>
            </a:ext>
          </a:extLst>
        </xdr:cNvPr>
        <xdr:cNvPicPr>
          <a:picLocks noChangeAspect="1"/>
        </xdr:cNvPicPr>
      </xdr:nvPicPr>
      <xdr:blipFill>
        <a:blip xmlns:r="http://schemas.openxmlformats.org/officeDocument/2006/relationships" r:embed="rId1"/>
        <a:stretch>
          <a:fillRect/>
        </a:stretch>
      </xdr:blipFill>
      <xdr:spPr>
        <a:xfrm>
          <a:off x="9363075" y="0"/>
          <a:ext cx="6161905" cy="587619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s://www.ipcc-nggip.iges.or.jp/public/gp/bgp/4_1_CH4_Enteric_Fermentation.pdf" TargetMode="External"/><Relationship Id="rId1" Type="http://schemas.openxmlformats.org/officeDocument/2006/relationships/hyperlink" Target="https://www.ipcc-nggip.iges.or.jp/public/gp/bgp/4_1_CH4_Enteric_Fermentation.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919439-6461-4204-87CF-79E025A504E0}">
  <dimension ref="A1:H45"/>
  <sheetViews>
    <sheetView topLeftCell="A41" zoomScale="145" zoomScaleNormal="145" workbookViewId="0">
      <selection activeCell="B55" sqref="B55"/>
    </sheetView>
  </sheetViews>
  <sheetFormatPr defaultRowHeight="15" x14ac:dyDescent="0.25"/>
  <cols>
    <col min="1" max="1" width="24.5703125" customWidth="1"/>
    <col min="2" max="2" width="30.42578125" customWidth="1"/>
    <col min="3" max="3" width="13.140625" customWidth="1"/>
    <col min="4" max="4" width="34" customWidth="1"/>
    <col min="5" max="5" width="33.7109375" customWidth="1"/>
    <col min="7" max="7" width="30.5703125" customWidth="1"/>
    <col min="8" max="8" width="16.7109375" customWidth="1"/>
  </cols>
  <sheetData>
    <row r="1" spans="1:5" x14ac:dyDescent="0.25">
      <c r="A1" s="3"/>
      <c r="B1" s="3"/>
      <c r="C1" s="3"/>
      <c r="D1" s="3"/>
    </row>
    <row r="2" spans="1:5" x14ac:dyDescent="0.25">
      <c r="A2" s="5" t="s">
        <v>3</v>
      </c>
      <c r="B2" s="5" t="s">
        <v>4</v>
      </c>
      <c r="C2" s="5" t="s">
        <v>5</v>
      </c>
      <c r="D2" s="5" t="s">
        <v>6</v>
      </c>
    </row>
    <row r="3" spans="1:5" ht="39" x14ac:dyDescent="0.25">
      <c r="A3" s="6" t="s">
        <v>19</v>
      </c>
      <c r="B3" s="6" t="s">
        <v>20</v>
      </c>
      <c r="C3" s="6" t="s">
        <v>27</v>
      </c>
      <c r="D3" s="6" t="s">
        <v>21</v>
      </c>
    </row>
    <row r="4" spans="1:5" ht="165" x14ac:dyDescent="0.3">
      <c r="A4" s="3" t="s">
        <v>9</v>
      </c>
      <c r="B4" s="3" t="s">
        <v>10</v>
      </c>
      <c r="C4" s="3">
        <v>0.28999999999999998</v>
      </c>
      <c r="D4" s="4" t="s">
        <v>18</v>
      </c>
    </row>
    <row r="5" spans="1:5" ht="77.25" x14ac:dyDescent="0.25">
      <c r="A5" s="3" t="s">
        <v>11</v>
      </c>
      <c r="B5" s="3" t="s">
        <v>7</v>
      </c>
      <c r="C5" s="3">
        <f>0.7*0.725</f>
        <v>0.50749999999999995</v>
      </c>
      <c r="D5" s="1" t="s">
        <v>100</v>
      </c>
      <c r="E5" s="3" t="s">
        <v>8</v>
      </c>
    </row>
    <row r="6" spans="1:5" ht="90" x14ac:dyDescent="0.3">
      <c r="A6" s="3" t="s">
        <v>12</v>
      </c>
      <c r="B6" s="3" t="s">
        <v>14</v>
      </c>
      <c r="C6" s="3">
        <v>0.5</v>
      </c>
      <c r="D6" s="4" t="s">
        <v>13</v>
      </c>
    </row>
    <row r="7" spans="1:5" x14ac:dyDescent="0.25">
      <c r="A7" s="3" t="s">
        <v>16</v>
      </c>
      <c r="B7" s="3" t="s">
        <v>15</v>
      </c>
      <c r="C7" s="3">
        <v>3.6669999999999998</v>
      </c>
      <c r="D7" s="3" t="s">
        <v>17</v>
      </c>
    </row>
    <row r="24" spans="1:8" ht="23.25" x14ac:dyDescent="0.35">
      <c r="A24" s="77" t="s">
        <v>60</v>
      </c>
      <c r="B24" s="77"/>
      <c r="C24" s="77"/>
      <c r="D24" s="77"/>
      <c r="E24" s="77"/>
      <c r="F24" s="77"/>
      <c r="G24" s="77"/>
      <c r="H24" s="77"/>
    </row>
    <row r="25" spans="1:8" ht="60" x14ac:dyDescent="0.25">
      <c r="A25" s="35" t="s">
        <v>61</v>
      </c>
      <c r="B25" s="35" t="s">
        <v>62</v>
      </c>
      <c r="C25" s="36" t="s">
        <v>63</v>
      </c>
      <c r="D25" s="37" t="s">
        <v>64</v>
      </c>
      <c r="E25" s="38" t="s">
        <v>65</v>
      </c>
      <c r="F25" s="39" t="s">
        <v>66</v>
      </c>
      <c r="G25" s="35" t="s">
        <v>67</v>
      </c>
      <c r="H25" s="35" t="s">
        <v>68</v>
      </c>
    </row>
    <row r="26" spans="1:8" x14ac:dyDescent="0.25">
      <c r="A26" s="41"/>
      <c r="B26" s="40"/>
      <c r="C26" s="41"/>
      <c r="D26" s="41"/>
      <c r="E26" s="42"/>
      <c r="F26" s="43"/>
      <c r="G26" s="44"/>
      <c r="H26" s="41"/>
    </row>
    <row r="27" spans="1:8" x14ac:dyDescent="0.25">
      <c r="A27" s="45" t="s">
        <v>70</v>
      </c>
      <c r="B27" s="40"/>
      <c r="C27" s="46"/>
      <c r="D27" s="47"/>
      <c r="E27" s="42"/>
      <c r="F27" s="43"/>
      <c r="G27" s="41"/>
      <c r="H27" s="41"/>
    </row>
    <row r="28" spans="1:8" ht="75" x14ac:dyDescent="0.3">
      <c r="A28" s="41" t="s">
        <v>71</v>
      </c>
      <c r="B28" s="40"/>
      <c r="C28" s="48">
        <v>0.28999999999999998</v>
      </c>
      <c r="D28" s="49">
        <v>0.28999999999999998</v>
      </c>
      <c r="E28" s="50">
        <v>0.28999999999999998</v>
      </c>
      <c r="F28" s="50">
        <v>0.28999999999999998</v>
      </c>
      <c r="G28" s="51" t="s">
        <v>72</v>
      </c>
      <c r="H28" s="41" t="s">
        <v>73</v>
      </c>
    </row>
    <row r="29" spans="1:8" ht="90" x14ac:dyDescent="0.25">
      <c r="A29" s="41" t="s">
        <v>74</v>
      </c>
      <c r="B29" s="40"/>
      <c r="C29" s="48">
        <v>1.29</v>
      </c>
      <c r="D29" s="49">
        <v>1.29</v>
      </c>
      <c r="E29" s="50">
        <v>1.29</v>
      </c>
      <c r="F29" s="50">
        <v>1.29</v>
      </c>
      <c r="G29" s="41"/>
      <c r="H29" s="41" t="s">
        <v>75</v>
      </c>
    </row>
    <row r="30" spans="1:8" ht="45" x14ac:dyDescent="0.25">
      <c r="A30" s="41" t="s">
        <v>76</v>
      </c>
      <c r="B30" s="40"/>
      <c r="C30" s="48">
        <v>0.7</v>
      </c>
      <c r="D30" s="49">
        <v>0.7</v>
      </c>
      <c r="E30" s="50">
        <v>0.7</v>
      </c>
      <c r="F30" s="50">
        <v>0.7</v>
      </c>
      <c r="G30" s="41"/>
      <c r="H30" s="41" t="s">
        <v>77</v>
      </c>
    </row>
    <row r="31" spans="1:8" ht="60" x14ac:dyDescent="0.25">
      <c r="A31" s="41" t="s">
        <v>78</v>
      </c>
      <c r="B31" s="40"/>
      <c r="C31" s="48">
        <v>0.72499999999999998</v>
      </c>
      <c r="D31" s="49">
        <v>0.72499999999999998</v>
      </c>
      <c r="E31" s="50">
        <v>0.72499999999999998</v>
      </c>
      <c r="F31" s="50">
        <v>0.72499999999999998</v>
      </c>
      <c r="G31" s="41"/>
      <c r="H31" s="41" t="s">
        <v>79</v>
      </c>
    </row>
    <row r="32" spans="1:8" ht="45" x14ac:dyDescent="0.25">
      <c r="A32" s="41" t="s">
        <v>80</v>
      </c>
      <c r="B32" s="40"/>
      <c r="C32" s="48">
        <v>0.5</v>
      </c>
      <c r="D32" s="49">
        <v>0.5</v>
      </c>
      <c r="E32" s="50">
        <v>0.5</v>
      </c>
      <c r="F32" s="50">
        <v>0.5</v>
      </c>
      <c r="G32" s="41"/>
      <c r="H32" s="41" t="s">
        <v>81</v>
      </c>
    </row>
    <row r="33" spans="1:8" ht="150" x14ac:dyDescent="0.25">
      <c r="A33" s="41" t="s">
        <v>82</v>
      </c>
      <c r="B33" s="40"/>
      <c r="C33" s="48">
        <v>3.67</v>
      </c>
      <c r="D33" s="49">
        <v>3.67</v>
      </c>
      <c r="E33" s="50">
        <v>3.67</v>
      </c>
      <c r="F33" s="50">
        <v>3.67</v>
      </c>
      <c r="G33" s="41"/>
      <c r="H33" s="41" t="s">
        <v>83</v>
      </c>
    </row>
    <row r="34" spans="1:8" ht="90" x14ac:dyDescent="0.25">
      <c r="A34" s="41" t="s">
        <v>84</v>
      </c>
      <c r="B34" s="40"/>
      <c r="C34" s="48">
        <v>1.2013286249999997</v>
      </c>
      <c r="D34" s="49">
        <v>1.2013286249999997</v>
      </c>
      <c r="E34" s="50">
        <v>1.2013286249999997</v>
      </c>
      <c r="F34" s="50">
        <v>1.2013286249999997</v>
      </c>
      <c r="G34" s="41"/>
      <c r="H34" s="41" t="s">
        <v>85</v>
      </c>
    </row>
    <row r="35" spans="1:8" x14ac:dyDescent="0.25">
      <c r="A35" s="41" t="s">
        <v>86</v>
      </c>
      <c r="B35" s="40" t="s">
        <v>87</v>
      </c>
      <c r="C35" s="52">
        <v>700</v>
      </c>
      <c r="D35" s="53">
        <v>700</v>
      </c>
      <c r="E35" s="54">
        <v>700</v>
      </c>
      <c r="F35" s="54">
        <v>700</v>
      </c>
      <c r="G35" s="41"/>
      <c r="H35" s="41"/>
    </row>
    <row r="36" spans="1:8" ht="30" x14ac:dyDescent="0.25">
      <c r="A36" s="41" t="s">
        <v>88</v>
      </c>
      <c r="B36" s="40" t="s">
        <v>89</v>
      </c>
      <c r="C36" s="52">
        <v>36</v>
      </c>
      <c r="D36" s="53">
        <v>36</v>
      </c>
      <c r="E36" s="54">
        <v>36</v>
      </c>
      <c r="F36" s="54">
        <v>36</v>
      </c>
      <c r="G36" s="74" t="s">
        <v>90</v>
      </c>
      <c r="H36" s="76" t="s">
        <v>91</v>
      </c>
    </row>
    <row r="37" spans="1:8" ht="30" x14ac:dyDescent="0.25">
      <c r="A37" s="41" t="s">
        <v>92</v>
      </c>
      <c r="B37" s="40" t="s">
        <v>89</v>
      </c>
      <c r="C37" s="52">
        <v>32</v>
      </c>
      <c r="D37" s="53">
        <v>32</v>
      </c>
      <c r="E37" s="54">
        <v>32</v>
      </c>
      <c r="F37" s="54">
        <v>32</v>
      </c>
      <c r="G37" s="75"/>
      <c r="H37" s="75"/>
    </row>
    <row r="38" spans="1:8" ht="30" x14ac:dyDescent="0.25">
      <c r="A38" s="41" t="s">
        <v>93</v>
      </c>
      <c r="B38" s="40" t="s">
        <v>94</v>
      </c>
      <c r="C38" s="52">
        <v>21</v>
      </c>
      <c r="D38" s="53">
        <v>21</v>
      </c>
      <c r="E38" s="54">
        <v>21</v>
      </c>
      <c r="F38" s="54">
        <v>21</v>
      </c>
      <c r="G38" s="41"/>
      <c r="H38" s="41"/>
    </row>
    <row r="39" spans="1:8" ht="45" x14ac:dyDescent="0.25">
      <c r="A39" s="41" t="s">
        <v>95</v>
      </c>
      <c r="B39" s="40" t="s">
        <v>69</v>
      </c>
      <c r="C39" s="41"/>
      <c r="D39" s="55">
        <v>0.81740866972470339</v>
      </c>
      <c r="E39" s="41"/>
      <c r="F39" s="55">
        <v>0.81740866972470339</v>
      </c>
      <c r="G39" s="76" t="s">
        <v>96</v>
      </c>
      <c r="H39" s="76" t="s">
        <v>97</v>
      </c>
    </row>
    <row r="40" spans="1:8" ht="45" x14ac:dyDescent="0.25">
      <c r="A40" s="41" t="s">
        <v>98</v>
      </c>
      <c r="B40" s="40" t="s">
        <v>69</v>
      </c>
      <c r="C40" s="41"/>
      <c r="D40" s="55">
        <v>0.90495468058342843</v>
      </c>
      <c r="E40" s="41"/>
      <c r="F40" s="55">
        <v>0.65206265295627164</v>
      </c>
      <c r="G40" s="75"/>
      <c r="H40" s="75"/>
    </row>
    <row r="41" spans="1:8" ht="90" x14ac:dyDescent="0.25">
      <c r="A41" s="41" t="s">
        <v>14</v>
      </c>
      <c r="B41" s="40" t="s">
        <v>99</v>
      </c>
      <c r="C41" s="56">
        <v>0.5</v>
      </c>
      <c r="D41" s="57">
        <v>0.5</v>
      </c>
      <c r="E41" s="54">
        <v>0.5</v>
      </c>
      <c r="F41" s="54">
        <v>0.5</v>
      </c>
      <c r="G41" s="41" t="s">
        <v>13</v>
      </c>
      <c r="H41" s="41"/>
    </row>
    <row r="42" spans="1:8" ht="45" x14ac:dyDescent="0.25">
      <c r="A42" s="41" t="s">
        <v>15</v>
      </c>
      <c r="B42" s="40" t="s">
        <v>99</v>
      </c>
      <c r="C42" s="58">
        <v>3.6669999999999998</v>
      </c>
      <c r="D42" s="59">
        <v>3.6669999999999998</v>
      </c>
      <c r="E42" s="54">
        <v>3.6669999999999998</v>
      </c>
      <c r="F42" s="54">
        <v>3.6669999999999998</v>
      </c>
      <c r="G42" s="41" t="s">
        <v>17</v>
      </c>
      <c r="H42" s="41"/>
    </row>
    <row r="43" spans="1:8" ht="30" x14ac:dyDescent="0.25">
      <c r="A43" s="41" t="s">
        <v>88</v>
      </c>
      <c r="B43" s="40" t="s">
        <v>89</v>
      </c>
      <c r="C43" s="52">
        <v>36</v>
      </c>
      <c r="D43" s="53">
        <v>36</v>
      </c>
      <c r="E43" s="54">
        <f t="shared" ref="E43:F45" si="0">C43</f>
        <v>36</v>
      </c>
      <c r="F43" s="54">
        <f t="shared" si="0"/>
        <v>36</v>
      </c>
      <c r="G43" s="74" t="s">
        <v>90</v>
      </c>
      <c r="H43" s="76" t="s">
        <v>91</v>
      </c>
    </row>
    <row r="44" spans="1:8" ht="30" x14ac:dyDescent="0.25">
      <c r="A44" s="41" t="s">
        <v>92</v>
      </c>
      <c r="B44" s="40" t="s">
        <v>89</v>
      </c>
      <c r="C44" s="52">
        <v>32</v>
      </c>
      <c r="D44" s="53">
        <v>32</v>
      </c>
      <c r="E44" s="54">
        <f t="shared" si="0"/>
        <v>32</v>
      </c>
      <c r="F44" s="54">
        <f t="shared" si="0"/>
        <v>32</v>
      </c>
      <c r="G44" s="75"/>
      <c r="H44" s="75"/>
    </row>
    <row r="45" spans="1:8" ht="30" x14ac:dyDescent="0.25">
      <c r="A45" s="41" t="s">
        <v>93</v>
      </c>
      <c r="B45" s="40" t="s">
        <v>94</v>
      </c>
      <c r="C45" s="52">
        <v>21</v>
      </c>
      <c r="D45" s="53">
        <v>21</v>
      </c>
      <c r="E45" s="54">
        <f t="shared" si="0"/>
        <v>21</v>
      </c>
      <c r="F45" s="54">
        <f t="shared" si="0"/>
        <v>21</v>
      </c>
      <c r="G45" s="41"/>
      <c r="H45" s="41"/>
    </row>
  </sheetData>
  <mergeCells count="7">
    <mergeCell ref="G43:G44"/>
    <mergeCell ref="H43:H44"/>
    <mergeCell ref="A24:H24"/>
    <mergeCell ref="G36:G37"/>
    <mergeCell ref="H36:H37"/>
    <mergeCell ref="G39:G40"/>
    <mergeCell ref="H39:H40"/>
  </mergeCells>
  <hyperlinks>
    <hyperlink ref="G36" r:id="rId1" xr:uid="{FCF4A5BF-FA09-4236-AAE8-7E25953E9BAB}"/>
    <hyperlink ref="G43" r:id="rId2" xr:uid="{ED6EC0ED-381E-4E0E-A4BE-08AE4B3D1F55}"/>
  </hyperlinks>
  <pageMargins left="0.7" right="0.7" top="0.75" bottom="0.75" header="0.3" footer="0.3"/>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961940-E22D-402D-898E-6A33AAAAEA47}">
  <dimension ref="A2:U99"/>
  <sheetViews>
    <sheetView tabSelected="1" topLeftCell="A47" zoomScale="115" zoomScaleNormal="115" workbookViewId="0">
      <selection activeCell="B62" sqref="B62:C67"/>
    </sheetView>
  </sheetViews>
  <sheetFormatPr defaultRowHeight="15" x14ac:dyDescent="0.25"/>
  <cols>
    <col min="1" max="1" width="54.28515625" style="2" customWidth="1"/>
    <col min="2" max="2" width="14.7109375" style="2" customWidth="1"/>
    <col min="3" max="3" width="14.28515625" style="2" customWidth="1"/>
    <col min="4" max="4" width="16.5703125" style="2" customWidth="1"/>
    <col min="5" max="5" width="12.5703125" style="2" customWidth="1"/>
    <col min="6" max="6" width="13.5703125" style="2" customWidth="1"/>
    <col min="7" max="8" width="11.7109375" style="2" bestFit="1" customWidth="1"/>
    <col min="9" max="18" width="13.28515625" style="2" bestFit="1" customWidth="1"/>
    <col min="19" max="21" width="14.28515625" style="2" bestFit="1" customWidth="1"/>
    <col min="22" max="16384" width="9.140625" style="2"/>
  </cols>
  <sheetData>
    <row r="2" spans="1:21" x14ac:dyDescent="0.25">
      <c r="A2" s="2" t="s">
        <v>22</v>
      </c>
    </row>
    <row r="3" spans="1:21" x14ac:dyDescent="0.25">
      <c r="A3" s="2" t="s">
        <v>23</v>
      </c>
    </row>
    <row r="4" spans="1:21" ht="46.5" customHeight="1" x14ac:dyDescent="0.25">
      <c r="A4" s="9" t="s">
        <v>24</v>
      </c>
    </row>
    <row r="5" spans="1:21" x14ac:dyDescent="0.25">
      <c r="A5" s="8">
        <f>(1*'Values and parameters'!C5*(1+'Values and parameters'!C4)*'Values and parameters'!C6*'Values and parameters'!C7)</f>
        <v>1.2003466125</v>
      </c>
    </row>
    <row r="8" spans="1:21" ht="31.5" customHeight="1" x14ac:dyDescent="0.25">
      <c r="A8" s="7" t="s">
        <v>101</v>
      </c>
      <c r="B8" s="10" t="s">
        <v>28</v>
      </c>
      <c r="C8" s="10" t="s">
        <v>29</v>
      </c>
      <c r="D8" s="10" t="s">
        <v>30</v>
      </c>
      <c r="E8" s="10" t="s">
        <v>31</v>
      </c>
      <c r="F8" s="10" t="s">
        <v>32</v>
      </c>
      <c r="G8" s="10" t="s">
        <v>33</v>
      </c>
      <c r="H8" s="10" t="s">
        <v>34</v>
      </c>
      <c r="I8" s="10" t="s">
        <v>35</v>
      </c>
      <c r="J8" s="10" t="s">
        <v>36</v>
      </c>
      <c r="K8" s="10" t="s">
        <v>37</v>
      </c>
      <c r="L8" s="10" t="s">
        <v>38</v>
      </c>
      <c r="M8" s="10" t="s">
        <v>39</v>
      </c>
      <c r="N8" s="10" t="s">
        <v>40</v>
      </c>
      <c r="O8" s="10" t="s">
        <v>41</v>
      </c>
      <c r="P8" s="10" t="s">
        <v>42</v>
      </c>
      <c r="Q8" s="10" t="s">
        <v>43</v>
      </c>
      <c r="R8" s="10" t="s">
        <v>44</v>
      </c>
      <c r="S8" s="10" t="s">
        <v>45</v>
      </c>
      <c r="T8" s="10" t="s">
        <v>46</v>
      </c>
      <c r="U8" s="10" t="s">
        <v>47</v>
      </c>
    </row>
    <row r="9" spans="1:21" x14ac:dyDescent="0.25">
      <c r="A9" s="2" t="s">
        <v>0</v>
      </c>
      <c r="B9" s="12">
        <v>0</v>
      </c>
      <c r="C9" s="12">
        <v>-12165.691497130727</v>
      </c>
      <c r="D9" s="12">
        <v>-11151.883872369857</v>
      </c>
      <c r="E9" s="12">
        <v>-10138.076247608929</v>
      </c>
      <c r="F9" s="12">
        <v>-8363.9129042773857</v>
      </c>
      <c r="G9" s="12">
        <v>-7603.5571857067116</v>
      </c>
      <c r="H9" s="12">
        <v>-7096.6533733262622</v>
      </c>
      <c r="I9" s="12">
        <v>-6589.7495609458128</v>
      </c>
      <c r="J9" s="12">
        <v>-6082.8457485653926</v>
      </c>
      <c r="K9" s="12">
        <v>-5575.9419361849141</v>
      </c>
      <c r="L9" s="12">
        <v>-5069.0381238044647</v>
      </c>
      <c r="M9" s="12">
        <v>-3294.8747804728919</v>
      </c>
      <c r="N9" s="12">
        <v>-3041.4228742826672</v>
      </c>
      <c r="O9" s="12">
        <v>-2787.9709680924716</v>
      </c>
      <c r="P9" s="12">
        <v>-2534.5190619022469</v>
      </c>
      <c r="Q9" s="12">
        <v>-2281.0671557120222</v>
      </c>
      <c r="R9" s="12">
        <v>-2027.6152495217684</v>
      </c>
      <c r="S9" s="12">
        <v>-1774.1633433315728</v>
      </c>
      <c r="T9" s="12">
        <v>-1520.711437141319</v>
      </c>
      <c r="U9" s="12">
        <v>-1267.2595309511235</v>
      </c>
    </row>
    <row r="10" spans="1:21" x14ac:dyDescent="0.25">
      <c r="A10" s="2" t="s">
        <v>1</v>
      </c>
      <c r="B10" s="12">
        <v>0</v>
      </c>
      <c r="C10" s="12">
        <v>-32554.374999999945</v>
      </c>
      <c r="D10" s="12">
        <v>-32017.124999999971</v>
      </c>
      <c r="E10" s="12">
        <v>-31479.875</v>
      </c>
      <c r="F10" s="12">
        <v>-30942.625000000015</v>
      </c>
      <c r="G10" s="12">
        <v>-30405.374999999931</v>
      </c>
      <c r="H10" s="12">
        <v>-29868.125000000058</v>
      </c>
      <c r="I10" s="12">
        <v>-29330.875000000029</v>
      </c>
      <c r="J10" s="12">
        <v>-28793.625</v>
      </c>
      <c r="K10" s="12">
        <v>-28256.375000000015</v>
      </c>
      <c r="L10" s="12">
        <v>-27719.124999999982</v>
      </c>
      <c r="M10" s="12">
        <v>-27181.875000000018</v>
      </c>
      <c r="N10" s="12">
        <v>-26644.625000000029</v>
      </c>
      <c r="O10" s="12">
        <v>-26107.375</v>
      </c>
      <c r="P10" s="12">
        <v>-25570.125000000015</v>
      </c>
      <c r="Q10" s="12">
        <v>-25032.874999999989</v>
      </c>
      <c r="R10" s="12">
        <v>-24495.625000000007</v>
      </c>
      <c r="S10" s="12">
        <v>-23958.375000000036</v>
      </c>
      <c r="T10" s="12">
        <v>-23421.124999999964</v>
      </c>
      <c r="U10" s="12">
        <v>-22883.875000000029</v>
      </c>
    </row>
    <row r="11" spans="1:21" x14ac:dyDescent="0.25">
      <c r="A11" s="2" t="s">
        <v>2</v>
      </c>
      <c r="B11" s="12">
        <v>0</v>
      </c>
      <c r="C11" s="12">
        <v>-2400.0000000000036</v>
      </c>
      <c r="D11" s="12">
        <v>-2200</v>
      </c>
      <c r="E11" s="12">
        <v>-2000</v>
      </c>
      <c r="F11" s="12">
        <v>-1650</v>
      </c>
      <c r="G11" s="12">
        <v>-1500.0000000000018</v>
      </c>
      <c r="H11" s="12">
        <v>-1399.9999999999982</v>
      </c>
      <c r="I11" s="12">
        <v>-1300</v>
      </c>
      <c r="J11" s="12">
        <v>-1199.9999999999982</v>
      </c>
      <c r="K11" s="12">
        <v>-1099.9999999999982</v>
      </c>
      <c r="L11" s="12">
        <v>-1000</v>
      </c>
      <c r="M11" s="12">
        <v>-650.00000000000182</v>
      </c>
      <c r="N11" s="12">
        <v>-600</v>
      </c>
      <c r="O11" s="12">
        <v>-550</v>
      </c>
      <c r="P11" s="12">
        <v>-500.00000000000091</v>
      </c>
      <c r="Q11" s="12">
        <v>-450</v>
      </c>
      <c r="R11" s="12">
        <v>-400.00000000000091</v>
      </c>
      <c r="S11" s="12">
        <v>-350</v>
      </c>
      <c r="T11" s="12">
        <v>-300</v>
      </c>
      <c r="U11" s="12">
        <v>-250.00000000000091</v>
      </c>
    </row>
    <row r="12" spans="1:21" x14ac:dyDescent="0.25">
      <c r="A12" s="11" t="s">
        <v>25</v>
      </c>
      <c r="B12" s="13">
        <v>0</v>
      </c>
      <c r="C12" s="13">
        <v>-512</v>
      </c>
      <c r="D12" s="13">
        <v>-511.99999999999909</v>
      </c>
      <c r="E12" s="13">
        <v>-512</v>
      </c>
      <c r="F12" s="13">
        <v>-512.00000000000091</v>
      </c>
      <c r="G12" s="13">
        <v>-512.00000000000182</v>
      </c>
      <c r="H12" s="13">
        <v>-512</v>
      </c>
      <c r="I12" s="13">
        <v>-512</v>
      </c>
      <c r="J12" s="13">
        <v>-512.00000000000091</v>
      </c>
      <c r="K12" s="13">
        <v>-512</v>
      </c>
      <c r="L12" s="13">
        <v>-512</v>
      </c>
      <c r="M12" s="13">
        <v>-512.00000000000045</v>
      </c>
      <c r="N12" s="13">
        <v>-512.00000000000045</v>
      </c>
      <c r="O12" s="13">
        <v>-512</v>
      </c>
      <c r="P12" s="13">
        <v>-512.00000000000091</v>
      </c>
      <c r="Q12" s="13">
        <v>-512</v>
      </c>
      <c r="R12" s="13">
        <v>-512.00000000000091</v>
      </c>
      <c r="S12" s="13">
        <v>-511.99999999999955</v>
      </c>
      <c r="T12" s="13">
        <v>-512</v>
      </c>
      <c r="U12" s="13">
        <v>-512</v>
      </c>
    </row>
    <row r="13" spans="1:21" x14ac:dyDescent="0.25">
      <c r="A13" s="2" t="s">
        <v>26</v>
      </c>
      <c r="B13" s="14">
        <f>SUM(B9:B12)</f>
        <v>0</v>
      </c>
      <c r="C13" s="14">
        <f t="shared" ref="C13" si="0">SUM(C9:C12)</f>
        <v>-47632.066497130669</v>
      </c>
      <c r="D13" s="14">
        <f t="shared" ref="D13" si="1">SUM(D9:D12)</f>
        <v>-45881.008872369828</v>
      </c>
      <c r="E13" s="14">
        <f t="shared" ref="E13" si="2">SUM(E9:E12)</f>
        <v>-44129.951247608929</v>
      </c>
      <c r="F13" s="14">
        <f t="shared" ref="F13" si="3">SUM(F9:F12)</f>
        <v>-41468.5379042774</v>
      </c>
      <c r="G13" s="14">
        <f t="shared" ref="G13" si="4">SUM(G9:G12)</f>
        <v>-40020.932185706639</v>
      </c>
      <c r="H13" s="14">
        <f t="shared" ref="H13" si="5">SUM(H9:H12)</f>
        <v>-38876.77837332632</v>
      </c>
      <c r="I13" s="14">
        <f t="shared" ref="I13" si="6">SUM(I9:I12)</f>
        <v>-37732.624560945842</v>
      </c>
      <c r="J13" s="14">
        <f t="shared" ref="J13" si="7">SUM(J9:J12)</f>
        <v>-36588.470748565393</v>
      </c>
      <c r="K13" s="14">
        <f t="shared" ref="K13" si="8">SUM(K9:K12)</f>
        <v>-35444.316936184929</v>
      </c>
      <c r="L13" s="14">
        <f t="shared" ref="L13" si="9">SUM(L9:L12)</f>
        <v>-34300.16312380445</v>
      </c>
      <c r="M13" s="14">
        <f t="shared" ref="M13" si="10">SUM(M9:M12)</f>
        <v>-31638.749780472914</v>
      </c>
      <c r="N13" s="14">
        <f t="shared" ref="N13" si="11">SUM(N9:N12)</f>
        <v>-30798.047874282696</v>
      </c>
      <c r="O13" s="14">
        <f t="shared" ref="O13" si="12">SUM(O9:O12)</f>
        <v>-29957.345968092472</v>
      </c>
      <c r="P13" s="14">
        <f t="shared" ref="P13" si="13">SUM(P9:P12)</f>
        <v>-29116.644061902261</v>
      </c>
      <c r="Q13" s="14">
        <f t="shared" ref="Q13" si="14">SUM(Q9:Q12)</f>
        <v>-28275.942155712011</v>
      </c>
      <c r="R13" s="14">
        <f t="shared" ref="R13" si="15">SUM(R9:R12)</f>
        <v>-27435.240249521776</v>
      </c>
      <c r="S13" s="14">
        <f t="shared" ref="S13" si="16">SUM(S9:S12)</f>
        <v>-26594.538343331609</v>
      </c>
      <c r="T13" s="14">
        <f t="shared" ref="T13" si="17">SUM(T9:T12)</f>
        <v>-25753.836437141283</v>
      </c>
      <c r="U13" s="14">
        <f t="shared" ref="U13" si="18">SUM(U9:U12)</f>
        <v>-24913.134530951153</v>
      </c>
    </row>
    <row r="15" spans="1:21" ht="30" x14ac:dyDescent="0.25">
      <c r="A15" s="7" t="s">
        <v>102</v>
      </c>
      <c r="B15" s="10" t="s">
        <v>28</v>
      </c>
      <c r="C15" s="10" t="s">
        <v>29</v>
      </c>
      <c r="D15" s="10" t="s">
        <v>30</v>
      </c>
      <c r="E15" s="10" t="s">
        <v>31</v>
      </c>
      <c r="F15" s="10" t="s">
        <v>32</v>
      </c>
      <c r="G15" s="10" t="s">
        <v>33</v>
      </c>
      <c r="H15" s="10" t="s">
        <v>34</v>
      </c>
      <c r="I15" s="10" t="s">
        <v>35</v>
      </c>
      <c r="J15" s="10" t="s">
        <v>36</v>
      </c>
      <c r="K15" s="10" t="s">
        <v>37</v>
      </c>
      <c r="L15" s="10" t="s">
        <v>38</v>
      </c>
      <c r="M15" s="10" t="s">
        <v>39</v>
      </c>
      <c r="N15" s="10" t="s">
        <v>40</v>
      </c>
      <c r="O15" s="10" t="s">
        <v>41</v>
      </c>
      <c r="P15" s="10" t="s">
        <v>42</v>
      </c>
      <c r="Q15" s="10" t="s">
        <v>43</v>
      </c>
      <c r="R15" s="10" t="s">
        <v>44</v>
      </c>
      <c r="S15" s="10" t="s">
        <v>45</v>
      </c>
      <c r="T15" s="10" t="s">
        <v>46</v>
      </c>
      <c r="U15" s="10" t="s">
        <v>47</v>
      </c>
    </row>
    <row r="16" spans="1:21" x14ac:dyDescent="0.25">
      <c r="A16" s="2" t="s">
        <v>0</v>
      </c>
      <c r="B16" s="12">
        <v>0</v>
      </c>
      <c r="C16" s="12">
        <v>-12165.691497130727</v>
      </c>
      <c r="D16" s="12">
        <v>-5783.9129042774148</v>
      </c>
      <c r="E16" s="12">
        <v>1510.9618761955353</v>
      </c>
      <c r="F16" s="12">
        <v>12239.021773930668</v>
      </c>
      <c r="G16" s="12">
        <v>25730</v>
      </c>
      <c r="H16" s="12">
        <v>38060</v>
      </c>
      <c r="I16" s="12">
        <v>48970</v>
      </c>
      <c r="J16" s="12">
        <v>53148</v>
      </c>
      <c r="K16" s="12">
        <v>51688</v>
      </c>
      <c r="L16" s="12">
        <v>44730</v>
      </c>
      <c r="M16" s="12">
        <v>33796</v>
      </c>
      <c r="N16" s="12">
        <v>21868</v>
      </c>
      <c r="O16" s="12">
        <v>11928</v>
      </c>
      <c r="P16" s="12">
        <v>3976</v>
      </c>
      <c r="Q16" s="12">
        <v>0</v>
      </c>
      <c r="R16" s="12">
        <v>0</v>
      </c>
      <c r="S16" s="12">
        <v>0</v>
      </c>
      <c r="T16" s="12">
        <v>0</v>
      </c>
      <c r="U16" s="12">
        <v>0</v>
      </c>
    </row>
    <row r="17" spans="1:21" x14ac:dyDescent="0.25">
      <c r="A17" s="2" t="s">
        <v>1</v>
      </c>
      <c r="B17" s="12">
        <v>0</v>
      </c>
      <c r="C17" s="12">
        <v>-36195.249999999884</v>
      </c>
      <c r="D17" s="12">
        <v>-41859.050000000017</v>
      </c>
      <c r="E17" s="12">
        <v>-51131.074999999961</v>
      </c>
      <c r="F17" s="12">
        <v>-44637.000000000095</v>
      </c>
      <c r="G17" s="12">
        <v>-16136.149999999907</v>
      </c>
      <c r="H17" s="12">
        <v>39057.449999999968</v>
      </c>
      <c r="I17" s="12">
        <v>72538.555000000051</v>
      </c>
      <c r="J17" s="12">
        <v>142713.65999999997</v>
      </c>
      <c r="K17" s="12">
        <v>183797.02749999991</v>
      </c>
      <c r="L17" s="12">
        <v>139620.75000000006</v>
      </c>
      <c r="M17" s="12">
        <v>39193.644749999919</v>
      </c>
      <c r="N17" s="12">
        <v>8915.4450124998984</v>
      </c>
      <c r="O17" s="12">
        <v>22523.944461875042</v>
      </c>
      <c r="P17" s="12">
        <v>102753.73051378121</v>
      </c>
      <c r="Q17" s="12">
        <v>195928.15683809214</v>
      </c>
      <c r="R17" s="12">
        <v>203744.80354618779</v>
      </c>
      <c r="S17" s="12">
        <v>206727.1360438781</v>
      </c>
      <c r="T17" s="12">
        <v>149507.37204168423</v>
      </c>
      <c r="U17" s="12">
        <v>31385.250964600011</v>
      </c>
    </row>
    <row r="18" spans="1:21" x14ac:dyDescent="0.25">
      <c r="A18" s="2" t="s">
        <v>2</v>
      </c>
      <c r="B18" s="12">
        <v>0</v>
      </c>
      <c r="C18" s="12">
        <v>-2400.0000000000036</v>
      </c>
      <c r="D18" s="12">
        <v>-1471.4285714285688</v>
      </c>
      <c r="E18" s="12">
        <v>-178.57142857143117</v>
      </c>
      <c r="F18" s="12">
        <v>1516.0714285714312</v>
      </c>
      <c r="G18" s="12">
        <v>3499.9999999999964</v>
      </c>
      <c r="H18" s="12">
        <v>5696.4285714285688</v>
      </c>
      <c r="I18" s="12">
        <v>7428.5714285714275</v>
      </c>
      <c r="J18" s="12">
        <v>8571.4285714285797</v>
      </c>
      <c r="K18" s="12">
        <v>9250</v>
      </c>
      <c r="L18" s="12">
        <v>9000</v>
      </c>
      <c r="M18" s="12">
        <v>8750</v>
      </c>
      <c r="N18" s="12">
        <v>8500</v>
      </c>
      <c r="O18" s="12">
        <v>8250</v>
      </c>
      <c r="P18" s="12">
        <v>8125</v>
      </c>
      <c r="Q18" s="12">
        <v>7750</v>
      </c>
      <c r="R18" s="12">
        <v>7500</v>
      </c>
      <c r="S18" s="12">
        <v>7000</v>
      </c>
      <c r="T18" s="12">
        <v>6500</v>
      </c>
      <c r="U18" s="12">
        <v>5750</v>
      </c>
    </row>
    <row r="19" spans="1:21" x14ac:dyDescent="0.25">
      <c r="A19" s="11" t="s">
        <v>25</v>
      </c>
      <c r="B19" s="15">
        <v>0</v>
      </c>
      <c r="C19" s="15">
        <v>0</v>
      </c>
      <c r="D19" s="15">
        <v>1440</v>
      </c>
      <c r="E19" s="15">
        <v>3840.0000000000018</v>
      </c>
      <c r="F19" s="15">
        <v>7679.9999999999982</v>
      </c>
      <c r="G19" s="15">
        <v>11040</v>
      </c>
      <c r="H19" s="15">
        <v>13152.000000000005</v>
      </c>
      <c r="I19" s="15">
        <v>15551.999999999993</v>
      </c>
      <c r="J19" s="15">
        <v>17232.000000000007</v>
      </c>
      <c r="K19" s="15">
        <v>19199.999999999993</v>
      </c>
      <c r="L19" s="15">
        <v>19680.000000000007</v>
      </c>
      <c r="M19" s="15">
        <v>13483.200000000004</v>
      </c>
      <c r="N19" s="15">
        <v>13483.199999999983</v>
      </c>
      <c r="O19" s="15">
        <v>13003.200000000004</v>
      </c>
      <c r="P19" s="15">
        <v>18959.999999999993</v>
      </c>
      <c r="Q19" s="15">
        <v>18480.000000000007</v>
      </c>
      <c r="R19" s="15">
        <v>17999.999999999993</v>
      </c>
      <c r="S19" s="15">
        <v>6192.7200000000012</v>
      </c>
      <c r="T19" s="15">
        <v>5472.7200000000012</v>
      </c>
      <c r="U19" s="15">
        <v>4992.7199999999866</v>
      </c>
    </row>
    <row r="20" spans="1:21" x14ac:dyDescent="0.25">
      <c r="A20" s="2" t="s">
        <v>26</v>
      </c>
      <c r="B20" s="14">
        <f>SUM(B16:B19)</f>
        <v>0</v>
      </c>
      <c r="C20" s="14">
        <f t="shared" ref="C20:U20" si="19">SUM(C16:C19)</f>
        <v>-50760.941497130611</v>
      </c>
      <c r="D20" s="14">
        <f t="shared" si="19"/>
        <v>-47674.391475705997</v>
      </c>
      <c r="E20" s="14">
        <f t="shared" si="19"/>
        <v>-45958.684552375853</v>
      </c>
      <c r="F20" s="14">
        <f t="shared" si="19"/>
        <v>-23201.906797497999</v>
      </c>
      <c r="G20" s="14">
        <f t="shared" si="19"/>
        <v>24133.850000000089</v>
      </c>
      <c r="H20" s="14">
        <f t="shared" si="19"/>
        <v>95965.878571428533</v>
      </c>
      <c r="I20" s="14">
        <f t="shared" si="19"/>
        <v>144489.12642857147</v>
      </c>
      <c r="J20" s="14">
        <f t="shared" si="19"/>
        <v>221665.08857142855</v>
      </c>
      <c r="K20" s="14">
        <f t="shared" si="19"/>
        <v>263935.02749999991</v>
      </c>
      <c r="L20" s="14">
        <f t="shared" si="19"/>
        <v>213030.75000000006</v>
      </c>
      <c r="M20" s="14">
        <f t="shared" si="19"/>
        <v>95222.844749999931</v>
      </c>
      <c r="N20" s="14">
        <f t="shared" si="19"/>
        <v>52766.645012499881</v>
      </c>
      <c r="O20" s="14">
        <f t="shared" si="19"/>
        <v>55705.144461875047</v>
      </c>
      <c r="P20" s="14">
        <f t="shared" si="19"/>
        <v>133814.73051378119</v>
      </c>
      <c r="Q20" s="14">
        <f t="shared" si="19"/>
        <v>222158.15683809214</v>
      </c>
      <c r="R20" s="14">
        <f t="shared" si="19"/>
        <v>229244.80354618779</v>
      </c>
      <c r="S20" s="14">
        <f t="shared" si="19"/>
        <v>219919.8560438781</v>
      </c>
      <c r="T20" s="14">
        <f t="shared" si="19"/>
        <v>161480.09204168423</v>
      </c>
      <c r="U20" s="14">
        <f t="shared" si="19"/>
        <v>42127.970964599997</v>
      </c>
    </row>
    <row r="23" spans="1:21" ht="30" x14ac:dyDescent="0.25">
      <c r="A23" s="7" t="s">
        <v>103</v>
      </c>
      <c r="B23" s="10" t="s">
        <v>28</v>
      </c>
      <c r="C23" s="10" t="s">
        <v>29</v>
      </c>
      <c r="D23" s="10" t="s">
        <v>30</v>
      </c>
      <c r="E23" s="10" t="s">
        <v>31</v>
      </c>
      <c r="F23" s="10" t="s">
        <v>32</v>
      </c>
      <c r="G23" s="10" t="s">
        <v>33</v>
      </c>
      <c r="H23" s="10" t="s">
        <v>34</v>
      </c>
      <c r="I23" s="10" t="s">
        <v>35</v>
      </c>
      <c r="J23" s="10" t="s">
        <v>36</v>
      </c>
      <c r="K23" s="10" t="s">
        <v>37</v>
      </c>
      <c r="L23" s="10" t="s">
        <v>38</v>
      </c>
      <c r="M23" s="10" t="s">
        <v>39</v>
      </c>
      <c r="N23" s="10" t="s">
        <v>40</v>
      </c>
      <c r="O23" s="10" t="s">
        <v>41</v>
      </c>
      <c r="P23" s="10" t="s">
        <v>42</v>
      </c>
      <c r="Q23" s="10" t="s">
        <v>43</v>
      </c>
      <c r="R23" s="10" t="s">
        <v>44</v>
      </c>
      <c r="S23" s="10" t="s">
        <v>45</v>
      </c>
      <c r="T23" s="10" t="s">
        <v>46</v>
      </c>
      <c r="U23" s="10" t="s">
        <v>47</v>
      </c>
    </row>
    <row r="24" spans="1:21" x14ac:dyDescent="0.25">
      <c r="A24" s="2" t="s">
        <v>0</v>
      </c>
      <c r="B24" s="14">
        <f>B16-B9</f>
        <v>0</v>
      </c>
      <c r="C24" s="14">
        <f t="shared" ref="C24:D24" si="20">C16-C9</f>
        <v>0</v>
      </c>
      <c r="D24" s="14">
        <f t="shared" si="20"/>
        <v>5367.9709680924425</v>
      </c>
      <c r="E24" s="14">
        <f t="shared" ref="E24:U24" si="21">E16-E9</f>
        <v>11649.038123804465</v>
      </c>
      <c r="F24" s="14">
        <f t="shared" si="21"/>
        <v>20602.934678208054</v>
      </c>
      <c r="G24" s="14">
        <f t="shared" si="21"/>
        <v>33333.557185706712</v>
      </c>
      <c r="H24" s="14">
        <f t="shared" si="21"/>
        <v>45156.653373326262</v>
      </c>
      <c r="I24" s="14">
        <f t="shared" si="21"/>
        <v>55559.749560945813</v>
      </c>
      <c r="J24" s="14">
        <f t="shared" si="21"/>
        <v>59230.845748565393</v>
      </c>
      <c r="K24" s="14">
        <f t="shared" si="21"/>
        <v>57263.941936184914</v>
      </c>
      <c r="L24" s="14">
        <f t="shared" si="21"/>
        <v>49799.038123804465</v>
      </c>
      <c r="M24" s="14">
        <f t="shared" si="21"/>
        <v>37090.874780472892</v>
      </c>
      <c r="N24" s="14">
        <f t="shared" si="21"/>
        <v>24909.422874282667</v>
      </c>
      <c r="O24" s="14">
        <f t="shared" si="21"/>
        <v>14715.970968092472</v>
      </c>
      <c r="P24" s="14">
        <f t="shared" si="21"/>
        <v>6510.5190619022469</v>
      </c>
      <c r="Q24" s="14">
        <f t="shared" si="21"/>
        <v>2281.0671557120222</v>
      </c>
      <c r="R24" s="14">
        <f t="shared" si="21"/>
        <v>2027.6152495217684</v>
      </c>
      <c r="S24" s="14">
        <f t="shared" si="21"/>
        <v>1774.1633433315728</v>
      </c>
      <c r="T24" s="14">
        <f t="shared" si="21"/>
        <v>1520.711437141319</v>
      </c>
      <c r="U24" s="14">
        <f t="shared" si="21"/>
        <v>1267.2595309511235</v>
      </c>
    </row>
    <row r="25" spans="1:21" x14ac:dyDescent="0.25">
      <c r="A25" s="2" t="s">
        <v>1</v>
      </c>
      <c r="B25" s="14">
        <f>B17-B10</f>
        <v>0</v>
      </c>
      <c r="C25" s="14">
        <f t="shared" ref="C25:U25" si="22">C17-C10</f>
        <v>-3640.8749999999382</v>
      </c>
      <c r="D25" s="14">
        <f t="shared" si="22"/>
        <v>-9841.9250000000466</v>
      </c>
      <c r="E25" s="14">
        <f t="shared" si="22"/>
        <v>-19651.199999999961</v>
      </c>
      <c r="F25" s="14">
        <f t="shared" si="22"/>
        <v>-13694.37500000008</v>
      </c>
      <c r="G25" s="14">
        <f t="shared" si="22"/>
        <v>14269.225000000024</v>
      </c>
      <c r="H25" s="14">
        <f t="shared" si="22"/>
        <v>68925.575000000026</v>
      </c>
      <c r="I25" s="14">
        <f t="shared" si="22"/>
        <v>101869.43000000008</v>
      </c>
      <c r="J25" s="14">
        <f t="shared" si="22"/>
        <v>171507.28499999997</v>
      </c>
      <c r="K25" s="14">
        <f t="shared" si="22"/>
        <v>212053.40249999991</v>
      </c>
      <c r="L25" s="14">
        <f t="shared" si="22"/>
        <v>167339.87500000003</v>
      </c>
      <c r="M25" s="14">
        <f t="shared" si="22"/>
        <v>66375.519749999934</v>
      </c>
      <c r="N25" s="14">
        <f t="shared" si="22"/>
        <v>35560.070012499928</v>
      </c>
      <c r="O25" s="14">
        <f t="shared" si="22"/>
        <v>48631.319461875042</v>
      </c>
      <c r="P25" s="14">
        <f t="shared" si="22"/>
        <v>128323.85551378122</v>
      </c>
      <c r="Q25" s="14">
        <f t="shared" si="22"/>
        <v>220961.03183809214</v>
      </c>
      <c r="R25" s="14">
        <f t="shared" si="22"/>
        <v>228240.42854618779</v>
      </c>
      <c r="S25" s="14">
        <f t="shared" si="22"/>
        <v>230685.51104387813</v>
      </c>
      <c r="T25" s="14">
        <f t="shared" si="22"/>
        <v>172928.4970416842</v>
      </c>
      <c r="U25" s="14">
        <f t="shared" si="22"/>
        <v>54269.12596460004</v>
      </c>
    </row>
    <row r="26" spans="1:21" x14ac:dyDescent="0.25">
      <c r="A26" s="2" t="s">
        <v>2</v>
      </c>
      <c r="B26" s="14">
        <f t="shared" ref="B26:D26" si="23">B18-B11</f>
        <v>0</v>
      </c>
      <c r="C26" s="14">
        <f t="shared" si="23"/>
        <v>0</v>
      </c>
      <c r="D26" s="14">
        <f t="shared" si="23"/>
        <v>728.57142857143117</v>
      </c>
      <c r="E26" s="14">
        <f t="shared" ref="E26:U26" si="24">E18-E11</f>
        <v>1821.4285714285688</v>
      </c>
      <c r="F26" s="14">
        <f t="shared" si="24"/>
        <v>3166.0714285714312</v>
      </c>
      <c r="G26" s="14">
        <f t="shared" si="24"/>
        <v>4999.9999999999982</v>
      </c>
      <c r="H26" s="14">
        <f t="shared" si="24"/>
        <v>7096.428571428567</v>
      </c>
      <c r="I26" s="14">
        <f t="shared" si="24"/>
        <v>8728.5714285714275</v>
      </c>
      <c r="J26" s="14">
        <f t="shared" si="24"/>
        <v>9771.4285714285779</v>
      </c>
      <c r="K26" s="14">
        <f t="shared" si="24"/>
        <v>10349.999999999998</v>
      </c>
      <c r="L26" s="14">
        <f t="shared" si="24"/>
        <v>10000</v>
      </c>
      <c r="M26" s="14">
        <f t="shared" si="24"/>
        <v>9400.0000000000018</v>
      </c>
      <c r="N26" s="14">
        <f t="shared" si="24"/>
        <v>9100</v>
      </c>
      <c r="O26" s="14">
        <f t="shared" si="24"/>
        <v>8800</v>
      </c>
      <c r="P26" s="14">
        <f t="shared" si="24"/>
        <v>8625</v>
      </c>
      <c r="Q26" s="14">
        <f t="shared" si="24"/>
        <v>8200</v>
      </c>
      <c r="R26" s="14">
        <f t="shared" si="24"/>
        <v>7900.0000000000009</v>
      </c>
      <c r="S26" s="14">
        <f t="shared" si="24"/>
        <v>7350</v>
      </c>
      <c r="T26" s="14">
        <f t="shared" si="24"/>
        <v>6800</v>
      </c>
      <c r="U26" s="14">
        <f t="shared" si="24"/>
        <v>6000.0000000000009</v>
      </c>
    </row>
    <row r="27" spans="1:21" x14ac:dyDescent="0.25">
      <c r="A27" s="11" t="s">
        <v>25</v>
      </c>
      <c r="B27" s="15">
        <f t="shared" ref="B27:D27" si="25">B19-B12</f>
        <v>0</v>
      </c>
      <c r="C27" s="15">
        <f t="shared" si="25"/>
        <v>512</v>
      </c>
      <c r="D27" s="15">
        <f t="shared" si="25"/>
        <v>1951.9999999999991</v>
      </c>
      <c r="E27" s="15">
        <f t="shared" ref="E27:U27" si="26">E19-E12</f>
        <v>4352.0000000000018</v>
      </c>
      <c r="F27" s="15">
        <f t="shared" si="26"/>
        <v>8191.9999999999991</v>
      </c>
      <c r="G27" s="15">
        <f t="shared" si="26"/>
        <v>11552.000000000002</v>
      </c>
      <c r="H27" s="15">
        <f t="shared" si="26"/>
        <v>13664.000000000005</v>
      </c>
      <c r="I27" s="15">
        <f t="shared" si="26"/>
        <v>16063.999999999993</v>
      </c>
      <c r="J27" s="15">
        <f t="shared" si="26"/>
        <v>17744.000000000007</v>
      </c>
      <c r="K27" s="15">
        <f t="shared" si="26"/>
        <v>19711.999999999993</v>
      </c>
      <c r="L27" s="15">
        <f t="shared" si="26"/>
        <v>20192.000000000007</v>
      </c>
      <c r="M27" s="15">
        <f t="shared" si="26"/>
        <v>13995.200000000004</v>
      </c>
      <c r="N27" s="15">
        <f t="shared" si="26"/>
        <v>13995.199999999983</v>
      </c>
      <c r="O27" s="15">
        <f t="shared" si="26"/>
        <v>13515.200000000004</v>
      </c>
      <c r="P27" s="15">
        <f t="shared" si="26"/>
        <v>19471.999999999993</v>
      </c>
      <c r="Q27" s="15">
        <f t="shared" si="26"/>
        <v>18992.000000000007</v>
      </c>
      <c r="R27" s="15">
        <f t="shared" si="26"/>
        <v>18511.999999999993</v>
      </c>
      <c r="S27" s="15">
        <f t="shared" si="26"/>
        <v>6704.7200000000012</v>
      </c>
      <c r="T27" s="15">
        <f t="shared" si="26"/>
        <v>5984.7200000000012</v>
      </c>
      <c r="U27" s="15">
        <f t="shared" si="26"/>
        <v>5504.7199999999866</v>
      </c>
    </row>
    <row r="28" spans="1:21" x14ac:dyDescent="0.25">
      <c r="A28" s="2" t="s">
        <v>26</v>
      </c>
      <c r="B28" s="14">
        <f>SUM(B24:B27)</f>
        <v>0</v>
      </c>
      <c r="C28" s="14">
        <f t="shared" ref="C28" si="27">SUM(C24:C27)</f>
        <v>-3128.8749999999382</v>
      </c>
      <c r="D28" s="14">
        <f t="shared" ref="D28" si="28">SUM(D24:D27)</f>
        <v>-1793.3826033361738</v>
      </c>
      <c r="E28" s="14">
        <f t="shared" ref="E28" si="29">SUM(E24:E27)</f>
        <v>-1828.7333047669254</v>
      </c>
      <c r="F28" s="14">
        <f t="shared" ref="F28" si="30">SUM(F24:F27)</f>
        <v>18266.631106779405</v>
      </c>
      <c r="G28" s="14">
        <f>SUM(G24:G27)</f>
        <v>64154.782185706732</v>
      </c>
      <c r="H28" s="14">
        <f t="shared" ref="H28" si="31">SUM(H24:H27)</f>
        <v>134842.65694475485</v>
      </c>
      <c r="I28" s="14">
        <f t="shared" ref="I28" si="32">SUM(I24:I27)</f>
        <v>182221.75098951731</v>
      </c>
      <c r="J28" s="14">
        <f t="shared" ref="J28" si="33">SUM(J24:J27)</f>
        <v>258253.55931999395</v>
      </c>
      <c r="K28" s="14">
        <f t="shared" ref="K28" si="34">SUM(K24:K27)</f>
        <v>299379.34443618485</v>
      </c>
      <c r="L28" s="14">
        <f t="shared" ref="L28" si="35">SUM(L24:L27)</f>
        <v>247330.91312380449</v>
      </c>
      <c r="M28" s="14">
        <f t="shared" ref="M28" si="36">SUM(M24:M27)</f>
        <v>126861.59453047282</v>
      </c>
      <c r="N28" s="14">
        <f t="shared" ref="N28" si="37">SUM(N24:N27)</f>
        <v>83564.692886782577</v>
      </c>
      <c r="O28" s="14">
        <f t="shared" ref="O28" si="38">SUM(O24:O27)</f>
        <v>85662.490429967525</v>
      </c>
      <c r="P28" s="14">
        <f t="shared" ref="P28" si="39">SUM(P24:P27)</f>
        <v>162931.37457568347</v>
      </c>
      <c r="Q28" s="14">
        <f t="shared" ref="Q28" si="40">SUM(Q24:Q27)</f>
        <v>250434.09899380416</v>
      </c>
      <c r="R28" s="14">
        <f t="shared" ref="R28" si="41">SUM(R24:R27)</f>
        <v>256680.04379570956</v>
      </c>
      <c r="S28" s="14">
        <f t="shared" ref="S28" si="42">SUM(S24:S27)</f>
        <v>246514.3943872097</v>
      </c>
      <c r="T28" s="14">
        <f t="shared" ref="T28" si="43">SUM(T24:T27)</f>
        <v>187233.92847882552</v>
      </c>
      <c r="U28" s="14">
        <f t="shared" ref="U28" si="44">SUM(U24:U27)</f>
        <v>67041.10549555115</v>
      </c>
    </row>
    <row r="29" spans="1:21" x14ac:dyDescent="0.25">
      <c r="B29" s="14"/>
      <c r="C29" s="14"/>
      <c r="D29" s="14"/>
      <c r="E29" s="14"/>
      <c r="F29" s="14"/>
      <c r="G29" s="14"/>
      <c r="H29" s="14"/>
      <c r="I29" s="14"/>
      <c r="J29" s="14"/>
      <c r="K29" s="14"/>
      <c r="L29" s="14"/>
      <c r="M29" s="14"/>
      <c r="N29" s="14"/>
      <c r="O29" s="14"/>
      <c r="P29" s="14"/>
      <c r="Q29" s="14"/>
      <c r="R29" s="14"/>
      <c r="S29" s="14"/>
      <c r="T29" s="14"/>
      <c r="U29" s="14"/>
    </row>
    <row r="30" spans="1:21" x14ac:dyDescent="0.25">
      <c r="A30" s="7" t="s">
        <v>137</v>
      </c>
      <c r="B30" s="10" t="s">
        <v>28</v>
      </c>
      <c r="C30" s="10" t="s">
        <v>29</v>
      </c>
      <c r="D30" s="10" t="s">
        <v>30</v>
      </c>
      <c r="E30" s="10" t="s">
        <v>31</v>
      </c>
      <c r="F30" s="10" t="s">
        <v>32</v>
      </c>
      <c r="G30" s="10" t="s">
        <v>33</v>
      </c>
      <c r="H30" s="10" t="s">
        <v>34</v>
      </c>
      <c r="I30" s="10" t="s">
        <v>35</v>
      </c>
      <c r="J30" s="10" t="s">
        <v>36</v>
      </c>
      <c r="K30" s="10" t="s">
        <v>37</v>
      </c>
      <c r="L30" s="10" t="s">
        <v>38</v>
      </c>
      <c r="M30" s="10" t="s">
        <v>39</v>
      </c>
      <c r="N30" s="10" t="s">
        <v>40</v>
      </c>
      <c r="O30" s="10" t="s">
        <v>41</v>
      </c>
      <c r="P30" s="10" t="s">
        <v>42</v>
      </c>
      <c r="Q30" s="10" t="s">
        <v>43</v>
      </c>
      <c r="R30" s="10" t="s">
        <v>44</v>
      </c>
      <c r="S30" s="10" t="s">
        <v>45</v>
      </c>
      <c r="T30" s="10" t="s">
        <v>46</v>
      </c>
      <c r="U30" s="10" t="s">
        <v>47</v>
      </c>
    </row>
    <row r="31" spans="1:21" x14ac:dyDescent="0.25">
      <c r="A31" s="2" t="s">
        <v>138</v>
      </c>
      <c r="B31" s="14">
        <v>9333.3333333333321</v>
      </c>
      <c r="C31" s="14">
        <v>9333.3333333333321</v>
      </c>
      <c r="D31" s="14">
        <v>9333.3333333333321</v>
      </c>
      <c r="E31" s="14">
        <v>9333.3333333333321</v>
      </c>
      <c r="F31" s="14">
        <v>9333.3333333333321</v>
      </c>
      <c r="G31" s="14">
        <v>9333.3333333333321</v>
      </c>
      <c r="H31" s="14">
        <v>9333.3333333333321</v>
      </c>
      <c r="I31" s="14">
        <v>9333.3333333333321</v>
      </c>
      <c r="J31" s="14">
        <v>9333.3333333333321</v>
      </c>
      <c r="K31" s="14">
        <v>9333.3333333333321</v>
      </c>
      <c r="L31" s="14">
        <v>9333.3333333333321</v>
      </c>
      <c r="M31" s="14">
        <v>9333.3333333333321</v>
      </c>
      <c r="N31" s="14">
        <v>9333.3333333333321</v>
      </c>
      <c r="O31" s="14">
        <v>9333.3333333333321</v>
      </c>
      <c r="P31" s="14">
        <v>9333.3333333333321</v>
      </c>
      <c r="Q31" s="14">
        <v>9333.3333333333321</v>
      </c>
      <c r="R31" s="14">
        <v>9333.3333333333321</v>
      </c>
      <c r="S31" s="14">
        <v>9333.3333333333321</v>
      </c>
      <c r="T31" s="14">
        <v>9333.3333333333321</v>
      </c>
      <c r="U31" s="14">
        <v>9333.3333333333321</v>
      </c>
    </row>
    <row r="32" spans="1:21" x14ac:dyDescent="0.25">
      <c r="A32" s="11" t="s">
        <v>139</v>
      </c>
      <c r="B32" s="15">
        <v>999.99999999999977</v>
      </c>
      <c r="C32" s="15">
        <v>999.99999999999977</v>
      </c>
      <c r="D32" s="15">
        <v>999.99999999999977</v>
      </c>
      <c r="E32" s="15">
        <v>999.99999999999977</v>
      </c>
      <c r="F32" s="15">
        <v>999.99999999999977</v>
      </c>
      <c r="G32" s="15">
        <v>999.99999999999977</v>
      </c>
      <c r="H32" s="15">
        <v>999.99999999999977</v>
      </c>
      <c r="I32" s="15">
        <v>999.99999999999977</v>
      </c>
      <c r="J32" s="15">
        <v>999.99999999999977</v>
      </c>
      <c r="K32" s="15">
        <v>999.99999999999977</v>
      </c>
      <c r="L32" s="15">
        <v>999.99999999999977</v>
      </c>
      <c r="M32" s="15">
        <v>999.99999999999977</v>
      </c>
      <c r="N32" s="15">
        <v>999.99999999999977</v>
      </c>
      <c r="O32" s="15">
        <v>999.99999999999977</v>
      </c>
      <c r="P32" s="15">
        <v>999.99999999999977</v>
      </c>
      <c r="Q32" s="15">
        <v>999.99999999999977</v>
      </c>
      <c r="R32" s="15">
        <v>999.99999999999977</v>
      </c>
      <c r="S32" s="15">
        <v>999.99999999999977</v>
      </c>
      <c r="T32" s="15">
        <v>999.99999999999977</v>
      </c>
      <c r="U32" s="15">
        <v>999.99999999999977</v>
      </c>
    </row>
    <row r="33" spans="1:21" x14ac:dyDescent="0.25">
      <c r="A33" s="2" t="s">
        <v>26</v>
      </c>
      <c r="B33" s="14">
        <f>SUM(B31:B32)</f>
        <v>10333.333333333332</v>
      </c>
      <c r="C33" s="14">
        <f t="shared" ref="C33:U33" si="45">SUM(C31:C32)</f>
        <v>10333.333333333332</v>
      </c>
      <c r="D33" s="14">
        <f t="shared" si="45"/>
        <v>10333.333333333332</v>
      </c>
      <c r="E33" s="14">
        <f t="shared" si="45"/>
        <v>10333.333333333332</v>
      </c>
      <c r="F33" s="14">
        <f t="shared" si="45"/>
        <v>10333.333333333332</v>
      </c>
      <c r="G33" s="14">
        <f t="shared" si="45"/>
        <v>10333.333333333332</v>
      </c>
      <c r="H33" s="14">
        <f t="shared" si="45"/>
        <v>10333.333333333332</v>
      </c>
      <c r="I33" s="14">
        <f t="shared" si="45"/>
        <v>10333.333333333332</v>
      </c>
      <c r="J33" s="14">
        <f t="shared" si="45"/>
        <v>10333.333333333332</v>
      </c>
      <c r="K33" s="14">
        <f t="shared" si="45"/>
        <v>10333.333333333332</v>
      </c>
      <c r="L33" s="14">
        <f t="shared" si="45"/>
        <v>10333.333333333332</v>
      </c>
      <c r="M33" s="14">
        <f t="shared" si="45"/>
        <v>10333.333333333332</v>
      </c>
      <c r="N33" s="14">
        <f t="shared" si="45"/>
        <v>10333.333333333332</v>
      </c>
      <c r="O33" s="14">
        <f t="shared" si="45"/>
        <v>10333.333333333332</v>
      </c>
      <c r="P33" s="14">
        <f t="shared" si="45"/>
        <v>10333.333333333332</v>
      </c>
      <c r="Q33" s="14">
        <f t="shared" si="45"/>
        <v>10333.333333333332</v>
      </c>
      <c r="R33" s="14">
        <f t="shared" si="45"/>
        <v>10333.333333333332</v>
      </c>
      <c r="S33" s="14">
        <f t="shared" si="45"/>
        <v>10333.333333333332</v>
      </c>
      <c r="T33" s="14">
        <f t="shared" si="45"/>
        <v>10333.333333333332</v>
      </c>
      <c r="U33" s="14">
        <f t="shared" si="45"/>
        <v>10333.333333333332</v>
      </c>
    </row>
    <row r="34" spans="1:21" x14ac:dyDescent="0.25">
      <c r="B34" s="14"/>
      <c r="C34" s="14"/>
      <c r="D34" s="14"/>
      <c r="E34" s="14"/>
      <c r="F34" s="14"/>
      <c r="G34" s="14"/>
      <c r="H34" s="14"/>
      <c r="I34" s="14"/>
      <c r="J34" s="14"/>
      <c r="K34" s="14"/>
      <c r="L34" s="14"/>
      <c r="M34" s="14"/>
      <c r="N34" s="14"/>
      <c r="O34" s="14"/>
      <c r="P34" s="14"/>
      <c r="Q34" s="14"/>
      <c r="R34" s="14"/>
      <c r="S34" s="14"/>
      <c r="T34" s="14"/>
      <c r="U34" s="14"/>
    </row>
    <row r="35" spans="1:21" x14ac:dyDescent="0.25">
      <c r="A35" s="7" t="s">
        <v>142</v>
      </c>
      <c r="B35" s="10" t="s">
        <v>28</v>
      </c>
      <c r="C35" s="10" t="s">
        <v>29</v>
      </c>
      <c r="D35" s="10" t="s">
        <v>30</v>
      </c>
      <c r="E35" s="10" t="s">
        <v>31</v>
      </c>
      <c r="F35" s="10" t="s">
        <v>32</v>
      </c>
      <c r="G35" s="10" t="s">
        <v>33</v>
      </c>
      <c r="H35" s="10" t="s">
        <v>34</v>
      </c>
      <c r="I35" s="10" t="s">
        <v>35</v>
      </c>
      <c r="J35" s="10" t="s">
        <v>36</v>
      </c>
      <c r="K35" s="10" t="s">
        <v>37</v>
      </c>
      <c r="L35" s="10" t="s">
        <v>38</v>
      </c>
      <c r="M35" s="10" t="s">
        <v>39</v>
      </c>
      <c r="N35" s="10" t="s">
        <v>40</v>
      </c>
      <c r="O35" s="10" t="s">
        <v>41</v>
      </c>
      <c r="P35" s="10" t="s">
        <v>42</v>
      </c>
      <c r="Q35" s="10" t="s">
        <v>43</v>
      </c>
      <c r="R35" s="10" t="s">
        <v>44</v>
      </c>
      <c r="S35" s="10" t="s">
        <v>45</v>
      </c>
      <c r="T35" s="10" t="s">
        <v>46</v>
      </c>
      <c r="U35" s="10" t="s">
        <v>47</v>
      </c>
    </row>
    <row r="36" spans="1:21" x14ac:dyDescent="0.25">
      <c r="A36" s="2" t="s">
        <v>138</v>
      </c>
      <c r="B36" s="14">
        <v>9333.3333333333321</v>
      </c>
      <c r="C36" s="14">
        <v>7699.9999999999991</v>
      </c>
      <c r="D36" s="14">
        <v>6066.6666666666661</v>
      </c>
      <c r="E36" s="14">
        <v>4433.333333333333</v>
      </c>
      <c r="F36" s="14">
        <v>2800.0000000000005</v>
      </c>
      <c r="G36" s="14">
        <v>2800.0000000000005</v>
      </c>
      <c r="H36" s="14">
        <v>2800.0000000000005</v>
      </c>
      <c r="I36" s="14">
        <v>2800.0000000000005</v>
      </c>
      <c r="J36" s="14">
        <v>2800.0000000000005</v>
      </c>
      <c r="K36" s="14">
        <v>2800.0000000000005</v>
      </c>
      <c r="L36" s="14">
        <v>2800.0000000000005</v>
      </c>
      <c r="M36" s="14">
        <v>2800.0000000000005</v>
      </c>
      <c r="N36" s="14">
        <v>2800.0000000000005</v>
      </c>
      <c r="O36" s="14">
        <v>2800.0000000000005</v>
      </c>
      <c r="P36" s="14">
        <v>2800.0000000000005</v>
      </c>
      <c r="Q36" s="14">
        <v>2800.0000000000005</v>
      </c>
      <c r="R36" s="14">
        <v>2800.0000000000005</v>
      </c>
      <c r="S36" s="14">
        <v>2800.0000000000005</v>
      </c>
      <c r="T36" s="14">
        <v>2800.0000000000005</v>
      </c>
      <c r="U36" s="14">
        <v>2800.0000000000005</v>
      </c>
    </row>
    <row r="37" spans="1:21" x14ac:dyDescent="0.25">
      <c r="A37" s="11" t="s">
        <v>139</v>
      </c>
      <c r="B37" s="15">
        <v>999.99999999999977</v>
      </c>
      <c r="C37" s="15">
        <v>1699.9999999999998</v>
      </c>
      <c r="D37" s="15">
        <v>2399.9999999999995</v>
      </c>
      <c r="E37" s="15">
        <v>3099.9999999999995</v>
      </c>
      <c r="F37" s="15">
        <v>3799.9999999999995</v>
      </c>
      <c r="G37" s="15">
        <v>3799.9999999999995</v>
      </c>
      <c r="H37" s="15">
        <v>3799.9999999999995</v>
      </c>
      <c r="I37" s="15">
        <v>3799.9999999999995</v>
      </c>
      <c r="J37" s="15">
        <v>3799.9999999999995</v>
      </c>
      <c r="K37" s="15">
        <v>3799.9999999999995</v>
      </c>
      <c r="L37" s="15">
        <v>3799.9999999999995</v>
      </c>
      <c r="M37" s="15">
        <v>3799.9999999999995</v>
      </c>
      <c r="N37" s="15">
        <v>3799.9999999999995</v>
      </c>
      <c r="O37" s="15">
        <v>3799.9999999999995</v>
      </c>
      <c r="P37" s="15">
        <v>3799.9999999999995</v>
      </c>
      <c r="Q37" s="15">
        <v>3799.9999999999995</v>
      </c>
      <c r="R37" s="15">
        <v>3799.9999999999995</v>
      </c>
      <c r="S37" s="15">
        <v>3799.9999999999995</v>
      </c>
      <c r="T37" s="15">
        <v>3799.9999999999995</v>
      </c>
      <c r="U37" s="15">
        <v>3799.9999999999995</v>
      </c>
    </row>
    <row r="38" spans="1:21" x14ac:dyDescent="0.25">
      <c r="A38" s="2" t="s">
        <v>26</v>
      </c>
      <c r="B38" s="14">
        <f>SUM(B36:B37)</f>
        <v>10333.333333333332</v>
      </c>
      <c r="C38" s="14">
        <f t="shared" ref="C38" si="46">SUM(C36:C37)</f>
        <v>9399.9999999999982</v>
      </c>
      <c r="D38" s="14">
        <f t="shared" ref="D38" si="47">SUM(D36:D37)</f>
        <v>8466.6666666666661</v>
      </c>
      <c r="E38" s="14">
        <f t="shared" ref="E38" si="48">SUM(E36:E37)</f>
        <v>7533.3333333333321</v>
      </c>
      <c r="F38" s="14">
        <f t="shared" ref="F38" si="49">SUM(F36:F37)</f>
        <v>6600</v>
      </c>
      <c r="G38" s="14">
        <f t="shared" ref="G38" si="50">SUM(G36:G37)</f>
        <v>6600</v>
      </c>
      <c r="H38" s="14">
        <f t="shared" ref="H38" si="51">SUM(H36:H37)</f>
        <v>6600</v>
      </c>
      <c r="I38" s="14">
        <f t="shared" ref="I38" si="52">SUM(I36:I37)</f>
        <v>6600</v>
      </c>
      <c r="J38" s="14">
        <f t="shared" ref="J38" si="53">SUM(J36:J37)</f>
        <v>6600</v>
      </c>
      <c r="K38" s="14">
        <f t="shared" ref="K38" si="54">SUM(K36:K37)</f>
        <v>6600</v>
      </c>
      <c r="L38" s="14">
        <f t="shared" ref="L38" si="55">SUM(L36:L37)</f>
        <v>6600</v>
      </c>
      <c r="M38" s="14">
        <f t="shared" ref="M38" si="56">SUM(M36:M37)</f>
        <v>6600</v>
      </c>
      <c r="N38" s="14">
        <f t="shared" ref="N38" si="57">SUM(N36:N37)</f>
        <v>6600</v>
      </c>
      <c r="O38" s="14">
        <f t="shared" ref="O38" si="58">SUM(O36:O37)</f>
        <v>6600</v>
      </c>
      <c r="P38" s="14">
        <f t="shared" ref="P38" si="59">SUM(P36:P37)</f>
        <v>6600</v>
      </c>
      <c r="Q38" s="14">
        <f t="shared" ref="Q38" si="60">SUM(Q36:Q37)</f>
        <v>6600</v>
      </c>
      <c r="R38" s="14">
        <f t="shared" ref="R38" si="61">SUM(R36:R37)</f>
        <v>6600</v>
      </c>
      <c r="S38" s="14">
        <f t="shared" ref="S38" si="62">SUM(S36:S37)</f>
        <v>6600</v>
      </c>
      <c r="T38" s="14">
        <f t="shared" ref="T38" si="63">SUM(T36:T37)</f>
        <v>6600</v>
      </c>
      <c r="U38" s="14">
        <f t="shared" ref="U38" si="64">SUM(U36:U37)</f>
        <v>6600</v>
      </c>
    </row>
    <row r="40" spans="1:21" ht="30" x14ac:dyDescent="0.25">
      <c r="A40" s="16" t="s">
        <v>104</v>
      </c>
      <c r="B40" s="17" t="s">
        <v>28</v>
      </c>
      <c r="C40" s="17" t="s">
        <v>29</v>
      </c>
      <c r="D40" s="17" t="s">
        <v>30</v>
      </c>
      <c r="E40" s="17" t="s">
        <v>31</v>
      </c>
      <c r="F40" s="17" t="s">
        <v>32</v>
      </c>
      <c r="G40" s="17" t="s">
        <v>33</v>
      </c>
      <c r="H40" s="17" t="s">
        <v>34</v>
      </c>
      <c r="I40" s="17" t="s">
        <v>35</v>
      </c>
      <c r="J40" s="17" t="s">
        <v>36</v>
      </c>
      <c r="K40" s="17" t="s">
        <v>37</v>
      </c>
      <c r="L40" s="17" t="s">
        <v>38</v>
      </c>
      <c r="M40" s="17" t="s">
        <v>39</v>
      </c>
      <c r="N40" s="17" t="s">
        <v>40</v>
      </c>
      <c r="O40" s="17" t="s">
        <v>41</v>
      </c>
      <c r="P40" s="17" t="s">
        <v>42</v>
      </c>
      <c r="Q40" s="17" t="s">
        <v>43</v>
      </c>
      <c r="R40" s="17" t="s">
        <v>44</v>
      </c>
      <c r="S40" s="17" t="s">
        <v>45</v>
      </c>
      <c r="T40" s="17" t="s">
        <v>46</v>
      </c>
      <c r="U40" s="17" t="s">
        <v>47</v>
      </c>
    </row>
    <row r="41" spans="1:21" x14ac:dyDescent="0.25">
      <c r="A41" s="2" t="s">
        <v>0</v>
      </c>
      <c r="B41" s="14">
        <f t="shared" ref="B41:U41" si="65">B24*$A$5</f>
        <v>0</v>
      </c>
      <c r="C41" s="14">
        <f t="shared" si="65"/>
        <v>0</v>
      </c>
      <c r="D41" s="14">
        <f t="shared" si="65"/>
        <v>6443.4257675481085</v>
      </c>
      <c r="E41" s="14">
        <f t="shared" si="65"/>
        <v>13982.883450792044</v>
      </c>
      <c r="F41" s="14">
        <f t="shared" si="65"/>
        <v>24730.662848545813</v>
      </c>
      <c r="G41" s="14">
        <f t="shared" si="65"/>
        <v>40011.822450438085</v>
      </c>
      <c r="H41" s="14">
        <f t="shared" si="65"/>
        <v>54203.635908508877</v>
      </c>
      <c r="I41" s="14">
        <f t="shared" si="65"/>
        <v>66690.957176829674</v>
      </c>
      <c r="J41" s="14">
        <f t="shared" si="65"/>
        <v>71097.545049800494</v>
      </c>
      <c r="K41" s="14">
        <f t="shared" si="65"/>
        <v>68736.578721496247</v>
      </c>
      <c r="L41" s="14">
        <f t="shared" si="65"/>
        <v>59776.10671766704</v>
      </c>
      <c r="M41" s="14">
        <f t="shared" si="65"/>
        <v>44521.905897402314</v>
      </c>
      <c r="N41" s="14">
        <f t="shared" si="65"/>
        <v>29899.941366475214</v>
      </c>
      <c r="O41" s="14">
        <f t="shared" si="65"/>
        <v>17664.265901198145</v>
      </c>
      <c r="P41" s="14">
        <f t="shared" si="65"/>
        <v>7814.8795015710393</v>
      </c>
      <c r="Q41" s="14">
        <f t="shared" si="65"/>
        <v>2738.0712332439357</v>
      </c>
      <c r="R41" s="14">
        <f t="shared" si="65"/>
        <v>2433.8410962167968</v>
      </c>
      <c r="S41" s="14">
        <f t="shared" si="65"/>
        <v>2129.610959189728</v>
      </c>
      <c r="T41" s="14">
        <f t="shared" si="65"/>
        <v>1825.3808221625889</v>
      </c>
      <c r="U41" s="14">
        <f t="shared" si="65"/>
        <v>1521.15068513552</v>
      </c>
    </row>
    <row r="42" spans="1:21" x14ac:dyDescent="0.25">
      <c r="A42" s="2" t="s">
        <v>1</v>
      </c>
      <c r="B42" s="14">
        <f t="shared" ref="B42:U42" si="66">B25*$A$5</f>
        <v>0</v>
      </c>
      <c r="C42" s="14">
        <f t="shared" si="66"/>
        <v>-4370.311972785863</v>
      </c>
      <c r="D42" s="14">
        <f t="shared" si="66"/>
        <v>-11813.721334229118</v>
      </c>
      <c r="E42" s="14">
        <f t="shared" si="66"/>
        <v>-23588.251351559953</v>
      </c>
      <c r="F42" s="14">
        <f t="shared" si="66"/>
        <v>-16437.996641554782</v>
      </c>
      <c r="G42" s="14">
        <f t="shared" si="66"/>
        <v>17128.01589175034</v>
      </c>
      <c r="H42" s="14">
        <f t="shared" si="66"/>
        <v>82734.58046586471</v>
      </c>
      <c r="I42" s="14">
        <f t="shared" si="66"/>
        <v>122278.62521780597</v>
      </c>
      <c r="J42" s="14">
        <f t="shared" si="66"/>
        <v>205868.18856882202</v>
      </c>
      <c r="K42" s="14">
        <f t="shared" si="66"/>
        <v>254537.58335997391</v>
      </c>
      <c r="L42" s="14">
        <f t="shared" si="66"/>
        <v>200865.85209242348</v>
      </c>
      <c r="M42" s="14">
        <f t="shared" si="66"/>
        <v>79673.630284839266</v>
      </c>
      <c r="N42" s="14">
        <f t="shared" si="66"/>
        <v>42684.409579767118</v>
      </c>
      <c r="O42" s="14">
        <f t="shared" si="66"/>
        <v>58374.439577467027</v>
      </c>
      <c r="P42" s="14">
        <f t="shared" si="66"/>
        <v>154033.10526890674</v>
      </c>
      <c r="Q42" s="14">
        <f t="shared" si="66"/>
        <v>265229.82606135856</v>
      </c>
      <c r="R42" s="14">
        <f t="shared" si="66"/>
        <v>273967.62524096482</v>
      </c>
      <c r="S42" s="14">
        <f t="shared" si="66"/>
        <v>276902.57173435047</v>
      </c>
      <c r="T42" s="14">
        <f t="shared" si="66"/>
        <v>207574.13562870189</v>
      </c>
      <c r="U42" s="14">
        <f t="shared" si="66"/>
        <v>65141.76151494345</v>
      </c>
    </row>
    <row r="43" spans="1:21" x14ac:dyDescent="0.25">
      <c r="A43" s="2" t="s">
        <v>2</v>
      </c>
      <c r="B43" s="14">
        <f t="shared" ref="B43:U43" si="67">B26*$A$5</f>
        <v>0</v>
      </c>
      <c r="C43" s="14">
        <f t="shared" si="67"/>
        <v>0</v>
      </c>
      <c r="D43" s="14">
        <f t="shared" si="67"/>
        <v>874.53824625000311</v>
      </c>
      <c r="E43" s="14">
        <f t="shared" si="67"/>
        <v>2186.3456156249968</v>
      </c>
      <c r="F43" s="14">
        <f t="shared" si="67"/>
        <v>3800.3831142187532</v>
      </c>
      <c r="G43" s="14">
        <f t="shared" si="67"/>
        <v>6001.7330624999977</v>
      </c>
      <c r="H43" s="14">
        <f t="shared" si="67"/>
        <v>8518.1739965624947</v>
      </c>
      <c r="I43" s="14">
        <f t="shared" si="67"/>
        <v>10477.311146249998</v>
      </c>
      <c r="J43" s="14">
        <f t="shared" si="67"/>
        <v>11729.101185000007</v>
      </c>
      <c r="K43" s="14">
        <f t="shared" si="67"/>
        <v>12423.587439374998</v>
      </c>
      <c r="L43" s="14">
        <f t="shared" si="67"/>
        <v>12003.466124999999</v>
      </c>
      <c r="M43" s="14">
        <f t="shared" si="67"/>
        <v>11283.258157500002</v>
      </c>
      <c r="N43" s="14">
        <f t="shared" si="67"/>
        <v>10923.154173749999</v>
      </c>
      <c r="O43" s="14">
        <f t="shared" si="67"/>
        <v>10563.05019</v>
      </c>
      <c r="P43" s="14">
        <f t="shared" si="67"/>
        <v>10352.9895328125</v>
      </c>
      <c r="Q43" s="14">
        <f t="shared" si="67"/>
        <v>9842.8422224999995</v>
      </c>
      <c r="R43" s="14">
        <f t="shared" si="67"/>
        <v>9482.7382387500002</v>
      </c>
      <c r="S43" s="14">
        <f t="shared" si="67"/>
        <v>8822.5476018749996</v>
      </c>
      <c r="T43" s="14">
        <f t="shared" si="67"/>
        <v>8162.3569649999999</v>
      </c>
      <c r="U43" s="14">
        <f t="shared" si="67"/>
        <v>7202.0796750000009</v>
      </c>
    </row>
    <row r="44" spans="1:21" x14ac:dyDescent="0.25">
      <c r="A44" s="11" t="s">
        <v>25</v>
      </c>
      <c r="B44" s="15">
        <f t="shared" ref="B44:U44" si="68">B27*$A$5</f>
        <v>0</v>
      </c>
      <c r="C44" s="15">
        <f t="shared" si="68"/>
        <v>614.57746559999998</v>
      </c>
      <c r="D44" s="15">
        <f t="shared" si="68"/>
        <v>2343.0765875999987</v>
      </c>
      <c r="E44" s="15">
        <f t="shared" si="68"/>
        <v>5223.9084576000023</v>
      </c>
      <c r="F44" s="15">
        <f t="shared" si="68"/>
        <v>9833.2394495999979</v>
      </c>
      <c r="G44" s="15">
        <f t="shared" si="68"/>
        <v>13866.404067600002</v>
      </c>
      <c r="H44" s="15">
        <f t="shared" si="68"/>
        <v>16401.536113200007</v>
      </c>
      <c r="I44" s="15">
        <f t="shared" si="68"/>
        <v>19282.367983199991</v>
      </c>
      <c r="J44" s="15">
        <f t="shared" si="68"/>
        <v>21298.950292200007</v>
      </c>
      <c r="K44" s="15">
        <f t="shared" si="68"/>
        <v>23661.232425599992</v>
      </c>
      <c r="L44" s="15">
        <f t="shared" si="68"/>
        <v>24237.398799600007</v>
      </c>
      <c r="M44" s="15">
        <f t="shared" si="68"/>
        <v>16799.090911260006</v>
      </c>
      <c r="N44" s="15">
        <f t="shared" si="68"/>
        <v>16799.09091125998</v>
      </c>
      <c r="O44" s="15">
        <f t="shared" si="68"/>
        <v>16222.924537260005</v>
      </c>
      <c r="P44" s="15">
        <f t="shared" si="68"/>
        <v>23373.149238599992</v>
      </c>
      <c r="Q44" s="15">
        <f t="shared" si="68"/>
        <v>22796.98286460001</v>
      </c>
      <c r="R44" s="15">
        <f t="shared" si="68"/>
        <v>22220.816490599991</v>
      </c>
      <c r="S44" s="15">
        <f t="shared" si="68"/>
        <v>8047.9879397610011</v>
      </c>
      <c r="T44" s="15">
        <f t="shared" si="68"/>
        <v>7183.7383787610015</v>
      </c>
      <c r="U44" s="15">
        <f t="shared" si="68"/>
        <v>6607.5720047609839</v>
      </c>
    </row>
    <row r="45" spans="1:21" x14ac:dyDescent="0.25">
      <c r="A45" s="2" t="s">
        <v>143</v>
      </c>
      <c r="B45" s="14">
        <f>SUM(B41:B44)</f>
        <v>0</v>
      </c>
      <c r="C45" s="14">
        <f t="shared" ref="C45:D45" si="69">SUM(C41:C44)</f>
        <v>-3755.7345071858631</v>
      </c>
      <c r="D45" s="14">
        <f t="shared" si="69"/>
        <v>-2152.6807328310078</v>
      </c>
      <c r="E45" s="14">
        <f t="shared" ref="E45" si="70">SUM(E41:E44)</f>
        <v>-2195.1138275429103</v>
      </c>
      <c r="F45" s="14">
        <f t="shared" ref="F45" si="71">SUM(F41:F44)</f>
        <v>21926.288770809784</v>
      </c>
      <c r="G45" s="14">
        <f t="shared" ref="G45" si="72">SUM(G41:G44)</f>
        <v>77007.975472288424</v>
      </c>
      <c r="H45" s="14">
        <f t="shared" ref="H45" si="73">SUM(H41:H44)</f>
        <v>161857.92648413609</v>
      </c>
      <c r="I45" s="14">
        <f t="shared" ref="I45" si="74">SUM(I41:I44)</f>
        <v>218729.26152408565</v>
      </c>
      <c r="J45" s="14">
        <f t="shared" ref="J45" si="75">SUM(J41:J44)</f>
        <v>309993.78509582259</v>
      </c>
      <c r="K45" s="14">
        <f t="shared" ref="K45" si="76">SUM(K41:K44)</f>
        <v>359358.98194644513</v>
      </c>
      <c r="L45" s="14">
        <f t="shared" ref="L45" si="77">SUM(L41:L44)</f>
        <v>296882.82373469055</v>
      </c>
      <c r="M45" s="14">
        <f t="shared" ref="M45" si="78">SUM(M41:M44)</f>
        <v>152277.88525100157</v>
      </c>
      <c r="N45" s="14">
        <f t="shared" ref="N45" si="79">SUM(N41:N44)</f>
        <v>100306.59603125231</v>
      </c>
      <c r="O45" s="14">
        <f t="shared" ref="O45" si="80">SUM(O41:O44)</f>
        <v>102824.68020592516</v>
      </c>
      <c r="P45" s="14">
        <f t="shared" ref="P45" si="81">SUM(P41:P44)</f>
        <v>195574.12354189027</v>
      </c>
      <c r="Q45" s="14">
        <f t="shared" ref="Q45" si="82">SUM(Q41:Q44)</f>
        <v>300607.72238170251</v>
      </c>
      <c r="R45" s="14">
        <f t="shared" ref="R45" si="83">SUM(R41:R44)</f>
        <v>308105.02106653166</v>
      </c>
      <c r="S45" s="14">
        <f t="shared" ref="S45" si="84">SUM(S41:S44)</f>
        <v>295902.71823517617</v>
      </c>
      <c r="T45" s="14">
        <f t="shared" ref="T45" si="85">SUM(T41:T44)</f>
        <v>224745.61179462547</v>
      </c>
      <c r="U45" s="14">
        <f t="shared" ref="U45" si="86">SUM(U41:U44)</f>
        <v>80472.563879839945</v>
      </c>
    </row>
    <row r="46" spans="1:21" x14ac:dyDescent="0.25">
      <c r="B46" s="14"/>
      <c r="C46" s="14"/>
      <c r="D46" s="14"/>
      <c r="E46" s="14"/>
      <c r="F46" s="14"/>
      <c r="G46" s="14"/>
      <c r="H46" s="14"/>
      <c r="I46" s="14"/>
      <c r="J46" s="14"/>
      <c r="K46" s="14"/>
      <c r="L46" s="14"/>
      <c r="M46" s="14"/>
      <c r="N46" s="14"/>
      <c r="O46" s="14"/>
      <c r="P46" s="14"/>
      <c r="Q46" s="14"/>
      <c r="R46" s="14"/>
      <c r="S46" s="14"/>
      <c r="T46" s="14"/>
      <c r="U46" s="14"/>
    </row>
    <row r="47" spans="1:21" x14ac:dyDescent="0.25">
      <c r="B47" s="14"/>
      <c r="C47" s="14"/>
      <c r="D47" s="14"/>
      <c r="E47" s="14"/>
      <c r="F47" s="14"/>
      <c r="G47" s="14"/>
      <c r="H47" s="14"/>
      <c r="I47" s="14"/>
      <c r="J47" s="14"/>
      <c r="K47" s="14"/>
      <c r="L47" s="14"/>
      <c r="M47" s="14"/>
      <c r="N47" s="14"/>
      <c r="O47" s="14"/>
      <c r="P47" s="14"/>
      <c r="Q47" s="14"/>
      <c r="R47" s="14"/>
      <c r="S47" s="14"/>
      <c r="T47" s="14"/>
      <c r="U47" s="14"/>
    </row>
    <row r="48" spans="1:21" ht="30" x14ac:dyDescent="0.25">
      <c r="A48" s="16" t="s">
        <v>105</v>
      </c>
      <c r="B48" s="17" t="s">
        <v>28</v>
      </c>
      <c r="C48" s="17" t="s">
        <v>29</v>
      </c>
      <c r="D48" s="17" t="s">
        <v>30</v>
      </c>
      <c r="E48" s="17" t="s">
        <v>31</v>
      </c>
      <c r="F48" s="17" t="s">
        <v>32</v>
      </c>
      <c r="G48" s="17" t="s">
        <v>33</v>
      </c>
      <c r="H48" s="17" t="s">
        <v>34</v>
      </c>
      <c r="I48" s="17" t="s">
        <v>35</v>
      </c>
      <c r="J48" s="17" t="s">
        <v>36</v>
      </c>
      <c r="K48" s="17" t="s">
        <v>37</v>
      </c>
      <c r="L48" s="17" t="s">
        <v>38</v>
      </c>
      <c r="M48" s="17" t="s">
        <v>39</v>
      </c>
      <c r="N48" s="17" t="s">
        <v>40</v>
      </c>
      <c r="O48" s="17" t="s">
        <v>41</v>
      </c>
      <c r="P48" s="17" t="s">
        <v>42</v>
      </c>
      <c r="Q48" s="17" t="s">
        <v>43</v>
      </c>
      <c r="R48" s="17" t="s">
        <v>44</v>
      </c>
      <c r="S48" s="17" t="s">
        <v>45</v>
      </c>
      <c r="T48" s="17" t="s">
        <v>46</v>
      </c>
      <c r="U48" s="17" t="s">
        <v>47</v>
      </c>
    </row>
    <row r="49" spans="1:21" x14ac:dyDescent="0.25">
      <c r="A49" s="2" t="s">
        <v>140</v>
      </c>
      <c r="B49" s="14">
        <f>(B31-B36)*'Values and parameters'!$C$43*'Values and parameters'!$C$45/1000</f>
        <v>0</v>
      </c>
      <c r="C49" s="14">
        <f>(C31-C36)*'Values and parameters'!$C$43*'Values and parameters'!$C$45/1000</f>
        <v>1234.7999999999997</v>
      </c>
      <c r="D49" s="14">
        <f>(D31-D36)*'Values and parameters'!$C$43*'Values and parameters'!$C$45/1000</f>
        <v>2469.5999999999995</v>
      </c>
      <c r="E49" s="14">
        <f>(E31-E36)*'Values and parameters'!$C$43*'Values and parameters'!$C$45/1000</f>
        <v>3704.3999999999996</v>
      </c>
      <c r="F49" s="14">
        <f>(F31-F36)*'Values and parameters'!$C$43*'Values and parameters'!$C$45/1000</f>
        <v>4939.1999999999989</v>
      </c>
      <c r="G49" s="14">
        <f>(G31-G36)*'Values and parameters'!$C$43*'Values and parameters'!$C$45/1000</f>
        <v>4939.1999999999989</v>
      </c>
      <c r="H49" s="14">
        <f>(H31-H36)*'Values and parameters'!$C$43*'Values and parameters'!$C$45/1000</f>
        <v>4939.1999999999989</v>
      </c>
      <c r="I49" s="14">
        <f>(I31-I36)*'Values and parameters'!$C$43*'Values and parameters'!$C$45/1000</f>
        <v>4939.1999999999989</v>
      </c>
      <c r="J49" s="14">
        <f>(J31-J36)*'Values and parameters'!$C$43*'Values and parameters'!$C$45/1000</f>
        <v>4939.1999999999989</v>
      </c>
      <c r="K49" s="14">
        <f>(K31-K36)*'Values and parameters'!$C$43*'Values and parameters'!$C$45/1000</f>
        <v>4939.1999999999989</v>
      </c>
      <c r="L49" s="14">
        <f>(L31-L36)*'Values and parameters'!$C$43*'Values and parameters'!$C$45/1000</f>
        <v>4939.1999999999989</v>
      </c>
      <c r="M49" s="14">
        <f>(M31-M36)*'Values and parameters'!$C$43*'Values and parameters'!$C$45/1000</f>
        <v>4939.1999999999989</v>
      </c>
      <c r="N49" s="14">
        <f>(N31-N36)*'Values and parameters'!$C$43*'Values and parameters'!$C$45/1000</f>
        <v>4939.1999999999989</v>
      </c>
      <c r="O49" s="14">
        <f>(O31-O36)*'Values and parameters'!$C$43*'Values and parameters'!$C$45/1000</f>
        <v>4939.1999999999989</v>
      </c>
      <c r="P49" s="14">
        <f>(P31-P36)*'Values and parameters'!$C$43*'Values and parameters'!$C$45/1000</f>
        <v>4939.1999999999989</v>
      </c>
      <c r="Q49" s="14">
        <f>(Q31-Q36)*'Values and parameters'!$C$43*'Values and parameters'!$C$45/1000</f>
        <v>4939.1999999999989</v>
      </c>
      <c r="R49" s="14">
        <f>(R31-R36)*'Values and parameters'!$C$43*'Values and parameters'!$C$45/1000</f>
        <v>4939.1999999999989</v>
      </c>
      <c r="S49" s="14">
        <f>(S31-S36)*'Values and parameters'!$C$43*'Values and parameters'!$C$45/1000</f>
        <v>4939.1999999999989</v>
      </c>
      <c r="T49" s="14">
        <f>(T31-T36)*'Values and parameters'!$C$43*'Values and parameters'!$C$45/1000</f>
        <v>4939.1999999999989</v>
      </c>
      <c r="U49" s="14">
        <f>(U31-U36)*'Values and parameters'!$C$43*'Values and parameters'!$C$45/1000</f>
        <v>4939.1999999999989</v>
      </c>
    </row>
    <row r="50" spans="1:21" x14ac:dyDescent="0.25">
      <c r="A50" s="11" t="s">
        <v>141</v>
      </c>
      <c r="B50" s="15">
        <f>(B32-B37)*'Values and parameters'!$C$43*'Values and parameters'!$C$45/1000</f>
        <v>0</v>
      </c>
      <c r="C50" s="15">
        <f>(C32-C37)*'Values and parameters'!$C$43*'Values and parameters'!$C$45/1000</f>
        <v>-529.20000000000005</v>
      </c>
      <c r="D50" s="15">
        <f>(D32-D37)*'Values and parameters'!$C$43*'Values and parameters'!$C$45/1000</f>
        <v>-1058.3999999999999</v>
      </c>
      <c r="E50" s="15">
        <f>(E32-E37)*'Values and parameters'!$C$43*'Values and parameters'!$C$45/1000</f>
        <v>-1587.6</v>
      </c>
      <c r="F50" s="15">
        <f>(F32-F37)*'Values and parameters'!$C$43*'Values and parameters'!$C$45/1000</f>
        <v>-2116.8000000000002</v>
      </c>
      <c r="G50" s="15">
        <f>(G32-G37)*'Values and parameters'!$C$43*'Values and parameters'!$C$45/1000</f>
        <v>-2116.8000000000002</v>
      </c>
      <c r="H50" s="15">
        <f>(H32-H37)*'Values and parameters'!$C$43*'Values and parameters'!$C$45/1000</f>
        <v>-2116.8000000000002</v>
      </c>
      <c r="I50" s="15">
        <f>(I32-I37)*'Values and parameters'!$C$43*'Values and parameters'!$C$45/1000</f>
        <v>-2116.8000000000002</v>
      </c>
      <c r="J50" s="15">
        <f>(J32-J37)*'Values and parameters'!$C$43*'Values and parameters'!$C$45/1000</f>
        <v>-2116.8000000000002</v>
      </c>
      <c r="K50" s="15">
        <f>(K32-K37)*'Values and parameters'!$C$43*'Values and parameters'!$C$45/1000</f>
        <v>-2116.8000000000002</v>
      </c>
      <c r="L50" s="15">
        <f>(L32-L37)*'Values and parameters'!$C$43*'Values and parameters'!$C$45/1000</f>
        <v>-2116.8000000000002</v>
      </c>
      <c r="M50" s="15">
        <f>(M32-M37)*'Values and parameters'!$C$43*'Values and parameters'!$C$45/1000</f>
        <v>-2116.8000000000002</v>
      </c>
      <c r="N50" s="15">
        <f>(N32-N37)*'Values and parameters'!$C$43*'Values and parameters'!$C$45/1000</f>
        <v>-2116.8000000000002</v>
      </c>
      <c r="O50" s="15">
        <f>(O32-O37)*'Values and parameters'!$C$43*'Values and parameters'!$C$45/1000</f>
        <v>-2116.8000000000002</v>
      </c>
      <c r="P50" s="15">
        <f>(P32-P37)*'Values and parameters'!$C$43*'Values and parameters'!$C$45/1000</f>
        <v>-2116.8000000000002</v>
      </c>
      <c r="Q50" s="15">
        <f>(Q32-Q37)*'Values and parameters'!$C$43*'Values and parameters'!$C$45/1000</f>
        <v>-2116.8000000000002</v>
      </c>
      <c r="R50" s="15">
        <f>(R32-R37)*'Values and parameters'!$C$43*'Values and parameters'!$C$45/1000</f>
        <v>-2116.8000000000002</v>
      </c>
      <c r="S50" s="15">
        <f>(S32-S37)*'Values and parameters'!$C$43*'Values and parameters'!$C$45/1000</f>
        <v>-2116.8000000000002</v>
      </c>
      <c r="T50" s="15">
        <f>(T32-T37)*'Values and parameters'!$C$43*'Values and parameters'!$C$45/1000</f>
        <v>-2116.8000000000002</v>
      </c>
      <c r="U50" s="15">
        <f>(U32-U37)*'Values and parameters'!$C$43*'Values and parameters'!$C$45/1000</f>
        <v>-2116.8000000000002</v>
      </c>
    </row>
    <row r="51" spans="1:21" x14ac:dyDescent="0.25">
      <c r="A51" s="2" t="s">
        <v>144</v>
      </c>
      <c r="B51" s="14">
        <f>B50+B49</f>
        <v>0</v>
      </c>
      <c r="C51" s="14">
        <f t="shared" ref="C51:U51" si="87">C50+C49</f>
        <v>705.59999999999968</v>
      </c>
      <c r="D51" s="14">
        <f t="shared" si="87"/>
        <v>1411.1999999999996</v>
      </c>
      <c r="E51" s="14">
        <f t="shared" si="87"/>
        <v>2116.7999999999997</v>
      </c>
      <c r="F51" s="14">
        <f t="shared" si="87"/>
        <v>2822.3999999999987</v>
      </c>
      <c r="G51" s="14">
        <f t="shared" si="87"/>
        <v>2822.3999999999987</v>
      </c>
      <c r="H51" s="14">
        <f t="shared" si="87"/>
        <v>2822.3999999999987</v>
      </c>
      <c r="I51" s="14">
        <f t="shared" si="87"/>
        <v>2822.3999999999987</v>
      </c>
      <c r="J51" s="14">
        <f t="shared" si="87"/>
        <v>2822.3999999999987</v>
      </c>
      <c r="K51" s="14">
        <f t="shared" si="87"/>
        <v>2822.3999999999987</v>
      </c>
      <c r="L51" s="14">
        <f t="shared" si="87"/>
        <v>2822.3999999999987</v>
      </c>
      <c r="M51" s="14">
        <f t="shared" si="87"/>
        <v>2822.3999999999987</v>
      </c>
      <c r="N51" s="14">
        <f t="shared" si="87"/>
        <v>2822.3999999999987</v>
      </c>
      <c r="O51" s="14">
        <f t="shared" si="87"/>
        <v>2822.3999999999987</v>
      </c>
      <c r="P51" s="14">
        <f t="shared" si="87"/>
        <v>2822.3999999999987</v>
      </c>
      <c r="Q51" s="14">
        <f t="shared" si="87"/>
        <v>2822.3999999999987</v>
      </c>
      <c r="R51" s="14">
        <f t="shared" si="87"/>
        <v>2822.3999999999987</v>
      </c>
      <c r="S51" s="14">
        <f t="shared" si="87"/>
        <v>2822.3999999999987</v>
      </c>
      <c r="T51" s="14">
        <f t="shared" si="87"/>
        <v>2822.3999999999987</v>
      </c>
      <c r="U51" s="14">
        <f t="shared" si="87"/>
        <v>2822.3999999999987</v>
      </c>
    </row>
    <row r="52" spans="1:21" x14ac:dyDescent="0.25">
      <c r="B52" s="14"/>
      <c r="C52" s="14"/>
      <c r="D52" s="14"/>
      <c r="E52" s="14"/>
      <c r="F52" s="14"/>
      <c r="G52" s="14"/>
      <c r="H52" s="14"/>
      <c r="I52" s="14"/>
      <c r="J52" s="14"/>
      <c r="K52" s="14"/>
      <c r="L52" s="14"/>
      <c r="M52" s="14"/>
      <c r="N52" s="14"/>
      <c r="O52" s="14"/>
      <c r="P52" s="14"/>
      <c r="Q52" s="14"/>
      <c r="R52" s="14"/>
      <c r="S52" s="14"/>
      <c r="T52" s="14"/>
      <c r="U52" s="14"/>
    </row>
    <row r="53" spans="1:21" x14ac:dyDescent="0.25">
      <c r="B53" s="14"/>
      <c r="C53" s="14"/>
      <c r="D53" s="14"/>
      <c r="E53" s="14"/>
      <c r="F53" s="14"/>
      <c r="G53" s="14"/>
      <c r="H53" s="14"/>
      <c r="I53" s="14"/>
      <c r="J53" s="14"/>
      <c r="K53" s="14"/>
      <c r="L53" s="14"/>
      <c r="M53" s="14"/>
      <c r="N53" s="14"/>
      <c r="O53" s="14"/>
      <c r="P53" s="14"/>
      <c r="Q53" s="14"/>
      <c r="R53" s="14"/>
      <c r="S53" s="14"/>
      <c r="T53" s="14"/>
      <c r="U53" s="14"/>
    </row>
    <row r="54" spans="1:21" s="21" customFormat="1" x14ac:dyDescent="0.25">
      <c r="A54" s="16" t="s">
        <v>53</v>
      </c>
      <c r="B54" s="17" t="s">
        <v>28</v>
      </c>
      <c r="C54" s="17" t="s">
        <v>29</v>
      </c>
      <c r="D54" s="17" t="s">
        <v>30</v>
      </c>
      <c r="E54" s="17" t="s">
        <v>31</v>
      </c>
      <c r="F54" s="17" t="s">
        <v>32</v>
      </c>
      <c r="G54" s="17" t="s">
        <v>33</v>
      </c>
      <c r="H54" s="17" t="s">
        <v>34</v>
      </c>
      <c r="I54" s="17" t="s">
        <v>35</v>
      </c>
      <c r="J54" s="17" t="s">
        <v>36</v>
      </c>
      <c r="K54" s="17" t="s">
        <v>37</v>
      </c>
      <c r="L54" s="17" t="s">
        <v>38</v>
      </c>
      <c r="M54" s="17" t="s">
        <v>39</v>
      </c>
      <c r="N54" s="17" t="s">
        <v>40</v>
      </c>
      <c r="O54" s="17" t="s">
        <v>41</v>
      </c>
      <c r="P54" s="17" t="s">
        <v>42</v>
      </c>
      <c r="Q54" s="17" t="s">
        <v>43</v>
      </c>
      <c r="R54" s="17" t="s">
        <v>44</v>
      </c>
      <c r="S54" s="17" t="s">
        <v>45</v>
      </c>
      <c r="T54" s="17" t="s">
        <v>46</v>
      </c>
      <c r="U54" s="17" t="s">
        <v>47</v>
      </c>
    </row>
    <row r="55" spans="1:21" s="21" customFormat="1" x14ac:dyDescent="0.25">
      <c r="A55" s="20" t="s">
        <v>50</v>
      </c>
      <c r="B55" s="23">
        <v>0.81740866972470339</v>
      </c>
      <c r="C55" s="23">
        <v>0.79034417323485051</v>
      </c>
      <c r="D55" s="23">
        <v>0.76813397525304628</v>
      </c>
      <c r="E55" s="23">
        <v>0.74461048601324853</v>
      </c>
      <c r="F55" s="23">
        <v>0.71456993625205856</v>
      </c>
      <c r="G55" s="23">
        <v>0.67784022328657567</v>
      </c>
      <c r="H55" s="23">
        <v>0.67254752824456099</v>
      </c>
      <c r="I55" s="23">
        <v>0.6678056871601199</v>
      </c>
      <c r="J55" s="23">
        <v>0.66358530875349109</v>
      </c>
      <c r="K55" s="23">
        <v>0.65985852750499285</v>
      </c>
      <c r="L55" s="23">
        <v>0.65659891904363599</v>
      </c>
      <c r="M55" s="23">
        <v>0.65206265295627164</v>
      </c>
      <c r="N55" s="23">
        <v>0.65206265295627164</v>
      </c>
      <c r="O55" s="23">
        <v>0.65206265295627164</v>
      </c>
      <c r="P55" s="23">
        <v>0.65206265295627164</v>
      </c>
      <c r="Q55" s="23">
        <v>0.65206265295627164</v>
      </c>
      <c r="R55" s="23">
        <v>0.65206265295627164</v>
      </c>
      <c r="S55" s="23">
        <v>0.65206265295627164</v>
      </c>
      <c r="T55" s="24">
        <v>0.65206265295627164</v>
      </c>
      <c r="U55" s="24">
        <v>0.65206265295627164</v>
      </c>
    </row>
    <row r="56" spans="1:21" s="21" customFormat="1" x14ac:dyDescent="0.25">
      <c r="A56" s="22" t="s">
        <v>51</v>
      </c>
      <c r="B56" s="25">
        <v>0</v>
      </c>
      <c r="C56" s="25">
        <v>0</v>
      </c>
      <c r="D56" s="25">
        <v>100772.92420293987</v>
      </c>
      <c r="E56" s="25">
        <v>203524.52489719167</v>
      </c>
      <c r="F56" s="25">
        <v>308217.30319758254</v>
      </c>
      <c r="G56" s="25">
        <v>308775.38167317014</v>
      </c>
      <c r="H56" s="25">
        <v>309246.56271082512</v>
      </c>
      <c r="I56" s="25">
        <v>309628.34364952345</v>
      </c>
      <c r="J56" s="25">
        <v>309918.19114535849</v>
      </c>
      <c r="K56" s="25">
        <v>310113.54202773917</v>
      </c>
      <c r="L56" s="25">
        <v>310211.804233103</v>
      </c>
      <c r="M56" s="25">
        <v>308647.72119097708</v>
      </c>
      <c r="N56" s="25">
        <v>308647.72119097708</v>
      </c>
      <c r="O56" s="25">
        <v>308647.72119097708</v>
      </c>
      <c r="P56" s="25">
        <v>308647.72119097708</v>
      </c>
      <c r="Q56" s="25">
        <v>308647.72119097708</v>
      </c>
      <c r="R56" s="25">
        <v>308647.72119097708</v>
      </c>
      <c r="S56" s="25">
        <v>308647.72119097708</v>
      </c>
      <c r="T56" s="26">
        <v>308647.72119097708</v>
      </c>
      <c r="U56" s="26">
        <v>308647.72119097708</v>
      </c>
    </row>
    <row r="57" spans="1:21" s="21" customFormat="1" x14ac:dyDescent="0.25">
      <c r="A57" s="22" t="s">
        <v>52</v>
      </c>
      <c r="B57" s="25">
        <f>B56*B55*'Values and parameters'!$C$7*'Values and parameters'!$C$6</f>
        <v>0</v>
      </c>
      <c r="C57" s="25">
        <f>C56*C55*'Values and parameters'!$C$7*'Values and parameters'!$C$6</f>
        <v>0</v>
      </c>
      <c r="D57" s="25">
        <f>D56*D55*'Values and parameters'!$C$7*'Values and parameters'!$C$6</f>
        <v>141925.93043858753</v>
      </c>
      <c r="E57" s="25">
        <f>E56*E55*'Values and parameters'!$C$7*'Values and parameters'!$C$6</f>
        <v>277860.49931464111</v>
      </c>
      <c r="F57" s="25">
        <f>F56*F55*'Values and parameters'!$C$7*'Values and parameters'!$C$6</f>
        <v>403815.20808219252</v>
      </c>
      <c r="G57" s="25">
        <f>G56*G55*'Values and parameters'!$C$7*'Values and parameters'!$C$6</f>
        <v>383752.23510329844</v>
      </c>
      <c r="H57" s="25">
        <f>H56*H55*'Values and parameters'!$C$7*'Values and parameters'!$C$6</f>
        <v>381336.85134559701</v>
      </c>
      <c r="I57" s="25">
        <f>I56*I55*'Values and parameters'!$C$7*'Values and parameters'!$C$6</f>
        <v>379115.67138585204</v>
      </c>
      <c r="J57" s="25">
        <f>J56*J55*'Values and parameters'!$C$7*'Values and parameters'!$C$6</f>
        <v>377072.40021887294</v>
      </c>
      <c r="K57" s="25">
        <f>K56*K55*'Values and parameters'!$C$7*'Values and parameters'!$C$6</f>
        <v>375191.05804746674</v>
      </c>
      <c r="L57" s="25">
        <f>L56*L55*'Values and parameters'!$C$7*'Values and parameters'!$C$6</f>
        <v>373455.96223494667</v>
      </c>
      <c r="M57" s="25">
        <f>M56*M55*'Values and parameters'!$C$7*'Values and parameters'!$C$6</f>
        <v>369005.90477459447</v>
      </c>
      <c r="N57" s="25">
        <f>N56*N55*'Values and parameters'!$C$7*'Values and parameters'!$C$6</f>
        <v>369005.90477459447</v>
      </c>
      <c r="O57" s="25">
        <f>O56*O55*'Values and parameters'!$C$7*'Values and parameters'!$C$6</f>
        <v>369005.90477459447</v>
      </c>
      <c r="P57" s="25">
        <f>P56*P55*'Values and parameters'!$C$7*'Values and parameters'!$C$6</f>
        <v>369005.90477459447</v>
      </c>
      <c r="Q57" s="25">
        <f>Q56*Q55*'Values and parameters'!$C$7*'Values and parameters'!$C$6</f>
        <v>369005.90477459447</v>
      </c>
      <c r="R57" s="25">
        <f>R56*R55*'Values and parameters'!$C$7*'Values and parameters'!$C$6</f>
        <v>369005.90477459447</v>
      </c>
      <c r="S57" s="25">
        <f>S56*S55*'Values and parameters'!$C$7*'Values and parameters'!$C$6</f>
        <v>369005.90477459447</v>
      </c>
      <c r="T57" s="25">
        <f>T56*T55*'Values and parameters'!$C$7*'Values and parameters'!$C$6</f>
        <v>369005.90477459447</v>
      </c>
      <c r="U57" s="25">
        <f>U56*U55*'Values and parameters'!$C$7*'Values and parameters'!$C$6</f>
        <v>369005.90477459447</v>
      </c>
    </row>
    <row r="58" spans="1:21" x14ac:dyDescent="0.25">
      <c r="B58" s="14"/>
      <c r="C58" s="14"/>
      <c r="D58" s="14"/>
      <c r="E58" s="14"/>
      <c r="F58" s="14"/>
      <c r="G58" s="14"/>
      <c r="H58" s="14"/>
      <c r="I58" s="14"/>
      <c r="J58" s="14"/>
      <c r="K58" s="14"/>
      <c r="L58" s="14"/>
      <c r="M58" s="14"/>
      <c r="N58" s="14"/>
      <c r="O58" s="14"/>
      <c r="P58" s="14"/>
      <c r="Q58" s="14"/>
      <c r="R58" s="14"/>
      <c r="S58" s="14"/>
      <c r="T58" s="14"/>
      <c r="U58" s="14"/>
    </row>
    <row r="59" spans="1:21" x14ac:dyDescent="0.25">
      <c r="A59" s="18"/>
      <c r="B59" s="18"/>
      <c r="C59" s="18"/>
      <c r="D59" s="18"/>
    </row>
    <row r="60" spans="1:21" x14ac:dyDescent="0.25">
      <c r="A60" s="18"/>
      <c r="B60" s="18"/>
      <c r="C60" s="18"/>
      <c r="D60" s="18"/>
    </row>
    <row r="61" spans="1:21" x14ac:dyDescent="0.25">
      <c r="A61" s="31" t="s">
        <v>54</v>
      </c>
      <c r="B61" s="27" t="s">
        <v>48</v>
      </c>
      <c r="C61" s="27" t="s">
        <v>49</v>
      </c>
    </row>
    <row r="62" spans="1:21" x14ac:dyDescent="0.25">
      <c r="A62" s="32" t="s">
        <v>0</v>
      </c>
      <c r="B62" s="28">
        <f>SUM(B41:G41)</f>
        <v>85168.794517324044</v>
      </c>
      <c r="C62" s="28">
        <f>SUM(B41:U41)</f>
        <v>516222.66555422166</v>
      </c>
      <c r="E62" s="14">
        <f>40*B62</f>
        <v>3406751.780692962</v>
      </c>
      <c r="F62" s="14">
        <f>40*C62</f>
        <v>20648906.622168865</v>
      </c>
      <c r="G62" s="73">
        <f>(3409539-E62)/3409539</f>
        <v>8.1747688090325456E-4</v>
      </c>
      <c r="H62" s="73">
        <f>(20665800-F62)/20665800</f>
        <v>8.174557883621706E-4</v>
      </c>
    </row>
    <row r="63" spans="1:21" x14ac:dyDescent="0.25">
      <c r="A63" s="32" t="s">
        <v>1</v>
      </c>
      <c r="B63" s="28">
        <f>SUM(B42:G42)</f>
        <v>-39082.265408379375</v>
      </c>
      <c r="C63" s="28">
        <f>SUM(B42:U42)</f>
        <v>2250784.0691878102</v>
      </c>
      <c r="E63" s="14">
        <f t="shared" ref="E63:E67" si="88">40*B63</f>
        <v>-1563290.616335175</v>
      </c>
      <c r="F63" s="14">
        <f t="shared" ref="F63:F67" si="89">40*C63</f>
        <v>90031362.767512411</v>
      </c>
      <c r="G63" s="73">
        <f>(-1564570-E63)/-1564570</f>
        <v>8.1772222708156221E-4</v>
      </c>
      <c r="H63" s="73">
        <f>(90105018-F63)/90105018</f>
        <v>8.1743763136021038E-4</v>
      </c>
    </row>
    <row r="64" spans="1:21" x14ac:dyDescent="0.25">
      <c r="A64" s="32" t="s">
        <v>2</v>
      </c>
      <c r="B64" s="28">
        <f>SUM(B43:G43)+SUM(B51:G51)</f>
        <v>22741.400038593747</v>
      </c>
      <c r="C64" s="28">
        <f>SUM(B43:U43)+SUM(B51:U51)</f>
        <v>204041.65668796876</v>
      </c>
      <c r="E64" s="14">
        <f t="shared" si="88"/>
        <v>909656.00154374982</v>
      </c>
      <c r="F64" s="14">
        <f t="shared" si="89"/>
        <v>8161666.2675187504</v>
      </c>
      <c r="G64" s="73">
        <f>(897329-909656)/897329</f>
        <v>-1.3737436324915388E-2</v>
      </c>
      <c r="H64" s="73">
        <f>(8102986-F64)/8102986</f>
        <v>-7.2418078371047894E-3</v>
      </c>
    </row>
    <row r="65" spans="1:8" x14ac:dyDescent="0.25">
      <c r="A65" s="32" t="s">
        <v>25</v>
      </c>
      <c r="B65" s="28">
        <f>SUM(B44:G44)</f>
        <v>31881.206028000001</v>
      </c>
      <c r="C65" s="28">
        <f>SUM(B44:U44)</f>
        <v>276814.04491866293</v>
      </c>
      <c r="E65" s="14">
        <f t="shared" si="88"/>
        <v>1275248.2411199999</v>
      </c>
      <c r="F65" s="14">
        <f t="shared" si="89"/>
        <v>11072561.796746517</v>
      </c>
      <c r="G65" s="73">
        <f>(1276292-1275248)/1276292</f>
        <v>8.1799462818853369E-4</v>
      </c>
      <c r="H65" s="73">
        <f>(11081620-F65)/11081620</f>
        <v>8.1740785674688354E-4</v>
      </c>
    </row>
    <row r="66" spans="1:8" x14ac:dyDescent="0.25">
      <c r="A66" s="33" t="s">
        <v>55</v>
      </c>
      <c r="B66" s="29">
        <f>SUM(B57:G57)</f>
        <v>1207353.8729387196</v>
      </c>
      <c r="C66" s="29">
        <f>SUM(B57:U57)</f>
        <v>6414578.9591428032</v>
      </c>
      <c r="E66" s="14">
        <f t="shared" si="88"/>
        <v>48294154.917548783</v>
      </c>
      <c r="F66" s="14">
        <f t="shared" si="89"/>
        <v>256583158.36571214</v>
      </c>
      <c r="G66" s="2">
        <v>0</v>
      </c>
      <c r="H66" s="2">
        <v>0</v>
      </c>
    </row>
    <row r="67" spans="1:8" x14ac:dyDescent="0.25">
      <c r="A67" s="34" t="s">
        <v>26</v>
      </c>
      <c r="B67" s="30">
        <f>SUM(B62:B66)</f>
        <v>1308063.0081142581</v>
      </c>
      <c r="C67" s="30">
        <f>SUM(C62:C66)</f>
        <v>9662441.3954914659</v>
      </c>
      <c r="D67" s="60"/>
      <c r="E67" s="14">
        <f t="shared" si="88"/>
        <v>52322520.324570321</v>
      </c>
      <c r="F67" s="14">
        <f t="shared" si="89"/>
        <v>386497655.81965864</v>
      </c>
      <c r="G67" s="61">
        <f>(52312744-E67)/52312744</f>
        <v>-1.8688227423743146E-4</v>
      </c>
      <c r="H67" s="61">
        <f>(386538582-F67)/386538582</f>
        <v>1.0587864251378392E-4</v>
      </c>
    </row>
    <row r="68" spans="1:8" x14ac:dyDescent="0.25">
      <c r="A68" s="1"/>
      <c r="B68" s="19"/>
      <c r="C68" s="19"/>
    </row>
    <row r="69" spans="1:8" x14ac:dyDescent="0.25">
      <c r="A69" s="18"/>
      <c r="B69" s="18"/>
      <c r="C69" s="18"/>
    </row>
    <row r="70" spans="1:8" x14ac:dyDescent="0.25">
      <c r="A70" s="27" t="s">
        <v>57</v>
      </c>
      <c r="B70" s="27" t="s">
        <v>48</v>
      </c>
      <c r="C70" s="27" t="s">
        <v>49</v>
      </c>
    </row>
    <row r="71" spans="1:8" x14ac:dyDescent="0.25">
      <c r="A71" s="65" t="s">
        <v>56</v>
      </c>
      <c r="B71" s="62">
        <f>SUM(B9:G9)</f>
        <v>-49423.121707093611</v>
      </c>
      <c r="C71" s="62">
        <f>SUM(B9:U9)</f>
        <v>-100366.95485132854</v>
      </c>
    </row>
    <row r="72" spans="1:8" x14ac:dyDescent="0.25">
      <c r="A72" s="65" t="s">
        <v>106</v>
      </c>
      <c r="B72" s="62">
        <f>SUM(B16:G16)</f>
        <v>21530.379248718062</v>
      </c>
      <c r="C72" s="62">
        <f>SUM(B16:U16)</f>
        <v>329694.37924871803</v>
      </c>
    </row>
    <row r="73" spans="1:8" x14ac:dyDescent="0.25">
      <c r="A73" s="66" t="s">
        <v>107</v>
      </c>
      <c r="B73" s="63">
        <f>B72-B71</f>
        <v>70953.500955811673</v>
      </c>
      <c r="C73" s="63">
        <f>C72-C71</f>
        <v>430061.33410004654</v>
      </c>
      <c r="D73" s="18"/>
    </row>
    <row r="74" spans="1:8" x14ac:dyDescent="0.25">
      <c r="A74" s="67" t="s">
        <v>108</v>
      </c>
      <c r="B74" s="64">
        <f>SUM(B41:G41)</f>
        <v>85168.794517324044</v>
      </c>
      <c r="C74" s="64">
        <f>SUM(B41:U41)</f>
        <v>516222.66555422166</v>
      </c>
      <c r="D74" s="18"/>
    </row>
    <row r="76" spans="1:8" x14ac:dyDescent="0.25">
      <c r="A76" s="27" t="s">
        <v>57</v>
      </c>
      <c r="B76" s="27" t="s">
        <v>48</v>
      </c>
      <c r="C76" s="27" t="s">
        <v>49</v>
      </c>
    </row>
    <row r="77" spans="1:8" x14ac:dyDescent="0.25">
      <c r="A77" s="65" t="s">
        <v>109</v>
      </c>
      <c r="B77" s="62">
        <f>SUM(B10:G10)</f>
        <v>-157399.37499999985</v>
      </c>
      <c r="C77" s="62">
        <f>SUM(B10:U10)</f>
        <v>-526663.375</v>
      </c>
    </row>
    <row r="78" spans="1:8" x14ac:dyDescent="0.25">
      <c r="A78" s="65" t="s">
        <v>110</v>
      </c>
      <c r="B78" s="62">
        <f>SUM(B17:G17)</f>
        <v>-189958.52499999985</v>
      </c>
      <c r="C78" s="62">
        <f>SUM(B17:U17)</f>
        <v>1348448.4016725984</v>
      </c>
    </row>
    <row r="79" spans="1:8" x14ac:dyDescent="0.25">
      <c r="A79" s="66" t="s">
        <v>111</v>
      </c>
      <c r="B79" s="63">
        <f>B78-B77</f>
        <v>-32559.149999999994</v>
      </c>
      <c r="C79" s="63">
        <f>C78-C77</f>
        <v>1875111.7766725984</v>
      </c>
    </row>
    <row r="80" spans="1:8" x14ac:dyDescent="0.25">
      <c r="A80" s="67" t="s">
        <v>112</v>
      </c>
      <c r="B80" s="64">
        <f>B63</f>
        <v>-39082.265408379375</v>
      </c>
      <c r="C80" s="64">
        <f>C63</f>
        <v>2250784.0691878102</v>
      </c>
    </row>
    <row r="82" spans="1:3" x14ac:dyDescent="0.25">
      <c r="A82" s="27" t="s">
        <v>57</v>
      </c>
      <c r="B82" s="27" t="s">
        <v>48</v>
      </c>
      <c r="C82" s="27" t="s">
        <v>49</v>
      </c>
    </row>
    <row r="83" spans="1:3" x14ac:dyDescent="0.25">
      <c r="A83" s="65" t="s">
        <v>113</v>
      </c>
      <c r="B83" s="62">
        <f>SUM(B11:G11)</f>
        <v>-9750.0000000000055</v>
      </c>
      <c r="C83" s="62">
        <f>SUM(B11:U11)</f>
        <v>-19800</v>
      </c>
    </row>
    <row r="84" spans="1:3" x14ac:dyDescent="0.25">
      <c r="A84" s="65" t="s">
        <v>114</v>
      </c>
      <c r="B84" s="62">
        <f>SUM(B18:G18)</f>
        <v>966.07142857142389</v>
      </c>
      <c r="C84" s="62">
        <f>SUM(B18:U18)</f>
        <v>109037.5</v>
      </c>
    </row>
    <row r="85" spans="1:3" x14ac:dyDescent="0.25">
      <c r="A85" s="66" t="s">
        <v>115</v>
      </c>
      <c r="B85" s="63">
        <f>B84-B83</f>
        <v>10716.071428571429</v>
      </c>
      <c r="C85" s="63">
        <f>C84-C83</f>
        <v>128837.5</v>
      </c>
    </row>
    <row r="86" spans="1:3" x14ac:dyDescent="0.25">
      <c r="A86" s="66" t="s">
        <v>120</v>
      </c>
      <c r="B86" s="63">
        <f>SUM(B38:G38)-SUM(B33:G33)</f>
        <v>-13066.666666666657</v>
      </c>
      <c r="C86" s="63">
        <f>SUM(B38:U38)-SUM(B33:U33)</f>
        <v>-65333.333333333372</v>
      </c>
    </row>
    <row r="87" spans="1:3" x14ac:dyDescent="0.25">
      <c r="A87" s="67" t="s">
        <v>121</v>
      </c>
      <c r="B87" s="64">
        <f>B64</f>
        <v>22741.400038593747</v>
      </c>
      <c r="C87" s="64">
        <f>C64</f>
        <v>204041.65668796876</v>
      </c>
    </row>
    <row r="89" spans="1:3" x14ac:dyDescent="0.25">
      <c r="A89" s="27" t="s">
        <v>57</v>
      </c>
      <c r="B89" s="27" t="s">
        <v>48</v>
      </c>
      <c r="C89" s="27" t="s">
        <v>49</v>
      </c>
    </row>
    <row r="90" spans="1:3" x14ac:dyDescent="0.25">
      <c r="A90" s="65" t="s">
        <v>116</v>
      </c>
      <c r="B90" s="62">
        <f>SUM(B12:G12)</f>
        <v>-2560.0000000000018</v>
      </c>
      <c r="C90" s="62">
        <f>SUM(B12:U12)</f>
        <v>-9728.0000000000055</v>
      </c>
    </row>
    <row r="91" spans="1:3" x14ac:dyDescent="0.25">
      <c r="A91" s="65" t="s">
        <v>117</v>
      </c>
      <c r="B91" s="62">
        <f>SUM(B19:G19)</f>
        <v>24000</v>
      </c>
      <c r="C91" s="62">
        <f>SUM(B19:U19)</f>
        <v>220883.76</v>
      </c>
    </row>
    <row r="92" spans="1:3" x14ac:dyDescent="0.25">
      <c r="A92" s="66" t="s">
        <v>118</v>
      </c>
      <c r="B92" s="63">
        <f>B91-B90</f>
        <v>26560</v>
      </c>
      <c r="C92" s="63">
        <f>C91-C90</f>
        <v>230611.76</v>
      </c>
    </row>
    <row r="93" spans="1:3" x14ac:dyDescent="0.25">
      <c r="A93" s="67" t="s">
        <v>119</v>
      </c>
      <c r="B93" s="64">
        <f>B65</f>
        <v>31881.206028000001</v>
      </c>
      <c r="C93" s="64">
        <f>C65</f>
        <v>276814.04491866293</v>
      </c>
    </row>
    <row r="95" spans="1:3" x14ac:dyDescent="0.25">
      <c r="A95" s="27" t="s">
        <v>57</v>
      </c>
      <c r="B95" s="27" t="s">
        <v>48</v>
      </c>
      <c r="C95" s="27" t="s">
        <v>49</v>
      </c>
    </row>
    <row r="96" spans="1:3" x14ac:dyDescent="0.25">
      <c r="A96" s="65" t="s">
        <v>58</v>
      </c>
      <c r="B96" s="62">
        <f>SUM(B56:G56)</f>
        <v>921290.13397088426</v>
      </c>
      <c r="C96" s="62">
        <f>SUM(B56:U56)</f>
        <v>5248238.068456226</v>
      </c>
    </row>
    <row r="97" spans="1:3" x14ac:dyDescent="0.25">
      <c r="A97" s="68" t="s">
        <v>59</v>
      </c>
      <c r="B97" s="64">
        <f>B66</f>
        <v>1207353.8729387196</v>
      </c>
      <c r="C97" s="64">
        <f>C66</f>
        <v>6414578.9591428032</v>
      </c>
    </row>
    <row r="98" spans="1:3" x14ac:dyDescent="0.25">
      <c r="A98" s="18"/>
    </row>
    <row r="99" spans="1:3" x14ac:dyDescent="0.25">
      <c r="A99" s="18"/>
    </row>
  </sheetData>
  <phoneticPr fontId="5" type="noConversion"/>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F0B7ED-147F-43D7-AD66-C48C3CAA1799}">
  <dimension ref="A1:A30"/>
  <sheetViews>
    <sheetView workbookViewId="0">
      <selection activeCell="A4" sqref="A4"/>
    </sheetView>
  </sheetViews>
  <sheetFormatPr defaultRowHeight="15" x14ac:dyDescent="0.25"/>
  <cols>
    <col min="1" max="1" width="181.42578125" customWidth="1"/>
  </cols>
  <sheetData>
    <row r="1" spans="1:1" ht="47.25" customHeight="1" x14ac:dyDescent="0.3">
      <c r="A1" s="72" t="s">
        <v>136</v>
      </c>
    </row>
    <row r="2" spans="1:1" ht="15.75" x14ac:dyDescent="0.25">
      <c r="A2" s="69" t="s">
        <v>122</v>
      </c>
    </row>
    <row r="4" spans="1:1" ht="45.75" x14ac:dyDescent="0.25">
      <c r="A4" s="70" t="s">
        <v>123</v>
      </c>
    </row>
    <row r="6" spans="1:1" ht="15.75" x14ac:dyDescent="0.25">
      <c r="A6" s="70" t="s">
        <v>124</v>
      </c>
    </row>
    <row r="8" spans="1:1" ht="30.75" x14ac:dyDescent="0.25">
      <c r="A8" s="70" t="s">
        <v>125</v>
      </c>
    </row>
    <row r="10" spans="1:1" x14ac:dyDescent="0.25">
      <c r="A10" s="71"/>
    </row>
    <row r="12" spans="1:1" ht="15.75" x14ac:dyDescent="0.25">
      <c r="A12" s="69" t="s">
        <v>126</v>
      </c>
    </row>
    <row r="14" spans="1:1" ht="15.75" x14ac:dyDescent="0.25">
      <c r="A14" s="70" t="s">
        <v>127</v>
      </c>
    </row>
    <row r="16" spans="1:1" ht="15.75" x14ac:dyDescent="0.25">
      <c r="A16" s="70" t="s">
        <v>128</v>
      </c>
    </row>
    <row r="18" spans="1:1" ht="15.75" x14ac:dyDescent="0.25">
      <c r="A18" s="69" t="s">
        <v>129</v>
      </c>
    </row>
    <row r="20" spans="1:1" ht="30.75" x14ac:dyDescent="0.25">
      <c r="A20" s="69" t="s">
        <v>130</v>
      </c>
    </row>
    <row r="22" spans="1:1" ht="15.75" x14ac:dyDescent="0.25">
      <c r="A22" s="69" t="s">
        <v>131</v>
      </c>
    </row>
    <row r="24" spans="1:1" ht="30.75" x14ac:dyDescent="0.25">
      <c r="A24" s="69" t="s">
        <v>132</v>
      </c>
    </row>
    <row r="26" spans="1:1" ht="45.75" x14ac:dyDescent="0.25">
      <c r="A26" s="69" t="s">
        <v>133</v>
      </c>
    </row>
    <row r="28" spans="1:1" ht="45.75" x14ac:dyDescent="0.25">
      <c r="A28" s="70" t="s">
        <v>134</v>
      </c>
    </row>
    <row r="30" spans="1:1" ht="30.75" x14ac:dyDescent="0.25">
      <c r="A30" s="70" t="s">
        <v>135</v>
      </c>
    </row>
  </sheetData>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14" ma:contentTypeDescription="Create a new document." ma:contentTypeScope="" ma:versionID="20e30d4e9bb08fd08cde126d5a8214c5">
  <xsd:schema xmlns:xsd="http://www.w3.org/2001/XMLSchema" xmlns:xs="http://www.w3.org/2001/XMLSchema" xmlns:p="http://schemas.microsoft.com/office/2006/metadata/properties" xmlns:ns2="366ae72f-6d51-4737-8f6b-a9169c366b64" xmlns:ns3="a3cd7b71-671d-4139-9a97-5d1a7380fae4" targetNamespace="http://schemas.microsoft.com/office/2006/metadata/properties" ma:root="true" ma:fieldsID="1e4dae1d9d17e89866f720decb35dab9" ns2:_="" ns3:_="">
    <xsd:import namespace="366ae72f-6d51-4737-8f6b-a9169c366b64"/>
    <xsd:import namespace="a3cd7b71-671d-4139-9a97-5d1a7380fae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remarks xmlns="366ae72f-6d51-4737-8f6b-a9169c366b64" xsi:nil="true"/>
    <file_x0020_ xmlns="366ae72f-6d51-4737-8f6b-a9169c366b64" xsi:nil="true"/>
  </documentManagement>
</p:properties>
</file>

<file path=customXml/itemProps1.xml><?xml version="1.0" encoding="utf-8"?>
<ds:datastoreItem xmlns:ds="http://schemas.openxmlformats.org/officeDocument/2006/customXml" ds:itemID="{B9DB49C6-1CF1-4F67-A6F5-F46FE2A0472C}"/>
</file>

<file path=customXml/itemProps2.xml><?xml version="1.0" encoding="utf-8"?>
<ds:datastoreItem xmlns:ds="http://schemas.openxmlformats.org/officeDocument/2006/customXml" ds:itemID="{AD55F45E-EC6D-4931-A7BC-71E178DFDD62}"/>
</file>

<file path=customXml/itemProps3.xml><?xml version="1.0" encoding="utf-8"?>
<ds:datastoreItem xmlns:ds="http://schemas.openxmlformats.org/officeDocument/2006/customXml" ds:itemID="{9B43A6F2-720F-452F-B983-28211016E40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Values and parameters</vt:lpstr>
      <vt:lpstr>Emission reduction calculation</vt:lpstr>
      <vt:lpstr>Note on data sources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ECo</dc:creator>
  <cp:lastModifiedBy>ECo</cp:lastModifiedBy>
  <dcterms:created xsi:type="dcterms:W3CDTF">2021-01-20T16:12:05Z</dcterms:created>
  <dcterms:modified xsi:type="dcterms:W3CDTF">2021-05-16T14:08:36Z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ies>
</file>