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C:\Users\psonata\Documents\B. 29 June 2021\CABEI Costa Rica GAM\Revised TS from Yun 27 May 2021\"/>
    </mc:Choice>
  </mc:AlternateContent>
  <xr:revisionPtr revIDLastSave="0" documentId="13_ncr:1_{BDD1D606-197F-4765-AB4E-E0FBCBA242A1}" xr6:coauthVersionLast="44" xr6:coauthVersionMax="44" xr10:uidLastSave="{00000000-0000-0000-0000-000000000000}"/>
  <bookViews>
    <workbookView xWindow="-28898" yWindow="2737" windowWidth="28996" windowHeight="15796" xr2:uid="{00000000-000D-0000-FFFF-FFFF00000000}"/>
  </bookViews>
  <sheets>
    <sheet name="Detailed Budget" sheetId="1" r:id="rId1"/>
    <sheet name="Sheet1" sheetId="3" r:id="rId2"/>
    <sheet name="Notes and Assumptions" sheetId="2" r:id="rId3"/>
    <sheet name="1A" sheetId="4" r:id="rId4"/>
    <sheet name="1B" sheetId="5" r:id="rId5"/>
    <sheet name="1C" sheetId="6" r:id="rId6"/>
    <sheet name="1D" sheetId="7" r:id="rId7"/>
    <sheet name="2A" sheetId="9" r:id="rId8"/>
    <sheet name="2B" sheetId="13" r:id="rId9"/>
    <sheet name="3A" sheetId="8" r:id="rId10"/>
    <sheet name="3B" sheetId="10" r:id="rId11"/>
  </sheets>
  <definedNames>
    <definedName name="_ftn1" localSheetId="10">'3B'!#REF!</definedName>
    <definedName name="_ftnref1" localSheetId="10">'3B'!$A$14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9" i="1" l="1"/>
  <c r="K19" i="1"/>
  <c r="J19" i="1"/>
  <c r="I19" i="1"/>
  <c r="H19" i="1"/>
  <c r="G19" i="1"/>
  <c r="J17" i="1"/>
  <c r="I17" i="1"/>
  <c r="H17" i="1"/>
  <c r="G17" i="1"/>
  <c r="J28" i="1" l="1"/>
  <c r="I28" i="1"/>
  <c r="H28" i="1"/>
  <c r="G28" i="1"/>
  <c r="K5" i="1"/>
  <c r="L5" i="1"/>
  <c r="L7" i="1" l="1"/>
  <c r="K7" i="1"/>
  <c r="J24" i="1"/>
  <c r="I24" i="1"/>
  <c r="H24" i="1"/>
  <c r="G24" i="1"/>
  <c r="J8" i="1"/>
  <c r="G7" i="7"/>
  <c r="L14" i="1" s="1"/>
  <c r="F7" i="7"/>
  <c r="K14" i="1" s="1"/>
  <c r="E7" i="7"/>
  <c r="J14" i="1" s="1"/>
  <c r="D7" i="7"/>
  <c r="I14" i="1" s="1"/>
  <c r="C7" i="7"/>
  <c r="H14" i="1" s="1"/>
  <c r="B7" i="7"/>
  <c r="G14" i="1" s="1"/>
  <c r="H8" i="1"/>
  <c r="G8" i="1"/>
  <c r="I8" i="1"/>
  <c r="G22" i="4"/>
  <c r="F22" i="4"/>
  <c r="E22" i="4"/>
  <c r="J5" i="1" s="1"/>
  <c r="D22" i="4"/>
  <c r="I5" i="1" s="1"/>
  <c r="C22" i="4"/>
  <c r="H5" i="1" s="1"/>
  <c r="B22" i="4"/>
  <c r="G5" i="1" s="1"/>
  <c r="E53" i="8"/>
  <c r="B14" i="10"/>
  <c r="B13" i="10"/>
  <c r="B12" i="10"/>
  <c r="B11" i="10"/>
  <c r="B8" i="10"/>
  <c r="B5" i="10"/>
  <c r="C46" i="10"/>
  <c r="B16" i="10" s="1"/>
  <c r="C45" i="10"/>
  <c r="B15" i="10" s="1"/>
  <c r="C42" i="10"/>
  <c r="C40" i="10"/>
  <c r="B10" i="10" s="1"/>
  <c r="C39" i="10"/>
  <c r="B9" i="10" s="1"/>
  <c r="C37" i="10"/>
  <c r="B7" i="10" s="1"/>
  <c r="C34" i="10"/>
  <c r="B4" i="10" s="1"/>
  <c r="K17" i="1" l="1"/>
  <c r="K8" i="1"/>
  <c r="K28" i="1"/>
  <c r="L17" i="1"/>
  <c r="L28" i="1"/>
  <c r="L8" i="1"/>
  <c r="M5" i="1"/>
  <c r="C36" i="10"/>
  <c r="B6" i="10" s="1"/>
  <c r="E21" i="10" s="1"/>
  <c r="K24" i="1" s="1"/>
  <c r="B17" i="10"/>
  <c r="M24" i="1" s="1"/>
  <c r="D17" i="10" l="1"/>
  <c r="H6" i="7"/>
  <c r="H5" i="7"/>
  <c r="H7" i="7" s="1"/>
  <c r="G7" i="6"/>
  <c r="H7" i="6" s="1"/>
  <c r="B10" i="6"/>
  <c r="G18" i="6"/>
  <c r="F18" i="6"/>
  <c r="E18" i="6"/>
  <c r="D18" i="6"/>
  <c r="C18" i="6"/>
  <c r="B18" i="6"/>
  <c r="F10" i="6"/>
  <c r="E10" i="6"/>
  <c r="D10" i="6"/>
  <c r="C10" i="6"/>
  <c r="C20" i="6" s="1"/>
  <c r="H11" i="1" s="1"/>
  <c r="H17" i="6"/>
  <c r="H16" i="6"/>
  <c r="H15" i="6"/>
  <c r="H6" i="6"/>
  <c r="H4" i="5"/>
  <c r="H4" i="4"/>
  <c r="H21" i="4"/>
  <c r="H20" i="4"/>
  <c r="H19" i="4"/>
  <c r="H18" i="4"/>
  <c r="H17" i="4"/>
  <c r="H16" i="4"/>
  <c r="H15" i="4"/>
  <c r="H14" i="4"/>
  <c r="H13" i="4"/>
  <c r="H12" i="4"/>
  <c r="H11" i="4"/>
  <c r="H10" i="4"/>
  <c r="H9" i="4"/>
  <c r="H8" i="4"/>
  <c r="H7" i="4"/>
  <c r="H6" i="4"/>
  <c r="H5" i="4"/>
  <c r="H18" i="1" l="1"/>
  <c r="D20" i="6"/>
  <c r="I11" i="1" s="1"/>
  <c r="H22" i="4"/>
  <c r="E20" i="6"/>
  <c r="J11" i="1" s="1"/>
  <c r="B20" i="6"/>
  <c r="G11" i="1" s="1"/>
  <c r="G18" i="1" s="1"/>
  <c r="F20" i="6"/>
  <c r="K11" i="1" s="1"/>
  <c r="K18" i="1" s="1"/>
  <c r="I30" i="1"/>
  <c r="H30" i="1"/>
  <c r="J30" i="1"/>
  <c r="G8" i="6"/>
  <c r="H18" i="6"/>
  <c r="I18" i="1" l="1"/>
  <c r="J18" i="1"/>
  <c r="G30" i="1"/>
  <c r="K30" i="1"/>
  <c r="H8" i="6"/>
  <c r="G9" i="6"/>
  <c r="H9" i="6" s="1"/>
  <c r="G10" i="6" l="1"/>
  <c r="H10" i="6"/>
  <c r="G12" i="6" l="1"/>
  <c r="H12" i="6" s="1"/>
  <c r="H20" i="6" s="1"/>
  <c r="J35" i="9"/>
  <c r="I40" i="9"/>
  <c r="J16" i="9"/>
  <c r="J20" i="9"/>
  <c r="J22" i="1"/>
  <c r="C7" i="13"/>
  <c r="C6" i="13"/>
  <c r="C5" i="13"/>
  <c r="C4" i="13"/>
  <c r="C3" i="13"/>
  <c r="L42" i="9"/>
  <c r="L40" i="9"/>
  <c r="L41" i="9" s="1"/>
  <c r="K40" i="9"/>
  <c r="K42" i="9" s="1"/>
  <c r="L22" i="1"/>
  <c r="C8" i="13" l="1"/>
  <c r="M21" i="1" s="1"/>
  <c r="J40" i="9"/>
  <c r="K43" i="9"/>
  <c r="L43" i="9"/>
  <c r="M20" i="1" s="1"/>
  <c r="G20" i="6"/>
  <c r="L11" i="1" s="1"/>
  <c r="K41" i="9"/>
  <c r="L31" i="1"/>
  <c r="K31" i="1"/>
  <c r="J31" i="1"/>
  <c r="I31" i="1"/>
  <c r="H31" i="1"/>
  <c r="G31" i="1"/>
  <c r="I22" i="1"/>
  <c r="H22" i="1"/>
  <c r="G22" i="1"/>
  <c r="F21" i="10"/>
  <c r="L24" i="1" s="1"/>
  <c r="L18" i="1" l="1"/>
  <c r="M22" i="1"/>
  <c r="L45" i="9"/>
  <c r="C13" i="13"/>
  <c r="L16" i="1"/>
  <c r="L30" i="1"/>
  <c r="K22" i="1"/>
  <c r="D11" i="9" l="1"/>
  <c r="C11" i="9"/>
  <c r="D10" i="9"/>
  <c r="C10" i="9"/>
  <c r="D9" i="9"/>
  <c r="C9" i="9"/>
  <c r="D8" i="9"/>
  <c r="C8" i="9"/>
  <c r="D7" i="9"/>
  <c r="C7" i="9"/>
  <c r="D6" i="9"/>
  <c r="C6" i="9"/>
  <c r="D43" i="8" l="1"/>
  <c r="F53" i="8" s="1"/>
  <c r="D42" i="8"/>
  <c r="F54" i="8" l="1"/>
  <c r="L23" i="1" s="1"/>
  <c r="L29" i="1" s="1"/>
  <c r="E54" i="8"/>
  <c r="K23" i="1" s="1"/>
  <c r="K29" i="1" s="1"/>
  <c r="D53" i="8"/>
  <c r="D54" i="8" s="1"/>
  <c r="J23" i="1" s="1"/>
  <c r="J29" i="1" s="1"/>
  <c r="C53" i="8"/>
  <c r="C54" i="8" s="1"/>
  <c r="I23" i="1" s="1"/>
  <c r="I29" i="1" s="1"/>
  <c r="B53" i="8"/>
  <c r="B54" i="8" s="1"/>
  <c r="H23" i="1" s="1"/>
  <c r="H29" i="1" s="1"/>
  <c r="A53" i="8"/>
  <c r="A54" i="8" s="1"/>
  <c r="C45" i="8"/>
  <c r="C44" i="8"/>
  <c r="C41" i="8"/>
  <c r="C40" i="8"/>
  <c r="C39" i="8"/>
  <c r="C38" i="8"/>
  <c r="C37" i="8"/>
  <c r="C36" i="8"/>
  <c r="H67" i="8"/>
  <c r="B45" i="8" s="1"/>
  <c r="H66" i="8"/>
  <c r="B44" i="8" s="1"/>
  <c r="D44" i="8" s="1"/>
  <c r="H65" i="8"/>
  <c r="B41" i="8" s="1"/>
  <c r="D41" i="8" s="1"/>
  <c r="H64" i="8"/>
  <c r="B40" i="8" s="1"/>
  <c r="H63" i="8"/>
  <c r="B39" i="8" s="1"/>
  <c r="H62" i="8"/>
  <c r="B38" i="8" s="1"/>
  <c r="D38" i="8" s="1"/>
  <c r="H61" i="8"/>
  <c r="B37" i="8" s="1"/>
  <c r="H60" i="8"/>
  <c r="B36" i="8" s="1"/>
  <c r="M15" i="1"/>
  <c r="M14" i="1"/>
  <c r="M13" i="1"/>
  <c r="M12" i="1"/>
  <c r="M11" i="1"/>
  <c r="M10" i="1"/>
  <c r="M9" i="1"/>
  <c r="M8" i="1"/>
  <c r="M7" i="1"/>
  <c r="M6" i="1"/>
  <c r="M4" i="1"/>
  <c r="M19" i="1" l="1"/>
  <c r="M18" i="1"/>
  <c r="M17" i="1"/>
  <c r="M28" i="1"/>
  <c r="H24" i="4"/>
  <c r="H25" i="4" s="1"/>
  <c r="H22" i="6"/>
  <c r="H23" i="6" s="1"/>
  <c r="H6" i="5"/>
  <c r="H7" i="5" s="1"/>
  <c r="H9" i="7"/>
  <c r="G23" i="1"/>
  <c r="G29" i="1" s="1"/>
  <c r="E56" i="8"/>
  <c r="H25" i="1"/>
  <c r="H27" i="1" s="1"/>
  <c r="I25" i="1"/>
  <c r="I27" i="1" s="1"/>
  <c r="J25" i="1"/>
  <c r="J27" i="1" s="1"/>
  <c r="K25" i="1"/>
  <c r="K27" i="1" s="1"/>
  <c r="L25" i="1"/>
  <c r="G54" i="8"/>
  <c r="M23" i="1" s="1"/>
  <c r="M29" i="1" s="1"/>
  <c r="M31" i="1"/>
  <c r="G53" i="8"/>
  <c r="D45" i="8"/>
  <c r="D37" i="8"/>
  <c r="D39" i="8"/>
  <c r="D40" i="8"/>
  <c r="D36" i="8"/>
  <c r="F48" i="8" l="1"/>
  <c r="F49" i="8" s="1"/>
  <c r="L27" i="1"/>
  <c r="L26" i="1"/>
  <c r="G25" i="1"/>
  <c r="G27" i="1" s="1"/>
  <c r="M25" i="1"/>
  <c r="D46" i="8"/>
  <c r="D47" i="8" s="1"/>
  <c r="M27" i="1" l="1"/>
  <c r="D48" i="8"/>
  <c r="J16" i="1" l="1"/>
  <c r="J26" i="1" s="1"/>
  <c r="I16" i="1"/>
  <c r="I26" i="1" s="1"/>
  <c r="M30" i="1" l="1"/>
  <c r="M16" i="1"/>
  <c r="M26" i="1" l="1"/>
  <c r="H16" i="1"/>
  <c r="H26" i="1" s="1"/>
  <c r="K16" i="1"/>
  <c r="K26" i="1" s="1"/>
  <c r="G16" i="1"/>
  <c r="G26" i="1" s="1"/>
</calcChain>
</file>

<file path=xl/sharedStrings.xml><?xml version="1.0" encoding="utf-8"?>
<sst xmlns="http://schemas.openxmlformats.org/spreadsheetml/2006/main" count="531" uniqueCount="388">
  <si>
    <t>Financing Source</t>
  </si>
  <si>
    <t xml:space="preserve">Budget Account Description </t>
  </si>
  <si>
    <t>GCF</t>
  </si>
  <si>
    <t>Local consultants</t>
  </si>
  <si>
    <t>Equipment</t>
  </si>
  <si>
    <t>Training, workshops, and conference</t>
  </si>
  <si>
    <t>Travel</t>
  </si>
  <si>
    <t>Output</t>
  </si>
  <si>
    <t>Component</t>
  </si>
  <si>
    <t>Activity</t>
  </si>
  <si>
    <t>Total Amount</t>
  </si>
  <si>
    <t xml:space="preserve">Constuction cost </t>
  </si>
  <si>
    <t>International consultant</t>
  </si>
  <si>
    <t xml:space="preserve">Staff Cost </t>
  </si>
  <si>
    <t>Total Amount GCF</t>
  </si>
  <si>
    <t>Total Amount AE</t>
  </si>
  <si>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</si>
  <si>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</si>
  <si>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</si>
  <si>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</si>
  <si>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</si>
  <si>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</si>
  <si>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</si>
  <si>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</si>
  <si>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</si>
  <si>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</si>
  <si>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</si>
  <si>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</si>
  <si>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</si>
  <si>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</si>
  <si>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</si>
  <si>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</si>
  <si>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</si>
  <si>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</si>
  <si>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</si>
  <si>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</si>
  <si>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</si>
  <si>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</si>
  <si>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</si>
  <si>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</si>
  <si>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A25</t>
  </si>
  <si>
    <t>A26</t>
  </si>
  <si>
    <t>A27</t>
  </si>
  <si>
    <t>A28</t>
  </si>
  <si>
    <t>2A</t>
  </si>
  <si>
    <t>2B</t>
  </si>
  <si>
    <t>2C</t>
  </si>
  <si>
    <t>2D</t>
  </si>
  <si>
    <t>2E</t>
  </si>
  <si>
    <t>2F</t>
  </si>
  <si>
    <t>2G</t>
  </si>
  <si>
    <t>2H</t>
  </si>
  <si>
    <t>2I</t>
  </si>
  <si>
    <t>2J</t>
  </si>
  <si>
    <t>3A</t>
  </si>
  <si>
    <t>3B</t>
  </si>
  <si>
    <t>3C</t>
  </si>
  <si>
    <t>3D</t>
  </si>
  <si>
    <t>3E</t>
  </si>
  <si>
    <t>3F</t>
  </si>
  <si>
    <t>3G</t>
  </si>
  <si>
    <t>3H</t>
  </si>
  <si>
    <t>3I</t>
  </si>
  <si>
    <t>3J</t>
  </si>
  <si>
    <t>PM1</t>
  </si>
  <si>
    <t>PM2</t>
  </si>
  <si>
    <t>PM3</t>
  </si>
  <si>
    <t>PM4</t>
  </si>
  <si>
    <t>PM5</t>
  </si>
  <si>
    <t>PM6</t>
  </si>
  <si>
    <t>PM7</t>
  </si>
  <si>
    <t>PM8</t>
  </si>
  <si>
    <t>PM9</t>
  </si>
  <si>
    <t>PM10</t>
  </si>
  <si>
    <t>Detailed Budget Notes</t>
  </si>
  <si>
    <t>Include machinery spec, equipment name, quantity and unit cost in BN</t>
  </si>
  <si>
    <t xml:space="preserve">Provide breakdown of construction at each level/stage by cost as much as possible. </t>
  </si>
  <si>
    <t>BN to detail unit cost and duration of consultant(s) work and position</t>
  </si>
  <si>
    <t>Please eloborate on staff position involved in this particular stage of the project as well as associated costs</t>
  </si>
  <si>
    <t>Similar to above (A2)</t>
  </si>
  <si>
    <t>Ensure the number of workshops anticipated, number of people attending, target group, cost per work workshop, venue cost is provided</t>
  </si>
  <si>
    <t xml:space="preserve">Professional/ Contractual Services </t>
  </si>
  <si>
    <t>Breakdown travel cost information by number of people and cost per person and separating DSA where applicable.</t>
  </si>
  <si>
    <t xml:space="preserve">Identify professional costs. NB. Auditing costs are Project Management Costs. </t>
  </si>
  <si>
    <t>Where there are miscelleneous costs, details must be provided.</t>
  </si>
  <si>
    <t>If there are Direct Project Costs, AE to provide Letter of Agreement (LoA).</t>
  </si>
  <si>
    <t>Notes and Assumptions*</t>
  </si>
  <si>
    <t>Project/Programme Title:</t>
  </si>
  <si>
    <t>Annex 4 Detailed budget plan</t>
  </si>
  <si>
    <t>Component 1. LRT</t>
  </si>
  <si>
    <t>Construction cost</t>
  </si>
  <si>
    <t>Private Partner</t>
  </si>
  <si>
    <t>Accredited entity</t>
  </si>
  <si>
    <t xml:space="preserve">Construction cost </t>
  </si>
  <si>
    <t>preliminary works</t>
  </si>
  <si>
    <t>Structures</t>
  </si>
  <si>
    <t>ballast track</t>
  </si>
  <si>
    <t>ballastless tracks</t>
  </si>
  <si>
    <t>track equipment</t>
  </si>
  <si>
    <t>stations</t>
  </si>
  <si>
    <t>parkings, administrative buildings, depots</t>
  </si>
  <si>
    <t>drainage</t>
  </si>
  <si>
    <t>overhead lines</t>
  </si>
  <si>
    <t>others</t>
  </si>
  <si>
    <t>signalling</t>
  </si>
  <si>
    <t>communication systems</t>
  </si>
  <si>
    <t>urban integration</t>
  </si>
  <si>
    <t>rehabilitation of cultural patrimony</t>
  </si>
  <si>
    <t>rehabilitation of affected services</t>
  </si>
  <si>
    <t>quality control</t>
  </si>
  <si>
    <t>waste management</t>
  </si>
  <si>
    <t>health and safety</t>
  </si>
  <si>
    <t>A1 Details: Source, IDOM, 2020, FSR Financial Model (Excel), sheet "2.7 O&amp;A Construccion Tot"</t>
  </si>
  <si>
    <t>Activities</t>
  </si>
  <si>
    <t>Budget</t>
  </si>
  <si>
    <t>Item</t>
  </si>
  <si>
    <t>Quantity</t>
  </si>
  <si>
    <t>Unit cost</t>
  </si>
  <si>
    <t>Total cost in USD</t>
  </si>
  <si>
    <t>Administration</t>
  </si>
  <si>
    <t>Contingency</t>
  </si>
  <si>
    <t>Total</t>
  </si>
  <si>
    <t>yr 1</t>
  </si>
  <si>
    <t>yr 2</t>
  </si>
  <si>
    <t>yr 3</t>
  </si>
  <si>
    <t>yr 4</t>
  </si>
  <si>
    <t>total</t>
  </si>
  <si>
    <t>Positions national staff</t>
  </si>
  <si>
    <t>The role of the national staff is basically data collection, survey organization and supervision, performance of baseline studies, realization of trainings and workshops</t>
  </si>
  <si>
    <t>Positions international staff</t>
  </si>
  <si>
    <t>Year 5</t>
  </si>
  <si>
    <t>Notes and Assumptions</t>
  </si>
  <si>
    <t>Year 2</t>
  </si>
  <si>
    <t>Year 3</t>
  </si>
  <si>
    <t>Year 4</t>
  </si>
  <si>
    <t>Year 6</t>
  </si>
  <si>
    <t>1. Annual Project Report (APR) for GCF</t>
  </si>
  <si>
    <t>2. Annual Project Report (APR) for GCF</t>
  </si>
  <si>
    <t>3. Annual Project Report (APR) for GCF</t>
  </si>
  <si>
    <t>4. Prepare and support mid-term evaluation of GCF</t>
  </si>
  <si>
    <t>5. Annual Project Report (APR) for GCF</t>
  </si>
  <si>
    <t>7. Install automated counting equipment on cycle lanes</t>
  </si>
  <si>
    <t>8. Realize passenger survey on LRT</t>
  </si>
  <si>
    <t>9. Realize report on GHG and SD impact of LRT</t>
  </si>
  <si>
    <t>11. Realize countings on cycle lanes</t>
  </si>
  <si>
    <t>12. Realize monitoring report on 1st year full operations cycle lanes incl. calculations on GHG and SD impact</t>
  </si>
  <si>
    <t>10. Realize surveys of cycle and micromobility users</t>
  </si>
  <si>
    <t>15. End of project implementation report for GCF</t>
  </si>
  <si>
    <t>16. Prepare and support final evaluation of GCF</t>
  </si>
  <si>
    <t>National staff person-months</t>
  </si>
  <si>
    <t>yr 5</t>
  </si>
  <si>
    <t>yr 6</t>
  </si>
  <si>
    <t>Units per item</t>
  </si>
  <si>
    <t>International consultants person months</t>
  </si>
  <si>
    <t>Surveys LRT</t>
  </si>
  <si>
    <t>Surveys NMT</t>
  </si>
  <si>
    <t>Surveys TOD</t>
  </si>
  <si>
    <t>Monitoring equipment cycling ways</t>
  </si>
  <si>
    <t>International travel</t>
  </si>
  <si>
    <t>Per diems international (days)</t>
  </si>
  <si>
    <t xml:space="preserve">Expected to be contracted in international bidding process as 1 package to 1 firm or consortia </t>
  </si>
  <si>
    <t>Unit Costs</t>
  </si>
  <si>
    <t>Cost in USD</t>
  </si>
  <si>
    <t>National staff</t>
  </si>
  <si>
    <t>International consultants</t>
  </si>
  <si>
    <t xml:space="preserve">Per diems international </t>
  </si>
  <si>
    <t>1 national expert as coordinator and 1 survey or statistical specialist</t>
  </si>
  <si>
    <t>The role of the international staff is design of monitoring, contracting of survey company and ist supervision, GHG and SD calculations and reporting</t>
  </si>
  <si>
    <t>1 int. expert on GHG methodologies and monitoring in transport projects; 1 int. Specialist on surveys and statistical analysis</t>
  </si>
  <si>
    <t>Design of survey see Grutter Consulting (2020), Impact Monitoring LRT Costa Rica</t>
  </si>
  <si>
    <t>1 pilot survey of 500 passengers to determine survey size and for testing; 1 full survey of around 5,000 passengers</t>
  </si>
  <si>
    <t>1 pilot survey during 2 days to determine survey size and for testing; 2 full surveys of 1 week</t>
  </si>
  <si>
    <t>Survey cost based on 5,000 USD per day per survey for full coverage on minimum 5 cycle ways = 7*5,000 = 35,000; 5,000 USD for statistical analysis; total 40,000 per survey</t>
  </si>
  <si>
    <t>Pilot survey cost: 10,000 USD, passenger survey cost based on 10 USD/surveyed passenger (10*5,000=50,000); 10,000 USD for statistical analysis; total 50,000 USD per survey</t>
  </si>
  <si>
    <t>Surveys NMT and micromobility</t>
  </si>
  <si>
    <t>1 pilot survey during 2 days to determine survey size and for testing; 2 full surveys in 2 control gropup areas and in 2 project areas</t>
  </si>
  <si>
    <t>Survey cost based on 40 USD per family unit surveyed and 1,000 persons; 10,000 USD for statistical analysis; total 50,000 per survey</t>
  </si>
  <si>
    <t>Cycling and micromobility counting automated technologies such as pneumatic tubes, inductive loop detectors, piezoelectric strips  or digicams equipped on all cycle lanes</t>
  </si>
  <si>
    <r>
      <rPr>
        <b/>
        <sz val="11"/>
        <color theme="1"/>
        <rFont val="Calibri"/>
        <family val="2"/>
        <scheme val="minor"/>
      </rPr>
      <t>Contingency</t>
    </r>
    <r>
      <rPr>
        <sz val="11"/>
        <color theme="1"/>
        <rFont val="Calibri"/>
        <family val="2"/>
        <scheme val="minor"/>
      </rPr>
      <t xml:space="preserve"> </t>
    </r>
  </si>
  <si>
    <t>Is expected to cover non-planned additional surveys, sur-costs in equipment or outsourced surveys and non-planned activities related to monitoring and reporting of results</t>
  </si>
  <si>
    <t>Cost per annum (rounded to 10,000)</t>
  </si>
  <si>
    <t>1A</t>
  </si>
  <si>
    <t>1B</t>
  </si>
  <si>
    <t>1C</t>
  </si>
  <si>
    <t>1D</t>
  </si>
  <si>
    <t>1D: Financing Charges:   Source, IDOM, 2020, FSR Financial Model (Excel), sheet "2.7 O&amp;A Construccion Tot"</t>
  </si>
  <si>
    <t>1C: Others:   Source, IDOM, 2020, FSR Financial Model (Excel), sheet "2.7 O&amp;A Construccion Tot"</t>
  </si>
  <si>
    <t>1B: Rolling Stock:  Source, IDOM, 2020, FSR Financial Model (Excel), sheet "2.7 O&amp;A Construccion Tot"</t>
  </si>
  <si>
    <t>Workshops @ average 30 participants</t>
  </si>
  <si>
    <t xml:space="preserve"> </t>
  </si>
  <si>
    <t>P02</t>
  </si>
  <si>
    <t>P05</t>
  </si>
  <si>
    <t>P06</t>
  </si>
  <si>
    <t>P07</t>
  </si>
  <si>
    <t>P09</t>
  </si>
  <si>
    <t>P10</t>
  </si>
  <si>
    <t>Project</t>
  </si>
  <si>
    <t>Months</t>
  </si>
  <si>
    <t>Duration</t>
  </si>
  <si>
    <t>design</t>
  </si>
  <si>
    <t>works</t>
  </si>
  <si>
    <t>Design and preparation tenders</t>
  </si>
  <si>
    <t>bids</t>
  </si>
  <si>
    <t>Component 3: Capacity Building, Monitoring and Gender Actions</t>
  </si>
  <si>
    <t>Capacity Building and Monitoring</t>
  </si>
  <si>
    <t>construction cost</t>
  </si>
  <si>
    <t xml:space="preserve">local consultant, int. consultant, workshops, contractual services </t>
  </si>
  <si>
    <t>Gender Action Plan</t>
  </si>
  <si>
    <t>Budget in USD</t>
  </si>
  <si>
    <t>3.1.2 To encourage the hiring and provide spaces for women's entrepreneurship to be part of the tertiary service providers that the train acquires</t>
  </si>
  <si>
    <t>1.1.1 Establish social communication campaigns aimed at men and women to identify sexual harassment practices and other types of violence in trains and waiting stations</t>
  </si>
  <si>
    <t xml:space="preserve">1.1.2 Training Incofer staff on the new sexual harassment law </t>
  </si>
  <si>
    <t>1.1.3 Implementing a rapid reporting system for violence against women</t>
  </si>
  <si>
    <t>1.1.4 Establish a complaint mechanism for cases of violence against women that acts automatically</t>
  </si>
  <si>
    <t>1.1.5 Implement an adequate lighting system that safeguards the safety of users, mainly women</t>
  </si>
  <si>
    <t xml:space="preserve">2.1.1 To have new infrastructure that ensures gender-sensitive designs in which their physical integrity is protected and allows for adequate use of the infrastructure. </t>
  </si>
  <si>
    <t>2.1.2 Improving women's accessibility to non-motorised mobility services</t>
  </si>
  <si>
    <t>3.1.1 Attract women to the Incofer workforce and offer equal conditions to men</t>
  </si>
  <si>
    <t xml:space="preserve">3.2.1 Establish spaces for women to be promoted to decision-making positions within the activities relevant to the train. </t>
  </si>
  <si>
    <t>see details in GAP</t>
  </si>
  <si>
    <t>year 1</t>
  </si>
  <si>
    <t>year 3</t>
  </si>
  <si>
    <t>year 4</t>
  </si>
  <si>
    <t>year 5</t>
  </si>
  <si>
    <t>year 6</t>
  </si>
  <si>
    <t>year 2</t>
  </si>
  <si>
    <t xml:space="preserve">local consultant, equipment, workshops, contractual services </t>
  </si>
  <si>
    <t>from</t>
  </si>
  <si>
    <t>length (m)</t>
  </si>
  <si>
    <t>Amount
(USD * 1,000)</t>
  </si>
  <si>
    <t>Pedestrian and cycling lanes Oxígeno (station San Francisco) - station Miraflores - Guararí</t>
  </si>
  <si>
    <t>Avenida 10/Calle B</t>
  </si>
  <si>
    <t>Calle 1</t>
  </si>
  <si>
    <t>Calle Cordero</t>
  </si>
  <si>
    <t>Calle cordero</t>
  </si>
  <si>
    <t>Calle B</t>
  </si>
  <si>
    <t>Avenida Sta. Elena</t>
  </si>
  <si>
    <t>Calle Central</t>
  </si>
  <si>
    <t>Av. Sta. Elena</t>
  </si>
  <si>
    <t>Av. Guararí</t>
  </si>
  <si>
    <t>-</t>
  </si>
  <si>
    <t>Connection pedestrian and cycling station La Sabana – station Atlántico</t>
  </si>
  <si>
    <t>Calle 24</t>
  </si>
  <si>
    <t>Avenida 4</t>
  </si>
  <si>
    <t>Avenida 8</t>
  </si>
  <si>
    <t>Calle 20</t>
  </si>
  <si>
    <t>Avenida 10</t>
  </si>
  <si>
    <t>Calle 16</t>
  </si>
  <si>
    <t>Avenida 12</t>
  </si>
  <si>
    <t>Calle 28</t>
  </si>
  <si>
    <t>Avenida Transversal 24</t>
  </si>
  <si>
    <t>Calle 12</t>
  </si>
  <si>
    <t>Calle 13A</t>
  </si>
  <si>
    <t>Calle 2</t>
  </si>
  <si>
    <t>Avenida 20</t>
  </si>
  <si>
    <t>Calle9/transversal 9</t>
  </si>
  <si>
    <t>Calle 8</t>
  </si>
  <si>
    <t>Calle 19</t>
  </si>
  <si>
    <t>Dr. Ricardo Moreno Cañas</t>
  </si>
  <si>
    <t>pedestrian and cycling connection station T24 - Hatillo</t>
  </si>
  <si>
    <t>Calle 34</t>
  </si>
  <si>
    <t>Avenida 16</t>
  </si>
  <si>
    <t>Calle Costa Rica</t>
  </si>
  <si>
    <t>Avenida 26</t>
  </si>
  <si>
    <t>Calle Sol Oriental</t>
  </si>
  <si>
    <t>Avenida Central</t>
  </si>
  <si>
    <t>cycling parking</t>
  </si>
  <si>
    <t xml:space="preserve">4 double modules for 50 bikes </t>
  </si>
  <si>
    <t>Special bridge for cyclists</t>
  </si>
  <si>
    <t>200m bridge for cyclists with trees at one side</t>
  </si>
  <si>
    <t>Subtotal</t>
  </si>
  <si>
    <t>sum infra</t>
  </si>
  <si>
    <t>studies and design</t>
  </si>
  <si>
    <t>final designs</t>
  </si>
  <si>
    <t>supervision</t>
  </si>
  <si>
    <t>Total budget</t>
  </si>
  <si>
    <t>Course</t>
  </si>
  <si>
    <t>Amount in USD</t>
  </si>
  <si>
    <t>target group</t>
  </si>
  <si>
    <t>Staff</t>
  </si>
  <si>
    <t>days per year</t>
  </si>
  <si>
    <t>USD/d</t>
  </si>
  <si>
    <t>transport costs</t>
  </si>
  <si>
    <t>children</t>
  </si>
  <si>
    <t>Bikes without pedals</t>
  </si>
  <si>
    <t>Practical cursos with bikes without pedals</t>
  </si>
  <si>
    <t>Bike driving courses</t>
  </si>
  <si>
    <t>Urban cycling courses</t>
  </si>
  <si>
    <t>Sunday cycling days</t>
  </si>
  <si>
    <t>general public</t>
  </si>
  <si>
    <t>Component 2: NMT and Connectivity Measures</t>
  </si>
  <si>
    <t>NMT and Connectivity Budget</t>
  </si>
  <si>
    <t>For details see NMT report and Excel File of Budget details (Grutter Consulting 2020)</t>
  </si>
  <si>
    <t>13. Realize survey in project area and control group area</t>
  </si>
  <si>
    <t>14. Realize monitoring report on connectivity/accessibility incl. calculations on GHG and SD impact</t>
  </si>
  <si>
    <t>17. Knowledge products incl. Webinair on GHG and SD impact of LRT, NMT and connectivity measures; guidelines for NMT and connectivity interventions</t>
  </si>
  <si>
    <t>18. Outreach activities: workshops and seminars on experiences with NMT and connectivity interventions</t>
  </si>
  <si>
    <t>6. Set up monitoring framework structure for LRT, NMT and Connectivity</t>
  </si>
  <si>
    <t>Surveys connectivity</t>
  </si>
  <si>
    <t>Knowledge products: guidelines NMT and connectivity interventions</t>
  </si>
  <si>
    <t>GCF loan</t>
  </si>
  <si>
    <t>GCF grant</t>
  </si>
  <si>
    <t>Total Component 1 (100% loan)</t>
  </si>
  <si>
    <t>Total Component 2 (100% grant)</t>
  </si>
  <si>
    <t>Total Component 3 (100% grant)</t>
  </si>
  <si>
    <t>Details infrastructure and systems</t>
  </si>
  <si>
    <t>Amount Year 1 (USD)</t>
  </si>
  <si>
    <t>Amount Year 2 (USD)</t>
  </si>
  <si>
    <t>Amount Year 3 (USD)</t>
  </si>
  <si>
    <t>Amount Year 4 (USD)</t>
  </si>
  <si>
    <t>Amount Year 5 (USD)</t>
  </si>
  <si>
    <t>Amount Year 6 (USD)</t>
  </si>
  <si>
    <t>Total (USD)</t>
  </si>
  <si>
    <t>Design and implementation</t>
  </si>
  <si>
    <t>Engineering and final design</t>
  </si>
  <si>
    <t>Construction supervision</t>
  </si>
  <si>
    <t>Project managament</t>
  </si>
  <si>
    <t>Contingencies</t>
  </si>
  <si>
    <t>subtotal design and implementation</t>
  </si>
  <si>
    <t>Land</t>
  </si>
  <si>
    <t>Others</t>
  </si>
  <si>
    <t>subtotal others</t>
  </si>
  <si>
    <t>administration, unforeseen and profit</t>
  </si>
  <si>
    <t>environmental and social measures</t>
  </si>
  <si>
    <t>SERVI Specific system of institutional risk analysis based on MIDEPLAN (Planning Ministry; 0.5% of CAPEX)</t>
  </si>
  <si>
    <t>capitalized comissions of bridging loan</t>
  </si>
  <si>
    <t>capitalized interest of bridging loan</t>
  </si>
  <si>
    <t>Year 1 = 07/2021 to 12/2022 from FSR</t>
  </si>
  <si>
    <t>Year 2 =2023 in FSR</t>
  </si>
  <si>
    <t>Year 3 = 2024 in FSR</t>
  </si>
  <si>
    <t>Year 4 = 2025 in FSR</t>
  </si>
  <si>
    <t>Year 5 = 2026 in FSR</t>
  </si>
  <si>
    <t>Year 6 = 2027 in FSR</t>
  </si>
  <si>
    <t>Unit cost staff is per month</t>
  </si>
  <si>
    <t>International travel int. Consultants (to be contracted)</t>
  </si>
  <si>
    <t>No contingencies besides those included under 3A</t>
  </si>
  <si>
    <t>Output 2: Design, build and operate LRT</t>
  </si>
  <si>
    <t>Activity 2: Cost elements of infrastructure and systems</t>
  </si>
  <si>
    <t xml:space="preserve">Activity 2: Cost elements of rolling stock </t>
  </si>
  <si>
    <t>Activity 2.  Other costs elements</t>
  </si>
  <si>
    <t>Activity 2: cost element of financing charges</t>
  </si>
  <si>
    <t xml:space="preserve">Output 3 and 4: Design, build and ready to operate cycling lanes a dn integrate, design, and build connectivity interventions at 6 LRT stations </t>
  </si>
  <si>
    <t>Activities 3 and 4: Infrastructure NMT and Connectivity</t>
  </si>
  <si>
    <t>Output 5: NMT promotion activities</t>
  </si>
  <si>
    <t>Activity 5:   NMT promotion</t>
  </si>
  <si>
    <t xml:space="preserve">Outputs 6 and 7: Capacity building and GHG monitoring </t>
  </si>
  <si>
    <t>Activities 6 &amp; 7: Capacity building, monitoring and outreach</t>
  </si>
  <si>
    <t>Output 8: Gender action components</t>
  </si>
  <si>
    <t>Activity 8: Implementation of GAP</t>
  </si>
  <si>
    <t xml:space="preserve">Outputs 3 and 4 are combined as they overlap in costings as interventions are made on cycle lans and pedestrian lanes which lead to connectivity stations incl. e.g. Bridges to improve connectivity, improved lighting at cycle parkings at connectivity stations etc. </t>
  </si>
  <si>
    <t>Outputs 6 and 7 are combined as the same contract and same consultants are used for capacity building and monitoring</t>
  </si>
  <si>
    <t>Section</t>
  </si>
  <si>
    <t>Sub-section</t>
  </si>
  <si>
    <t>Road</t>
  </si>
  <si>
    <t>Av. Guararí (and rest of circuit)</t>
  </si>
  <si>
    <t>Avenida 10 (bidrectional)</t>
  </si>
  <si>
    <t>Dr. Ricardo Moreno C (and route extreme north)</t>
  </si>
  <si>
    <t>Station Atlántico</t>
  </si>
  <si>
    <t>Transport costs are for transporting materials to tthe different locations where bike trainings are realized as well as for transporting the staff during cycle days to the location points</t>
  </si>
  <si>
    <t xml:space="preserve">1.2.2 Conduct a gender-sensitive assessment or survey (and its recommendations) at the user level to better understand the different needs and perspectives of women and men in terms of access to services and infrastructure </t>
  </si>
  <si>
    <t xml:space="preserve">1.2.1. Design, implement and analyse a comprehensive multimodal transport pilot survey </t>
  </si>
  <si>
    <t>National staff person-month rate</t>
  </si>
  <si>
    <t>International consultants person month rate</t>
  </si>
  <si>
    <t>4.1.1. Create  knowledge product on lessons learned and disseminate</t>
  </si>
  <si>
    <t>construction supervision</t>
  </si>
  <si>
    <t xml:space="preserve">International travel from home office consultant to Costa Rica </t>
  </si>
  <si>
    <t>units</t>
  </si>
  <si>
    <t>internal staff and means of INCOFER</t>
  </si>
  <si>
    <t>2 national staff months; 0.2 m int. Staff; reports</t>
  </si>
  <si>
    <t>2 national staff months; 0.2 m int. Staff; printing material</t>
  </si>
  <si>
    <t>2 months int. Consultant, 4 months nat. Consultant, int travel 2x, 20 days per diem, system establishment</t>
  </si>
  <si>
    <t>included in infrastructure cost of LRT, NMT</t>
  </si>
  <si>
    <t>1 pm national staff and survey execution</t>
  </si>
  <si>
    <t>2 pm national staff, 0.5m int. Staff and survey execution</t>
  </si>
  <si>
    <t>2 pm national , venue for education campaigns</t>
  </si>
  <si>
    <t>2 pm national , 0.5 pm int; materials and venues</t>
  </si>
  <si>
    <t>1pm int., 0.5pm nat., knwoledge product professional layout and shaping</t>
  </si>
  <si>
    <t>subtotal infrastructure and systems (rounded)</t>
  </si>
  <si>
    <t xml:space="preserve">Rolling Stock </t>
  </si>
  <si>
    <t>Total rounded</t>
  </si>
  <si>
    <t>subtotal financial costs rounded</t>
  </si>
  <si>
    <t>Total Amount Co-finance</t>
  </si>
  <si>
    <t>Total budget (rounded)</t>
  </si>
  <si>
    <t>total rounded</t>
  </si>
  <si>
    <t>Total Amount GCF - loan</t>
  </si>
  <si>
    <t>Total Amount GCF - grant</t>
  </si>
  <si>
    <t>GCF Loan</t>
  </si>
  <si>
    <t>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</si>
</sst>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0.0"/>
    <numFmt numFmtId="166" formatCode="0\ %"/>
    <numFmt numFmtId="167" formatCode="_-* #,##0_-;\-* #,##0_-;_-* &quot;-&quot;??_-;_-@_-"/>
    <numFmt numFmtId="168" formatCode="0.000"/>
    <numFmt numFmtId="169" formatCode="0.0000"/>
    <numFmt numFmtId="171" formatCode="_(* #,##0_);_(* \(#,##0\);_(* &quot;-&quot;??_);_(@_)"/>
  </numFmts>
  <fonts count="15" x14ac:knownFonts="1">
    <font>
      <sz val="11"/>
      <color theme="1"/>
      <name val="Calibri"/>
      <family val="2"/>
      <scheme val="minor"/>
    </font>
    <font>
      <b/>
      <sz val="14"/>
      <color theme="1"/>
      <name val="Calibri"/>
      <family val="2"/>
      <scheme val="minor"/>
    </font>
    <font>
      <b/>
      <sz val="11"/>
      <color theme="1"/>
      <name val="Calibri"/>
      <family val="2"/>
      <scheme val="minor"/>
    </font>
    <font>
      <sz val="11"/>
      <color theme="1"/>
      <name val="Calibri"/>
      <family val="2"/>
      <scheme val="minor"/>
    </font>
    <font>
      <i/>
      <sz val="11"/>
      <color theme="1"/>
      <name val="Calibri"/>
      <family val="2"/>
      <scheme val="minor"/>
    </font>
    <font>
      <b/>
      <sz val="16"/>
      <color theme="1"/>
      <name val="Calibri"/>
      <family val="2"/>
      <scheme val="minor"/>
    </font>
    <font>
      <b/>
      <sz val="11"/>
      <color theme="0"/>
      <name val="Calibri"/>
      <family val="2"/>
      <scheme val="minor"/>
    </font>
    <font>
      <b/>
      <sz val="18"/>
      <color theme="1"/>
      <name val="Calibri"/>
      <family val="2"/>
      <scheme val="minor"/>
    </font>
    <font>
      <sz val="8"/>
      <color theme="1"/>
      <name val="Calibri"/>
      <family val="2"/>
      <scheme val="minor"/>
    </font>
    <font>
      <u/>
      <sz val="11"/>
      <color theme="10"/>
      <name val="Calibri"/>
      <family val="2"/>
      <scheme val="minor"/>
    </font>
    <font>
      <sz val="10"/>
      <color theme="1"/>
      <name val="Calibri"/>
      <family val="2"/>
      <scheme val="minor"/>
    </font>
    <font>
      <sz val="11"/>
      <color rgb="FFFF0000"/>
      <name val="Calibri"/>
      <family val="2"/>
      <scheme val="minor"/>
    </font>
    <font>
      <sz val="11"/>
      <name val="Calibri"/>
      <family val="2"/>
      <scheme val="minor"/>
    </font>
    <font>
      <i/>
      <sz val="11"/>
      <name val="Calibri"/>
      <family val="2"/>
      <scheme val="minor"/>
    </font>
    <font>
      <u val="singleAccounting"/>
      <sz val="11"/>
      <color theme="1"/>
      <name val="Calibri"/>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249977111117893"/>
        <bgColor indexed="64"/>
      </patternFill>
    </fill>
    <fill>
      <patternFill patternType="solid">
        <fgColor rgb="FFFFFFCC"/>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theme="9" tint="-0.24994659260841701"/>
      </left>
      <right style="hair">
        <color theme="9" tint="-0.24994659260841701"/>
      </right>
      <top style="thick">
        <color theme="9" tint="-0.24994659260841701"/>
      </top>
      <bottom style="hair">
        <color theme="9" tint="-0.24994659260841701"/>
      </bottom>
      <diagonal/>
    </border>
    <border>
      <left style="hair">
        <color theme="9" tint="-0.24994659260841701"/>
      </left>
      <right style="hair">
        <color theme="9" tint="-0.24994659260841701"/>
      </right>
      <top style="thick">
        <color theme="9" tint="-0.24994659260841701"/>
      </top>
      <bottom style="hair">
        <color theme="9" tint="-0.24994659260841701"/>
      </bottom>
      <diagonal/>
    </border>
    <border>
      <left style="hair">
        <color theme="9" tint="-0.24994659260841701"/>
      </left>
      <right style="thick">
        <color theme="9" tint="-0.24994659260841701"/>
      </right>
      <top style="thick">
        <color theme="9" tint="-0.24994659260841701"/>
      </top>
      <bottom style="hair">
        <color theme="9" tint="-0.24994659260841701"/>
      </bottom>
      <diagonal/>
    </border>
    <border>
      <left style="thick">
        <color theme="9" tint="-0.24994659260841701"/>
      </left>
      <right style="hair">
        <color theme="9" tint="-0.24994659260841701"/>
      </right>
      <top style="hair">
        <color theme="9" tint="-0.24994659260841701"/>
      </top>
      <bottom style="hair">
        <color theme="9" tint="-0.24994659260841701"/>
      </bottom>
      <diagonal/>
    </border>
    <border>
      <left style="hair">
        <color theme="9" tint="-0.24994659260841701"/>
      </left>
      <right style="hair">
        <color theme="9" tint="-0.24994659260841701"/>
      </right>
      <top style="hair">
        <color theme="9" tint="-0.24994659260841701"/>
      </top>
      <bottom style="hair">
        <color theme="9" tint="-0.24994659260841701"/>
      </bottom>
      <diagonal/>
    </border>
    <border>
      <left style="hair">
        <color theme="9" tint="-0.24994659260841701"/>
      </left>
      <right style="thick">
        <color theme="9" tint="-0.24994659260841701"/>
      </right>
      <top style="hair">
        <color theme="9" tint="-0.24994659260841701"/>
      </top>
      <bottom style="hair">
        <color theme="9" tint="-0.24994659260841701"/>
      </bottom>
      <diagonal/>
    </border>
    <border>
      <left style="thick">
        <color theme="9" tint="-0.24994659260841701"/>
      </left>
      <right style="hair">
        <color theme="9" tint="-0.24994659260841701"/>
      </right>
      <top style="hair">
        <color theme="9" tint="-0.24994659260841701"/>
      </top>
      <bottom style="thick">
        <color theme="9" tint="-0.24994659260841701"/>
      </bottom>
      <diagonal/>
    </border>
    <border>
      <left style="hair">
        <color theme="9" tint="-0.24994659260841701"/>
      </left>
      <right style="hair">
        <color theme="9" tint="-0.24994659260841701"/>
      </right>
      <top style="hair">
        <color theme="9" tint="-0.24994659260841701"/>
      </top>
      <bottom style="thick">
        <color theme="9" tint="-0.24994659260841701"/>
      </bottom>
      <diagonal/>
    </border>
    <border>
      <left style="hair">
        <color theme="9" tint="-0.24994659260841701"/>
      </left>
      <right style="thick">
        <color theme="9" tint="-0.24994659260841701"/>
      </right>
      <top style="hair">
        <color theme="9" tint="-0.24994659260841701"/>
      </top>
      <bottom style="thick">
        <color theme="9" tint="-0.24994659260841701"/>
      </bottom>
      <diagonal/>
    </border>
    <border>
      <left style="hair">
        <color theme="9" tint="-0.24994659260841701"/>
      </left>
      <right/>
      <top style="thick">
        <color theme="9" tint="-0.24994659260841701"/>
      </top>
      <bottom style="hair">
        <color theme="9" tint="-0.24994659260841701"/>
      </bottom>
      <diagonal/>
    </border>
    <border>
      <left/>
      <right style="hair">
        <color theme="9" tint="-0.24994659260841701"/>
      </right>
      <top style="thick">
        <color theme="9" tint="-0.24994659260841701"/>
      </top>
      <bottom style="hair">
        <color theme="9" tint="-0.24994659260841701"/>
      </bottom>
      <diagonal/>
    </border>
    <border>
      <left style="thick">
        <color theme="9" tint="-0.24994659260841701"/>
      </left>
      <right style="hair">
        <color theme="9" tint="-0.24994659260841701"/>
      </right>
      <top style="hair">
        <color theme="9" tint="-0.24994659260841701"/>
      </top>
      <bottom/>
      <diagonal/>
    </border>
    <border>
      <left style="hair">
        <color theme="9" tint="-0.24994659260841701"/>
      </left>
      <right style="hair">
        <color theme="9" tint="-0.24994659260841701"/>
      </right>
      <top style="hair">
        <color theme="9" tint="-0.24994659260841701"/>
      </top>
      <bottom/>
      <diagonal/>
    </border>
    <border>
      <left style="thick">
        <color theme="9" tint="-0.24994659260841701"/>
      </left>
      <right style="hair">
        <color theme="9" tint="-0.24994659260841701"/>
      </right>
      <top/>
      <bottom/>
      <diagonal/>
    </border>
    <border>
      <left style="hair">
        <color theme="9" tint="-0.24994659260841701"/>
      </left>
      <right style="hair">
        <color theme="9" tint="-0.24994659260841701"/>
      </right>
      <top/>
      <bottom/>
      <diagonal/>
    </border>
    <border>
      <left style="thick">
        <color theme="9" tint="-0.24994659260841701"/>
      </left>
      <right style="hair">
        <color theme="9" tint="-0.24994659260841701"/>
      </right>
      <top/>
      <bottom style="hair">
        <color theme="9" tint="-0.24994659260841701"/>
      </bottom>
      <diagonal/>
    </border>
    <border>
      <left style="hair">
        <color theme="9" tint="-0.24994659260841701"/>
      </left>
      <right style="hair">
        <color theme="9" tint="-0.24994659260841701"/>
      </right>
      <top/>
      <bottom style="hair">
        <color theme="9" tint="-0.24994659260841701"/>
      </bottom>
      <diagonal/>
    </border>
  </borders>
  <cellStyleXfs count="4">
    <xf numFmtId="0" fontId="0" fillId="0" borderId="0"/>
    <xf numFmtId="9" fontId="3" fillId="0" borderId="0" applyFont="0" applyFill="0" applyBorder="0" applyAlignment="0" applyProtection="0"/>
    <xf numFmtId="0" fontId="9" fillId="0" borderId="0" applyNumberFormat="0" applyFill="0" applyBorder="0" applyAlignment="0" applyProtection="0"/>
    <xf numFmtId="43" fontId="3" fillId="0" borderId="0" applyFont="0" applyFill="0" applyBorder="0" applyAlignment="0" applyProtection="0"/>
  </cellStyleXfs>
  <cellXfs count="150">
    <xf numFmtId="0" fontId="0" fillId="0" borderId="0" xfId="0"/>
    <xf numFmtId="0" fontId="0" fillId="0" borderId="1" xfId="0" applyBorder="1" applyAlignment="1">
      <alignment wrapText="1"/>
    </xf>
    <xf numFmtId="0" fontId="0" fillId="0" borderId="1" xfId="0" applyBorder="1" applyAlignment="1">
      <alignment horizontal="center" vertical="center" wrapText="1"/>
    </xf>
    <xf numFmtId="0" fontId="0" fillId="3" borderId="1" xfId="0" applyFill="1" applyBorder="1" applyAlignment="1">
      <alignment wrapText="1"/>
    </xf>
    <xf numFmtId="0" fontId="0" fillId="3" borderId="1" xfId="0" applyFill="1" applyBorder="1" applyAlignment="1">
      <alignment horizontal="center" vertical="center" wrapText="1"/>
    </xf>
    <xf numFmtId="0" fontId="0" fillId="2" borderId="1" xfId="0" applyFill="1" applyBorder="1"/>
    <xf numFmtId="0" fontId="0" fillId="0" borderId="1" xfId="0" applyBorder="1" applyAlignment="1">
      <alignment horizontal="center" wrapText="1"/>
    </xf>
    <xf numFmtId="0" fontId="0" fillId="3" borderId="1" xfId="0" applyFill="1" applyBorder="1" applyAlignment="1">
      <alignment horizontal="center" wrapText="1"/>
    </xf>
    <xf numFmtId="0" fontId="0" fillId="0" borderId="4" xfId="0" applyBorder="1" applyAlignment="1">
      <alignment horizontal="center" wrapText="1"/>
    </xf>
    <xf numFmtId="0" fontId="0" fillId="0" borderId="1" xfId="0" applyBorder="1"/>
    <xf numFmtId="0" fontId="1" fillId="0" borderId="0" xfId="0" applyFont="1"/>
    <xf numFmtId="0" fontId="0" fillId="0" borderId="0" xfId="0" applyFill="1"/>
    <xf numFmtId="0" fontId="0" fillId="0" borderId="1" xfId="0" applyFill="1" applyBorder="1" applyAlignment="1">
      <alignment wrapText="1"/>
    </xf>
    <xf numFmtId="0" fontId="2" fillId="0" borderId="0" xfId="0" applyFont="1"/>
    <xf numFmtId="0" fontId="0" fillId="0" borderId="1" xfId="0" applyBorder="1" applyAlignment="1">
      <alignment horizontal="center" vertical="center" wrapText="1"/>
    </xf>
    <xf numFmtId="0" fontId="0" fillId="0" borderId="1" xfId="0" applyFill="1" applyBorder="1" applyAlignment="1">
      <alignment horizontal="center" wrapText="1"/>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4" fillId="0" borderId="0" xfId="0" applyFont="1" applyAlignment="1">
      <alignment horizontal="left"/>
    </xf>
    <xf numFmtId="0" fontId="2" fillId="4" borderId="1" xfId="0" applyFont="1" applyFill="1" applyBorder="1"/>
    <xf numFmtId="0" fontId="2" fillId="4" borderId="1" xfId="0" applyFont="1" applyFill="1" applyBorder="1" applyAlignment="1">
      <alignment horizontal="center"/>
    </xf>
    <xf numFmtId="3" fontId="0" fillId="0" borderId="1" xfId="0" applyNumberFormat="1" applyBorder="1" applyAlignment="1">
      <alignment horizontal="center"/>
    </xf>
    <xf numFmtId="0" fontId="2" fillId="0" borderId="1" xfId="0" applyFont="1" applyBorder="1"/>
    <xf numFmtId="3" fontId="2" fillId="0" borderId="1" xfId="0" applyNumberFormat="1" applyFont="1" applyBorder="1" applyAlignment="1">
      <alignment horizontal="center"/>
    </xf>
    <xf numFmtId="3" fontId="0" fillId="0" borderId="0" xfId="0" applyNumberFormat="1" applyAlignment="1">
      <alignment horizontal="center"/>
    </xf>
    <xf numFmtId="0" fontId="0" fillId="0" borderId="0" xfId="0" applyAlignment="1">
      <alignment horizontal="center"/>
    </xf>
    <xf numFmtId="3" fontId="0" fillId="0" borderId="0" xfId="0" applyNumberFormat="1" applyAlignment="1">
      <alignment horizontal="center" vertical="center"/>
    </xf>
    <xf numFmtId="0" fontId="0" fillId="0" borderId="0" xfId="0" applyAlignment="1">
      <alignment horizontal="center" vertical="center"/>
    </xf>
    <xf numFmtId="164" fontId="0" fillId="0" borderId="1" xfId="0" applyNumberFormat="1" applyBorder="1" applyAlignment="1">
      <alignment horizontal="center"/>
    </xf>
    <xf numFmtId="0" fontId="0" fillId="0" borderId="1" xfId="0" applyBorder="1" applyAlignment="1">
      <alignment horizontal="center"/>
    </xf>
    <xf numFmtId="3" fontId="0" fillId="0" borderId="1" xfId="0" applyNumberFormat="1" applyFill="1" applyBorder="1" applyAlignment="1">
      <alignment horizontal="center"/>
    </xf>
    <xf numFmtId="9" fontId="0" fillId="0" borderId="1" xfId="1" applyFont="1" applyBorder="1" applyAlignment="1">
      <alignment horizontal="center"/>
    </xf>
    <xf numFmtId="0" fontId="2" fillId="0" borderId="0" xfId="0" applyFont="1" applyBorder="1"/>
    <xf numFmtId="3" fontId="2" fillId="0" borderId="0" xfId="0" applyNumberFormat="1" applyFont="1" applyBorder="1" applyAlignment="1">
      <alignment horizontal="center"/>
    </xf>
    <xf numFmtId="3" fontId="0" fillId="0" borderId="1" xfId="0" applyNumberFormat="1" applyFont="1" applyBorder="1" applyAlignment="1">
      <alignment horizontal="center"/>
    </xf>
    <xf numFmtId="0" fontId="0" fillId="0" borderId="1" xfId="0" applyBorder="1" applyAlignment="1">
      <alignment horizontal="center" vertical="center" wrapText="1"/>
    </xf>
    <xf numFmtId="3" fontId="0" fillId="0" borderId="9" xfId="0" applyNumberFormat="1" applyBorder="1" applyAlignment="1">
      <alignment horizontal="right" vertical="center" indent="1"/>
    </xf>
    <xf numFmtId="0" fontId="0" fillId="0" borderId="8" xfId="0" applyBorder="1" applyAlignment="1">
      <alignment horizontal="left" vertical="center" indent="1"/>
    </xf>
    <xf numFmtId="0" fontId="7" fillId="0" borderId="0" xfId="0" applyFont="1"/>
    <xf numFmtId="0" fontId="6" fillId="5" borderId="9" xfId="0" applyFont="1" applyFill="1" applyBorder="1" applyAlignment="1">
      <alignment horizontal="center" vertical="center" wrapText="1"/>
    </xf>
    <xf numFmtId="0" fontId="6" fillId="5" borderId="9" xfId="0" applyFont="1" applyFill="1" applyBorder="1" applyAlignment="1">
      <alignment horizontal="center" vertical="center" textRotation="90" wrapText="1"/>
    </xf>
    <xf numFmtId="0" fontId="6" fillId="5" borderId="10" xfId="0" applyFont="1" applyFill="1" applyBorder="1" applyAlignment="1">
      <alignment horizontal="center" vertical="center" textRotation="90" wrapText="1"/>
    </xf>
    <xf numFmtId="3" fontId="8" fillId="0" borderId="9" xfId="0" applyNumberFormat="1" applyFont="1" applyBorder="1" applyAlignment="1">
      <alignment vertical="center"/>
    </xf>
    <xf numFmtId="3" fontId="8" fillId="0" borderId="10" xfId="0" applyNumberFormat="1" applyFont="1" applyBorder="1" applyAlignment="1">
      <alignment vertical="center"/>
    </xf>
    <xf numFmtId="0" fontId="0" fillId="0" borderId="11" xfId="0" applyBorder="1" applyAlignment="1">
      <alignment horizontal="left" vertical="center" indent="1"/>
    </xf>
    <xf numFmtId="3" fontId="0" fillId="0" borderId="12" xfId="0" applyNumberFormat="1" applyBorder="1" applyAlignment="1">
      <alignment horizontal="right" vertical="center" indent="1"/>
    </xf>
    <xf numFmtId="3" fontId="8" fillId="0" borderId="12" xfId="0" applyNumberFormat="1" applyFont="1" applyBorder="1" applyAlignment="1">
      <alignment vertical="center"/>
    </xf>
    <xf numFmtId="3" fontId="8" fillId="0" borderId="13" xfId="0" applyNumberFormat="1" applyFont="1" applyBorder="1" applyAlignment="1">
      <alignment vertical="center"/>
    </xf>
    <xf numFmtId="0" fontId="0" fillId="0" borderId="0" xfId="0" applyAlignment="1">
      <alignment horizontal="left" indent="1"/>
    </xf>
    <xf numFmtId="0" fontId="6" fillId="5" borderId="5" xfId="0" applyFont="1" applyFill="1" applyBorder="1" applyAlignment="1">
      <alignment vertical="center"/>
    </xf>
    <xf numFmtId="0" fontId="6" fillId="5" borderId="8" xfId="0" applyFont="1" applyFill="1" applyBorder="1" applyAlignment="1">
      <alignment vertical="center"/>
    </xf>
    <xf numFmtId="0" fontId="10" fillId="0" borderId="1" xfId="0" applyFont="1" applyBorder="1" applyAlignment="1">
      <alignment vertical="center" wrapText="1"/>
    </xf>
    <xf numFmtId="0" fontId="3" fillId="0" borderId="1" xfId="2" applyFont="1" applyBorder="1" applyAlignment="1">
      <alignment vertical="center" wrapText="1"/>
    </xf>
    <xf numFmtId="0" fontId="10" fillId="0" borderId="1" xfId="0" applyFont="1" applyBorder="1" applyAlignment="1">
      <alignment wrapText="1"/>
    </xf>
    <xf numFmtId="0" fontId="2" fillId="0" borderId="1" xfId="0" applyFont="1" applyBorder="1" applyAlignment="1">
      <alignment horizontal="center"/>
    </xf>
    <xf numFmtId="3" fontId="0" fillId="2" borderId="1" xfId="0" applyNumberFormat="1" applyFill="1" applyBorder="1" applyAlignment="1">
      <alignment horizontal="center"/>
    </xf>
    <xf numFmtId="0" fontId="0" fillId="0" borderId="1" xfId="0" applyBorder="1" applyAlignment="1">
      <alignment horizontal="center" vertical="center" wrapText="1"/>
    </xf>
    <xf numFmtId="3" fontId="0" fillId="0" borderId="0" xfId="0" applyNumberFormat="1"/>
    <xf numFmtId="165" fontId="0" fillId="0" borderId="0" xfId="0" applyNumberFormat="1"/>
    <xf numFmtId="0" fontId="6" fillId="5" borderId="6" xfId="0" applyFont="1" applyFill="1" applyBorder="1" applyAlignment="1">
      <alignment horizontal="center" vertical="center" wrapText="1"/>
    </xf>
    <xf numFmtId="0" fontId="6" fillId="5" borderId="6" xfId="0" applyFont="1" applyFill="1" applyBorder="1" applyAlignment="1">
      <alignment horizontal="center" vertical="center"/>
    </xf>
    <xf numFmtId="0" fontId="0" fillId="0" borderId="9" xfId="0" applyBorder="1" applyAlignment="1">
      <alignment horizontal="left" vertical="center" indent="1"/>
    </xf>
    <xf numFmtId="0" fontId="0" fillId="0" borderId="9" xfId="0" applyBorder="1" applyAlignment="1">
      <alignment horizontal="left" vertical="center" wrapText="1" indent="1"/>
    </xf>
    <xf numFmtId="3" fontId="0" fillId="0" borderId="9" xfId="0" applyNumberFormat="1" applyBorder="1" applyAlignment="1">
      <alignment horizontal="right" vertical="center" wrapText="1" indent="1"/>
    </xf>
    <xf numFmtId="2" fontId="0" fillId="0" borderId="8" xfId="0" applyNumberFormat="1" applyBorder="1"/>
    <xf numFmtId="2" fontId="2" fillId="0" borderId="9" xfId="0" applyNumberFormat="1" applyFont="1" applyBorder="1" applyAlignment="1">
      <alignment horizontal="left" vertical="center" indent="1"/>
    </xf>
    <xf numFmtId="2" fontId="0" fillId="0" borderId="9" xfId="0" applyNumberFormat="1" applyBorder="1" applyAlignment="1">
      <alignment horizontal="left" vertical="center" indent="1"/>
    </xf>
    <xf numFmtId="2" fontId="2" fillId="0" borderId="9" xfId="0" applyNumberFormat="1" applyFont="1" applyBorder="1" applyAlignment="1">
      <alignment horizontal="right" vertical="center" indent="1"/>
    </xf>
    <xf numFmtId="0" fontId="2" fillId="0" borderId="9" xfId="0" applyFont="1" applyBorder="1" applyAlignment="1">
      <alignment horizontal="right" vertical="center" indent="1"/>
    </xf>
    <xf numFmtId="3" fontId="2" fillId="0" borderId="9" xfId="0" applyNumberFormat="1" applyFont="1" applyBorder="1" applyAlignment="1">
      <alignment horizontal="right" vertical="center" indent="1"/>
    </xf>
    <xf numFmtId="2" fontId="0" fillId="0" borderId="9" xfId="0" applyNumberFormat="1" applyBorder="1" applyAlignment="1">
      <alignment horizontal="right" vertical="center" indent="1"/>
    </xf>
    <xf numFmtId="166" fontId="0" fillId="0" borderId="9" xfId="1" applyNumberFormat="1" applyFont="1" applyBorder="1" applyAlignment="1">
      <alignment horizontal="right" vertical="center" indent="1"/>
    </xf>
    <xf numFmtId="2" fontId="0" fillId="0" borderId="11" xfId="0" applyNumberFormat="1" applyBorder="1"/>
    <xf numFmtId="2" fontId="2" fillId="0" borderId="12" xfId="0" applyNumberFormat="1" applyFont="1" applyBorder="1" applyAlignment="1">
      <alignment horizontal="left" vertical="center" indent="1"/>
    </xf>
    <xf numFmtId="2" fontId="0" fillId="0" borderId="12" xfId="0" applyNumberFormat="1" applyBorder="1" applyAlignment="1">
      <alignment horizontal="left" vertical="center" indent="1"/>
    </xf>
    <xf numFmtId="2" fontId="2" fillId="0" borderId="12" xfId="0" applyNumberFormat="1" applyFont="1" applyBorder="1" applyAlignment="1">
      <alignment horizontal="right" vertical="center" indent="1"/>
    </xf>
    <xf numFmtId="0" fontId="2" fillId="0" borderId="12" xfId="0" applyFont="1" applyBorder="1" applyAlignment="1">
      <alignment horizontal="right" vertical="center" indent="1"/>
    </xf>
    <xf numFmtId="3" fontId="2" fillId="0" borderId="12" xfId="0" applyNumberFormat="1" applyFont="1" applyBorder="1" applyAlignment="1">
      <alignment horizontal="right" vertical="center" indent="1"/>
    </xf>
    <xf numFmtId="167" fontId="0" fillId="0" borderId="0" xfId="0" applyNumberFormat="1"/>
    <xf numFmtId="0" fontId="2" fillId="4" borderId="1" xfId="0" applyFont="1" applyFill="1" applyBorder="1" applyAlignment="1">
      <alignment horizontal="center" vertical="center" wrapText="1"/>
    </xf>
    <xf numFmtId="3" fontId="0" fillId="0" borderId="1" xfId="0" applyNumberFormat="1" applyBorder="1" applyAlignment="1"/>
    <xf numFmtId="3" fontId="0" fillId="0" borderId="1" xfId="0" applyNumberFormat="1" applyBorder="1"/>
    <xf numFmtId="3" fontId="2" fillId="0" borderId="1" xfId="0" applyNumberFormat="1" applyFont="1" applyBorder="1" applyAlignment="1"/>
    <xf numFmtId="3" fontId="2" fillId="0" borderId="1" xfId="0" applyNumberFormat="1" applyFont="1" applyBorder="1"/>
    <xf numFmtId="3" fontId="0" fillId="0" borderId="0" xfId="0" applyNumberFormat="1" applyFill="1" applyBorder="1"/>
    <xf numFmtId="3" fontId="0" fillId="0" borderId="1" xfId="0" applyNumberFormat="1" applyFill="1" applyBorder="1"/>
    <xf numFmtId="0" fontId="4" fillId="0" borderId="1" xfId="0" applyFont="1" applyBorder="1"/>
    <xf numFmtId="3" fontId="0" fillId="3" borderId="1" xfId="0" applyNumberFormat="1" applyFill="1" applyBorder="1" applyAlignment="1">
      <alignment horizontal="center" wrapText="1"/>
    </xf>
    <xf numFmtId="0" fontId="4" fillId="0" borderId="0" xfId="0" applyFont="1" applyBorder="1"/>
    <xf numFmtId="0" fontId="0" fillId="0" borderId="0" xfId="0" applyFill="1" applyBorder="1"/>
    <xf numFmtId="168" fontId="0" fillId="0" borderId="0" xfId="0" applyNumberFormat="1"/>
    <xf numFmtId="169" fontId="0" fillId="0" borderId="0" xfId="0" applyNumberFormat="1"/>
    <xf numFmtId="0" fontId="0" fillId="0" borderId="2" xfId="0" applyBorder="1" applyAlignment="1">
      <alignment vertical="center" wrapText="1"/>
    </xf>
    <xf numFmtId="0" fontId="0" fillId="0" borderId="4" xfId="0" applyBorder="1" applyAlignment="1">
      <alignment vertical="center" wrapText="1"/>
    </xf>
    <xf numFmtId="3" fontId="0" fillId="0" borderId="1" xfId="0" applyNumberFormat="1" applyBorder="1" applyAlignment="1">
      <alignment horizontal="center" wrapText="1"/>
    </xf>
    <xf numFmtId="3"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xf numFmtId="3" fontId="0" fillId="0" borderId="1" xfId="0" applyNumberFormat="1" applyFont="1" applyBorder="1" applyAlignment="1">
      <alignment horizontal="center" vertical="center"/>
    </xf>
    <xf numFmtId="3" fontId="2" fillId="0" borderId="1" xfId="0" applyNumberFormat="1" applyFont="1" applyBorder="1" applyAlignment="1">
      <alignment horizontal="center" vertical="center"/>
    </xf>
    <xf numFmtId="0" fontId="4" fillId="0" borderId="3" xfId="0" applyFont="1" applyFill="1" applyBorder="1"/>
    <xf numFmtId="0" fontId="0" fillId="0" borderId="0" xfId="0" applyBorder="1"/>
    <xf numFmtId="3" fontId="0" fillId="0" borderId="0" xfId="0" applyNumberFormat="1" applyFont="1" applyBorder="1" applyAlignment="1">
      <alignment horizontal="center" vertical="center"/>
    </xf>
    <xf numFmtId="0" fontId="10" fillId="0" borderId="1" xfId="0" applyFont="1" applyBorder="1" applyAlignment="1">
      <alignment horizontal="center" vertical="center" wrapText="1"/>
    </xf>
    <xf numFmtId="0" fontId="3" fillId="0" borderId="1" xfId="2" applyFont="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wrapText="1"/>
    </xf>
    <xf numFmtId="3" fontId="0" fillId="0" borderId="1" xfId="0" applyNumberFormat="1" applyBorder="1" applyAlignment="1">
      <alignment horizontal="center" vertical="center"/>
    </xf>
    <xf numFmtId="0" fontId="10" fillId="0" borderId="1" xfId="0" applyFont="1" applyBorder="1" applyAlignment="1">
      <alignment horizontal="center" vertical="center"/>
    </xf>
    <xf numFmtId="0" fontId="0" fillId="0" borderId="3" xfId="0" applyFill="1" applyBorder="1"/>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16" xfId="0" applyBorder="1" applyAlignment="1">
      <alignment horizontal="left" vertical="center" indent="1"/>
    </xf>
    <xf numFmtId="0" fontId="0" fillId="0" borderId="18" xfId="0" applyBorder="1" applyAlignment="1">
      <alignment horizontal="left" vertical="center" indent="1"/>
    </xf>
    <xf numFmtId="0" fontId="0" fillId="0" borderId="20" xfId="0" applyBorder="1" applyAlignment="1">
      <alignment horizontal="left" vertical="center" indent="1"/>
    </xf>
    <xf numFmtId="0" fontId="0" fillId="0" borderId="17" xfId="0" applyBorder="1" applyAlignment="1">
      <alignment horizontal="left" vertical="center" wrapText="1" indent="1"/>
    </xf>
    <xf numFmtId="0" fontId="0" fillId="0" borderId="19" xfId="0" applyBorder="1" applyAlignment="1">
      <alignment horizontal="left" vertical="center" wrapText="1" indent="1"/>
    </xf>
    <xf numFmtId="0" fontId="0" fillId="0" borderId="21" xfId="0" applyBorder="1" applyAlignment="1">
      <alignment horizontal="left" vertical="center" wrapText="1" indent="1"/>
    </xf>
    <xf numFmtId="3" fontId="0" fillId="0" borderId="9" xfId="0" applyNumberFormat="1" applyBorder="1" applyAlignment="1">
      <alignment horizontal="right" vertical="center" wrapText="1" indent="1"/>
    </xf>
    <xf numFmtId="0" fontId="6" fillId="5" borderId="6"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14" xfId="0" applyFont="1" applyFill="1" applyBorder="1" applyAlignment="1">
      <alignment horizontal="center" vertical="center" wrapText="1"/>
    </xf>
    <xf numFmtId="0" fontId="6" fillId="5" borderId="15" xfId="0" applyFont="1" applyFill="1" applyBorder="1" applyAlignment="1">
      <alignment horizontal="center" vertical="center" wrapText="1"/>
    </xf>
    <xf numFmtId="3" fontId="0" fillId="0" borderId="17" xfId="0" applyNumberFormat="1" applyBorder="1" applyAlignment="1">
      <alignment horizontal="right" vertical="center" wrapText="1" indent="1"/>
    </xf>
    <xf numFmtId="3" fontId="0" fillId="0" borderId="19" xfId="0" applyNumberFormat="1" applyBorder="1" applyAlignment="1">
      <alignment horizontal="right" vertical="center" wrapText="1" indent="1"/>
    </xf>
    <xf numFmtId="3" fontId="0" fillId="0" borderId="21" xfId="0" applyNumberFormat="1" applyBorder="1" applyAlignment="1">
      <alignment horizontal="right" vertical="center" wrapText="1" indent="1"/>
    </xf>
    <xf numFmtId="0" fontId="0" fillId="0" borderId="9" xfId="0" applyBorder="1" applyAlignment="1">
      <alignment horizontal="left" vertical="center" wrapText="1" indent="1"/>
    </xf>
    <xf numFmtId="0" fontId="0" fillId="0" borderId="8" xfId="0" applyBorder="1" applyAlignment="1">
      <alignment horizontal="left" vertical="center" indent="1"/>
    </xf>
    <xf numFmtId="3" fontId="11" fillId="0" borderId="0" xfId="0" applyNumberFormat="1" applyFont="1"/>
    <xf numFmtId="0" fontId="11" fillId="0" borderId="0" xfId="0" applyFont="1" applyAlignment="1">
      <alignment horizontal="center" vertical="center"/>
    </xf>
    <xf numFmtId="3" fontId="0" fillId="0" borderId="0" xfId="0" applyNumberFormat="1" applyAlignment="1">
      <alignment vertical="center"/>
    </xf>
    <xf numFmtId="3" fontId="11" fillId="0" borderId="0" xfId="0" applyNumberFormat="1" applyFont="1" applyAlignment="1">
      <alignment vertical="center"/>
    </xf>
    <xf numFmtId="3" fontId="0" fillId="6" borderId="1" xfId="0" applyNumberFormat="1" applyFill="1" applyBorder="1" applyAlignment="1">
      <alignment horizontal="center" wrapText="1"/>
    </xf>
    <xf numFmtId="0" fontId="12" fillId="6" borderId="1" xfId="0" applyFont="1" applyFill="1" applyBorder="1"/>
    <xf numFmtId="3" fontId="12" fillId="6" borderId="1" xfId="0" applyNumberFormat="1" applyFont="1" applyFill="1" applyBorder="1" applyAlignment="1">
      <alignment horizontal="center"/>
    </xf>
    <xf numFmtId="0" fontId="13" fillId="6" borderId="1" xfId="0" applyFont="1" applyFill="1" applyBorder="1"/>
    <xf numFmtId="3" fontId="13" fillId="6" borderId="1" xfId="0" applyNumberFormat="1" applyFont="1" applyFill="1" applyBorder="1" applyAlignment="1">
      <alignment horizontal="center"/>
    </xf>
    <xf numFmtId="0" fontId="0" fillId="6" borderId="3" xfId="0" applyFill="1" applyBorder="1" applyAlignment="1">
      <alignment horizontal="center" vertical="center" wrapText="1"/>
    </xf>
    <xf numFmtId="0" fontId="4" fillId="6" borderId="2" xfId="0" applyFont="1" applyFill="1" applyBorder="1" applyAlignment="1">
      <alignment horizontal="center" wrapText="1"/>
    </xf>
    <xf numFmtId="0" fontId="4" fillId="6" borderId="1" xfId="0" applyFont="1" applyFill="1" applyBorder="1" applyAlignment="1">
      <alignment horizontal="center" wrapText="1"/>
    </xf>
    <xf numFmtId="0" fontId="4" fillId="6" borderId="1" xfId="0" applyFont="1" applyFill="1" applyBorder="1" applyAlignment="1">
      <alignment wrapText="1"/>
    </xf>
    <xf numFmtId="3" fontId="4" fillId="6" borderId="1" xfId="0" applyNumberFormat="1" applyFont="1" applyFill="1" applyBorder="1" applyAlignment="1">
      <alignment horizontal="center" wrapText="1"/>
    </xf>
    <xf numFmtId="171" fontId="0" fillId="0" borderId="0" xfId="3" applyNumberFormat="1" applyFont="1"/>
    <xf numFmtId="171" fontId="14" fillId="0" borderId="0" xfId="3" applyNumberFormat="1" applyFont="1"/>
    <xf numFmtId="3" fontId="12" fillId="0" borderId="1" xfId="0" applyNumberFormat="1" applyFont="1" applyBorder="1" applyAlignment="1">
      <alignment horizontal="center" wrapText="1"/>
    </xf>
  </cellXfs>
  <cellStyles count="4">
    <cellStyle name="Comma" xfId="3" builtinId="3"/>
    <cellStyle name="Hyperlink" xfId="2" builtinId="8"/>
    <cellStyle name="Normal" xfId="0" builtinId="0"/>
    <cellStyle name="Percent" xfId="1" builtinId="5"/>
  </cellStyles>
  <dxfs count="6">
    <dxf>
      <font>
        <color theme="9" tint="0.79998168889431442"/>
      </font>
      <fill>
        <patternFill>
          <bgColor theme="9" tint="0.79998168889431442"/>
        </patternFill>
      </fill>
    </dxf>
    <dxf>
      <font>
        <color theme="9" tint="0.39994506668294322"/>
      </font>
      <fill>
        <patternFill>
          <bgColor theme="9" tint="0.39994506668294322"/>
        </patternFill>
      </fill>
    </dxf>
    <dxf>
      <font>
        <color theme="9" tint="-0.499984740745262"/>
      </font>
      <fill>
        <patternFill>
          <bgColor theme="9" tint="-0.499984740745262"/>
        </patternFill>
      </fill>
    </dxf>
    <dxf>
      <font>
        <color theme="9" tint="0.79998168889431442"/>
      </font>
      <fill>
        <patternFill>
          <bgColor theme="9" tint="0.79998168889431442"/>
        </patternFill>
      </fill>
    </dxf>
    <dxf>
      <font>
        <color theme="9" tint="0.39994506668294322"/>
      </font>
      <fill>
        <patternFill>
          <bgColor theme="9" tint="0.39994506668294322"/>
        </patternFill>
      </fill>
    </dxf>
    <dxf>
      <font>
        <color theme="9" tint="-0.499984740745262"/>
      </font>
      <fill>
        <patternFill>
          <bgColor theme="9" tint="-0.499984740745262"/>
        </patternFill>
      </fill>
    </dxf>
  </dxfs>
  <tableStyles count="0" defaultTableStyle="TableStyleMedium2" defaultPivotStyle="PivotStyleLight16"/>
  <colors>
    <mruColors>
      <color rgb="FFFF66CC"/>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101</xdr:row>
      <xdr:rowOff>0</xdr:rowOff>
    </xdr:from>
    <xdr:to>
      <xdr:col>12</xdr:col>
      <xdr:colOff>436643</xdr:colOff>
      <xdr:row>117</xdr:row>
      <xdr:rowOff>9162</xdr:rowOff>
    </xdr:to>
    <xdr:pic>
      <xdr:nvPicPr>
        <xdr:cNvPr id="15" name="Picture 14">
          <a:extLst>
            <a:ext uri="{FF2B5EF4-FFF2-40B4-BE49-F238E27FC236}">
              <a16:creationId xmlns:a16="http://schemas.microsoft.com/office/drawing/2014/main" id="{8942CBE7-164E-4544-941F-1658532983E1}"/>
            </a:ext>
          </a:extLst>
        </xdr:cNvPr>
        <xdr:cNvPicPr>
          <a:picLocks noChangeAspect="1"/>
        </xdr:cNvPicPr>
      </xdr:nvPicPr>
      <xdr:blipFill>
        <a:blip xmlns:r="http://schemas.openxmlformats.org/officeDocument/2006/relationships" r:embed="rId1"/>
        <a:stretch>
          <a:fillRect/>
        </a:stretch>
      </xdr:blipFill>
      <xdr:spPr>
        <a:xfrm>
          <a:off x="57150" y="19683413"/>
          <a:ext cx="12057143" cy="2904762"/>
        </a:xfrm>
        <a:prstGeom prst="rect">
          <a:avLst/>
        </a:prstGeom>
      </xdr:spPr>
    </xdr:pic>
    <xdr:clientData/>
  </xdr:twoCellAnchor>
  <xdr:twoCellAnchor editAs="oneCell">
    <xdr:from>
      <xdr:col>1</xdr:col>
      <xdr:colOff>38100</xdr:colOff>
      <xdr:row>116</xdr:row>
      <xdr:rowOff>176212</xdr:rowOff>
    </xdr:from>
    <xdr:to>
      <xdr:col>12</xdr:col>
      <xdr:colOff>417600</xdr:colOff>
      <xdr:row>126</xdr:row>
      <xdr:rowOff>61700</xdr:rowOff>
    </xdr:to>
    <xdr:pic>
      <xdr:nvPicPr>
        <xdr:cNvPr id="16" name="Picture 15">
          <a:extLst>
            <a:ext uri="{FF2B5EF4-FFF2-40B4-BE49-F238E27FC236}">
              <a16:creationId xmlns:a16="http://schemas.microsoft.com/office/drawing/2014/main" id="{DF4AC64E-81EF-4A1A-B9D8-57797834C537}"/>
            </a:ext>
          </a:extLst>
        </xdr:cNvPr>
        <xdr:cNvPicPr>
          <a:picLocks noChangeAspect="1"/>
        </xdr:cNvPicPr>
      </xdr:nvPicPr>
      <xdr:blipFill>
        <a:blip xmlns:r="http://schemas.openxmlformats.org/officeDocument/2006/relationships" r:embed="rId2"/>
        <a:stretch>
          <a:fillRect/>
        </a:stretch>
      </xdr:blipFill>
      <xdr:spPr>
        <a:xfrm>
          <a:off x="95250" y="22574250"/>
          <a:ext cx="12000000" cy="1695238"/>
        </a:xfrm>
        <a:prstGeom prst="rect">
          <a:avLst/>
        </a:prstGeom>
      </xdr:spPr>
    </xdr:pic>
    <xdr:clientData/>
  </xdr:twoCellAnchor>
  <xdr:twoCellAnchor editAs="oneCell">
    <xdr:from>
      <xdr:col>1</xdr:col>
      <xdr:colOff>0</xdr:colOff>
      <xdr:row>127</xdr:row>
      <xdr:rowOff>0</xdr:rowOff>
    </xdr:from>
    <xdr:to>
      <xdr:col>7</xdr:col>
      <xdr:colOff>1765788</xdr:colOff>
      <xdr:row>159</xdr:row>
      <xdr:rowOff>46895</xdr:rowOff>
    </xdr:to>
    <xdr:pic>
      <xdr:nvPicPr>
        <xdr:cNvPr id="17" name="Picture 16">
          <a:extLst>
            <a:ext uri="{FF2B5EF4-FFF2-40B4-BE49-F238E27FC236}">
              <a16:creationId xmlns:a16="http://schemas.microsoft.com/office/drawing/2014/main" id="{41EC2894-9979-49E9-9739-ECE350DFFEA6}"/>
            </a:ext>
          </a:extLst>
        </xdr:cNvPr>
        <xdr:cNvPicPr>
          <a:picLocks noChangeAspect="1"/>
        </xdr:cNvPicPr>
      </xdr:nvPicPr>
      <xdr:blipFill>
        <a:blip xmlns:r="http://schemas.openxmlformats.org/officeDocument/2006/relationships" r:embed="rId3"/>
        <a:stretch>
          <a:fillRect/>
        </a:stretch>
      </xdr:blipFill>
      <xdr:spPr>
        <a:xfrm>
          <a:off x="57150" y="24388763"/>
          <a:ext cx="8790476" cy="58380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FFCC"/>
  </sheetPr>
  <dimension ref="A1:R62"/>
  <sheetViews>
    <sheetView tabSelected="1" zoomScale="80" zoomScaleNormal="80" workbookViewId="0">
      <pane xSplit="4" ySplit="3" topLeftCell="E4" activePane="bottomRight" state="frozen"/>
      <selection pane="topRight" activeCell="E1" sqref="E1"/>
      <selection pane="bottomLeft" activeCell="A4" sqref="A4"/>
      <selection pane="bottomRight" activeCell="M30" sqref="M30"/>
    </sheetView>
  </sheetViews>
  <sheetFormatPr defaultRowHeight="14.25" x14ac:dyDescent="0.45"/>
  <cols>
    <col min="1" max="1" width="18.86328125" customWidth="1"/>
    <col min="2" max="2" width="27.1328125" customWidth="1"/>
    <col min="3" max="3" width="23" customWidth="1"/>
    <col min="4" max="4" width="16.46484375" customWidth="1"/>
    <col min="5" max="5" width="19.53125" customWidth="1"/>
    <col min="6" max="6" width="14.265625" customWidth="1"/>
    <col min="7" max="7" width="14.06640625" customWidth="1"/>
    <col min="8" max="8" width="14.33203125" customWidth="1"/>
    <col min="9" max="13" width="13.46484375" customWidth="1"/>
    <col min="14" max="14" width="4.53125" customWidth="1"/>
    <col min="15" max="15" width="11.1328125" customWidth="1"/>
    <col min="16" max="16" width="12.3984375" customWidth="1"/>
    <col min="17" max="17" width="13.33203125" customWidth="1"/>
    <col min="18" max="18" width="13.796875" customWidth="1"/>
    <col min="19" max="19" width="3.53125" customWidth="1"/>
    <col min="20" max="20" width="11.796875" customWidth="1"/>
    <col min="21" max="21" width="10.46484375" customWidth="1"/>
  </cols>
  <sheetData>
    <row r="1" spans="1:18" ht="18" x14ac:dyDescent="0.55000000000000004">
      <c r="A1" s="10" t="s">
        <v>88</v>
      </c>
    </row>
    <row r="2" spans="1:18" ht="18" x14ac:dyDescent="0.55000000000000004">
      <c r="A2" s="10" t="s">
        <v>87</v>
      </c>
    </row>
    <row r="3" spans="1:18" ht="28.5" x14ac:dyDescent="0.45">
      <c r="A3" s="16" t="s">
        <v>8</v>
      </c>
      <c r="B3" s="16" t="s">
        <v>7</v>
      </c>
      <c r="C3" s="16" t="s">
        <v>9</v>
      </c>
      <c r="D3" s="16" t="s">
        <v>0</v>
      </c>
      <c r="E3" s="16" t="s">
        <v>1</v>
      </c>
      <c r="F3" s="16" t="s">
        <v>86</v>
      </c>
      <c r="G3" s="16" t="s">
        <v>306</v>
      </c>
      <c r="H3" s="16" t="s">
        <v>307</v>
      </c>
      <c r="I3" s="16" t="s">
        <v>308</v>
      </c>
      <c r="J3" s="16" t="s">
        <v>309</v>
      </c>
      <c r="K3" s="16" t="s">
        <v>310</v>
      </c>
      <c r="L3" s="16" t="s">
        <v>311</v>
      </c>
      <c r="M3" s="16" t="s">
        <v>312</v>
      </c>
      <c r="Q3" s="134"/>
      <c r="R3" s="134"/>
    </row>
    <row r="4" spans="1:18" ht="15" customHeight="1" x14ac:dyDescent="0.45">
      <c r="A4" s="111" t="s">
        <v>89</v>
      </c>
      <c r="B4" s="111" t="s">
        <v>336</v>
      </c>
      <c r="C4" s="114" t="s">
        <v>337</v>
      </c>
      <c r="D4" s="2" t="s">
        <v>300</v>
      </c>
      <c r="E4" s="15" t="s">
        <v>90</v>
      </c>
      <c r="F4" s="111" t="s">
        <v>181</v>
      </c>
      <c r="G4" s="95">
        <v>0</v>
      </c>
      <c r="H4" s="95">
        <v>0</v>
      </c>
      <c r="I4" s="95">
        <v>0</v>
      </c>
      <c r="J4" s="95">
        <v>0</v>
      </c>
      <c r="K4" s="95">
        <v>180000000</v>
      </c>
      <c r="L4" s="95">
        <v>20000000</v>
      </c>
      <c r="M4" s="137">
        <f>SUM(G4:L4)</f>
        <v>200000000</v>
      </c>
      <c r="O4" s="58"/>
      <c r="P4" s="58"/>
      <c r="Q4" s="58"/>
      <c r="R4" s="133"/>
    </row>
    <row r="5" spans="1:18" x14ac:dyDescent="0.45">
      <c r="A5" s="112"/>
      <c r="B5" s="112"/>
      <c r="C5" s="114"/>
      <c r="D5" s="2" t="s">
        <v>91</v>
      </c>
      <c r="E5" s="15" t="s">
        <v>93</v>
      </c>
      <c r="F5" s="112"/>
      <c r="G5" s="95">
        <f>'1A'!B22</f>
        <v>28800000</v>
      </c>
      <c r="H5" s="95">
        <f>'1A'!C22</f>
        <v>185300000</v>
      </c>
      <c r="I5" s="95">
        <f>'1A'!D22</f>
        <v>335300000</v>
      </c>
      <c r="J5" s="149">
        <f>'1A'!E22</f>
        <v>271300000</v>
      </c>
      <c r="K5" s="149">
        <f>'1A'!F22-K4-K6</f>
        <v>-266500000</v>
      </c>
      <c r="L5" s="149">
        <f>'1A'!G22-L4-L6</f>
        <v>-40000000</v>
      </c>
      <c r="M5" s="137">
        <f>SUM(G5:L5)</f>
        <v>514200000</v>
      </c>
      <c r="N5" s="92"/>
      <c r="O5" s="58"/>
      <c r="P5" s="58"/>
      <c r="Q5" s="58"/>
      <c r="R5" s="133"/>
    </row>
    <row r="6" spans="1:18" x14ac:dyDescent="0.45">
      <c r="A6" s="112"/>
      <c r="B6" s="112"/>
      <c r="C6" s="114"/>
      <c r="D6" s="2" t="s">
        <v>92</v>
      </c>
      <c r="E6" s="15" t="s">
        <v>93</v>
      </c>
      <c r="F6" s="113"/>
      <c r="G6" s="95">
        <v>0</v>
      </c>
      <c r="H6" s="95">
        <v>0</v>
      </c>
      <c r="I6" s="95">
        <v>0</v>
      </c>
      <c r="J6" s="149">
        <v>0</v>
      </c>
      <c r="K6" s="149">
        <v>100000000</v>
      </c>
      <c r="L6" s="149">
        <v>20000000</v>
      </c>
      <c r="M6" s="137">
        <f t="shared" ref="M6:M15" si="0">SUM(G6:L6)</f>
        <v>120000000</v>
      </c>
      <c r="N6" s="58"/>
      <c r="O6" s="58"/>
      <c r="P6" s="58"/>
      <c r="Q6" s="58"/>
      <c r="R6" s="133"/>
    </row>
    <row r="7" spans="1:18" x14ac:dyDescent="0.45">
      <c r="A7" s="112"/>
      <c r="B7" s="112"/>
      <c r="C7" s="114" t="s">
        <v>338</v>
      </c>
      <c r="D7" s="2" t="s">
        <v>300</v>
      </c>
      <c r="E7" s="15" t="s">
        <v>4</v>
      </c>
      <c r="F7" s="111" t="s">
        <v>182</v>
      </c>
      <c r="G7" s="95">
        <v>0</v>
      </c>
      <c r="H7" s="95">
        <v>0</v>
      </c>
      <c r="I7" s="95">
        <v>0</v>
      </c>
      <c r="J7" s="149">
        <v>0</v>
      </c>
      <c r="K7" s="149">
        <f>225000000-K4</f>
        <v>45000000</v>
      </c>
      <c r="L7" s="149">
        <f>25000000-L4</f>
        <v>5000000</v>
      </c>
      <c r="M7" s="95">
        <f t="shared" si="0"/>
        <v>50000000</v>
      </c>
      <c r="O7" s="58"/>
      <c r="P7" s="58"/>
      <c r="Q7" s="58"/>
      <c r="R7" s="133"/>
    </row>
    <row r="8" spans="1:18" x14ac:dyDescent="0.45">
      <c r="A8" s="112"/>
      <c r="B8" s="112"/>
      <c r="C8" s="114"/>
      <c r="D8" s="2" t="s">
        <v>91</v>
      </c>
      <c r="E8" s="15" t="s">
        <v>4</v>
      </c>
      <c r="F8" s="112"/>
      <c r="G8" s="95">
        <f>'1B'!B4</f>
        <v>51000000</v>
      </c>
      <c r="H8" s="95">
        <f>'1B'!C4</f>
        <v>116000000</v>
      </c>
      <c r="I8" s="95">
        <f>'1B'!D4</f>
        <v>51000000</v>
      </c>
      <c r="J8" s="149">
        <f>'1B'!E4</f>
        <v>123000000</v>
      </c>
      <c r="K8" s="149">
        <f>'1B'!F4-K7-K9</f>
        <v>-33600000</v>
      </c>
      <c r="L8" s="149">
        <f>'1B'!G4-L7-L9</f>
        <v>-10000000</v>
      </c>
      <c r="M8" s="95">
        <f t="shared" si="0"/>
        <v>297400000</v>
      </c>
      <c r="O8" s="58"/>
      <c r="P8" s="58"/>
      <c r="Q8" s="58"/>
      <c r="R8" s="133"/>
    </row>
    <row r="9" spans="1:18" x14ac:dyDescent="0.45">
      <c r="A9" s="112"/>
      <c r="B9" s="112"/>
      <c r="C9" s="114"/>
      <c r="D9" s="2" t="s">
        <v>92</v>
      </c>
      <c r="E9" s="15" t="s">
        <v>4</v>
      </c>
      <c r="F9" s="113"/>
      <c r="G9" s="95">
        <v>0</v>
      </c>
      <c r="H9" s="95">
        <v>0</v>
      </c>
      <c r="I9" s="95">
        <v>0</v>
      </c>
      <c r="J9" s="149">
        <v>0</v>
      </c>
      <c r="K9" s="149">
        <v>100000000</v>
      </c>
      <c r="L9" s="149">
        <v>5000000</v>
      </c>
      <c r="M9" s="95">
        <f t="shared" si="0"/>
        <v>105000000</v>
      </c>
      <c r="N9" s="92"/>
      <c r="O9" s="58"/>
      <c r="P9" s="58"/>
      <c r="Q9" s="58"/>
      <c r="R9" s="133"/>
    </row>
    <row r="10" spans="1:18" x14ac:dyDescent="0.45">
      <c r="A10" s="112"/>
      <c r="B10" s="112"/>
      <c r="C10" s="114" t="s">
        <v>339</v>
      </c>
      <c r="D10" s="2" t="s">
        <v>300</v>
      </c>
      <c r="E10" s="15" t="s">
        <v>90</v>
      </c>
      <c r="F10" s="111" t="s">
        <v>183</v>
      </c>
      <c r="G10" s="95">
        <v>0</v>
      </c>
      <c r="H10" s="95">
        <v>0</v>
      </c>
      <c r="I10" s="95">
        <v>0</v>
      </c>
      <c r="J10" s="149">
        <v>0</v>
      </c>
      <c r="K10" s="149">
        <v>0</v>
      </c>
      <c r="L10" s="149">
        <v>0</v>
      </c>
      <c r="M10" s="137">
        <f t="shared" si="0"/>
        <v>0</v>
      </c>
      <c r="N10" s="58"/>
      <c r="O10" s="58"/>
      <c r="P10" s="58"/>
      <c r="Q10" s="58"/>
      <c r="R10" s="133"/>
    </row>
    <row r="11" spans="1:18" x14ac:dyDescent="0.45">
      <c r="A11" s="112"/>
      <c r="B11" s="112"/>
      <c r="C11" s="114"/>
      <c r="D11" s="2" t="s">
        <v>91</v>
      </c>
      <c r="E11" s="15" t="s">
        <v>93</v>
      </c>
      <c r="F11" s="112"/>
      <c r="G11" s="95">
        <f>'1C'!B20</f>
        <v>51900000</v>
      </c>
      <c r="H11" s="95">
        <f>'1C'!C20</f>
        <v>79300000</v>
      </c>
      <c r="I11" s="95">
        <f>'1C'!D20</f>
        <v>65200000</v>
      </c>
      <c r="J11" s="95">
        <f>'1C'!E20</f>
        <v>62100000</v>
      </c>
      <c r="K11" s="95">
        <f>'1C'!F20-K12</f>
        <v>-61200000</v>
      </c>
      <c r="L11" s="95">
        <f>'1C'!G20-L12</f>
        <v>-5000000</v>
      </c>
      <c r="M11" s="137">
        <f t="shared" si="0"/>
        <v>192300000</v>
      </c>
      <c r="O11" s="58"/>
      <c r="P11" s="58"/>
      <c r="Q11" s="58"/>
      <c r="R11" s="133"/>
    </row>
    <row r="12" spans="1:18" x14ac:dyDescent="0.45">
      <c r="A12" s="112"/>
      <c r="B12" s="112"/>
      <c r="C12" s="114"/>
      <c r="D12" s="2" t="s">
        <v>92</v>
      </c>
      <c r="E12" s="15" t="s">
        <v>93</v>
      </c>
      <c r="F12" s="113"/>
      <c r="G12" s="95">
        <v>0</v>
      </c>
      <c r="H12" s="95">
        <v>0</v>
      </c>
      <c r="I12" s="95">
        <v>0</v>
      </c>
      <c r="J12" s="95">
        <v>0</v>
      </c>
      <c r="K12" s="95">
        <v>70000000</v>
      </c>
      <c r="L12" s="95">
        <v>5000000</v>
      </c>
      <c r="M12" s="137">
        <f t="shared" si="0"/>
        <v>75000000</v>
      </c>
      <c r="N12" s="91"/>
      <c r="O12" s="58"/>
      <c r="P12" s="58"/>
      <c r="Q12" s="58"/>
      <c r="R12" s="133"/>
    </row>
    <row r="13" spans="1:18" x14ac:dyDescent="0.45">
      <c r="A13" s="112"/>
      <c r="B13" s="112"/>
      <c r="C13" s="114" t="s">
        <v>340</v>
      </c>
      <c r="D13" s="2" t="s">
        <v>2</v>
      </c>
      <c r="E13" s="15" t="s">
        <v>90</v>
      </c>
      <c r="F13" s="111" t="s">
        <v>184</v>
      </c>
      <c r="G13" s="95">
        <v>0</v>
      </c>
      <c r="H13" s="95">
        <v>0</v>
      </c>
      <c r="I13" s="95">
        <v>0</v>
      </c>
      <c r="J13" s="95">
        <v>0</v>
      </c>
      <c r="K13" s="95">
        <v>0</v>
      </c>
      <c r="L13" s="95">
        <v>0</v>
      </c>
      <c r="M13" s="95">
        <f t="shared" si="0"/>
        <v>0</v>
      </c>
      <c r="O13" s="58"/>
      <c r="P13" s="58"/>
      <c r="Q13" s="58"/>
      <c r="R13" s="133"/>
    </row>
    <row r="14" spans="1:18" x14ac:dyDescent="0.45">
      <c r="A14" s="112"/>
      <c r="B14" s="112"/>
      <c r="C14" s="114"/>
      <c r="D14" s="2" t="s">
        <v>91</v>
      </c>
      <c r="E14" s="15" t="s">
        <v>93</v>
      </c>
      <c r="F14" s="112"/>
      <c r="G14" s="95">
        <f>'1D'!B7</f>
        <v>71700000</v>
      </c>
      <c r="H14" s="95">
        <f>'1D'!C7</f>
        <v>47000000</v>
      </c>
      <c r="I14" s="95">
        <f>'1D'!D7</f>
        <v>63400000</v>
      </c>
      <c r="J14" s="95">
        <f>'1D'!E7</f>
        <v>75900000</v>
      </c>
      <c r="K14" s="95">
        <f>'1D'!F7</f>
        <v>40100000</v>
      </c>
      <c r="L14" s="95">
        <f>'1D'!G7</f>
        <v>0</v>
      </c>
      <c r="M14" s="95">
        <f t="shared" si="0"/>
        <v>298100000</v>
      </c>
      <c r="O14" s="58"/>
      <c r="P14" s="58"/>
      <c r="Q14" s="58"/>
      <c r="R14" s="133"/>
    </row>
    <row r="15" spans="1:18" x14ac:dyDescent="0.45">
      <c r="A15" s="112"/>
      <c r="B15" s="113"/>
      <c r="C15" s="114"/>
      <c r="D15" s="2" t="s">
        <v>92</v>
      </c>
      <c r="E15" s="15" t="s">
        <v>93</v>
      </c>
      <c r="F15" s="113"/>
      <c r="G15" s="95">
        <v>0</v>
      </c>
      <c r="H15" s="95">
        <v>0</v>
      </c>
      <c r="I15" s="95">
        <v>0</v>
      </c>
      <c r="J15" s="95">
        <v>0</v>
      </c>
      <c r="K15" s="95">
        <v>0</v>
      </c>
      <c r="L15" s="95">
        <v>0</v>
      </c>
      <c r="M15" s="95">
        <f t="shared" si="0"/>
        <v>0</v>
      </c>
      <c r="O15" s="58"/>
      <c r="P15" s="58"/>
      <c r="Q15" s="58"/>
      <c r="R15" s="133"/>
    </row>
    <row r="16" spans="1:18" x14ac:dyDescent="0.45">
      <c r="A16" s="113"/>
      <c r="B16" s="7" t="s">
        <v>302</v>
      </c>
      <c r="C16" s="7"/>
      <c r="D16" s="3"/>
      <c r="E16" s="3"/>
      <c r="F16" s="7"/>
      <c r="G16" s="88">
        <f t="shared" ref="G16:M16" si="1">SUM(G4:G15)</f>
        <v>203400000</v>
      </c>
      <c r="H16" s="88">
        <f t="shared" si="1"/>
        <v>427600000</v>
      </c>
      <c r="I16" s="88">
        <f>SUM(I4:I15)</f>
        <v>514900000</v>
      </c>
      <c r="J16" s="88">
        <f>SUM(J4:J15)</f>
        <v>532300000</v>
      </c>
      <c r="K16" s="88">
        <f t="shared" si="1"/>
        <v>173800000</v>
      </c>
      <c r="L16" s="88">
        <f t="shared" si="1"/>
        <v>0</v>
      </c>
      <c r="M16" s="88">
        <f t="shared" si="1"/>
        <v>1852000000</v>
      </c>
      <c r="O16" s="58"/>
      <c r="P16" s="58"/>
      <c r="Q16" s="58"/>
      <c r="R16" s="133"/>
    </row>
    <row r="17" spans="1:18" x14ac:dyDescent="0.45">
      <c r="A17" s="142"/>
      <c r="B17" s="143" t="s">
        <v>386</v>
      </c>
      <c r="C17" s="144"/>
      <c r="D17" s="145"/>
      <c r="E17" s="145"/>
      <c r="F17" s="144"/>
      <c r="G17" s="146">
        <f>SUM(G4,G7,G10)</f>
        <v>0</v>
      </c>
      <c r="H17" s="146">
        <f t="shared" ref="H17:M17" si="2">SUM(H4,H7,H10)</f>
        <v>0</v>
      </c>
      <c r="I17" s="146">
        <f t="shared" si="2"/>
        <v>0</v>
      </c>
      <c r="J17" s="146">
        <f t="shared" si="2"/>
        <v>0</v>
      </c>
      <c r="K17" s="146">
        <f t="shared" si="2"/>
        <v>225000000</v>
      </c>
      <c r="L17" s="146">
        <f t="shared" si="2"/>
        <v>25000000</v>
      </c>
      <c r="M17" s="146">
        <f t="shared" si="2"/>
        <v>250000000</v>
      </c>
      <c r="O17" s="58"/>
      <c r="P17" s="58"/>
      <c r="Q17" s="58"/>
      <c r="R17" s="133"/>
    </row>
    <row r="18" spans="1:18" x14ac:dyDescent="0.45">
      <c r="A18" s="142"/>
      <c r="B18" s="143" t="s">
        <v>91</v>
      </c>
      <c r="C18" s="144"/>
      <c r="D18" s="145"/>
      <c r="E18" s="145"/>
      <c r="F18" s="144"/>
      <c r="G18" s="146">
        <f>SUM(G5,G8,G11,G14)</f>
        <v>203400000</v>
      </c>
      <c r="H18" s="146">
        <f t="shared" ref="H18:M18" si="3">SUM(H5,H8,H11,H14)</f>
        <v>427600000</v>
      </c>
      <c r="I18" s="146">
        <f t="shared" si="3"/>
        <v>514900000</v>
      </c>
      <c r="J18" s="146">
        <f t="shared" si="3"/>
        <v>532300000</v>
      </c>
      <c r="K18" s="146">
        <f t="shared" si="3"/>
        <v>-321200000</v>
      </c>
      <c r="L18" s="146">
        <f t="shared" si="3"/>
        <v>-55000000</v>
      </c>
      <c r="M18" s="146">
        <f t="shared" si="3"/>
        <v>1302000000</v>
      </c>
      <c r="O18" s="58"/>
      <c r="P18" s="58"/>
      <c r="Q18" s="58"/>
      <c r="R18" s="133"/>
    </row>
    <row r="19" spans="1:18" x14ac:dyDescent="0.45">
      <c r="A19" s="142"/>
      <c r="B19" s="143" t="s">
        <v>387</v>
      </c>
      <c r="C19" s="144"/>
      <c r="D19" s="145"/>
      <c r="E19" s="145"/>
      <c r="F19" s="144"/>
      <c r="G19" s="146">
        <f>SUM(G6,G9,G12,G15)</f>
        <v>0</v>
      </c>
      <c r="H19" s="146">
        <f t="shared" ref="H19:M19" si="4">SUM(H6,H9,H12,H15)</f>
        <v>0</v>
      </c>
      <c r="I19" s="146">
        <f t="shared" si="4"/>
        <v>0</v>
      </c>
      <c r="J19" s="146">
        <f t="shared" si="4"/>
        <v>0</v>
      </c>
      <c r="K19" s="146">
        <f t="shared" si="4"/>
        <v>270000000</v>
      </c>
      <c r="L19" s="146">
        <f t="shared" si="4"/>
        <v>30000000</v>
      </c>
      <c r="M19" s="146">
        <f t="shared" si="4"/>
        <v>300000000</v>
      </c>
      <c r="O19" s="58"/>
      <c r="P19" s="58"/>
      <c r="Q19" s="58"/>
      <c r="R19" s="133"/>
    </row>
    <row r="20" spans="1:18" ht="74.25" customHeight="1" x14ac:dyDescent="0.45">
      <c r="A20" s="111" t="s">
        <v>290</v>
      </c>
      <c r="B20" s="93" t="s">
        <v>341</v>
      </c>
      <c r="C20" s="2" t="s">
        <v>342</v>
      </c>
      <c r="D20" s="14" t="s">
        <v>301</v>
      </c>
      <c r="E20" s="14" t="s">
        <v>205</v>
      </c>
      <c r="F20" s="14" t="s">
        <v>44</v>
      </c>
      <c r="G20" s="96">
        <v>0</v>
      </c>
      <c r="H20" s="96">
        <v>0</v>
      </c>
      <c r="I20" s="96">
        <v>0</v>
      </c>
      <c r="J20" s="96">
        <v>0</v>
      </c>
      <c r="K20" s="96">
        <v>0</v>
      </c>
      <c r="L20" s="96">
        <v>19800000</v>
      </c>
      <c r="M20" s="96">
        <f>+'2A'!L43*1000</f>
        <v>19800000</v>
      </c>
      <c r="O20" s="135"/>
      <c r="P20" s="135"/>
      <c r="Q20" s="135"/>
      <c r="R20" s="136"/>
    </row>
    <row r="21" spans="1:18" ht="42.75" x14ac:dyDescent="0.45">
      <c r="A21" s="112"/>
      <c r="B21" s="94" t="s">
        <v>343</v>
      </c>
      <c r="C21" s="57" t="s">
        <v>344</v>
      </c>
      <c r="D21" s="57" t="s">
        <v>301</v>
      </c>
      <c r="E21" s="1" t="s">
        <v>206</v>
      </c>
      <c r="F21" s="57" t="s">
        <v>45</v>
      </c>
      <c r="G21" s="96">
        <v>0</v>
      </c>
      <c r="H21" s="96">
        <v>0</v>
      </c>
      <c r="I21" s="96">
        <v>0</v>
      </c>
      <c r="J21" s="96">
        <v>0</v>
      </c>
      <c r="K21" s="96">
        <v>0</v>
      </c>
      <c r="L21" s="96">
        <v>200000</v>
      </c>
      <c r="M21" s="96">
        <f>'2B'!C8</f>
        <v>200000</v>
      </c>
      <c r="O21" s="135"/>
      <c r="P21" s="135"/>
      <c r="Q21" s="135"/>
      <c r="R21" s="136"/>
    </row>
    <row r="22" spans="1:18" x14ac:dyDescent="0.45">
      <c r="A22" s="113"/>
      <c r="B22" s="4" t="s">
        <v>303</v>
      </c>
      <c r="C22" s="4"/>
      <c r="D22" s="3"/>
      <c r="E22" s="3"/>
      <c r="F22" s="7"/>
      <c r="G22" s="88">
        <f>SUM(G20)</f>
        <v>0</v>
      </c>
      <c r="H22" s="88">
        <f>SUM(H20)</f>
        <v>0</v>
      </c>
      <c r="I22" s="88">
        <f>SUM(I20)</f>
        <v>0</v>
      </c>
      <c r="J22" s="88">
        <f>SUM(J20:J21)</f>
        <v>0</v>
      </c>
      <c r="K22" s="88">
        <f>SUM(K20:K21)</f>
        <v>0</v>
      </c>
      <c r="L22" s="88">
        <f>SUM(L20:L21)</f>
        <v>20000000</v>
      </c>
      <c r="M22" s="88">
        <f>SUM(M20:M21)</f>
        <v>20000000</v>
      </c>
      <c r="O22" s="135"/>
      <c r="P22" s="135"/>
      <c r="Q22" s="135"/>
      <c r="R22" s="136"/>
    </row>
    <row r="23" spans="1:18" ht="42.75" x14ac:dyDescent="0.45">
      <c r="A23" s="111" t="s">
        <v>203</v>
      </c>
      <c r="B23" s="2" t="s">
        <v>345</v>
      </c>
      <c r="C23" s="2" t="s">
        <v>346</v>
      </c>
      <c r="D23" s="36" t="s">
        <v>301</v>
      </c>
      <c r="E23" s="1" t="s">
        <v>206</v>
      </c>
      <c r="F23" s="36" t="s">
        <v>54</v>
      </c>
      <c r="G23" s="96">
        <f>'3A'!A54</f>
        <v>20000</v>
      </c>
      <c r="H23" s="96">
        <f>'3A'!B54</f>
        <v>20000</v>
      </c>
      <c r="I23" s="96">
        <f>'3A'!C54</f>
        <v>30000</v>
      </c>
      <c r="J23" s="96">
        <f>'3A'!D54</f>
        <v>40000</v>
      </c>
      <c r="K23" s="96">
        <f>'3A'!E54</f>
        <v>110000</v>
      </c>
      <c r="L23" s="96">
        <f>'3A'!F54</f>
        <v>750000</v>
      </c>
      <c r="M23" s="96">
        <f>'3A'!G54</f>
        <v>970000</v>
      </c>
      <c r="N23" s="59"/>
      <c r="O23" s="135"/>
      <c r="P23" s="135"/>
      <c r="Q23" s="135"/>
      <c r="R23" s="136"/>
    </row>
    <row r="24" spans="1:18" ht="42.75" x14ac:dyDescent="0.45">
      <c r="A24" s="112"/>
      <c r="B24" s="2" t="s">
        <v>347</v>
      </c>
      <c r="C24" s="2" t="s">
        <v>348</v>
      </c>
      <c r="D24" s="36" t="s">
        <v>301</v>
      </c>
      <c r="E24" s="1" t="s">
        <v>226</v>
      </c>
      <c r="F24" s="36" t="s">
        <v>55</v>
      </c>
      <c r="G24" s="96">
        <f>'3B'!A21</f>
        <v>0</v>
      </c>
      <c r="H24" s="96">
        <f>'3B'!B21</f>
        <v>0</v>
      </c>
      <c r="I24" s="96">
        <f>'3B'!C21</f>
        <v>0</v>
      </c>
      <c r="J24" s="96">
        <f>'3B'!D21</f>
        <v>0</v>
      </c>
      <c r="K24" s="96">
        <f>'3B'!E21</f>
        <v>255000</v>
      </c>
      <c r="L24" s="96">
        <f>'3B'!F21</f>
        <v>75000</v>
      </c>
      <c r="M24" s="96">
        <f>'3B'!B17</f>
        <v>330000</v>
      </c>
      <c r="O24" s="135"/>
      <c r="P24" s="135"/>
      <c r="Q24" s="135"/>
      <c r="R24" s="136"/>
    </row>
    <row r="25" spans="1:18" x14ac:dyDescent="0.45">
      <c r="A25" s="113"/>
      <c r="B25" s="4" t="s">
        <v>304</v>
      </c>
      <c r="C25" s="4"/>
      <c r="D25" s="3"/>
      <c r="E25" s="3"/>
      <c r="F25" s="3"/>
      <c r="G25" s="88">
        <f>SUM(G23:G24)</f>
        <v>20000</v>
      </c>
      <c r="H25" s="88">
        <f t="shared" ref="H25:M25" si="5">SUM(H23:H24)</f>
        <v>20000</v>
      </c>
      <c r="I25" s="88">
        <f>SUM(I23:I24)</f>
        <v>30000</v>
      </c>
      <c r="J25" s="88">
        <f t="shared" si="5"/>
        <v>40000</v>
      </c>
      <c r="K25" s="88">
        <f t="shared" si="5"/>
        <v>365000</v>
      </c>
      <c r="L25" s="88">
        <f t="shared" si="5"/>
        <v>825000</v>
      </c>
      <c r="M25" s="88">
        <f t="shared" si="5"/>
        <v>1300000</v>
      </c>
      <c r="O25" s="135"/>
      <c r="P25" s="135"/>
      <c r="Q25" s="135"/>
      <c r="R25" s="136"/>
    </row>
    <row r="26" spans="1:18" x14ac:dyDescent="0.45">
      <c r="A26" s="5" t="s">
        <v>10</v>
      </c>
      <c r="B26" s="5"/>
      <c r="C26" s="5"/>
      <c r="D26" s="5"/>
      <c r="E26" s="5"/>
      <c r="F26" s="5"/>
      <c r="G26" s="56">
        <f>G16+G22+G25</f>
        <v>203420000</v>
      </c>
      <c r="H26" s="56">
        <f>H16+H22+H25</f>
        <v>427620000</v>
      </c>
      <c r="I26" s="56">
        <f>I16+I22+I25</f>
        <v>514930000</v>
      </c>
      <c r="J26" s="56">
        <f>J16+J22+J25</f>
        <v>532340000</v>
      </c>
      <c r="K26" s="56">
        <f>K16+K22+K25</f>
        <v>174165000</v>
      </c>
      <c r="L26" s="56">
        <f>L16+L22+L25</f>
        <v>20825000</v>
      </c>
      <c r="M26" s="56">
        <f>M16+M22+M25</f>
        <v>1873300000</v>
      </c>
      <c r="O26" s="135"/>
      <c r="P26" s="135"/>
      <c r="Q26" s="135"/>
      <c r="R26" s="136"/>
    </row>
    <row r="27" spans="1:18" x14ac:dyDescent="0.45">
      <c r="A27" s="138" t="s">
        <v>14</v>
      </c>
      <c r="B27" s="138"/>
      <c r="C27" s="138"/>
      <c r="D27" s="138"/>
      <c r="E27" s="138"/>
      <c r="F27" s="138"/>
      <c r="G27" s="139">
        <f>G4+G7+G10+G13+G22+G25</f>
        <v>20000</v>
      </c>
      <c r="H27" s="139">
        <f>H4+H7+H10+H13+H22+H25</f>
        <v>20000</v>
      </c>
      <c r="I27" s="139">
        <f>I4+I7+I10+I13+I22+I25</f>
        <v>30000</v>
      </c>
      <c r="J27" s="139">
        <f>J4+J7+J10+J13+J22+J25</f>
        <v>40000</v>
      </c>
      <c r="K27" s="139">
        <f>K4+K7+K10+K13+K22+K25</f>
        <v>225365000</v>
      </c>
      <c r="L27" s="139">
        <f>L4+L7+L10+L13+L22+L25</f>
        <v>45825000</v>
      </c>
      <c r="M27" s="139">
        <f>M4+M7+M10+M13+M22+M25</f>
        <v>271300000</v>
      </c>
      <c r="O27" s="135"/>
      <c r="P27" s="135"/>
      <c r="Q27" s="135"/>
      <c r="R27" s="136"/>
    </row>
    <row r="28" spans="1:18" x14ac:dyDescent="0.45">
      <c r="A28" s="140" t="s">
        <v>384</v>
      </c>
      <c r="B28" s="140"/>
      <c r="C28" s="140"/>
      <c r="D28" s="140"/>
      <c r="E28" s="140"/>
      <c r="F28" s="140"/>
      <c r="G28" s="141">
        <f>SUM(G4,G7,G10)</f>
        <v>0</v>
      </c>
      <c r="H28" s="141">
        <f>SUM(H4,H7,H10)</f>
        <v>0</v>
      </c>
      <c r="I28" s="141">
        <f>SUM(I4,I7,I10)</f>
        <v>0</v>
      </c>
      <c r="J28" s="141">
        <f>SUM(J4,J7,J10)</f>
        <v>0</v>
      </c>
      <c r="K28" s="141">
        <f>SUM(K4,K7,K10)</f>
        <v>225000000</v>
      </c>
      <c r="L28" s="141">
        <f>SUM(L4,L7,L10)</f>
        <v>25000000</v>
      </c>
      <c r="M28" s="141">
        <f>SUM(M4,M7,M10)</f>
        <v>250000000</v>
      </c>
      <c r="O28" s="135"/>
      <c r="P28" s="135"/>
      <c r="Q28" s="135"/>
      <c r="R28" s="136"/>
    </row>
    <row r="29" spans="1:18" x14ac:dyDescent="0.45">
      <c r="A29" s="140" t="s">
        <v>385</v>
      </c>
      <c r="B29" s="140"/>
      <c r="C29" s="140"/>
      <c r="D29" s="140"/>
      <c r="E29" s="140"/>
      <c r="F29" s="140"/>
      <c r="G29" s="141">
        <f>SUM(G20,G21,G23,G24)</f>
        <v>20000</v>
      </c>
      <c r="H29" s="141">
        <f>SUM(H20,H21,H23,H24)</f>
        <v>20000</v>
      </c>
      <c r="I29" s="141">
        <f>SUM(I20,I21,I23,I24)</f>
        <v>30000</v>
      </c>
      <c r="J29" s="141">
        <f>SUM(J20,J21,J23,J24)</f>
        <v>40000</v>
      </c>
      <c r="K29" s="141">
        <f>SUM(K20,K21,K23,K24)</f>
        <v>365000</v>
      </c>
      <c r="L29" s="141">
        <f>SUM(L20,L21,L23,L24)</f>
        <v>20825000</v>
      </c>
      <c r="M29" s="141">
        <f>SUM(M20,M21,M23,M24)</f>
        <v>21300000</v>
      </c>
      <c r="O29" s="135"/>
      <c r="P29" s="135"/>
      <c r="Q29" s="135"/>
      <c r="R29" s="136"/>
    </row>
    <row r="30" spans="1:18" x14ac:dyDescent="0.45">
      <c r="A30" s="5" t="s">
        <v>381</v>
      </c>
      <c r="B30" s="5"/>
      <c r="C30" s="5"/>
      <c r="D30" s="5"/>
      <c r="E30" s="5"/>
      <c r="F30" s="5"/>
      <c r="G30" s="56">
        <f>G5+G8+G11+G14</f>
        <v>203400000</v>
      </c>
      <c r="H30" s="56">
        <f>H5+H8+H11+H14</f>
        <v>427600000</v>
      </c>
      <c r="I30" s="56">
        <f>I5+I8+I11+I14</f>
        <v>514900000</v>
      </c>
      <c r="J30" s="56">
        <f>J5+J8+J11+J14</f>
        <v>532300000</v>
      </c>
      <c r="K30" s="56">
        <f>K5+K8+K11+K14</f>
        <v>-321200000</v>
      </c>
      <c r="L30" s="56">
        <f>L5+L8+L11+L14</f>
        <v>-55000000</v>
      </c>
      <c r="M30" s="56">
        <f>M5+M8+M11+M14</f>
        <v>1302000000</v>
      </c>
      <c r="O30" s="135"/>
      <c r="P30" s="135"/>
      <c r="Q30" s="135"/>
      <c r="R30" s="136"/>
    </row>
    <row r="31" spans="1:18" x14ac:dyDescent="0.45">
      <c r="A31" s="5" t="s">
        <v>15</v>
      </c>
      <c r="B31" s="5"/>
      <c r="C31" s="5"/>
      <c r="D31" s="5"/>
      <c r="E31" s="5"/>
      <c r="F31" s="5"/>
      <c r="G31" s="56">
        <f>G6+G9+G12+G15</f>
        <v>0</v>
      </c>
      <c r="H31" s="56">
        <f>H6+H9+H12+H15</f>
        <v>0</v>
      </c>
      <c r="I31" s="56">
        <f>I6+I9+I12+I15</f>
        <v>0</v>
      </c>
      <c r="J31" s="56">
        <f>J6+J9+J12+J15</f>
        <v>0</v>
      </c>
      <c r="K31" s="56">
        <f>K6+K9+K12+K15</f>
        <v>270000000</v>
      </c>
      <c r="L31" s="56">
        <f>L6+L9+L12+L15</f>
        <v>30000000</v>
      </c>
      <c r="M31" s="56">
        <f>M6+M9+M12+M15</f>
        <v>300000000</v>
      </c>
      <c r="O31" s="135"/>
      <c r="P31" s="135"/>
      <c r="Q31" s="135"/>
      <c r="R31" s="136"/>
    </row>
    <row r="32" spans="1:18" x14ac:dyDescent="0.45">
      <c r="M32" s="58"/>
    </row>
    <row r="33" spans="1:14" x14ac:dyDescent="0.45">
      <c r="A33" s="90" t="s">
        <v>349</v>
      </c>
      <c r="M33" s="58"/>
    </row>
    <row r="34" spans="1:14" x14ac:dyDescent="0.45">
      <c r="A34" s="90" t="s">
        <v>350</v>
      </c>
      <c r="M34" s="58"/>
    </row>
    <row r="35" spans="1:14" x14ac:dyDescent="0.45">
      <c r="A35" s="90" t="s">
        <v>335</v>
      </c>
      <c r="H35" s="58"/>
    </row>
    <row r="36" spans="1:14" x14ac:dyDescent="0.45">
      <c r="G36" s="58"/>
      <c r="H36" s="58"/>
      <c r="I36" s="58"/>
      <c r="J36" s="58"/>
      <c r="K36" s="58"/>
      <c r="L36" s="58"/>
      <c r="M36" s="58"/>
    </row>
    <row r="37" spans="1:14" x14ac:dyDescent="0.45">
      <c r="G37" s="58"/>
      <c r="H37" s="58"/>
      <c r="I37" s="58"/>
      <c r="J37" s="58"/>
      <c r="K37" s="58"/>
      <c r="L37" s="58"/>
      <c r="M37" s="58"/>
    </row>
    <row r="38" spans="1:14" x14ac:dyDescent="0.45">
      <c r="A38" t="s">
        <v>131</v>
      </c>
    </row>
    <row r="39" spans="1:14" x14ac:dyDescent="0.45">
      <c r="A39" t="s">
        <v>327</v>
      </c>
      <c r="G39" s="58"/>
      <c r="H39" s="58"/>
      <c r="I39" s="58"/>
      <c r="J39" s="58"/>
      <c r="K39" s="58"/>
      <c r="L39" s="58"/>
      <c r="M39" s="58"/>
    </row>
    <row r="40" spans="1:14" x14ac:dyDescent="0.45">
      <c r="A40" t="s">
        <v>328</v>
      </c>
      <c r="G40" s="58"/>
      <c r="H40" s="58"/>
      <c r="I40" s="58"/>
      <c r="J40" s="58"/>
      <c r="K40" s="58"/>
      <c r="L40" s="58"/>
      <c r="M40" s="58"/>
    </row>
    <row r="41" spans="1:14" x14ac:dyDescent="0.45">
      <c r="A41" t="s">
        <v>329</v>
      </c>
    </row>
    <row r="42" spans="1:14" x14ac:dyDescent="0.45">
      <c r="A42" t="s">
        <v>330</v>
      </c>
      <c r="G42" s="58"/>
      <c r="H42" s="58"/>
      <c r="I42" s="58"/>
      <c r="J42" s="58"/>
      <c r="K42" s="58"/>
      <c r="L42" s="58"/>
      <c r="M42" s="58"/>
    </row>
    <row r="43" spans="1:14" x14ac:dyDescent="0.45">
      <c r="A43" t="s">
        <v>331</v>
      </c>
      <c r="G43" s="58"/>
      <c r="H43" s="58"/>
      <c r="I43" s="58"/>
      <c r="J43" s="58"/>
      <c r="K43" s="58"/>
      <c r="L43" s="58"/>
      <c r="M43" s="58"/>
    </row>
    <row r="44" spans="1:14" x14ac:dyDescent="0.45">
      <c r="A44" t="s">
        <v>332</v>
      </c>
    </row>
    <row r="45" spans="1:14" x14ac:dyDescent="0.45">
      <c r="G45" s="58"/>
      <c r="H45" s="58"/>
      <c r="I45" s="58"/>
      <c r="J45" s="58"/>
      <c r="K45" s="58"/>
      <c r="L45" s="58"/>
      <c r="M45" s="58"/>
    </row>
    <row r="46" spans="1:14" x14ac:dyDescent="0.45">
      <c r="G46" s="58"/>
      <c r="H46" s="58"/>
      <c r="I46" s="58"/>
      <c r="J46" s="58"/>
      <c r="K46" s="58"/>
      <c r="L46" s="58"/>
      <c r="M46" s="58"/>
    </row>
    <row r="48" spans="1:14" x14ac:dyDescent="0.45">
      <c r="G48" s="58"/>
      <c r="H48" s="58"/>
      <c r="I48" s="58"/>
      <c r="J48" s="58"/>
      <c r="K48" s="58"/>
      <c r="L48" s="58"/>
      <c r="M48" s="58"/>
      <c r="N48" s="17"/>
    </row>
    <row r="49" spans="7:13" x14ac:dyDescent="0.45">
      <c r="G49" s="58"/>
      <c r="H49" s="58"/>
      <c r="I49" s="58"/>
      <c r="J49" s="58"/>
      <c r="K49" s="58"/>
      <c r="L49" s="58"/>
      <c r="M49" s="58"/>
    </row>
    <row r="53" spans="7:13" x14ac:dyDescent="0.45">
      <c r="G53" s="147"/>
      <c r="H53" s="147"/>
      <c r="I53" s="147"/>
      <c r="J53" s="147"/>
      <c r="K53" s="147"/>
      <c r="L53" s="147"/>
    </row>
    <row r="55" spans="7:13" x14ac:dyDescent="0.45">
      <c r="G55" s="147"/>
    </row>
    <row r="56" spans="7:13" x14ac:dyDescent="0.45">
      <c r="G56" s="147"/>
    </row>
    <row r="57" spans="7:13" x14ac:dyDescent="0.45">
      <c r="G57" s="147"/>
    </row>
    <row r="58" spans="7:13" x14ac:dyDescent="0.45">
      <c r="G58" s="147"/>
      <c r="I58" s="147"/>
    </row>
    <row r="59" spans="7:13" x14ac:dyDescent="0.45">
      <c r="G59" s="147"/>
      <c r="H59" s="147"/>
    </row>
    <row r="60" spans="7:13" ht="16.5" x14ac:dyDescent="0.75">
      <c r="G60" s="148"/>
      <c r="H60" s="148"/>
      <c r="I60" s="148"/>
    </row>
    <row r="61" spans="7:13" x14ac:dyDescent="0.45">
      <c r="G61" s="147"/>
      <c r="H61" s="147"/>
      <c r="I61" s="147"/>
    </row>
    <row r="62" spans="7:13" x14ac:dyDescent="0.45">
      <c r="G62" s="147"/>
    </row>
  </sheetData>
  <mergeCells count="12">
    <mergeCell ref="B4:B15"/>
    <mergeCell ref="A23:A25"/>
    <mergeCell ref="A4:A16"/>
    <mergeCell ref="A20:A22"/>
    <mergeCell ref="C7:C9"/>
    <mergeCell ref="C10:C12"/>
    <mergeCell ref="C13:C15"/>
    <mergeCell ref="F4:F6"/>
    <mergeCell ref="F7:F9"/>
    <mergeCell ref="F10:F12"/>
    <mergeCell ref="F13:F15"/>
    <mergeCell ref="C4:C6"/>
  </mergeCells>
  <pageMargins left="0.7" right="0.7" top="0.75" bottom="0.75" header="0.3" footer="0.3"/>
  <pageSetup paperSize="9" orientation="portrait" r:id="rId1"/>
  <headerFooter>
    <oddHeader xml:space="preserve">&amp;CDetailed budget breakdown
</oddHeader>
    <oddFooter>&amp;C&amp;1#&amp;"arial"&amp;10&amp;Kec6414CONFIDENCIAL EXTERNO</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09128-1467-48A8-965A-0FC3EA556A5E}">
  <dimension ref="A1:H110"/>
  <sheetViews>
    <sheetView topLeftCell="A13" workbookViewId="0">
      <selection activeCell="F50" sqref="F50"/>
    </sheetView>
  </sheetViews>
  <sheetFormatPr defaultRowHeight="14.25" x14ac:dyDescent="0.45"/>
  <cols>
    <col min="1" max="1" width="55.796875" customWidth="1"/>
    <col min="2" max="2" width="13.796875" customWidth="1"/>
    <col min="3" max="3" width="12.46484375" customWidth="1"/>
    <col min="4" max="4" width="15.53125" customWidth="1"/>
    <col min="6" max="6" width="21.06640625" customWidth="1"/>
  </cols>
  <sheetData>
    <row r="1" spans="1:1" ht="21" x14ac:dyDescent="0.65">
      <c r="A1" s="18" t="s">
        <v>204</v>
      </c>
    </row>
    <row r="4" spans="1:1" x14ac:dyDescent="0.45">
      <c r="A4" s="13" t="s">
        <v>113</v>
      </c>
    </row>
    <row r="5" spans="1:1" x14ac:dyDescent="0.45">
      <c r="A5" s="19" t="s">
        <v>132</v>
      </c>
    </row>
    <row r="6" spans="1:1" x14ac:dyDescent="0.45">
      <c r="A6" t="s">
        <v>136</v>
      </c>
    </row>
    <row r="8" spans="1:1" x14ac:dyDescent="0.45">
      <c r="A8" s="19" t="s">
        <v>133</v>
      </c>
    </row>
    <row r="9" spans="1:1" x14ac:dyDescent="0.45">
      <c r="A9" t="s">
        <v>137</v>
      </c>
    </row>
    <row r="11" spans="1:1" x14ac:dyDescent="0.45">
      <c r="A11" s="19" t="s">
        <v>134</v>
      </c>
    </row>
    <row r="12" spans="1:1" x14ac:dyDescent="0.45">
      <c r="A12" t="s">
        <v>138</v>
      </c>
    </row>
    <row r="13" spans="1:1" x14ac:dyDescent="0.45">
      <c r="A13" t="s">
        <v>139</v>
      </c>
    </row>
    <row r="15" spans="1:1" x14ac:dyDescent="0.45">
      <c r="A15" s="19" t="s">
        <v>130</v>
      </c>
    </row>
    <row r="16" spans="1:1" x14ac:dyDescent="0.45">
      <c r="A16" t="s">
        <v>140</v>
      </c>
    </row>
    <row r="17" spans="1:1" x14ac:dyDescent="0.45">
      <c r="A17" t="s">
        <v>297</v>
      </c>
    </row>
    <row r="18" spans="1:1" x14ac:dyDescent="0.45">
      <c r="A18" t="s">
        <v>141</v>
      </c>
    </row>
    <row r="20" spans="1:1" x14ac:dyDescent="0.45">
      <c r="A20" s="17" t="s">
        <v>135</v>
      </c>
    </row>
    <row r="21" spans="1:1" x14ac:dyDescent="0.45">
      <c r="A21" t="s">
        <v>142</v>
      </c>
    </row>
    <row r="22" spans="1:1" x14ac:dyDescent="0.45">
      <c r="A22" t="s">
        <v>143</v>
      </c>
    </row>
    <row r="23" spans="1:1" x14ac:dyDescent="0.45">
      <c r="A23" t="s">
        <v>146</v>
      </c>
    </row>
    <row r="24" spans="1:1" x14ac:dyDescent="0.45">
      <c r="A24" t="s">
        <v>144</v>
      </c>
    </row>
    <row r="25" spans="1:1" x14ac:dyDescent="0.45">
      <c r="A25" t="s">
        <v>145</v>
      </c>
    </row>
    <row r="26" spans="1:1" x14ac:dyDescent="0.45">
      <c r="A26" t="s">
        <v>293</v>
      </c>
    </row>
    <row r="27" spans="1:1" x14ac:dyDescent="0.45">
      <c r="A27" t="s">
        <v>294</v>
      </c>
    </row>
    <row r="28" spans="1:1" x14ac:dyDescent="0.45">
      <c r="A28" t="s">
        <v>147</v>
      </c>
    </row>
    <row r="29" spans="1:1" x14ac:dyDescent="0.45">
      <c r="A29" t="s">
        <v>148</v>
      </c>
    </row>
    <row r="30" spans="1:1" x14ac:dyDescent="0.45">
      <c r="A30" t="s">
        <v>295</v>
      </c>
    </row>
    <row r="31" spans="1:1" x14ac:dyDescent="0.45">
      <c r="A31" t="s">
        <v>296</v>
      </c>
    </row>
    <row r="33" spans="1:8" x14ac:dyDescent="0.45">
      <c r="A33" s="13" t="s">
        <v>114</v>
      </c>
    </row>
    <row r="35" spans="1:8" x14ac:dyDescent="0.45">
      <c r="A35" s="20" t="s">
        <v>115</v>
      </c>
      <c r="B35" s="21" t="s">
        <v>116</v>
      </c>
      <c r="C35" s="21" t="s">
        <v>117</v>
      </c>
      <c r="D35" s="21" t="s">
        <v>118</v>
      </c>
    </row>
    <row r="36" spans="1:8" x14ac:dyDescent="0.45">
      <c r="A36" s="9" t="s">
        <v>163</v>
      </c>
      <c r="B36" s="22">
        <f t="shared" ref="B36:B41" si="0">H60</f>
        <v>16.5</v>
      </c>
      <c r="C36" s="22">
        <f t="shared" ref="C36:C41" si="1">B71</f>
        <v>6500</v>
      </c>
      <c r="D36" s="22">
        <f>B36*C36</f>
        <v>107250</v>
      </c>
      <c r="H36" s="11"/>
    </row>
    <row r="37" spans="1:8" x14ac:dyDescent="0.45">
      <c r="A37" s="9" t="s">
        <v>164</v>
      </c>
      <c r="B37" s="22">
        <f t="shared" si="0"/>
        <v>9.5</v>
      </c>
      <c r="C37" s="22">
        <f t="shared" si="1"/>
        <v>24000</v>
      </c>
      <c r="D37" s="22">
        <f t="shared" ref="D37:D45" si="2">B37*C37</f>
        <v>228000</v>
      </c>
    </row>
    <row r="38" spans="1:8" x14ac:dyDescent="0.45">
      <c r="A38" s="9" t="s">
        <v>154</v>
      </c>
      <c r="B38" s="22">
        <f t="shared" si="0"/>
        <v>1</v>
      </c>
      <c r="C38" s="22">
        <f t="shared" si="1"/>
        <v>70000</v>
      </c>
      <c r="D38" s="22">
        <f t="shared" si="2"/>
        <v>70000</v>
      </c>
    </row>
    <row r="39" spans="1:8" x14ac:dyDescent="0.45">
      <c r="A39" s="9" t="s">
        <v>155</v>
      </c>
      <c r="B39" s="22">
        <f t="shared" si="0"/>
        <v>2</v>
      </c>
      <c r="C39" s="22">
        <f t="shared" si="1"/>
        <v>40000</v>
      </c>
      <c r="D39" s="22">
        <f t="shared" si="2"/>
        <v>80000</v>
      </c>
    </row>
    <row r="40" spans="1:8" x14ac:dyDescent="0.45">
      <c r="A40" s="9" t="s">
        <v>298</v>
      </c>
      <c r="B40" s="22">
        <f t="shared" si="0"/>
        <v>4</v>
      </c>
      <c r="C40" s="22">
        <f t="shared" si="1"/>
        <v>50000</v>
      </c>
      <c r="D40" s="22">
        <f t="shared" si="2"/>
        <v>200000</v>
      </c>
    </row>
    <row r="41" spans="1:8" x14ac:dyDescent="0.45">
      <c r="A41" s="9" t="s">
        <v>157</v>
      </c>
      <c r="B41" s="22">
        <f t="shared" si="0"/>
        <v>1</v>
      </c>
      <c r="C41" s="22">
        <f t="shared" si="1"/>
        <v>50000</v>
      </c>
      <c r="D41" s="22">
        <f t="shared" si="2"/>
        <v>50000</v>
      </c>
    </row>
    <row r="42" spans="1:8" x14ac:dyDescent="0.45">
      <c r="A42" s="9" t="s">
        <v>188</v>
      </c>
      <c r="B42" s="22">
        <v>5</v>
      </c>
      <c r="C42" s="22">
        <v>3000</v>
      </c>
      <c r="D42" s="22">
        <f t="shared" si="2"/>
        <v>15000</v>
      </c>
    </row>
    <row r="43" spans="1:8" x14ac:dyDescent="0.45">
      <c r="A43" s="9" t="s">
        <v>299</v>
      </c>
      <c r="B43" s="22">
        <v>2</v>
      </c>
      <c r="C43" s="22">
        <v>10000</v>
      </c>
      <c r="D43" s="22">
        <f t="shared" si="2"/>
        <v>20000</v>
      </c>
    </row>
    <row r="44" spans="1:8" x14ac:dyDescent="0.45">
      <c r="A44" s="9" t="s">
        <v>158</v>
      </c>
      <c r="B44" s="22">
        <f t="shared" ref="B44:B45" si="3">H66</f>
        <v>4</v>
      </c>
      <c r="C44" s="22">
        <f t="shared" ref="C44:C45" si="4">B77</f>
        <v>4000</v>
      </c>
      <c r="D44" s="22">
        <f t="shared" si="2"/>
        <v>16000</v>
      </c>
    </row>
    <row r="45" spans="1:8" x14ac:dyDescent="0.45">
      <c r="A45" s="9" t="s">
        <v>165</v>
      </c>
      <c r="B45" s="22">
        <f t="shared" si="3"/>
        <v>35</v>
      </c>
      <c r="C45" s="22">
        <f t="shared" si="4"/>
        <v>300</v>
      </c>
      <c r="D45" s="22">
        <f t="shared" si="2"/>
        <v>10500</v>
      </c>
    </row>
    <row r="46" spans="1:8" x14ac:dyDescent="0.45">
      <c r="A46" s="9" t="s">
        <v>119</v>
      </c>
      <c r="B46" s="9"/>
      <c r="C46" s="32">
        <v>0.1</v>
      </c>
      <c r="D46" s="22">
        <f>SUM(D36:D45)*C46</f>
        <v>79675</v>
      </c>
    </row>
    <row r="47" spans="1:8" x14ac:dyDescent="0.45">
      <c r="A47" s="9" t="s">
        <v>120</v>
      </c>
      <c r="B47" s="9"/>
      <c r="C47" s="32">
        <v>0.1</v>
      </c>
      <c r="D47" s="22">
        <f>SUM(D36:D46)*C47</f>
        <v>87642.5</v>
      </c>
    </row>
    <row r="48" spans="1:8" x14ac:dyDescent="0.45">
      <c r="A48" s="23" t="s">
        <v>121</v>
      </c>
      <c r="B48" s="24"/>
      <c r="C48" s="24"/>
      <c r="D48" s="24">
        <f>SUM(D36:D47)</f>
        <v>964067.5</v>
      </c>
      <c r="F48" s="58">
        <f>SUM('Detailed Budget'!M23)</f>
        <v>970000</v>
      </c>
    </row>
    <row r="49" spans="1:8" x14ac:dyDescent="0.45">
      <c r="A49" s="89" t="s">
        <v>333</v>
      </c>
      <c r="B49" s="34"/>
      <c r="C49" s="34"/>
      <c r="D49" s="34"/>
      <c r="F49" s="58">
        <f>F48-D48</f>
        <v>5932.5</v>
      </c>
    </row>
    <row r="50" spans="1:8" x14ac:dyDescent="0.45">
      <c r="A50" s="33"/>
      <c r="B50" s="34"/>
      <c r="C50" s="34"/>
      <c r="D50" s="34"/>
    </row>
    <row r="51" spans="1:8" x14ac:dyDescent="0.45">
      <c r="A51" s="33" t="s">
        <v>180</v>
      </c>
      <c r="B51" s="34"/>
      <c r="C51" s="34"/>
      <c r="D51" s="34"/>
    </row>
    <row r="52" spans="1:8" x14ac:dyDescent="0.45">
      <c r="A52" s="21" t="s">
        <v>122</v>
      </c>
      <c r="B52" s="21" t="s">
        <v>123</v>
      </c>
      <c r="C52" s="21" t="s">
        <v>124</v>
      </c>
      <c r="D52" s="21" t="s">
        <v>125</v>
      </c>
      <c r="E52" s="21" t="s">
        <v>150</v>
      </c>
      <c r="F52" s="21" t="s">
        <v>151</v>
      </c>
      <c r="G52" s="21" t="s">
        <v>126</v>
      </c>
    </row>
    <row r="53" spans="1:8" x14ac:dyDescent="0.45">
      <c r="A53" s="35">
        <f t="shared" ref="A53:E53" si="5">(B60*$B$71+B61*$B$72+$B$73*B62+B63*$B$74+$B$75*B64+B65*$B$76+$B$77*B66+B67*$B$78)*(100%+$C$46)*(100%+$C$47)</f>
        <v>18452.5</v>
      </c>
      <c r="B53" s="35">
        <f t="shared" si="5"/>
        <v>18452.5</v>
      </c>
      <c r="C53" s="35">
        <f t="shared" si="5"/>
        <v>25107.500000000007</v>
      </c>
      <c r="D53" s="35">
        <f t="shared" si="5"/>
        <v>36905</v>
      </c>
      <c r="E53" s="35">
        <f t="shared" si="5"/>
        <v>113740.00000000003</v>
      </c>
      <c r="F53" s="35">
        <f>(G60*$B$71+G61*$B$72+$B$73*G62+G63*$B$74+$B$75*G64+G65*$B$76+$B$77*G66+G67*$B$78+D43+D42)*(100%+$C$46)*(100%+$C$47)</f>
        <v>751410.00000000012</v>
      </c>
      <c r="G53" s="22">
        <f>SUM(A53:F53)</f>
        <v>964067.50000000012</v>
      </c>
    </row>
    <row r="54" spans="1:8" x14ac:dyDescent="0.45">
      <c r="A54" s="24">
        <f>ROUND(A53,-4)</f>
        <v>20000</v>
      </c>
      <c r="B54" s="24">
        <f t="shared" ref="B54:F54" si="6">ROUND(B53,-4)</f>
        <v>20000</v>
      </c>
      <c r="C54" s="24">
        <f t="shared" si="6"/>
        <v>30000</v>
      </c>
      <c r="D54" s="24">
        <f t="shared" si="6"/>
        <v>40000</v>
      </c>
      <c r="E54" s="24">
        <f t="shared" si="6"/>
        <v>110000</v>
      </c>
      <c r="F54" s="24">
        <f t="shared" si="6"/>
        <v>750000</v>
      </c>
      <c r="G54" s="24">
        <f>SUM(A54:F54)</f>
        <v>970000</v>
      </c>
    </row>
    <row r="55" spans="1:8" x14ac:dyDescent="0.45">
      <c r="A55" s="33"/>
      <c r="B55" s="34"/>
      <c r="C55" s="34"/>
      <c r="D55" s="34"/>
    </row>
    <row r="56" spans="1:8" x14ac:dyDescent="0.45">
      <c r="A56" s="33"/>
      <c r="B56" s="34"/>
      <c r="C56" s="34"/>
      <c r="D56" s="34"/>
      <c r="E56" s="58">
        <f>SUM(A54:E54)</f>
        <v>220000</v>
      </c>
    </row>
    <row r="57" spans="1:8" x14ac:dyDescent="0.45">
      <c r="B57" s="25"/>
      <c r="C57" s="25"/>
      <c r="D57" s="25"/>
    </row>
    <row r="58" spans="1:8" x14ac:dyDescent="0.45">
      <c r="A58" s="13" t="s">
        <v>152</v>
      </c>
      <c r="B58" s="25"/>
      <c r="C58" s="25"/>
      <c r="D58" s="25"/>
    </row>
    <row r="59" spans="1:8" x14ac:dyDescent="0.45">
      <c r="A59" s="20" t="s">
        <v>115</v>
      </c>
      <c r="B59" s="21" t="s">
        <v>122</v>
      </c>
      <c r="C59" s="21" t="s">
        <v>123</v>
      </c>
      <c r="D59" s="21" t="s">
        <v>124</v>
      </c>
      <c r="E59" s="21" t="s">
        <v>125</v>
      </c>
      <c r="F59" s="21" t="s">
        <v>150</v>
      </c>
      <c r="G59" s="21" t="s">
        <v>151</v>
      </c>
      <c r="H59" s="21" t="s">
        <v>126</v>
      </c>
    </row>
    <row r="60" spans="1:8" x14ac:dyDescent="0.45">
      <c r="A60" s="9" t="s">
        <v>149</v>
      </c>
      <c r="B60" s="29">
        <v>0.5</v>
      </c>
      <c r="C60" s="29">
        <v>0.5</v>
      </c>
      <c r="D60" s="29">
        <v>0.5</v>
      </c>
      <c r="E60" s="29">
        <v>1</v>
      </c>
      <c r="F60" s="29">
        <v>2</v>
      </c>
      <c r="G60" s="29">
        <v>12</v>
      </c>
      <c r="H60" s="22">
        <f>SUM(B60:G60)</f>
        <v>16.5</v>
      </c>
    </row>
    <row r="61" spans="1:8" x14ac:dyDescent="0.45">
      <c r="A61" s="9" t="s">
        <v>153</v>
      </c>
      <c r="B61" s="29">
        <v>0.5</v>
      </c>
      <c r="C61" s="29">
        <v>0.5</v>
      </c>
      <c r="D61" s="29">
        <v>0.5</v>
      </c>
      <c r="E61" s="29">
        <v>1</v>
      </c>
      <c r="F61" s="29">
        <v>1</v>
      </c>
      <c r="G61" s="29">
        <v>6</v>
      </c>
      <c r="H61" s="22">
        <f t="shared" ref="H61:H67" si="7">SUM(B61:G61)</f>
        <v>9.5</v>
      </c>
    </row>
    <row r="62" spans="1:8" x14ac:dyDescent="0.45">
      <c r="A62" s="9" t="s">
        <v>154</v>
      </c>
      <c r="B62" s="22">
        <v>0</v>
      </c>
      <c r="C62" s="30">
        <v>0</v>
      </c>
      <c r="D62" s="22">
        <v>0</v>
      </c>
      <c r="E62" s="22">
        <v>0</v>
      </c>
      <c r="F62" s="31">
        <v>0</v>
      </c>
      <c r="G62" s="31">
        <v>1</v>
      </c>
      <c r="H62" s="22">
        <f t="shared" si="7"/>
        <v>1</v>
      </c>
    </row>
    <row r="63" spans="1:8" x14ac:dyDescent="0.45">
      <c r="A63" s="9" t="s">
        <v>155</v>
      </c>
      <c r="B63" s="22">
        <v>0</v>
      </c>
      <c r="C63" s="22">
        <v>0</v>
      </c>
      <c r="D63" s="22">
        <v>0</v>
      </c>
      <c r="E63" s="22">
        <v>0</v>
      </c>
      <c r="F63" s="31">
        <v>0</v>
      </c>
      <c r="G63" s="31">
        <v>2</v>
      </c>
      <c r="H63" s="22">
        <f t="shared" si="7"/>
        <v>2</v>
      </c>
    </row>
    <row r="64" spans="1:8" x14ac:dyDescent="0.45">
      <c r="A64" s="9" t="s">
        <v>298</v>
      </c>
      <c r="B64" s="22">
        <v>0</v>
      </c>
      <c r="C64" s="22">
        <v>0</v>
      </c>
      <c r="D64" s="22">
        <v>0</v>
      </c>
      <c r="E64" s="22">
        <v>0</v>
      </c>
      <c r="F64" s="31">
        <v>0</v>
      </c>
      <c r="G64" s="31">
        <v>4</v>
      </c>
      <c r="H64" s="22">
        <f t="shared" si="7"/>
        <v>4</v>
      </c>
    </row>
    <row r="65" spans="1:8" x14ac:dyDescent="0.45">
      <c r="A65" s="9" t="s">
        <v>157</v>
      </c>
      <c r="B65" s="22">
        <v>0</v>
      </c>
      <c r="C65" s="22">
        <v>0</v>
      </c>
      <c r="D65" s="22">
        <v>0</v>
      </c>
      <c r="E65" s="22">
        <v>0</v>
      </c>
      <c r="F65" s="31">
        <v>1</v>
      </c>
      <c r="G65" s="31">
        <v>0</v>
      </c>
      <c r="H65" s="22">
        <f t="shared" si="7"/>
        <v>1</v>
      </c>
    </row>
    <row r="66" spans="1:8" x14ac:dyDescent="0.45">
      <c r="A66" s="9" t="s">
        <v>334</v>
      </c>
      <c r="B66" s="22">
        <v>0</v>
      </c>
      <c r="C66" s="22">
        <v>0</v>
      </c>
      <c r="D66" s="22">
        <v>1</v>
      </c>
      <c r="E66" s="22">
        <v>0</v>
      </c>
      <c r="F66" s="31">
        <v>1</v>
      </c>
      <c r="G66" s="31">
        <v>2</v>
      </c>
      <c r="H66" s="22">
        <f t="shared" si="7"/>
        <v>4</v>
      </c>
    </row>
    <row r="67" spans="1:8" x14ac:dyDescent="0.45">
      <c r="A67" s="9" t="s">
        <v>159</v>
      </c>
      <c r="B67" s="22">
        <v>0</v>
      </c>
      <c r="C67" s="22">
        <v>0</v>
      </c>
      <c r="D67" s="22">
        <v>5</v>
      </c>
      <c r="E67" s="22">
        <v>0</v>
      </c>
      <c r="F67" s="31">
        <v>10</v>
      </c>
      <c r="G67" s="31">
        <v>20</v>
      </c>
      <c r="H67" s="22">
        <f t="shared" si="7"/>
        <v>35</v>
      </c>
    </row>
    <row r="69" spans="1:8" x14ac:dyDescent="0.45">
      <c r="A69" s="13" t="s">
        <v>161</v>
      </c>
    </row>
    <row r="70" spans="1:8" x14ac:dyDescent="0.45">
      <c r="A70" s="20" t="s">
        <v>115</v>
      </c>
      <c r="B70" s="21" t="s">
        <v>162</v>
      </c>
    </row>
    <row r="71" spans="1:8" x14ac:dyDescent="0.45">
      <c r="A71" s="9" t="s">
        <v>361</v>
      </c>
      <c r="B71" s="31">
        <v>6500</v>
      </c>
    </row>
    <row r="72" spans="1:8" x14ac:dyDescent="0.45">
      <c r="A72" s="9" t="s">
        <v>362</v>
      </c>
      <c r="B72" s="31">
        <v>24000</v>
      </c>
    </row>
    <row r="73" spans="1:8" x14ac:dyDescent="0.45">
      <c r="A73" s="9" t="s">
        <v>154</v>
      </c>
      <c r="B73" s="31">
        <v>70000</v>
      </c>
    </row>
    <row r="74" spans="1:8" x14ac:dyDescent="0.45">
      <c r="A74" s="9" t="s">
        <v>155</v>
      </c>
      <c r="B74" s="31">
        <v>40000</v>
      </c>
    </row>
    <row r="75" spans="1:8" x14ac:dyDescent="0.45">
      <c r="A75" s="9" t="s">
        <v>298</v>
      </c>
      <c r="B75" s="31">
        <v>50000</v>
      </c>
    </row>
    <row r="76" spans="1:8" x14ac:dyDescent="0.45">
      <c r="A76" s="9" t="s">
        <v>157</v>
      </c>
      <c r="B76" s="31">
        <v>50000</v>
      </c>
    </row>
    <row r="77" spans="1:8" x14ac:dyDescent="0.45">
      <c r="A77" s="9" t="s">
        <v>158</v>
      </c>
      <c r="B77" s="31">
        <v>4000</v>
      </c>
    </row>
    <row r="78" spans="1:8" x14ac:dyDescent="0.45">
      <c r="A78" s="9" t="s">
        <v>159</v>
      </c>
      <c r="B78" s="31">
        <v>300</v>
      </c>
    </row>
    <row r="80" spans="1:8" x14ac:dyDescent="0.45">
      <c r="A80" t="s">
        <v>160</v>
      </c>
    </row>
    <row r="83" spans="1:4" x14ac:dyDescent="0.45">
      <c r="A83" s="13" t="s">
        <v>127</v>
      </c>
    </row>
    <row r="84" spans="1:4" x14ac:dyDescent="0.45">
      <c r="A84" t="s">
        <v>128</v>
      </c>
    </row>
    <row r="85" spans="1:4" x14ac:dyDescent="0.45">
      <c r="A85" t="s">
        <v>166</v>
      </c>
    </row>
    <row r="87" spans="1:4" x14ac:dyDescent="0.45">
      <c r="A87" s="13" t="s">
        <v>129</v>
      </c>
    </row>
    <row r="88" spans="1:4" x14ac:dyDescent="0.45">
      <c r="A88" t="s">
        <v>167</v>
      </c>
      <c r="B88" s="26"/>
      <c r="C88" s="27"/>
      <c r="D88" s="28"/>
    </row>
    <row r="89" spans="1:4" x14ac:dyDescent="0.45">
      <c r="A89" t="s">
        <v>168</v>
      </c>
    </row>
    <row r="91" spans="1:4" x14ac:dyDescent="0.45">
      <c r="A91" s="13" t="s">
        <v>154</v>
      </c>
    </row>
    <row r="92" spans="1:4" x14ac:dyDescent="0.45">
      <c r="A92" t="s">
        <v>169</v>
      </c>
    </row>
    <row r="93" spans="1:4" x14ac:dyDescent="0.45">
      <c r="A93" t="s">
        <v>170</v>
      </c>
    </row>
    <row r="94" spans="1:4" x14ac:dyDescent="0.45">
      <c r="A94" t="s">
        <v>173</v>
      </c>
    </row>
    <row r="96" spans="1:4" x14ac:dyDescent="0.45">
      <c r="A96" s="13" t="s">
        <v>174</v>
      </c>
    </row>
    <row r="97" spans="1:1" x14ac:dyDescent="0.45">
      <c r="A97" t="s">
        <v>169</v>
      </c>
    </row>
    <row r="98" spans="1:1" x14ac:dyDescent="0.45">
      <c r="A98" t="s">
        <v>171</v>
      </c>
    </row>
    <row r="99" spans="1:1" x14ac:dyDescent="0.45">
      <c r="A99" t="s">
        <v>172</v>
      </c>
    </row>
    <row r="101" spans="1:1" x14ac:dyDescent="0.45">
      <c r="A101" s="13" t="s">
        <v>156</v>
      </c>
    </row>
    <row r="102" spans="1:1" x14ac:dyDescent="0.45">
      <c r="A102" t="s">
        <v>169</v>
      </c>
    </row>
    <row r="103" spans="1:1" x14ac:dyDescent="0.45">
      <c r="A103" t="s">
        <v>175</v>
      </c>
    </row>
    <row r="104" spans="1:1" x14ac:dyDescent="0.45">
      <c r="A104" t="s">
        <v>176</v>
      </c>
    </row>
    <row r="106" spans="1:1" x14ac:dyDescent="0.45">
      <c r="A106" s="13" t="s">
        <v>4</v>
      </c>
    </row>
    <row r="107" spans="1:1" x14ac:dyDescent="0.45">
      <c r="A107" t="s">
        <v>177</v>
      </c>
    </row>
    <row r="109" spans="1:1" x14ac:dyDescent="0.45">
      <c r="A109" t="s">
        <v>178</v>
      </c>
    </row>
    <row r="110" spans="1:1" x14ac:dyDescent="0.45">
      <c r="A110" t="s">
        <v>179</v>
      </c>
    </row>
  </sheetData>
  <pageMargins left="0.7" right="0.7" top="0.75" bottom="0.75" header="0.3" footer="0.3"/>
  <pageSetup orientation="portrait" r:id="rId1"/>
  <headerFooter>
    <oddFooter>&amp;C&amp;1#&amp;"arial"&amp;10&amp;Kec6414CONFIDENCIAL EXTERNO</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C2C41-FB5A-43D4-9922-5E75EDCC231C}">
  <dimension ref="A1:F46"/>
  <sheetViews>
    <sheetView workbookViewId="0">
      <selection activeCell="I15" sqref="I15"/>
    </sheetView>
  </sheetViews>
  <sheetFormatPr defaultRowHeight="14.25" x14ac:dyDescent="0.45"/>
  <cols>
    <col min="1" max="1" width="53.796875" customWidth="1"/>
    <col min="2" max="2" width="17.19921875" customWidth="1"/>
  </cols>
  <sheetData>
    <row r="1" spans="1:2" x14ac:dyDescent="0.45">
      <c r="A1" s="13" t="s">
        <v>207</v>
      </c>
    </row>
    <row r="3" spans="1:2" x14ac:dyDescent="0.45">
      <c r="A3" s="20" t="s">
        <v>9</v>
      </c>
      <c r="B3" s="21" t="s">
        <v>208</v>
      </c>
    </row>
    <row r="4" spans="1:2" ht="39.4" x14ac:dyDescent="0.45">
      <c r="A4" s="52" t="s">
        <v>210</v>
      </c>
      <c r="B4" s="99">
        <f t="shared" ref="B4:B16" si="0">C34</f>
        <v>20000</v>
      </c>
    </row>
    <row r="5" spans="1:2" x14ac:dyDescent="0.45">
      <c r="A5" s="52" t="s">
        <v>211</v>
      </c>
      <c r="B5" s="99">
        <f t="shared" si="0"/>
        <v>0</v>
      </c>
    </row>
    <row r="6" spans="1:2" ht="26.25" x14ac:dyDescent="0.45">
      <c r="A6" s="52" t="s">
        <v>212</v>
      </c>
      <c r="B6" s="99">
        <f t="shared" si="0"/>
        <v>20000</v>
      </c>
    </row>
    <row r="7" spans="1:2" ht="26.25" x14ac:dyDescent="0.45">
      <c r="A7" s="52" t="s">
        <v>213</v>
      </c>
      <c r="B7" s="99">
        <f t="shared" si="0"/>
        <v>120000</v>
      </c>
    </row>
    <row r="8" spans="1:2" ht="26.25" x14ac:dyDescent="0.45">
      <c r="A8" s="52" t="s">
        <v>214</v>
      </c>
      <c r="B8" s="99">
        <f t="shared" si="0"/>
        <v>0</v>
      </c>
    </row>
    <row r="9" spans="1:2" ht="26.25" x14ac:dyDescent="0.45">
      <c r="A9" s="52" t="s">
        <v>360</v>
      </c>
      <c r="B9" s="99">
        <f t="shared" si="0"/>
        <v>30000</v>
      </c>
    </row>
    <row r="10" spans="1:2" ht="52.5" x14ac:dyDescent="0.45">
      <c r="A10" s="52" t="s">
        <v>359</v>
      </c>
      <c r="B10" s="99">
        <f t="shared" si="0"/>
        <v>50000</v>
      </c>
    </row>
    <row r="11" spans="1:2" ht="39.4" x14ac:dyDescent="0.45">
      <c r="A11" s="52" t="s">
        <v>215</v>
      </c>
      <c r="B11" s="99">
        <f t="shared" si="0"/>
        <v>0</v>
      </c>
    </row>
    <row r="12" spans="1:2" ht="26.25" x14ac:dyDescent="0.45">
      <c r="A12" s="52" t="s">
        <v>216</v>
      </c>
      <c r="B12" s="99">
        <f t="shared" si="0"/>
        <v>30000</v>
      </c>
    </row>
    <row r="13" spans="1:2" ht="26.25" x14ac:dyDescent="0.45">
      <c r="A13" s="52" t="s">
        <v>217</v>
      </c>
      <c r="B13" s="99">
        <f t="shared" si="0"/>
        <v>0</v>
      </c>
    </row>
    <row r="14" spans="1:2" ht="42.75" x14ac:dyDescent="0.45">
      <c r="A14" s="53" t="s">
        <v>209</v>
      </c>
      <c r="B14" s="99">
        <f t="shared" si="0"/>
        <v>0</v>
      </c>
    </row>
    <row r="15" spans="1:2" ht="26.65" x14ac:dyDescent="0.45">
      <c r="A15" s="54" t="s">
        <v>218</v>
      </c>
      <c r="B15" s="99">
        <f t="shared" si="0"/>
        <v>30000</v>
      </c>
    </row>
    <row r="16" spans="1:2" ht="13.5" customHeight="1" x14ac:dyDescent="0.45">
      <c r="A16" s="98" t="s">
        <v>363</v>
      </c>
      <c r="B16" s="99">
        <f t="shared" si="0"/>
        <v>30000</v>
      </c>
    </row>
    <row r="17" spans="1:6" x14ac:dyDescent="0.45">
      <c r="A17" s="23" t="s">
        <v>121</v>
      </c>
      <c r="B17" s="100">
        <f>SUM(B4:B16)</f>
        <v>330000</v>
      </c>
      <c r="D17" s="58">
        <f>SUM('Detailed Budget'!M24)</f>
        <v>330000</v>
      </c>
    </row>
    <row r="18" spans="1:6" x14ac:dyDescent="0.45">
      <c r="A18" s="17" t="s">
        <v>219</v>
      </c>
    </row>
    <row r="20" spans="1:6" x14ac:dyDescent="0.45">
      <c r="A20" s="55" t="s">
        <v>220</v>
      </c>
      <c r="B20" s="55" t="s">
        <v>225</v>
      </c>
      <c r="C20" s="55" t="s">
        <v>221</v>
      </c>
      <c r="D20" s="55" t="s">
        <v>222</v>
      </c>
      <c r="E20" s="55" t="s">
        <v>223</v>
      </c>
      <c r="F20" s="55" t="s">
        <v>224</v>
      </c>
    </row>
    <row r="21" spans="1:6" x14ac:dyDescent="0.45">
      <c r="A21" s="30">
        <v>0</v>
      </c>
      <c r="B21" s="30">
        <v>0</v>
      </c>
      <c r="C21" s="30">
        <v>0</v>
      </c>
      <c r="D21" s="30">
        <v>0</v>
      </c>
      <c r="E21" s="22">
        <f>B4/2+B6+B7+B12+B15/2+B9+B16</f>
        <v>255000</v>
      </c>
      <c r="F21" s="22">
        <f>B4/2+B10+B15/2</f>
        <v>75000</v>
      </c>
    </row>
    <row r="25" spans="1:6" x14ac:dyDescent="0.45">
      <c r="A25" s="13" t="s">
        <v>161</v>
      </c>
    </row>
    <row r="26" spans="1:6" x14ac:dyDescent="0.45">
      <c r="A26" s="20" t="s">
        <v>115</v>
      </c>
      <c r="B26" s="21" t="s">
        <v>162</v>
      </c>
    </row>
    <row r="27" spans="1:6" x14ac:dyDescent="0.45">
      <c r="A27" s="9" t="s">
        <v>361</v>
      </c>
      <c r="B27" s="31">
        <v>6500</v>
      </c>
    </row>
    <row r="28" spans="1:6" x14ac:dyDescent="0.45">
      <c r="A28" s="9" t="s">
        <v>362</v>
      </c>
      <c r="B28" s="31">
        <v>24000</v>
      </c>
    </row>
    <row r="29" spans="1:6" x14ac:dyDescent="0.45">
      <c r="A29" s="9" t="s">
        <v>158</v>
      </c>
      <c r="B29" s="31">
        <v>4000</v>
      </c>
    </row>
    <row r="30" spans="1:6" x14ac:dyDescent="0.45">
      <c r="A30" s="9" t="s">
        <v>159</v>
      </c>
      <c r="B30" s="31">
        <v>300</v>
      </c>
    </row>
    <row r="31" spans="1:6" x14ac:dyDescent="0.45">
      <c r="A31" s="101" t="s">
        <v>365</v>
      </c>
    </row>
    <row r="33" spans="1:4" x14ac:dyDescent="0.45">
      <c r="B33" t="s">
        <v>366</v>
      </c>
      <c r="D33" s="102"/>
    </row>
    <row r="34" spans="1:4" ht="57" x14ac:dyDescent="0.45">
      <c r="A34" s="104" t="s">
        <v>210</v>
      </c>
      <c r="B34" s="97" t="s">
        <v>369</v>
      </c>
      <c r="C34" s="108">
        <f>B27*2+0.2*B28+2200</f>
        <v>20000</v>
      </c>
      <c r="D34" s="103"/>
    </row>
    <row r="35" spans="1:4" ht="28.5" x14ac:dyDescent="0.45">
      <c r="A35" s="104" t="s">
        <v>211</v>
      </c>
      <c r="B35" s="97" t="s">
        <v>367</v>
      </c>
      <c r="C35" s="108">
        <v>0</v>
      </c>
      <c r="D35" s="103"/>
    </row>
    <row r="36" spans="1:4" ht="42.75" x14ac:dyDescent="0.45">
      <c r="A36" s="104" t="s">
        <v>212</v>
      </c>
      <c r="B36" s="97" t="s">
        <v>368</v>
      </c>
      <c r="C36" s="108">
        <f>2*B27+0.2*B28+2200</f>
        <v>20000</v>
      </c>
      <c r="D36" s="103"/>
    </row>
    <row r="37" spans="1:4" ht="99.75" x14ac:dyDescent="0.45">
      <c r="A37" s="104" t="s">
        <v>213</v>
      </c>
      <c r="B37" s="107" t="s">
        <v>370</v>
      </c>
      <c r="C37" s="108">
        <f>B28*2+4*B27+B29*2+B30*20+32000</f>
        <v>120000</v>
      </c>
      <c r="D37" s="103"/>
    </row>
    <row r="38" spans="1:4" ht="42.75" x14ac:dyDescent="0.45">
      <c r="A38" s="104" t="s">
        <v>214</v>
      </c>
      <c r="B38" s="107" t="s">
        <v>371</v>
      </c>
      <c r="C38" s="108"/>
      <c r="D38" s="103"/>
    </row>
    <row r="39" spans="1:4" ht="42.75" x14ac:dyDescent="0.45">
      <c r="A39" s="104" t="s">
        <v>360</v>
      </c>
      <c r="B39" s="107" t="s">
        <v>372</v>
      </c>
      <c r="C39" s="108">
        <f>1*B27+0.2*B28+18700</f>
        <v>30000</v>
      </c>
      <c r="D39" s="103"/>
    </row>
    <row r="40" spans="1:4" ht="52.5" x14ac:dyDescent="0.45">
      <c r="A40" s="104" t="s">
        <v>359</v>
      </c>
      <c r="B40" s="107" t="s">
        <v>373</v>
      </c>
      <c r="C40" s="108">
        <f>2*B27+0.5*B28+25000</f>
        <v>50000</v>
      </c>
      <c r="D40" s="103"/>
    </row>
    <row r="41" spans="1:4" ht="42.75" x14ac:dyDescent="0.45">
      <c r="A41" s="104" t="s">
        <v>215</v>
      </c>
      <c r="B41" s="107" t="s">
        <v>371</v>
      </c>
      <c r="C41" s="108"/>
      <c r="D41" s="103"/>
    </row>
    <row r="42" spans="1:4" ht="42.75" x14ac:dyDescent="0.45">
      <c r="A42" s="104" t="s">
        <v>216</v>
      </c>
      <c r="B42" s="107" t="s">
        <v>374</v>
      </c>
      <c r="C42" s="108">
        <f>2*B27+17000</f>
        <v>30000</v>
      </c>
      <c r="D42" s="103"/>
    </row>
    <row r="43" spans="1:4" ht="26.25" x14ac:dyDescent="0.45">
      <c r="A43" s="104" t="s">
        <v>217</v>
      </c>
      <c r="B43" s="106"/>
      <c r="C43" s="108"/>
      <c r="D43" s="103"/>
    </row>
    <row r="44" spans="1:4" ht="42.75" x14ac:dyDescent="0.45">
      <c r="A44" s="105" t="s">
        <v>209</v>
      </c>
      <c r="B44" s="106"/>
      <c r="C44" s="108"/>
      <c r="D44" s="103"/>
    </row>
    <row r="45" spans="1:4" ht="42.75" x14ac:dyDescent="0.45">
      <c r="A45" s="104" t="s">
        <v>218</v>
      </c>
      <c r="B45" s="107" t="s">
        <v>375</v>
      </c>
      <c r="C45" s="108">
        <f>2*B27+0.5*B28+5000</f>
        <v>30000</v>
      </c>
      <c r="D45" s="103"/>
    </row>
    <row r="46" spans="1:4" ht="57" x14ac:dyDescent="0.45">
      <c r="A46" s="109" t="s">
        <v>363</v>
      </c>
      <c r="B46" s="107" t="s">
        <v>376</v>
      </c>
      <c r="C46" s="108">
        <f>B27+0.5*B28+11500</f>
        <v>30000</v>
      </c>
      <c r="D46" s="103"/>
    </row>
  </sheetData>
  <hyperlinks>
    <hyperlink ref="A14" location="_ftn1" display="_ftn1" xr:uid="{86A43D1E-BEB1-4F87-8455-6CB409412484}"/>
    <hyperlink ref="A44" location="_ftn1" display="_ftn1" xr:uid="{2E5C2961-5EAF-43E7-91F9-D681DC91A055}"/>
  </hyperlinks>
  <pageMargins left="0.7" right="0.7" top="0.75" bottom="0.75" header="0.3" footer="0.3"/>
  <pageSetup orientation="portrait" r:id="rId1"/>
  <headerFooter>
    <oddFooter>&amp;C&amp;1#&amp;"arial"&amp;10&amp;Kec6414CONFIDENCIAL EXTERNO</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C18606-7B63-4069-B3EB-0FA4474E251B}">
  <dimension ref="A1:A8"/>
  <sheetViews>
    <sheetView workbookViewId="0"/>
  </sheetViews>
  <sheetFormatPr defaultRowHeight="14.25" x14ac:dyDescent="0.45"/>
  <cols>
    <col min="1" max="1" width="26.46484375" customWidth="1"/>
  </cols>
  <sheetData>
    <row r="1" spans="1:1" x14ac:dyDescent="0.45">
      <c r="A1" s="11" t="s">
        <v>13</v>
      </c>
    </row>
    <row r="2" spans="1:1" x14ac:dyDescent="0.45">
      <c r="A2" s="12" t="s">
        <v>3</v>
      </c>
    </row>
    <row r="3" spans="1:1" x14ac:dyDescent="0.45">
      <c r="A3" s="12" t="s">
        <v>12</v>
      </c>
    </row>
    <row r="4" spans="1:1" x14ac:dyDescent="0.45">
      <c r="A4" s="12" t="s">
        <v>4</v>
      </c>
    </row>
    <row r="5" spans="1:1" x14ac:dyDescent="0.45">
      <c r="A5" s="12" t="s">
        <v>11</v>
      </c>
    </row>
    <row r="6" spans="1:1" ht="28.5" x14ac:dyDescent="0.45">
      <c r="A6" s="12" t="s">
        <v>5</v>
      </c>
    </row>
    <row r="7" spans="1:1" x14ac:dyDescent="0.45">
      <c r="A7" s="12" t="s">
        <v>6</v>
      </c>
    </row>
    <row r="8" spans="1:1" ht="28.5" x14ac:dyDescent="0.45">
      <c r="A8" s="12" t="s">
        <v>81</v>
      </c>
    </row>
  </sheetData>
  <pageMargins left="0.7" right="0.7" top="0.75" bottom="0.75" header="0.3" footer="0.3"/>
  <pageSetup orientation="portrait" r:id="rId1"/>
  <headerFooter>
    <oddFooter>&amp;C&amp;1#&amp;"arial"&amp;10&amp;Kec6414CONFIDENCIAL EXTERNO</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9"/>
  <sheetViews>
    <sheetView workbookViewId="0">
      <selection activeCell="A18" sqref="A18"/>
    </sheetView>
  </sheetViews>
  <sheetFormatPr defaultRowHeight="14.25" x14ac:dyDescent="0.45"/>
  <cols>
    <col min="1" max="1" width="7.33203125" customWidth="1"/>
    <col min="2" max="2" width="115.06640625" customWidth="1"/>
  </cols>
  <sheetData>
    <row r="1" spans="1:2" x14ac:dyDescent="0.45">
      <c r="A1" s="9" t="s">
        <v>74</v>
      </c>
      <c r="B1" s="9"/>
    </row>
    <row r="2" spans="1:2" x14ac:dyDescent="0.45">
      <c r="A2" s="8" t="s">
        <v>16</v>
      </c>
      <c r="B2" t="s">
        <v>78</v>
      </c>
    </row>
    <row r="3" spans="1:2" x14ac:dyDescent="0.45">
      <c r="A3" s="6" t="s">
        <v>17</v>
      </c>
      <c r="B3" t="s">
        <v>77</v>
      </c>
    </row>
    <row r="4" spans="1:2" x14ac:dyDescent="0.45">
      <c r="A4" s="6" t="s">
        <v>18</v>
      </c>
      <c r="B4" t="s">
        <v>79</v>
      </c>
    </row>
    <row r="5" spans="1:2" x14ac:dyDescent="0.45">
      <c r="A5" s="6" t="s">
        <v>19</v>
      </c>
      <c r="B5" t="s">
        <v>75</v>
      </c>
    </row>
    <row r="6" spans="1:2" x14ac:dyDescent="0.45">
      <c r="A6" s="6" t="s">
        <v>20</v>
      </c>
      <c r="B6" t="s">
        <v>76</v>
      </c>
    </row>
    <row r="7" spans="1:2" x14ac:dyDescent="0.45">
      <c r="A7" s="6" t="s">
        <v>21</v>
      </c>
      <c r="B7" t="s">
        <v>80</v>
      </c>
    </row>
    <row r="8" spans="1:2" x14ac:dyDescent="0.45">
      <c r="A8" s="6" t="s">
        <v>22</v>
      </c>
      <c r="B8" t="s">
        <v>82</v>
      </c>
    </row>
    <row r="9" spans="1:2" x14ac:dyDescent="0.45">
      <c r="A9" s="6" t="s">
        <v>23</v>
      </c>
      <c r="B9" t="s">
        <v>83</v>
      </c>
    </row>
    <row r="10" spans="1:2" x14ac:dyDescent="0.45">
      <c r="A10" s="6" t="s">
        <v>24</v>
      </c>
    </row>
    <row r="11" spans="1:2" x14ac:dyDescent="0.45">
      <c r="A11" s="6" t="s">
        <v>25</v>
      </c>
    </row>
    <row r="12" spans="1:2" x14ac:dyDescent="0.45">
      <c r="A12" s="6" t="s">
        <v>26</v>
      </c>
    </row>
    <row r="13" spans="1:2" x14ac:dyDescent="0.45">
      <c r="A13" s="6" t="s">
        <v>27</v>
      </c>
    </row>
    <row r="14" spans="1:2" x14ac:dyDescent="0.45">
      <c r="A14" s="6" t="s">
        <v>28</v>
      </c>
    </row>
    <row r="15" spans="1:2" x14ac:dyDescent="0.45">
      <c r="A15" s="6" t="s">
        <v>29</v>
      </c>
    </row>
    <row r="16" spans="1:2" x14ac:dyDescent="0.45">
      <c r="A16" s="6" t="s">
        <v>30</v>
      </c>
    </row>
    <row r="17" spans="1:1" x14ac:dyDescent="0.45">
      <c r="A17" s="6" t="s">
        <v>31</v>
      </c>
    </row>
    <row r="18" spans="1:1" x14ac:dyDescent="0.45">
      <c r="A18" s="6" t="s">
        <v>32</v>
      </c>
    </row>
    <row r="19" spans="1:1" x14ac:dyDescent="0.45">
      <c r="A19" s="6" t="s">
        <v>33</v>
      </c>
    </row>
    <row r="20" spans="1:1" x14ac:dyDescent="0.45">
      <c r="A20" s="6" t="s">
        <v>34</v>
      </c>
    </row>
    <row r="21" spans="1:1" x14ac:dyDescent="0.45">
      <c r="A21" s="6" t="s">
        <v>35</v>
      </c>
    </row>
    <row r="22" spans="1:1" x14ac:dyDescent="0.45">
      <c r="A22" s="6" t="s">
        <v>36</v>
      </c>
    </row>
    <row r="23" spans="1:1" x14ac:dyDescent="0.45">
      <c r="A23" s="6" t="s">
        <v>37</v>
      </c>
    </row>
    <row r="24" spans="1:1" x14ac:dyDescent="0.45">
      <c r="A24" s="6" t="s">
        <v>38</v>
      </c>
    </row>
    <row r="25" spans="1:1" x14ac:dyDescent="0.45">
      <c r="A25" s="6" t="s">
        <v>39</v>
      </c>
    </row>
    <row r="26" spans="1:1" x14ac:dyDescent="0.45">
      <c r="A26" s="6" t="s">
        <v>40</v>
      </c>
    </row>
    <row r="27" spans="1:1" x14ac:dyDescent="0.45">
      <c r="A27" s="6" t="s">
        <v>41</v>
      </c>
    </row>
    <row r="28" spans="1:1" x14ac:dyDescent="0.45">
      <c r="A28" s="6" t="s">
        <v>42</v>
      </c>
    </row>
    <row r="29" spans="1:1" x14ac:dyDescent="0.45">
      <c r="A29" s="6" t="s">
        <v>43</v>
      </c>
    </row>
    <row r="30" spans="1:1" x14ac:dyDescent="0.45">
      <c r="A30" s="6" t="s">
        <v>44</v>
      </c>
    </row>
    <row r="31" spans="1:1" x14ac:dyDescent="0.45">
      <c r="A31" s="6" t="s">
        <v>45</v>
      </c>
    </row>
    <row r="32" spans="1:1" x14ac:dyDescent="0.45">
      <c r="A32" s="6" t="s">
        <v>46</v>
      </c>
    </row>
    <row r="33" spans="1:1" x14ac:dyDescent="0.45">
      <c r="A33" s="6" t="s">
        <v>47</v>
      </c>
    </row>
    <row r="34" spans="1:1" x14ac:dyDescent="0.45">
      <c r="A34" s="6" t="s">
        <v>48</v>
      </c>
    </row>
    <row r="35" spans="1:1" x14ac:dyDescent="0.45">
      <c r="A35" s="6" t="s">
        <v>49</v>
      </c>
    </row>
    <row r="36" spans="1:1" x14ac:dyDescent="0.45">
      <c r="A36" s="6" t="s">
        <v>50</v>
      </c>
    </row>
    <row r="37" spans="1:1" x14ac:dyDescent="0.45">
      <c r="A37" s="6" t="s">
        <v>51</v>
      </c>
    </row>
    <row r="38" spans="1:1" x14ac:dyDescent="0.45">
      <c r="A38" s="6" t="s">
        <v>52</v>
      </c>
    </row>
    <row r="39" spans="1:1" x14ac:dyDescent="0.45">
      <c r="A39" s="6" t="s">
        <v>53</v>
      </c>
    </row>
    <row r="40" spans="1:1" x14ac:dyDescent="0.45">
      <c r="A40" s="6" t="s">
        <v>54</v>
      </c>
    </row>
    <row r="41" spans="1:1" x14ac:dyDescent="0.45">
      <c r="A41" s="6" t="s">
        <v>55</v>
      </c>
    </row>
    <row r="42" spans="1:1" x14ac:dyDescent="0.45">
      <c r="A42" s="6" t="s">
        <v>56</v>
      </c>
    </row>
    <row r="43" spans="1:1" x14ac:dyDescent="0.45">
      <c r="A43" s="6" t="s">
        <v>57</v>
      </c>
    </row>
    <row r="44" spans="1:1" x14ac:dyDescent="0.45">
      <c r="A44" s="6" t="s">
        <v>58</v>
      </c>
    </row>
    <row r="45" spans="1:1" x14ac:dyDescent="0.45">
      <c r="A45" s="6" t="s">
        <v>59</v>
      </c>
    </row>
    <row r="46" spans="1:1" x14ac:dyDescent="0.45">
      <c r="A46" s="6" t="s">
        <v>60</v>
      </c>
    </row>
    <row r="47" spans="1:1" x14ac:dyDescent="0.45">
      <c r="A47" s="6" t="s">
        <v>61</v>
      </c>
    </row>
    <row r="48" spans="1:1" x14ac:dyDescent="0.45">
      <c r="A48" s="6" t="s">
        <v>62</v>
      </c>
    </row>
    <row r="49" spans="1:2" x14ac:dyDescent="0.45">
      <c r="A49" s="6" t="s">
        <v>63</v>
      </c>
    </row>
    <row r="50" spans="1:2" x14ac:dyDescent="0.45">
      <c r="A50" s="6" t="s">
        <v>64</v>
      </c>
    </row>
    <row r="51" spans="1:2" x14ac:dyDescent="0.45">
      <c r="A51" s="6" t="s">
        <v>65</v>
      </c>
    </row>
    <row r="52" spans="1:2" x14ac:dyDescent="0.45">
      <c r="A52" s="6" t="s">
        <v>66</v>
      </c>
    </row>
    <row r="53" spans="1:2" x14ac:dyDescent="0.45">
      <c r="A53" s="6" t="s">
        <v>67</v>
      </c>
    </row>
    <row r="54" spans="1:2" x14ac:dyDescent="0.45">
      <c r="A54" s="6" t="s">
        <v>68</v>
      </c>
    </row>
    <row r="55" spans="1:2" x14ac:dyDescent="0.45">
      <c r="A55" s="6" t="s">
        <v>69</v>
      </c>
    </row>
    <row r="56" spans="1:2" x14ac:dyDescent="0.45">
      <c r="A56" s="6" t="s">
        <v>70</v>
      </c>
    </row>
    <row r="57" spans="1:2" x14ac:dyDescent="0.45">
      <c r="A57" s="6" t="s">
        <v>71</v>
      </c>
    </row>
    <row r="58" spans="1:2" x14ac:dyDescent="0.45">
      <c r="A58" s="6" t="s">
        <v>72</v>
      </c>
      <c r="B58" t="s">
        <v>84</v>
      </c>
    </row>
    <row r="59" spans="1:2" x14ac:dyDescent="0.45">
      <c r="A59" s="6" t="s">
        <v>73</v>
      </c>
      <c r="B59" t="s">
        <v>85</v>
      </c>
    </row>
  </sheetData>
  <pageMargins left="0.7" right="0.7" top="0.75" bottom="0.75" header="0.3" footer="0.3"/>
  <pageSetup paperSize="9" orientation="portrait" r:id="rId1"/>
  <headerFooter>
    <oddHeader>&amp;CDetailed budget notes</oddHeader>
    <oddFooter>&amp;C&amp;1#&amp;"arial"&amp;10&amp;Kec6414CONFIDENCIAL EXTERNO</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30826-2B1F-42BC-BDE3-F8A73D25E2FA}">
  <dimension ref="A1:H25"/>
  <sheetViews>
    <sheetView workbookViewId="0">
      <selection activeCell="H26" sqref="H26"/>
    </sheetView>
  </sheetViews>
  <sheetFormatPr defaultRowHeight="14.25" x14ac:dyDescent="0.45"/>
  <cols>
    <col min="1" max="1" width="42" customWidth="1"/>
    <col min="2" max="2" width="13.53125" customWidth="1"/>
    <col min="3" max="4" width="13.33203125" customWidth="1"/>
    <col min="5" max="5" width="14.19921875" customWidth="1"/>
    <col min="6" max="6" width="13.9296875" customWidth="1"/>
    <col min="7" max="7" width="14.59765625" customWidth="1"/>
    <col min="8" max="8" width="12.9296875" customWidth="1"/>
  </cols>
  <sheetData>
    <row r="1" spans="1:8" ht="18" x14ac:dyDescent="0.55000000000000004">
      <c r="A1" s="10" t="s">
        <v>112</v>
      </c>
    </row>
    <row r="3" spans="1:8" ht="28.5" x14ac:dyDescent="0.45">
      <c r="A3" s="20" t="s">
        <v>305</v>
      </c>
      <c r="B3" s="80" t="s">
        <v>306</v>
      </c>
      <c r="C3" s="80" t="s">
        <v>307</v>
      </c>
      <c r="D3" s="80" t="s">
        <v>308</v>
      </c>
      <c r="E3" s="80" t="s">
        <v>309</v>
      </c>
      <c r="F3" s="80" t="s">
        <v>310</v>
      </c>
      <c r="G3" s="80" t="s">
        <v>311</v>
      </c>
      <c r="H3" s="80" t="s">
        <v>312</v>
      </c>
    </row>
    <row r="4" spans="1:8" x14ac:dyDescent="0.45">
      <c r="A4" s="9" t="s">
        <v>94</v>
      </c>
      <c r="B4" s="81">
        <v>4462542.68</v>
      </c>
      <c r="C4" s="82">
        <v>10826666.02</v>
      </c>
      <c r="D4" s="58">
        <v>0</v>
      </c>
      <c r="E4" s="58">
        <v>2159879.08</v>
      </c>
      <c r="F4" s="82">
        <v>0</v>
      </c>
      <c r="G4" s="85">
        <v>0</v>
      </c>
      <c r="H4" s="82">
        <f>SUM(B4:G4)</f>
        <v>17449087.780000001</v>
      </c>
    </row>
    <row r="5" spans="1:8" x14ac:dyDescent="0.45">
      <c r="A5" s="9" t="s">
        <v>95</v>
      </c>
      <c r="B5" s="81">
        <v>12517937.775739999</v>
      </c>
      <c r="C5" s="82">
        <v>61056590.241603069</v>
      </c>
      <c r="D5" s="58">
        <v>104461358.33350898</v>
      </c>
      <c r="E5" s="58">
        <v>32363051.189947918</v>
      </c>
      <c r="F5" s="82">
        <v>0</v>
      </c>
      <c r="G5" s="86">
        <v>0</v>
      </c>
      <c r="H5" s="82">
        <f t="shared" ref="H5:H21" si="0">SUM(B5:F5)</f>
        <v>210398937.54079998</v>
      </c>
    </row>
    <row r="6" spans="1:8" x14ac:dyDescent="0.45">
      <c r="A6" s="9" t="s">
        <v>96</v>
      </c>
      <c r="B6" s="81">
        <v>0</v>
      </c>
      <c r="C6" s="82">
        <v>13616722.19300238</v>
      </c>
      <c r="D6" s="58">
        <v>34928068.166671649</v>
      </c>
      <c r="E6" s="58">
        <v>42666024.423625968</v>
      </c>
      <c r="F6" s="82">
        <v>0</v>
      </c>
      <c r="G6" s="86">
        <v>0</v>
      </c>
      <c r="H6" s="82">
        <f t="shared" si="0"/>
        <v>91210814.783299997</v>
      </c>
    </row>
    <row r="7" spans="1:8" x14ac:dyDescent="0.45">
      <c r="A7" s="9" t="s">
        <v>97</v>
      </c>
      <c r="B7" s="81">
        <v>0</v>
      </c>
      <c r="C7" s="82">
        <v>18951657.011276189</v>
      </c>
      <c r="D7" s="58">
        <v>33760062.228856273</v>
      </c>
      <c r="E7" s="58">
        <v>21993283.948367532</v>
      </c>
      <c r="F7" s="82">
        <v>0</v>
      </c>
      <c r="G7" s="86">
        <v>0</v>
      </c>
      <c r="H7" s="82">
        <f t="shared" si="0"/>
        <v>74705003.188500002</v>
      </c>
    </row>
    <row r="8" spans="1:8" x14ac:dyDescent="0.45">
      <c r="A8" s="9" t="s">
        <v>98</v>
      </c>
      <c r="B8" s="81">
        <v>0</v>
      </c>
      <c r="C8" s="82">
        <v>2524572.2262698412</v>
      </c>
      <c r="D8" s="58">
        <v>5221623.7250288604</v>
      </c>
      <c r="E8" s="58">
        <v>4598155.0587012982</v>
      </c>
      <c r="F8" s="82">
        <v>0</v>
      </c>
      <c r="G8" s="86">
        <v>0</v>
      </c>
      <c r="H8" s="82">
        <f t="shared" si="0"/>
        <v>12344351.01</v>
      </c>
    </row>
    <row r="9" spans="1:8" x14ac:dyDescent="0.45">
      <c r="A9" s="9" t="s">
        <v>99</v>
      </c>
      <c r="B9" s="81">
        <v>0</v>
      </c>
      <c r="C9" s="82">
        <v>0</v>
      </c>
      <c r="D9" s="58">
        <v>24402636.479999993</v>
      </c>
      <c r="E9" s="58">
        <v>26324352.019999996</v>
      </c>
      <c r="F9" s="82">
        <v>1683508.62</v>
      </c>
      <c r="G9" s="86">
        <v>0</v>
      </c>
      <c r="H9" s="82">
        <f t="shared" si="0"/>
        <v>52410497.119999982</v>
      </c>
    </row>
    <row r="10" spans="1:8" x14ac:dyDescent="0.45">
      <c r="A10" s="9" t="s">
        <v>100</v>
      </c>
      <c r="B10" s="81">
        <v>5839474.4717647061</v>
      </c>
      <c r="C10" s="82">
        <v>31029139.324558821</v>
      </c>
      <c r="D10" s="58">
        <v>18968878.693676475</v>
      </c>
      <c r="E10" s="58">
        <v>6220008.5645454535</v>
      </c>
      <c r="F10" s="82">
        <v>1382224.1254545453</v>
      </c>
      <c r="G10" s="86">
        <v>0</v>
      </c>
      <c r="H10" s="82">
        <f t="shared" si="0"/>
        <v>63439725.179999992</v>
      </c>
    </row>
    <row r="11" spans="1:8" x14ac:dyDescent="0.45">
      <c r="A11" s="9" t="s">
        <v>101</v>
      </c>
      <c r="B11" s="81">
        <v>0</v>
      </c>
      <c r="C11" s="82">
        <v>1114516.0648461538</v>
      </c>
      <c r="D11" s="58">
        <v>4298825.3930038456</v>
      </c>
      <c r="E11" s="58">
        <v>6084670.1133875009</v>
      </c>
      <c r="F11" s="82">
        <v>263295.79956249997</v>
      </c>
      <c r="G11" s="86">
        <v>0</v>
      </c>
      <c r="H11" s="82">
        <f t="shared" si="0"/>
        <v>11761307.370800002</v>
      </c>
    </row>
    <row r="12" spans="1:8" x14ac:dyDescent="0.45">
      <c r="A12" s="9" t="s">
        <v>102</v>
      </c>
      <c r="B12" s="81">
        <v>0</v>
      </c>
      <c r="C12" s="82">
        <v>2705859.9219818185</v>
      </c>
      <c r="D12" s="58">
        <v>13462226.593872031</v>
      </c>
      <c r="E12" s="58">
        <v>21752589.438646156</v>
      </c>
      <c r="F12" s="82">
        <v>892962.79710000008</v>
      </c>
      <c r="G12" s="86">
        <v>0</v>
      </c>
      <c r="H12" s="82">
        <f t="shared" si="0"/>
        <v>38813638.751600005</v>
      </c>
    </row>
    <row r="13" spans="1:8" x14ac:dyDescent="0.45">
      <c r="A13" s="9" t="s">
        <v>103</v>
      </c>
      <c r="B13" s="81">
        <v>0</v>
      </c>
      <c r="C13" s="82">
        <v>3590854.21090909</v>
      </c>
      <c r="D13" s="58">
        <v>16431856.799167829</v>
      </c>
      <c r="E13" s="58">
        <v>22961565.530923076</v>
      </c>
      <c r="F13" s="82">
        <v>1011298.7229999999</v>
      </c>
      <c r="G13" s="86">
        <v>0</v>
      </c>
      <c r="H13" s="82">
        <f t="shared" si="0"/>
        <v>43995575.263999991</v>
      </c>
    </row>
    <row r="14" spans="1:8" x14ac:dyDescent="0.45">
      <c r="A14" s="9" t="s">
        <v>104</v>
      </c>
      <c r="B14" s="81">
        <v>0</v>
      </c>
      <c r="C14" s="82">
        <v>8286923.0769230779</v>
      </c>
      <c r="D14" s="58">
        <v>30371264.423076924</v>
      </c>
      <c r="E14" s="58">
        <v>37987125</v>
      </c>
      <c r="F14" s="82">
        <v>1647687.5</v>
      </c>
      <c r="G14" s="86">
        <v>0</v>
      </c>
      <c r="H14" s="82">
        <f t="shared" si="0"/>
        <v>78293000</v>
      </c>
    </row>
    <row r="15" spans="1:8" x14ac:dyDescent="0.45">
      <c r="A15" s="9" t="s">
        <v>105</v>
      </c>
      <c r="B15" s="81">
        <v>0</v>
      </c>
      <c r="C15" s="82">
        <v>4541737.3571153842</v>
      </c>
      <c r="D15" s="58">
        <v>15041814.791609619</v>
      </c>
      <c r="E15" s="58">
        <v>16510794.127943749</v>
      </c>
      <c r="F15" s="82">
        <v>711748.70953125018</v>
      </c>
      <c r="G15" s="86">
        <v>0</v>
      </c>
      <c r="H15" s="82">
        <f t="shared" si="0"/>
        <v>36806094.986199997</v>
      </c>
    </row>
    <row r="16" spans="1:8" x14ac:dyDescent="0.45">
      <c r="A16" s="9" t="s">
        <v>106</v>
      </c>
      <c r="B16" s="81">
        <v>0</v>
      </c>
      <c r="C16" s="82">
        <v>0</v>
      </c>
      <c r="D16" s="58">
        <v>7872800</v>
      </c>
      <c r="E16" s="58">
        <v>13538836.36363636</v>
      </c>
      <c r="F16" s="82">
        <v>3346363.6363636362</v>
      </c>
      <c r="G16" s="86">
        <v>0</v>
      </c>
      <c r="H16" s="82">
        <f t="shared" si="0"/>
        <v>24757999.999999996</v>
      </c>
    </row>
    <row r="17" spans="1:8" x14ac:dyDescent="0.45">
      <c r="A17" s="9" t="s">
        <v>107</v>
      </c>
      <c r="B17" s="81">
        <v>0</v>
      </c>
      <c r="C17" s="82">
        <v>0</v>
      </c>
      <c r="D17" s="58">
        <v>6000000</v>
      </c>
      <c r="E17" s="58">
        <v>5818181.8181818202</v>
      </c>
      <c r="F17" s="82">
        <v>681818.18181818177</v>
      </c>
      <c r="G17" s="86">
        <v>0</v>
      </c>
      <c r="H17" s="82">
        <f t="shared" si="0"/>
        <v>12500000.000000002</v>
      </c>
    </row>
    <row r="18" spans="1:8" x14ac:dyDescent="0.45">
      <c r="A18" s="9" t="s">
        <v>108</v>
      </c>
      <c r="B18" s="81">
        <v>4808729.2236940004</v>
      </c>
      <c r="C18" s="82">
        <v>21063765.030128192</v>
      </c>
      <c r="D18" s="58">
        <v>12465339.998114804</v>
      </c>
      <c r="E18" s="58">
        <v>3950897.5616990007</v>
      </c>
      <c r="F18" s="82">
        <v>0</v>
      </c>
      <c r="G18" s="86">
        <v>0</v>
      </c>
      <c r="H18" s="82">
        <f t="shared" si="0"/>
        <v>42288731.813635997</v>
      </c>
    </row>
    <row r="19" spans="1:8" x14ac:dyDescent="0.45">
      <c r="A19" s="9" t="s">
        <v>109</v>
      </c>
      <c r="B19" s="81">
        <v>400727.43530783337</v>
      </c>
      <c r="C19" s="82">
        <v>2010738.219054943</v>
      </c>
      <c r="D19" s="58">
        <v>2527283.2298886287</v>
      </c>
      <c r="E19" s="58">
        <v>2110494.3500583372</v>
      </c>
      <c r="F19" s="82">
        <v>639617.09544225887</v>
      </c>
      <c r="G19" s="86">
        <v>0</v>
      </c>
      <c r="H19" s="82">
        <f t="shared" si="0"/>
        <v>7688860.329752001</v>
      </c>
    </row>
    <row r="20" spans="1:8" x14ac:dyDescent="0.45">
      <c r="A20" s="9" t="s">
        <v>110</v>
      </c>
      <c r="B20" s="81">
        <v>200363.71765391668</v>
      </c>
      <c r="C20" s="82">
        <v>1005369.1095274715</v>
      </c>
      <c r="D20" s="58">
        <v>1263641.6149443144</v>
      </c>
      <c r="E20" s="58">
        <v>1055247.1750291686</v>
      </c>
      <c r="F20" s="82">
        <v>319808.54772112943</v>
      </c>
      <c r="G20" s="86">
        <v>0</v>
      </c>
      <c r="H20" s="82">
        <f t="shared" si="0"/>
        <v>3844430.1648760005</v>
      </c>
    </row>
    <row r="21" spans="1:8" x14ac:dyDescent="0.45">
      <c r="A21" s="9" t="s">
        <v>111</v>
      </c>
      <c r="B21" s="81">
        <v>601091.15296175005</v>
      </c>
      <c r="C21" s="82">
        <v>3016107.3285824144</v>
      </c>
      <c r="D21" s="58">
        <v>3790924.8448329433</v>
      </c>
      <c r="E21" s="58">
        <v>3165741.5250875051</v>
      </c>
      <c r="F21" s="82">
        <v>959425.64316338813</v>
      </c>
      <c r="G21" s="86">
        <v>0</v>
      </c>
      <c r="H21" s="82">
        <f t="shared" si="0"/>
        <v>11533290.494628001</v>
      </c>
    </row>
    <row r="22" spans="1:8" x14ac:dyDescent="0.45">
      <c r="A22" s="23" t="s">
        <v>377</v>
      </c>
      <c r="B22" s="83">
        <f>ROUND(SUM(B4:B21),-5)</f>
        <v>28800000</v>
      </c>
      <c r="C22" s="83">
        <f t="shared" ref="C22:H22" si="1">ROUND(SUM(C4:C21),-5)</f>
        <v>185300000</v>
      </c>
      <c r="D22" s="83">
        <f t="shared" si="1"/>
        <v>335300000</v>
      </c>
      <c r="E22" s="83">
        <f t="shared" si="1"/>
        <v>271300000</v>
      </c>
      <c r="F22" s="83">
        <f t="shared" si="1"/>
        <v>13500000</v>
      </c>
      <c r="G22" s="83">
        <f t="shared" si="1"/>
        <v>0</v>
      </c>
      <c r="H22" s="83">
        <f t="shared" si="1"/>
        <v>834200000</v>
      </c>
    </row>
    <row r="23" spans="1:8" x14ac:dyDescent="0.45">
      <c r="B23" s="79"/>
      <c r="C23" s="79"/>
      <c r="D23" s="79"/>
      <c r="E23" s="79"/>
      <c r="F23" s="79"/>
      <c r="G23" s="79"/>
      <c r="H23" s="79"/>
    </row>
    <row r="24" spans="1:8" x14ac:dyDescent="0.45">
      <c r="B24" s="79"/>
      <c r="H24" s="58">
        <f>SUM('Detailed Budget'!M4:M6)</f>
        <v>834200000</v>
      </c>
    </row>
    <row r="25" spans="1:8" x14ac:dyDescent="0.45">
      <c r="H25" s="58">
        <f>H24-H22</f>
        <v>0</v>
      </c>
    </row>
  </sheetData>
  <pageMargins left="0.7" right="0.7" top="0.75" bottom="0.75" header="0.3" footer="0.3"/>
  <pageSetup paperSize="9" orientation="portrait" r:id="rId1"/>
  <headerFooter>
    <oddFooter>&amp;C&amp;1#&amp;"arial"&amp;10&amp;Kec6414CONFIDENCIAL EXTERNO</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11E2F-5F1F-458A-B349-25AC5CAD2157}">
  <dimension ref="A1:Z19"/>
  <sheetViews>
    <sheetView workbookViewId="0">
      <selection activeCell="H7" sqref="H7"/>
    </sheetView>
  </sheetViews>
  <sheetFormatPr defaultRowHeight="14.25" x14ac:dyDescent="0.45"/>
  <cols>
    <col min="1" max="1" width="18.53125" customWidth="1"/>
    <col min="2" max="2" width="13.59765625" customWidth="1"/>
    <col min="3" max="3" width="12.59765625" customWidth="1"/>
    <col min="4" max="4" width="15.06640625" customWidth="1"/>
    <col min="5" max="5" width="12.33203125" customWidth="1"/>
    <col min="6" max="6" width="13.19921875" customWidth="1"/>
    <col min="7" max="7" width="14.73046875" customWidth="1"/>
    <col min="8" max="8" width="13.73046875" customWidth="1"/>
  </cols>
  <sheetData>
    <row r="1" spans="1:8" ht="21" x14ac:dyDescent="0.65">
      <c r="A1" s="18" t="s">
        <v>187</v>
      </c>
    </row>
    <row r="3" spans="1:8" ht="28.5" x14ac:dyDescent="0.45">
      <c r="A3" s="20"/>
      <c r="B3" s="80" t="s">
        <v>306</v>
      </c>
      <c r="C3" s="80" t="s">
        <v>307</v>
      </c>
      <c r="D3" s="80" t="s">
        <v>308</v>
      </c>
      <c r="E3" s="80" t="s">
        <v>309</v>
      </c>
      <c r="F3" s="80" t="s">
        <v>310</v>
      </c>
      <c r="G3" s="80" t="s">
        <v>311</v>
      </c>
      <c r="H3" s="80" t="s">
        <v>312</v>
      </c>
    </row>
    <row r="4" spans="1:8" x14ac:dyDescent="0.45">
      <c r="A4" s="9" t="s">
        <v>378</v>
      </c>
      <c r="B4" s="22">
        <v>51000000</v>
      </c>
      <c r="C4" s="22">
        <v>116000000</v>
      </c>
      <c r="D4" s="22">
        <v>51000000</v>
      </c>
      <c r="E4" s="22">
        <v>123000000</v>
      </c>
      <c r="F4" s="22">
        <v>111400000</v>
      </c>
      <c r="G4" s="31">
        <v>0</v>
      </c>
      <c r="H4" s="22">
        <f>SUM(B4:G4)</f>
        <v>452400000</v>
      </c>
    </row>
    <row r="6" spans="1:8" x14ac:dyDescent="0.45">
      <c r="H6" s="58">
        <f>SUM('Detailed Budget'!M7:M9)</f>
        <v>452400000</v>
      </c>
    </row>
    <row r="7" spans="1:8" x14ac:dyDescent="0.45">
      <c r="H7" s="58">
        <f>H6-H4</f>
        <v>0</v>
      </c>
    </row>
    <row r="19" spans="26:26" x14ac:dyDescent="0.45">
      <c r="Z19">
        <v>1</v>
      </c>
    </row>
  </sheetData>
  <pageMargins left="0.7" right="0.7" top="0.75" bottom="0.75" header="0.3" footer="0.3"/>
  <pageSetup orientation="portrait" r:id="rId1"/>
  <headerFooter>
    <oddFooter>&amp;C&amp;1#&amp;"arial"&amp;10&amp;Kec6414CONFIDENCIAL EXTERNO</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508E4-10F8-4538-8F1B-063CC908B33D}">
  <dimension ref="A1:H23"/>
  <sheetViews>
    <sheetView workbookViewId="0">
      <selection activeCell="H24" sqref="H24"/>
    </sheetView>
  </sheetViews>
  <sheetFormatPr defaultRowHeight="14.25" x14ac:dyDescent="0.45"/>
  <cols>
    <col min="1" max="1" width="35.9296875" customWidth="1"/>
    <col min="2" max="2" width="10.59765625" customWidth="1"/>
    <col min="3" max="3" width="11.59765625" customWidth="1"/>
    <col min="4" max="4" width="12.06640625" customWidth="1"/>
    <col min="5" max="5" width="11.33203125" customWidth="1"/>
    <col min="8" max="8" width="14.59765625" customWidth="1"/>
  </cols>
  <sheetData>
    <row r="1" spans="1:8" ht="21" x14ac:dyDescent="0.65">
      <c r="A1" s="18" t="s">
        <v>186</v>
      </c>
    </row>
    <row r="2" spans="1:8" ht="21" x14ac:dyDescent="0.65">
      <c r="A2" s="18"/>
    </row>
    <row r="3" spans="1:8" ht="21" x14ac:dyDescent="0.65">
      <c r="A3" s="18"/>
    </row>
    <row r="4" spans="1:8" ht="42.75" x14ac:dyDescent="0.45">
      <c r="A4" s="20" t="s">
        <v>115</v>
      </c>
      <c r="B4" s="80" t="s">
        <v>306</v>
      </c>
      <c r="C4" s="80" t="s">
        <v>307</v>
      </c>
      <c r="D4" s="80" t="s">
        <v>308</v>
      </c>
      <c r="E4" s="80" t="s">
        <v>309</v>
      </c>
      <c r="F4" s="80" t="s">
        <v>310</v>
      </c>
      <c r="G4" s="80" t="s">
        <v>311</v>
      </c>
      <c r="H4" s="80" t="s">
        <v>312</v>
      </c>
    </row>
    <row r="5" spans="1:8" x14ac:dyDescent="0.45">
      <c r="A5" s="23" t="s">
        <v>313</v>
      </c>
      <c r="B5" s="82"/>
      <c r="C5" s="82"/>
      <c r="D5" s="82"/>
      <c r="E5" s="82"/>
      <c r="F5" s="82"/>
      <c r="G5" s="82"/>
      <c r="H5" s="82"/>
    </row>
    <row r="6" spans="1:8" x14ac:dyDescent="0.45">
      <c r="A6" s="9" t="s">
        <v>314</v>
      </c>
      <c r="B6" s="82">
        <v>18997247.177816387</v>
      </c>
      <c r="C6" s="82">
        <v>4152950.1675256691</v>
      </c>
      <c r="E6" s="82"/>
      <c r="F6" s="82"/>
      <c r="G6" s="82"/>
      <c r="H6" s="82">
        <f t="shared" ref="H6:H10" si="0">SUM(B6:G6)</f>
        <v>23150197.345342055</v>
      </c>
    </row>
    <row r="7" spans="1:8" x14ac:dyDescent="0.45">
      <c r="A7" s="9" t="s">
        <v>315</v>
      </c>
      <c r="B7" s="82">
        <v>2433489.6368287951</v>
      </c>
      <c r="C7" s="82">
        <v>12547314.009415872</v>
      </c>
      <c r="D7" s="82">
        <v>15919467.452707298</v>
      </c>
      <c r="E7" s="82">
        <v>13313192.860450139</v>
      </c>
      <c r="F7" s="82">
        <v>4030812.3240767708</v>
      </c>
      <c r="G7" s="82">
        <f t="shared" ref="G7:G9" si="1">SUM(G3:G6)</f>
        <v>0</v>
      </c>
      <c r="H7" s="82">
        <f t="shared" si="0"/>
        <v>48244276.283478878</v>
      </c>
    </row>
    <row r="8" spans="1:8" x14ac:dyDescent="0.45">
      <c r="A8" s="9" t="s">
        <v>316</v>
      </c>
      <c r="B8" s="82">
        <v>347641.37668982788</v>
      </c>
      <c r="C8" s="82">
        <v>1792473.4299165534</v>
      </c>
      <c r="D8" s="82">
        <v>2274209.6361010424</v>
      </c>
      <c r="E8" s="82">
        <v>1901884.6943500205</v>
      </c>
      <c r="F8" s="82">
        <v>575830.33201096742</v>
      </c>
      <c r="G8" s="82">
        <f t="shared" si="1"/>
        <v>0</v>
      </c>
      <c r="H8" s="82">
        <f t="shared" si="0"/>
        <v>6892039.4690684117</v>
      </c>
    </row>
    <row r="9" spans="1:8" x14ac:dyDescent="0.45">
      <c r="A9" s="9" t="s">
        <v>317</v>
      </c>
      <c r="B9" s="82">
        <v>695282.75337965577</v>
      </c>
      <c r="C9" s="82">
        <v>3584946.8598331069</v>
      </c>
      <c r="D9" s="82">
        <v>4548419.2722020848</v>
      </c>
      <c r="E9" s="82">
        <v>3803769.388700041</v>
      </c>
      <c r="F9" s="82">
        <v>1151660.6640219348</v>
      </c>
      <c r="G9" s="82">
        <f t="shared" si="1"/>
        <v>0</v>
      </c>
      <c r="H9" s="82">
        <f t="shared" si="0"/>
        <v>13784078.938136823</v>
      </c>
    </row>
    <row r="10" spans="1:8" x14ac:dyDescent="0.45">
      <c r="A10" s="87" t="s">
        <v>318</v>
      </c>
      <c r="B10" s="82">
        <f>SUM(B6:B9)</f>
        <v>22473660.944714665</v>
      </c>
      <c r="C10" s="82">
        <f t="shared" ref="C10:G12" si="2">SUM(C6:C9)</f>
        <v>22077684.466691203</v>
      </c>
      <c r="D10" s="82">
        <f>SUM(D7:D9)</f>
        <v>22742096.361010425</v>
      </c>
      <c r="E10" s="82">
        <f t="shared" si="2"/>
        <v>19018846.943500202</v>
      </c>
      <c r="F10" s="82">
        <f t="shared" si="2"/>
        <v>5758303.3201096728</v>
      </c>
      <c r="G10" s="82">
        <f t="shared" si="2"/>
        <v>0</v>
      </c>
      <c r="H10" s="82">
        <f t="shared" si="0"/>
        <v>92070592.03602618</v>
      </c>
    </row>
    <row r="11" spans="1:8" x14ac:dyDescent="0.45">
      <c r="A11" s="9"/>
      <c r="B11" s="82"/>
      <c r="C11" s="82"/>
      <c r="D11" s="82"/>
      <c r="E11" s="82"/>
      <c r="F11" s="82"/>
      <c r="G11" s="82"/>
      <c r="H11" s="82"/>
    </row>
    <row r="12" spans="1:8" x14ac:dyDescent="0.45">
      <c r="A12" s="23" t="s">
        <v>319</v>
      </c>
      <c r="B12" s="82">
        <v>25461945.967499997</v>
      </c>
      <c r="C12" s="82">
        <v>32479260.145499997</v>
      </c>
      <c r="D12" s="82">
        <v>0</v>
      </c>
      <c r="E12" s="82">
        <v>8190752.6505000005</v>
      </c>
      <c r="F12" s="82">
        <v>0</v>
      </c>
      <c r="G12" s="82">
        <f t="shared" si="2"/>
        <v>0</v>
      </c>
      <c r="H12" s="82">
        <f>SUM(B12:G12)</f>
        <v>66131958.76349999</v>
      </c>
    </row>
    <row r="13" spans="1:8" x14ac:dyDescent="0.45">
      <c r="A13" s="9"/>
      <c r="B13" s="82"/>
      <c r="C13" s="82"/>
      <c r="D13" s="82"/>
      <c r="E13" s="82"/>
      <c r="F13" s="82"/>
      <c r="G13" s="82"/>
      <c r="H13" s="82"/>
    </row>
    <row r="14" spans="1:8" x14ac:dyDescent="0.45">
      <c r="A14" s="23" t="s">
        <v>320</v>
      </c>
      <c r="B14" s="82"/>
      <c r="C14" s="82"/>
      <c r="D14" s="82"/>
      <c r="E14" s="82"/>
      <c r="F14" s="82"/>
      <c r="G14" s="82"/>
      <c r="H14" s="82"/>
    </row>
    <row r="15" spans="1:8" x14ac:dyDescent="0.45">
      <c r="A15" s="9" t="s">
        <v>322</v>
      </c>
      <c r="B15" s="82">
        <v>3171395.310283443</v>
      </c>
      <c r="C15" s="82">
        <v>20387533.906935677</v>
      </c>
      <c r="D15" s="82">
        <v>36879546.584787853</v>
      </c>
      <c r="E15" s="82">
        <v>29838698.701875892</v>
      </c>
      <c r="F15" s="82">
        <v>1489373.5317072584</v>
      </c>
      <c r="G15" s="82"/>
      <c r="H15" s="82">
        <f t="shared" ref="H15:H18" si="3">SUM(B15:G15)</f>
        <v>91766548.035590127</v>
      </c>
    </row>
    <row r="16" spans="1:8" x14ac:dyDescent="0.45">
      <c r="A16" s="9" t="s">
        <v>323</v>
      </c>
      <c r="B16" s="82">
        <v>433333.33333333337</v>
      </c>
      <c r="C16" s="82">
        <v>2440000</v>
      </c>
      <c r="D16" s="82">
        <v>3165714.2857142854</v>
      </c>
      <c r="E16" s="82">
        <v>2988851.5406162469</v>
      </c>
      <c r="F16" s="82">
        <v>972100.84033613442</v>
      </c>
      <c r="G16" s="82"/>
      <c r="H16" s="82">
        <f t="shared" si="3"/>
        <v>10000000.000000002</v>
      </c>
    </row>
    <row r="17" spans="1:8" ht="42.75" x14ac:dyDescent="0.45">
      <c r="A17" s="1" t="s">
        <v>324</v>
      </c>
      <c r="B17" s="82">
        <v>371056.14660823165</v>
      </c>
      <c r="C17" s="82">
        <v>1912367.5085888659</v>
      </c>
      <c r="D17" s="82">
        <v>2425966.7873800485</v>
      </c>
      <c r="E17" s="82">
        <v>2028751.10244868</v>
      </c>
      <c r="F17" s="82">
        <v>614250.88422271435</v>
      </c>
      <c r="G17" s="82"/>
      <c r="H17" s="82">
        <f t="shared" si="3"/>
        <v>7352392.4292485397</v>
      </c>
    </row>
    <row r="18" spans="1:8" x14ac:dyDescent="0.45">
      <c r="A18" s="87" t="s">
        <v>321</v>
      </c>
      <c r="B18" s="82">
        <f>SUM(B15:B17)</f>
        <v>3975784.790225008</v>
      </c>
      <c r="C18" s="82">
        <f t="shared" ref="C18:G18" si="4">SUM(C15:C17)</f>
        <v>24739901.415524542</v>
      </c>
      <c r="D18" s="82">
        <f t="shared" si="4"/>
        <v>42471227.657882184</v>
      </c>
      <c r="E18" s="82">
        <f t="shared" si="4"/>
        <v>34856301.344940819</v>
      </c>
      <c r="F18" s="82">
        <f t="shared" si="4"/>
        <v>3075725.2562661069</v>
      </c>
      <c r="G18" s="82">
        <f t="shared" si="4"/>
        <v>0</v>
      </c>
      <c r="H18" s="82">
        <f t="shared" si="3"/>
        <v>109118940.46483864</v>
      </c>
    </row>
    <row r="19" spans="1:8" x14ac:dyDescent="0.45">
      <c r="A19" s="9"/>
      <c r="B19" s="82"/>
      <c r="C19" s="82"/>
      <c r="D19" s="82"/>
      <c r="E19" s="82"/>
      <c r="F19" s="82"/>
      <c r="G19" s="82"/>
      <c r="H19" s="82"/>
    </row>
    <row r="20" spans="1:8" x14ac:dyDescent="0.45">
      <c r="A20" s="23" t="s">
        <v>379</v>
      </c>
      <c r="B20" s="84">
        <f>ROUND(B10+B12+B18,-5)</f>
        <v>51900000</v>
      </c>
      <c r="C20" s="84">
        <f t="shared" ref="C20:G20" si="5">ROUND(C10+C12+C18,-5)</f>
        <v>79300000</v>
      </c>
      <c r="D20" s="84">
        <f t="shared" si="5"/>
        <v>65200000</v>
      </c>
      <c r="E20" s="84">
        <f t="shared" si="5"/>
        <v>62100000</v>
      </c>
      <c r="F20" s="84">
        <f t="shared" si="5"/>
        <v>8800000</v>
      </c>
      <c r="G20" s="84">
        <f t="shared" si="5"/>
        <v>0</v>
      </c>
      <c r="H20" s="84">
        <f>ROUND(H10+H12+H18,-5)</f>
        <v>267300000</v>
      </c>
    </row>
    <row r="22" spans="1:8" x14ac:dyDescent="0.45">
      <c r="H22" s="58">
        <f>SUM('Detailed Budget'!M10:M12)</f>
        <v>267300000</v>
      </c>
    </row>
    <row r="23" spans="1:8" x14ac:dyDescent="0.45">
      <c r="H23" s="58">
        <f>H22-H20</f>
        <v>0</v>
      </c>
    </row>
  </sheetData>
  <pageMargins left="0.7" right="0.7" top="0.75" bottom="0.75" header="0.3" footer="0.3"/>
  <pageSetup orientation="portrait" r:id="rId1"/>
  <headerFooter>
    <oddFooter>&amp;C&amp;1#&amp;"arial"&amp;10&amp;Kec6414CONFIDENCIAL EXTERNO</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F9C58-1806-4D76-92E2-A1345BC0E152}">
  <dimension ref="A1:H9"/>
  <sheetViews>
    <sheetView workbookViewId="0">
      <selection activeCell="H10" sqref="H10"/>
    </sheetView>
  </sheetViews>
  <sheetFormatPr defaultRowHeight="14.25" x14ac:dyDescent="0.45"/>
  <cols>
    <col min="1" max="1" width="33.06640625" customWidth="1"/>
    <col min="2" max="2" width="11" customWidth="1"/>
    <col min="3" max="3" width="12.06640625" customWidth="1"/>
    <col min="4" max="4" width="11.73046875" customWidth="1"/>
    <col min="5" max="5" width="11.53125" customWidth="1"/>
    <col min="6" max="6" width="11.59765625" customWidth="1"/>
    <col min="7" max="7" width="12.9296875" customWidth="1"/>
    <col min="8" max="8" width="12.73046875" customWidth="1"/>
  </cols>
  <sheetData>
    <row r="1" spans="1:8" ht="21" x14ac:dyDescent="0.65">
      <c r="A1" s="18" t="s">
        <v>185</v>
      </c>
    </row>
    <row r="4" spans="1:8" ht="28.5" x14ac:dyDescent="0.45">
      <c r="A4" s="20" t="s">
        <v>115</v>
      </c>
      <c r="B4" s="80" t="s">
        <v>306</v>
      </c>
      <c r="C4" s="80" t="s">
        <v>307</v>
      </c>
      <c r="D4" s="80" t="s">
        <v>308</v>
      </c>
      <c r="E4" s="80" t="s">
        <v>309</v>
      </c>
      <c r="F4" s="80" t="s">
        <v>310</v>
      </c>
      <c r="G4" s="80" t="s">
        <v>311</v>
      </c>
      <c r="H4" s="80" t="s">
        <v>312</v>
      </c>
    </row>
    <row r="5" spans="1:8" x14ac:dyDescent="0.45">
      <c r="A5" s="9" t="s">
        <v>325</v>
      </c>
      <c r="B5" s="82">
        <v>64248957.10432741</v>
      </c>
      <c r="C5" s="82">
        <v>22715685.346751209</v>
      </c>
      <c r="D5" s="82">
        <v>12479245.936956597</v>
      </c>
      <c r="E5" s="82">
        <v>4420962.4518838562</v>
      </c>
      <c r="F5" s="82">
        <v>828158.51927396306</v>
      </c>
      <c r="G5" s="82">
        <v>0</v>
      </c>
      <c r="H5" s="82">
        <f>SUM(B5:G5)</f>
        <v>104693009.35919304</v>
      </c>
    </row>
    <row r="6" spans="1:8" x14ac:dyDescent="0.45">
      <c r="A6" s="9" t="s">
        <v>326</v>
      </c>
      <c r="B6" s="82">
        <v>7470936.5694915783</v>
      </c>
      <c r="C6" s="82">
        <v>24291159.09331635</v>
      </c>
      <c r="D6" s="82">
        <v>50911310.598001704</v>
      </c>
      <c r="E6" s="82">
        <v>71433573.291906774</v>
      </c>
      <c r="F6" s="82">
        <v>39303112.165467896</v>
      </c>
      <c r="G6" s="82">
        <v>0</v>
      </c>
      <c r="H6" s="82">
        <f>SUM(B6:G6)</f>
        <v>193410091.71818429</v>
      </c>
    </row>
    <row r="7" spans="1:8" x14ac:dyDescent="0.45">
      <c r="A7" s="9" t="s">
        <v>380</v>
      </c>
      <c r="B7" s="82">
        <f>ROUND(SUM(B5:B6),-5)</f>
        <v>71700000</v>
      </c>
      <c r="C7" s="82">
        <f t="shared" ref="C7:G7" si="0">ROUND(SUM(C5:C6),-5)</f>
        <v>47000000</v>
      </c>
      <c r="D7" s="82">
        <f t="shared" si="0"/>
        <v>63400000</v>
      </c>
      <c r="E7" s="82">
        <f t="shared" si="0"/>
        <v>75900000</v>
      </c>
      <c r="F7" s="82">
        <f t="shared" si="0"/>
        <v>40100000</v>
      </c>
      <c r="G7" s="82">
        <f t="shared" si="0"/>
        <v>0</v>
      </c>
      <c r="H7" s="82">
        <f>ROUND(SUM(H5:H6),-5)</f>
        <v>298100000</v>
      </c>
    </row>
    <row r="9" spans="1:8" x14ac:dyDescent="0.45">
      <c r="H9" s="58">
        <f>SUM('Detailed Budget'!M13:M15)</f>
        <v>298100000</v>
      </c>
    </row>
  </sheetData>
  <pageMargins left="0.7" right="0.7" top="0.75" bottom="0.75" header="0.3" footer="0.3"/>
  <pageSetup orientation="portrait" r:id="rId1"/>
  <headerFooter>
    <oddFooter>&amp;C&amp;1#&amp;"arial"&amp;10&amp;Kec6414CONFIDENCIAL EXTERNO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71862-1B35-4A26-A814-80E01E8448A2}">
  <dimension ref="B1:AB45"/>
  <sheetViews>
    <sheetView topLeftCell="A16" workbookViewId="0">
      <selection activeCell="L46" sqref="L46"/>
    </sheetView>
  </sheetViews>
  <sheetFormatPr defaultColWidth="11.46484375" defaultRowHeight="14.25" x14ac:dyDescent="0.45"/>
  <cols>
    <col min="1" max="1" width="0.796875" customWidth="1"/>
    <col min="2" max="2" width="7.53125" customWidth="1"/>
    <col min="3" max="3" width="20" customWidth="1"/>
    <col min="4" max="4" width="6.796875" customWidth="1"/>
    <col min="5" max="5" width="7.59765625" customWidth="1"/>
    <col min="6" max="6" width="30.59765625" customWidth="1"/>
    <col min="7" max="8" width="25.59765625" customWidth="1"/>
    <col min="9" max="9" width="8.59765625" style="26" customWidth="1"/>
    <col min="10" max="10" width="8.59765625" customWidth="1"/>
    <col min="11" max="12" width="10.59765625" style="28" customWidth="1"/>
    <col min="13" max="13" width="13.796875" style="28" customWidth="1"/>
    <col min="14" max="14" width="0.796875" customWidth="1"/>
  </cols>
  <sheetData>
    <row r="1" spans="2:28" ht="32.65" customHeight="1" x14ac:dyDescent="0.7">
      <c r="B1" s="39" t="s">
        <v>291</v>
      </c>
      <c r="N1" t="s">
        <v>189</v>
      </c>
    </row>
    <row r="2" spans="2:28" ht="32.65" customHeight="1" x14ac:dyDescent="0.45">
      <c r="B2" s="13" t="s">
        <v>292</v>
      </c>
    </row>
    <row r="3" spans="2:28" ht="14.65" thickBot="1" x14ac:dyDescent="0.5"/>
    <row r="4" spans="2:28" ht="14.65" thickBot="1" x14ac:dyDescent="0.5">
      <c r="B4" s="50" t="s">
        <v>196</v>
      </c>
      <c r="C4" s="122" t="s">
        <v>198</v>
      </c>
      <c r="D4" s="122"/>
      <c r="E4" s="122" t="s">
        <v>197</v>
      </c>
      <c r="F4" s="122"/>
      <c r="G4" s="122"/>
      <c r="H4" s="122"/>
      <c r="I4" s="122"/>
      <c r="J4" s="122"/>
      <c r="K4" s="122"/>
      <c r="L4" s="122"/>
      <c r="M4" s="122"/>
      <c r="N4" s="122"/>
      <c r="O4" s="122"/>
      <c r="P4" s="122"/>
      <c r="Q4" s="122"/>
      <c r="R4" s="122"/>
      <c r="S4" s="122"/>
      <c r="T4" s="122"/>
      <c r="U4" s="122"/>
      <c r="V4" s="122"/>
      <c r="W4" s="122"/>
      <c r="X4" s="122"/>
      <c r="Y4" s="122"/>
      <c r="Z4" s="122"/>
      <c r="AA4" s="122"/>
      <c r="AB4" s="123"/>
    </row>
    <row r="5" spans="2:28" ht="15.4" x14ac:dyDescent="0.45">
      <c r="B5" s="51"/>
      <c r="C5" s="40" t="s">
        <v>199</v>
      </c>
      <c r="D5" s="40" t="s">
        <v>200</v>
      </c>
      <c r="E5" s="41">
        <v>1</v>
      </c>
      <c r="F5" s="41">
        <v>2</v>
      </c>
      <c r="G5" s="41">
        <v>3</v>
      </c>
      <c r="H5" s="41">
        <v>4</v>
      </c>
      <c r="I5" s="41">
        <v>5</v>
      </c>
      <c r="J5" s="41">
        <v>6</v>
      </c>
      <c r="K5" s="41">
        <v>7</v>
      </c>
      <c r="L5" s="41">
        <v>8</v>
      </c>
      <c r="M5" s="41">
        <v>9</v>
      </c>
      <c r="N5" s="41">
        <v>10</v>
      </c>
      <c r="O5" s="41">
        <v>11</v>
      </c>
      <c r="P5" s="41">
        <v>12</v>
      </c>
      <c r="Q5" s="41">
        <v>13</v>
      </c>
      <c r="R5" s="41">
        <v>14</v>
      </c>
      <c r="S5" s="41">
        <v>15</v>
      </c>
      <c r="T5" s="41">
        <v>16</v>
      </c>
      <c r="U5" s="41">
        <v>17</v>
      </c>
      <c r="V5" s="41">
        <v>18</v>
      </c>
      <c r="W5" s="41">
        <v>19</v>
      </c>
      <c r="X5" s="41">
        <v>20</v>
      </c>
      <c r="Y5" s="41">
        <v>21</v>
      </c>
      <c r="Z5" s="41">
        <v>22</v>
      </c>
      <c r="AA5" s="41">
        <v>23</v>
      </c>
      <c r="AB5" s="42">
        <v>24</v>
      </c>
    </row>
    <row r="6" spans="2:28" x14ac:dyDescent="0.45">
      <c r="B6" s="38" t="s">
        <v>190</v>
      </c>
      <c r="C6" s="37">
        <f t="shared" ref="C6:C11" si="0">COUNTIF(E6:AB6,"=1")</f>
        <v>6</v>
      </c>
      <c r="D6" s="37">
        <f t="shared" ref="D6:D11" si="1">COUNTIF(E6:AB6,"=3")</f>
        <v>7</v>
      </c>
      <c r="E6" s="43"/>
      <c r="F6" s="43"/>
      <c r="G6" s="43"/>
      <c r="H6" s="43">
        <v>1</v>
      </c>
      <c r="I6" s="43">
        <v>1</v>
      </c>
      <c r="J6" s="43">
        <v>1</v>
      </c>
      <c r="K6" s="43">
        <v>1</v>
      </c>
      <c r="L6" s="43">
        <v>1</v>
      </c>
      <c r="M6" s="43">
        <v>1</v>
      </c>
      <c r="N6" s="43">
        <v>2</v>
      </c>
      <c r="O6" s="43">
        <v>2</v>
      </c>
      <c r="P6" s="43">
        <v>2</v>
      </c>
      <c r="Q6" s="43">
        <v>3</v>
      </c>
      <c r="R6" s="43">
        <v>3</v>
      </c>
      <c r="S6" s="43">
        <v>3</v>
      </c>
      <c r="T6" s="43">
        <v>3</v>
      </c>
      <c r="U6" s="43">
        <v>3</v>
      </c>
      <c r="V6" s="43">
        <v>3</v>
      </c>
      <c r="W6" s="43">
        <v>3</v>
      </c>
      <c r="X6" s="43"/>
      <c r="Y6" s="43"/>
      <c r="Z6" s="43"/>
      <c r="AA6" s="43"/>
      <c r="AB6" s="44"/>
    </row>
    <row r="7" spans="2:28" x14ac:dyDescent="0.45">
      <c r="B7" s="38" t="s">
        <v>191</v>
      </c>
      <c r="C7" s="37">
        <f t="shared" si="0"/>
        <v>6</v>
      </c>
      <c r="D7" s="37">
        <f t="shared" si="1"/>
        <v>6</v>
      </c>
      <c r="E7" s="43"/>
      <c r="F7" s="43"/>
      <c r="G7" s="43"/>
      <c r="H7" s="43">
        <v>1</v>
      </c>
      <c r="I7" s="43">
        <v>1</v>
      </c>
      <c r="J7" s="43">
        <v>1</v>
      </c>
      <c r="K7" s="43">
        <v>1</v>
      </c>
      <c r="L7" s="43">
        <v>1</v>
      </c>
      <c r="M7" s="43">
        <v>1</v>
      </c>
      <c r="N7" s="43">
        <v>2</v>
      </c>
      <c r="O7" s="43">
        <v>2</v>
      </c>
      <c r="P7" s="43">
        <v>2</v>
      </c>
      <c r="Q7" s="43">
        <v>3</v>
      </c>
      <c r="R7" s="43">
        <v>3</v>
      </c>
      <c r="S7" s="43">
        <v>3</v>
      </c>
      <c r="T7" s="43">
        <v>3</v>
      </c>
      <c r="U7" s="43">
        <v>3</v>
      </c>
      <c r="V7" s="43">
        <v>3</v>
      </c>
      <c r="W7" s="43"/>
      <c r="X7" s="43"/>
      <c r="Y7" s="43"/>
      <c r="Z7" s="43"/>
      <c r="AA7" s="43"/>
      <c r="AB7" s="44"/>
    </row>
    <row r="8" spans="2:28" x14ac:dyDescent="0.45">
      <c r="B8" s="38" t="s">
        <v>192</v>
      </c>
      <c r="C8" s="37">
        <f t="shared" si="0"/>
        <v>6</v>
      </c>
      <c r="D8" s="37">
        <f t="shared" si="1"/>
        <v>8</v>
      </c>
      <c r="E8" s="43"/>
      <c r="F8" s="43"/>
      <c r="G8" s="43"/>
      <c r="H8" s="43"/>
      <c r="I8" s="43"/>
      <c r="J8" s="43">
        <v>1</v>
      </c>
      <c r="K8" s="43">
        <v>1</v>
      </c>
      <c r="L8" s="43">
        <v>1</v>
      </c>
      <c r="M8" s="43">
        <v>1</v>
      </c>
      <c r="N8" s="43">
        <v>1</v>
      </c>
      <c r="O8" s="43">
        <v>1</v>
      </c>
      <c r="P8" s="43">
        <v>2</v>
      </c>
      <c r="Q8" s="43">
        <v>2</v>
      </c>
      <c r="R8" s="43">
        <v>2</v>
      </c>
      <c r="S8" s="43">
        <v>3</v>
      </c>
      <c r="T8" s="43">
        <v>3</v>
      </c>
      <c r="U8" s="43">
        <v>3</v>
      </c>
      <c r="V8" s="43">
        <v>3</v>
      </c>
      <c r="W8" s="43">
        <v>3</v>
      </c>
      <c r="X8" s="43">
        <v>3</v>
      </c>
      <c r="Y8" s="43">
        <v>3</v>
      </c>
      <c r="Z8" s="43">
        <v>3</v>
      </c>
      <c r="AA8" s="43"/>
      <c r="AB8" s="44"/>
    </row>
    <row r="9" spans="2:28" ht="14.25" customHeight="1" x14ac:dyDescent="0.45">
      <c r="B9" s="38" t="s">
        <v>193</v>
      </c>
      <c r="C9" s="37">
        <f t="shared" si="0"/>
        <v>4</v>
      </c>
      <c r="D9" s="37">
        <f t="shared" si="1"/>
        <v>4</v>
      </c>
      <c r="E9" s="43"/>
      <c r="F9" s="43"/>
      <c r="G9" s="43">
        <v>1</v>
      </c>
      <c r="H9" s="43">
        <v>1</v>
      </c>
      <c r="I9" s="43">
        <v>1</v>
      </c>
      <c r="J9" s="43">
        <v>1</v>
      </c>
      <c r="K9" s="43">
        <v>2</v>
      </c>
      <c r="L9" s="43">
        <v>2</v>
      </c>
      <c r="M9" s="43">
        <v>2</v>
      </c>
      <c r="N9" s="43">
        <v>3</v>
      </c>
      <c r="O9" s="43">
        <v>3</v>
      </c>
      <c r="P9" s="43">
        <v>3</v>
      </c>
      <c r="Q9" s="43">
        <v>3</v>
      </c>
      <c r="R9" s="43"/>
      <c r="S9" s="43"/>
      <c r="T9" s="43"/>
      <c r="U9" s="43"/>
      <c r="V9" s="43"/>
      <c r="W9" s="43"/>
      <c r="X9" s="43"/>
      <c r="Y9" s="43"/>
      <c r="Z9" s="43"/>
      <c r="AA9" s="43"/>
      <c r="AB9" s="44"/>
    </row>
    <row r="10" spans="2:28" x14ac:dyDescent="0.45">
      <c r="B10" s="38" t="s">
        <v>194</v>
      </c>
      <c r="C10" s="37">
        <f t="shared" si="0"/>
        <v>5</v>
      </c>
      <c r="D10" s="37">
        <f t="shared" si="1"/>
        <v>8</v>
      </c>
      <c r="E10" s="43"/>
      <c r="F10" s="43"/>
      <c r="G10" s="43"/>
      <c r="H10" s="43"/>
      <c r="I10" s="43"/>
      <c r="J10" s="43"/>
      <c r="K10" s="43">
        <v>1</v>
      </c>
      <c r="L10" s="43">
        <v>1</v>
      </c>
      <c r="M10" s="43">
        <v>1</v>
      </c>
      <c r="N10" s="43">
        <v>1</v>
      </c>
      <c r="O10" s="43">
        <v>1</v>
      </c>
      <c r="P10" s="43">
        <v>2</v>
      </c>
      <c r="Q10" s="43">
        <v>2</v>
      </c>
      <c r="R10" s="43">
        <v>2</v>
      </c>
      <c r="S10" s="43">
        <v>3</v>
      </c>
      <c r="T10" s="43">
        <v>3</v>
      </c>
      <c r="U10" s="43">
        <v>3</v>
      </c>
      <c r="V10" s="43">
        <v>3</v>
      </c>
      <c r="W10" s="43">
        <v>3</v>
      </c>
      <c r="X10" s="43">
        <v>3</v>
      </c>
      <c r="Y10" s="43">
        <v>3</v>
      </c>
      <c r="Z10" s="43">
        <v>3</v>
      </c>
      <c r="AA10" s="43"/>
      <c r="AB10" s="44"/>
    </row>
    <row r="11" spans="2:28" ht="14.65" thickBot="1" x14ac:dyDescent="0.5">
      <c r="B11" s="45" t="s">
        <v>195</v>
      </c>
      <c r="C11" s="46">
        <f t="shared" si="0"/>
        <v>5</v>
      </c>
      <c r="D11" s="46">
        <f t="shared" si="1"/>
        <v>6</v>
      </c>
      <c r="E11" s="47"/>
      <c r="F11" s="47"/>
      <c r="G11" s="47">
        <v>1</v>
      </c>
      <c r="H11" s="47">
        <v>1</v>
      </c>
      <c r="I11" s="47">
        <v>1</v>
      </c>
      <c r="J11" s="47">
        <v>1</v>
      </c>
      <c r="K11" s="47">
        <v>1</v>
      </c>
      <c r="L11" s="47">
        <v>2</v>
      </c>
      <c r="M11" s="47">
        <v>2</v>
      </c>
      <c r="N11" s="47">
        <v>2</v>
      </c>
      <c r="O11" s="47">
        <v>3</v>
      </c>
      <c r="P11" s="47">
        <v>3</v>
      </c>
      <c r="Q11" s="47">
        <v>3</v>
      </c>
      <c r="R11" s="47">
        <v>3</v>
      </c>
      <c r="S11" s="47">
        <v>3</v>
      </c>
      <c r="T11" s="47">
        <v>3</v>
      </c>
      <c r="U11" s="47"/>
      <c r="V11" s="47"/>
      <c r="W11" s="47"/>
      <c r="X11" s="47"/>
      <c r="Y11" s="47"/>
      <c r="Z11" s="47"/>
      <c r="AA11" s="47"/>
      <c r="AB11" s="48"/>
    </row>
    <row r="12" spans="2:28" ht="14.65" thickTop="1" x14ac:dyDescent="0.45">
      <c r="I12"/>
      <c r="K12"/>
      <c r="L12"/>
      <c r="M12"/>
    </row>
    <row r="13" spans="2:28" ht="14.25" customHeight="1" x14ac:dyDescent="0.45">
      <c r="I13"/>
      <c r="J13" s="43">
        <v>1</v>
      </c>
      <c r="K13">
        <v>1</v>
      </c>
      <c r="L13" s="49" t="s">
        <v>201</v>
      </c>
      <c r="M13"/>
    </row>
    <row r="14" spans="2:28" ht="14.65" thickBot="1" x14ac:dyDescent="0.5">
      <c r="I14"/>
      <c r="J14" s="43">
        <v>2</v>
      </c>
      <c r="K14">
        <v>2</v>
      </c>
      <c r="L14" s="49" t="s">
        <v>202</v>
      </c>
      <c r="M14"/>
    </row>
    <row r="15" spans="2:28" ht="28.9" thickTop="1" x14ac:dyDescent="0.45">
      <c r="B15" s="124" t="s">
        <v>196</v>
      </c>
      <c r="C15" s="125"/>
      <c r="D15" s="61" t="s">
        <v>351</v>
      </c>
      <c r="E15" s="60" t="s">
        <v>352</v>
      </c>
      <c r="F15" s="61" t="s">
        <v>353</v>
      </c>
      <c r="G15" s="61" t="s">
        <v>227</v>
      </c>
      <c r="H15" s="61" t="s">
        <v>275</v>
      </c>
      <c r="I15" s="122" t="s">
        <v>228</v>
      </c>
      <c r="J15" s="122"/>
      <c r="K15" s="126" t="s">
        <v>229</v>
      </c>
      <c r="L15" s="127"/>
      <c r="M15"/>
    </row>
    <row r="16" spans="2:28" x14ac:dyDescent="0.45">
      <c r="B16" s="115" t="s">
        <v>190</v>
      </c>
      <c r="C16" s="118" t="s">
        <v>230</v>
      </c>
      <c r="D16" s="62">
        <v>2</v>
      </c>
      <c r="E16" s="37">
        <v>2</v>
      </c>
      <c r="F16" s="62" t="s">
        <v>231</v>
      </c>
      <c r="G16" s="62" t="s">
        <v>232</v>
      </c>
      <c r="H16" s="62" t="s">
        <v>233</v>
      </c>
      <c r="I16" s="37">
        <v>1265</v>
      </c>
      <c r="J16" s="121">
        <f>SUM(I16:I19)</f>
        <v>4940</v>
      </c>
      <c r="K16" s="37">
        <v>1570.3176449314885</v>
      </c>
      <c r="L16" s="121">
        <v>5148.1020400385596</v>
      </c>
      <c r="M16"/>
    </row>
    <row r="17" spans="2:13" x14ac:dyDescent="0.45">
      <c r="B17" s="116"/>
      <c r="C17" s="119"/>
      <c r="D17" s="62">
        <v>3</v>
      </c>
      <c r="E17" s="37">
        <v>3</v>
      </c>
      <c r="F17" s="62" t="s">
        <v>234</v>
      </c>
      <c r="G17" s="62" t="s">
        <v>235</v>
      </c>
      <c r="H17" s="62" t="s">
        <v>236</v>
      </c>
      <c r="I17" s="37">
        <v>1211</v>
      </c>
      <c r="J17" s="121"/>
      <c r="K17" s="37">
        <v>1153.4527523268816</v>
      </c>
      <c r="L17" s="121"/>
      <c r="M17"/>
    </row>
    <row r="18" spans="2:13" x14ac:dyDescent="0.45">
      <c r="B18" s="116"/>
      <c r="C18" s="119"/>
      <c r="D18" s="62">
        <v>4</v>
      </c>
      <c r="E18" s="37">
        <v>4</v>
      </c>
      <c r="F18" s="62" t="s">
        <v>237</v>
      </c>
      <c r="G18" s="62" t="s">
        <v>238</v>
      </c>
      <c r="H18" s="62" t="s">
        <v>239</v>
      </c>
      <c r="I18" s="37">
        <v>530</v>
      </c>
      <c r="J18" s="121"/>
      <c r="K18" s="37">
        <v>576.84228679204796</v>
      </c>
      <c r="L18" s="121"/>
      <c r="M18"/>
    </row>
    <row r="19" spans="2:13" x14ac:dyDescent="0.45">
      <c r="B19" s="117"/>
      <c r="C19" s="120"/>
      <c r="D19" s="62">
        <v>5</v>
      </c>
      <c r="E19" s="37">
        <v>3</v>
      </c>
      <c r="F19" s="63" t="s">
        <v>354</v>
      </c>
      <c r="G19" s="62" t="s">
        <v>240</v>
      </c>
      <c r="H19" s="62" t="s">
        <v>240</v>
      </c>
      <c r="I19" s="37">
        <v>1934</v>
      </c>
      <c r="J19" s="121"/>
      <c r="K19" s="37">
        <v>1847.4893559881418</v>
      </c>
      <c r="L19" s="121"/>
      <c r="M19"/>
    </row>
    <row r="20" spans="2:13" x14ac:dyDescent="0.45">
      <c r="B20" s="115" t="s">
        <v>191</v>
      </c>
      <c r="C20" s="118" t="s">
        <v>241</v>
      </c>
      <c r="D20" s="62">
        <v>2</v>
      </c>
      <c r="E20" s="37">
        <v>1</v>
      </c>
      <c r="F20" s="62" t="s">
        <v>242</v>
      </c>
      <c r="G20" s="62" t="s">
        <v>243</v>
      </c>
      <c r="H20" s="62" t="s">
        <v>244</v>
      </c>
      <c r="I20" s="37">
        <v>200</v>
      </c>
      <c r="J20" s="128">
        <f>SUM(I20:I34)</f>
        <v>8439</v>
      </c>
      <c r="K20" s="37">
        <v>145.82983023039452</v>
      </c>
      <c r="L20" s="128">
        <v>6826.1977998785705</v>
      </c>
      <c r="M20"/>
    </row>
    <row r="21" spans="2:13" x14ac:dyDescent="0.45">
      <c r="B21" s="116"/>
      <c r="C21" s="119"/>
      <c r="D21" s="62">
        <v>3</v>
      </c>
      <c r="E21" s="37">
        <v>1</v>
      </c>
      <c r="F21" s="62" t="s">
        <v>244</v>
      </c>
      <c r="G21" s="62" t="s">
        <v>242</v>
      </c>
      <c r="H21" s="62" t="s">
        <v>245</v>
      </c>
      <c r="I21" s="37">
        <v>207</v>
      </c>
      <c r="J21" s="129"/>
      <c r="K21" s="37">
        <v>152.40441322191162</v>
      </c>
      <c r="L21" s="129"/>
      <c r="M21"/>
    </row>
    <row r="22" spans="2:13" x14ac:dyDescent="0.45">
      <c r="B22" s="116"/>
      <c r="C22" s="119"/>
      <c r="D22" s="62">
        <v>4</v>
      </c>
      <c r="E22" s="37">
        <v>1</v>
      </c>
      <c r="F22" s="62" t="s">
        <v>245</v>
      </c>
      <c r="G22" s="62" t="s">
        <v>244</v>
      </c>
      <c r="H22" s="62" t="s">
        <v>246</v>
      </c>
      <c r="I22" s="37">
        <v>170</v>
      </c>
      <c r="J22" s="129"/>
      <c r="K22" s="37">
        <v>127.14618805105661</v>
      </c>
      <c r="L22" s="129"/>
      <c r="M22"/>
    </row>
    <row r="23" spans="2:13" x14ac:dyDescent="0.45">
      <c r="B23" s="116"/>
      <c r="C23" s="119"/>
      <c r="D23" s="62">
        <v>5</v>
      </c>
      <c r="E23" s="37" t="s">
        <v>240</v>
      </c>
      <c r="F23" s="63" t="s">
        <v>355</v>
      </c>
      <c r="G23" s="62" t="s">
        <v>245</v>
      </c>
      <c r="H23" s="62" t="s">
        <v>247</v>
      </c>
      <c r="I23" s="37">
        <v>264</v>
      </c>
      <c r="J23" s="129"/>
      <c r="K23" s="37">
        <v>188.34785822118332</v>
      </c>
      <c r="L23" s="129"/>
      <c r="M23"/>
    </row>
    <row r="24" spans="2:13" x14ac:dyDescent="0.45">
      <c r="B24" s="116"/>
      <c r="C24" s="119"/>
      <c r="D24" s="62">
        <v>6</v>
      </c>
      <c r="E24" s="37">
        <v>1</v>
      </c>
      <c r="F24" s="62" t="s">
        <v>247</v>
      </c>
      <c r="G24" s="62" t="s">
        <v>246</v>
      </c>
      <c r="H24" s="62" t="s">
        <v>248</v>
      </c>
      <c r="I24" s="37">
        <v>136</v>
      </c>
      <c r="J24" s="129"/>
      <c r="K24" s="37">
        <v>101.21325635637443</v>
      </c>
      <c r="L24" s="129"/>
      <c r="M24"/>
    </row>
    <row r="25" spans="2:13" x14ac:dyDescent="0.45">
      <c r="B25" s="116"/>
      <c r="C25" s="119"/>
      <c r="D25" s="62">
        <v>7</v>
      </c>
      <c r="E25" s="37">
        <v>2</v>
      </c>
      <c r="F25" s="62" t="s">
        <v>249</v>
      </c>
      <c r="G25" s="62" t="s">
        <v>246</v>
      </c>
      <c r="H25" s="62" t="s">
        <v>250</v>
      </c>
      <c r="I25" s="37">
        <v>245</v>
      </c>
      <c r="J25" s="129"/>
      <c r="K25" s="37">
        <v>250.87800206783911</v>
      </c>
      <c r="L25" s="129"/>
      <c r="M25"/>
    </row>
    <row r="26" spans="2:13" x14ac:dyDescent="0.45">
      <c r="B26" s="116"/>
      <c r="C26" s="119"/>
      <c r="D26" s="62">
        <v>8</v>
      </c>
      <c r="E26" s="37">
        <v>3</v>
      </c>
      <c r="F26" s="62" t="s">
        <v>248</v>
      </c>
      <c r="G26" s="62" t="s">
        <v>251</v>
      </c>
      <c r="H26" s="62" t="s">
        <v>252</v>
      </c>
      <c r="I26" s="37">
        <v>1526</v>
      </c>
      <c r="J26" s="129"/>
      <c r="K26" s="37">
        <v>1128.729390146402</v>
      </c>
      <c r="L26" s="129"/>
      <c r="M26"/>
    </row>
    <row r="27" spans="2:13" x14ac:dyDescent="0.45">
      <c r="B27" s="116"/>
      <c r="C27" s="119"/>
      <c r="D27" s="62">
        <v>9</v>
      </c>
      <c r="E27" s="37">
        <v>4</v>
      </c>
      <c r="F27" s="62" t="s">
        <v>253</v>
      </c>
      <c r="G27" s="62" t="s">
        <v>246</v>
      </c>
      <c r="H27" s="62" t="s">
        <v>254</v>
      </c>
      <c r="I27" s="37">
        <v>475</v>
      </c>
      <c r="J27" s="129"/>
      <c r="K27" s="37">
        <v>488.24643125815243</v>
      </c>
      <c r="L27" s="129"/>
      <c r="M27"/>
    </row>
    <row r="28" spans="2:13" x14ac:dyDescent="0.45">
      <c r="B28" s="116"/>
      <c r="C28" s="119"/>
      <c r="D28" s="62">
        <v>10</v>
      </c>
      <c r="E28" s="37">
        <v>5</v>
      </c>
      <c r="F28" s="62" t="s">
        <v>255</v>
      </c>
      <c r="G28" s="62" t="s">
        <v>246</v>
      </c>
      <c r="H28" s="62" t="s">
        <v>254</v>
      </c>
      <c r="I28" s="37">
        <v>625</v>
      </c>
      <c r="J28" s="129"/>
      <c r="K28" s="37">
        <v>640.97145298989017</v>
      </c>
      <c r="L28" s="129"/>
      <c r="M28"/>
    </row>
    <row r="29" spans="2:13" x14ac:dyDescent="0.45">
      <c r="B29" s="116"/>
      <c r="C29" s="119"/>
      <c r="D29" s="62">
        <v>11</v>
      </c>
      <c r="E29" s="37">
        <v>6</v>
      </c>
      <c r="F29" s="62" t="s">
        <v>246</v>
      </c>
      <c r="G29" s="62" t="s">
        <v>249</v>
      </c>
      <c r="H29" s="62" t="s">
        <v>256</v>
      </c>
      <c r="I29" s="37">
        <v>1072</v>
      </c>
      <c r="J29" s="129"/>
      <c r="K29" s="37">
        <v>794.83570254747588</v>
      </c>
      <c r="L29" s="129"/>
      <c r="M29"/>
    </row>
    <row r="30" spans="2:13" x14ac:dyDescent="0.45">
      <c r="B30" s="116"/>
      <c r="C30" s="119"/>
      <c r="D30" s="62">
        <v>12</v>
      </c>
      <c r="E30" s="37">
        <v>7</v>
      </c>
      <c r="F30" s="62" t="s">
        <v>246</v>
      </c>
      <c r="G30" s="62" t="s">
        <v>256</v>
      </c>
      <c r="H30" s="62" t="s">
        <v>257</v>
      </c>
      <c r="I30" s="37">
        <v>1371</v>
      </c>
      <c r="J30" s="129"/>
      <c r="K30" s="37">
        <v>1016.3745607693227</v>
      </c>
      <c r="L30" s="129"/>
      <c r="M30"/>
    </row>
    <row r="31" spans="2:13" x14ac:dyDescent="0.45">
      <c r="B31" s="116"/>
      <c r="C31" s="119"/>
      <c r="D31" s="62">
        <v>13</v>
      </c>
      <c r="E31" s="37">
        <v>1</v>
      </c>
      <c r="F31" s="62" t="s">
        <v>252</v>
      </c>
      <c r="G31" s="62" t="s">
        <v>244</v>
      </c>
      <c r="H31" s="62" t="s">
        <v>248</v>
      </c>
      <c r="I31" s="37">
        <v>206</v>
      </c>
      <c r="J31" s="129"/>
      <c r="K31" s="37">
        <v>151.78982525573591</v>
      </c>
      <c r="L31" s="129"/>
      <c r="M31"/>
    </row>
    <row r="32" spans="2:13" x14ac:dyDescent="0.45">
      <c r="B32" s="116"/>
      <c r="C32" s="119"/>
      <c r="D32" s="62">
        <v>14</v>
      </c>
      <c r="E32" s="37">
        <v>1</v>
      </c>
      <c r="F32" s="62" t="s">
        <v>244</v>
      </c>
      <c r="G32" s="62" t="s">
        <v>252</v>
      </c>
      <c r="H32" s="63" t="s">
        <v>258</v>
      </c>
      <c r="I32" s="37">
        <v>334</v>
      </c>
      <c r="J32" s="129"/>
      <c r="K32" s="37">
        <v>248.08637788270477</v>
      </c>
      <c r="L32" s="129"/>
      <c r="M32"/>
    </row>
    <row r="33" spans="2:13" ht="28.5" x14ac:dyDescent="0.45">
      <c r="B33" s="116"/>
      <c r="C33" s="119"/>
      <c r="D33" s="62">
        <v>15</v>
      </c>
      <c r="E33" s="37">
        <v>1</v>
      </c>
      <c r="F33" s="63" t="s">
        <v>356</v>
      </c>
      <c r="G33" s="62" t="s">
        <v>244</v>
      </c>
      <c r="H33" s="62" t="s">
        <v>357</v>
      </c>
      <c r="I33" s="37">
        <v>912</v>
      </c>
      <c r="J33" s="129"/>
      <c r="K33" s="37">
        <v>676.3538645805304</v>
      </c>
      <c r="L33" s="129"/>
      <c r="M33"/>
    </row>
    <row r="34" spans="2:13" x14ac:dyDescent="0.45">
      <c r="B34" s="117"/>
      <c r="C34" s="120"/>
      <c r="D34" s="62">
        <v>16</v>
      </c>
      <c r="E34" s="37">
        <v>4</v>
      </c>
      <c r="F34" s="62" t="s">
        <v>257</v>
      </c>
      <c r="G34" s="62" t="s">
        <v>246</v>
      </c>
      <c r="H34" s="62" t="s">
        <v>357</v>
      </c>
      <c r="I34" s="37">
        <v>696</v>
      </c>
      <c r="J34" s="130"/>
      <c r="K34" s="37">
        <v>714.99064629959605</v>
      </c>
      <c r="L34" s="130"/>
      <c r="M34"/>
    </row>
    <row r="35" spans="2:13" x14ac:dyDescent="0.45">
      <c r="B35" s="132" t="s">
        <v>192</v>
      </c>
      <c r="C35" s="131" t="s">
        <v>259</v>
      </c>
      <c r="D35" s="62">
        <v>1</v>
      </c>
      <c r="E35" s="37">
        <v>1</v>
      </c>
      <c r="F35" s="62" t="s">
        <v>260</v>
      </c>
      <c r="G35" s="62" t="s">
        <v>261</v>
      </c>
      <c r="H35" s="62" t="s">
        <v>262</v>
      </c>
      <c r="I35" s="37">
        <v>1242</v>
      </c>
      <c r="J35" s="121">
        <f>SUM(I35:I37)</f>
        <v>3033</v>
      </c>
      <c r="K35" s="37">
        <v>1259.1000607599626</v>
      </c>
      <c r="L35" s="121">
        <v>3197.7044584510804</v>
      </c>
      <c r="M35"/>
    </row>
    <row r="36" spans="2:13" x14ac:dyDescent="0.45">
      <c r="B36" s="132"/>
      <c r="C36" s="131"/>
      <c r="D36" s="62">
        <v>2</v>
      </c>
      <c r="E36" s="37">
        <v>2</v>
      </c>
      <c r="F36" s="62" t="s">
        <v>262</v>
      </c>
      <c r="G36" s="62" t="s">
        <v>263</v>
      </c>
      <c r="H36" s="62" t="s">
        <v>264</v>
      </c>
      <c r="I36" s="37">
        <v>1171</v>
      </c>
      <c r="J36" s="121"/>
      <c r="K36" s="37">
        <v>1231.0806681172387</v>
      </c>
      <c r="L36" s="121"/>
      <c r="M36"/>
    </row>
    <row r="37" spans="2:13" x14ac:dyDescent="0.45">
      <c r="B37" s="132"/>
      <c r="C37" s="131"/>
      <c r="D37" s="62">
        <v>3</v>
      </c>
      <c r="E37" s="37">
        <v>3</v>
      </c>
      <c r="F37" s="62" t="s">
        <v>265</v>
      </c>
      <c r="G37" s="62" t="s">
        <v>262</v>
      </c>
      <c r="H37" s="62" t="s">
        <v>264</v>
      </c>
      <c r="I37" s="37">
        <v>620</v>
      </c>
      <c r="J37" s="121"/>
      <c r="K37" s="37">
        <v>707.52372957387888</v>
      </c>
      <c r="L37" s="121"/>
      <c r="M37"/>
    </row>
    <row r="38" spans="2:13" x14ac:dyDescent="0.45">
      <c r="B38" s="38" t="s">
        <v>193</v>
      </c>
      <c r="C38" s="63" t="s">
        <v>266</v>
      </c>
      <c r="D38" s="62"/>
      <c r="E38" s="37"/>
      <c r="F38" s="131" t="s">
        <v>267</v>
      </c>
      <c r="G38" s="131"/>
      <c r="H38" s="131"/>
      <c r="I38" s="37"/>
      <c r="J38" s="64"/>
      <c r="K38" s="37">
        <v>749.50049065156122</v>
      </c>
      <c r="L38" s="64">
        <v>749.50049065156122</v>
      </c>
      <c r="M38"/>
    </row>
    <row r="39" spans="2:13" ht="28.5" x14ac:dyDescent="0.45">
      <c r="B39" s="38" t="s">
        <v>194</v>
      </c>
      <c r="C39" s="63" t="s">
        <v>268</v>
      </c>
      <c r="D39" s="62"/>
      <c r="E39" s="37"/>
      <c r="F39" s="131" t="s">
        <v>269</v>
      </c>
      <c r="G39" s="131"/>
      <c r="H39" s="131"/>
      <c r="I39" s="37"/>
      <c r="J39" s="64"/>
      <c r="K39" s="37">
        <v>898.79304631021012</v>
      </c>
      <c r="L39" s="64">
        <v>898.79304631021012</v>
      </c>
      <c r="M39"/>
    </row>
    <row r="40" spans="2:13" x14ac:dyDescent="0.45">
      <c r="B40" s="65"/>
      <c r="C40" s="66" t="s">
        <v>270</v>
      </c>
      <c r="D40" s="67"/>
      <c r="E40" s="68"/>
      <c r="F40" s="67"/>
      <c r="G40" s="67"/>
      <c r="H40" s="69" t="s">
        <v>271</v>
      </c>
      <c r="I40" s="70">
        <f>SUM(I16:I39)</f>
        <v>16412</v>
      </c>
      <c r="J40" s="70">
        <f>SUM(J16:J39)</f>
        <v>16412</v>
      </c>
      <c r="K40" s="70">
        <f>SUM(K16:K39)</f>
        <v>16820.29783532998</v>
      </c>
      <c r="L40" s="70">
        <f>SUM(L16:L39)</f>
        <v>16820.29783532998</v>
      </c>
      <c r="M40"/>
    </row>
    <row r="41" spans="2:13" x14ac:dyDescent="0.45">
      <c r="B41" s="65"/>
      <c r="C41" s="67" t="s">
        <v>272</v>
      </c>
      <c r="D41" s="67"/>
      <c r="E41" s="71"/>
      <c r="F41" s="67"/>
      <c r="G41" s="67"/>
      <c r="H41" s="71" t="s">
        <v>273</v>
      </c>
      <c r="I41" s="72">
        <v>0.1</v>
      </c>
      <c r="J41" s="72">
        <v>0.1</v>
      </c>
      <c r="K41" s="37">
        <f>0.1*K40</f>
        <v>1682.0297835329982</v>
      </c>
      <c r="L41" s="37">
        <f>0.1*L40</f>
        <v>1682.0297835329982</v>
      </c>
      <c r="M41"/>
    </row>
    <row r="42" spans="2:13" x14ac:dyDescent="0.45">
      <c r="B42" s="65"/>
      <c r="C42" s="67" t="s">
        <v>274</v>
      </c>
      <c r="D42" s="67"/>
      <c r="E42" s="71"/>
      <c r="F42" s="67"/>
      <c r="G42" s="67"/>
      <c r="H42" s="71" t="s">
        <v>364</v>
      </c>
      <c r="I42" s="72">
        <v>0.08</v>
      </c>
      <c r="J42" s="72">
        <v>0.08</v>
      </c>
      <c r="K42" s="37">
        <f>0.08*K40</f>
        <v>1345.6238268263985</v>
      </c>
      <c r="L42" s="37">
        <f>0.08*L40</f>
        <v>1345.6238268263985</v>
      </c>
      <c r="M42"/>
    </row>
    <row r="43" spans="2:13" ht="14.65" thickBot="1" x14ac:dyDescent="0.5">
      <c r="B43" s="73"/>
      <c r="C43" s="74" t="s">
        <v>121</v>
      </c>
      <c r="D43" s="75"/>
      <c r="E43" s="76"/>
      <c r="F43" s="75"/>
      <c r="G43" s="75"/>
      <c r="H43" s="77" t="s">
        <v>382</v>
      </c>
      <c r="I43" s="76"/>
      <c r="J43" s="76"/>
      <c r="K43" s="78">
        <f>ROUND((SUM(K40:K42)),-2)</f>
        <v>19800</v>
      </c>
      <c r="L43" s="78">
        <f>ROUND(SUM(L40:L42),-2)</f>
        <v>19800</v>
      </c>
      <c r="M43"/>
    </row>
    <row r="44" spans="2:13" ht="14.65" thickTop="1" x14ac:dyDescent="0.45">
      <c r="L44" s="27"/>
      <c r="M44"/>
    </row>
    <row r="45" spans="2:13" x14ac:dyDescent="0.45">
      <c r="L45" s="27">
        <f>'Detailed Budget'!M20</f>
        <v>19800000</v>
      </c>
      <c r="M45"/>
    </row>
  </sheetData>
  <mergeCells count="19">
    <mergeCell ref="F38:H38"/>
    <mergeCell ref="F39:H39"/>
    <mergeCell ref="B35:B37"/>
    <mergeCell ref="C35:C37"/>
    <mergeCell ref="J35:J37"/>
    <mergeCell ref="L35:L37"/>
    <mergeCell ref="B20:B34"/>
    <mergeCell ref="C20:C34"/>
    <mergeCell ref="J20:J34"/>
    <mergeCell ref="L20:L34"/>
    <mergeCell ref="B16:B19"/>
    <mergeCell ref="C16:C19"/>
    <mergeCell ref="J16:J19"/>
    <mergeCell ref="L16:L19"/>
    <mergeCell ref="E4:AB4"/>
    <mergeCell ref="C4:D4"/>
    <mergeCell ref="B15:C15"/>
    <mergeCell ref="I15:J15"/>
    <mergeCell ref="K15:L15"/>
  </mergeCells>
  <conditionalFormatting sqref="E6:AB11">
    <cfRule type="expression" dxfId="5" priority="4">
      <formula>E6=3</formula>
    </cfRule>
    <cfRule type="expression" dxfId="4" priority="5">
      <formula>E6=2</formula>
    </cfRule>
    <cfRule type="expression" dxfId="3" priority="6">
      <formula>E6=1</formula>
    </cfRule>
  </conditionalFormatting>
  <conditionalFormatting sqref="J13:J15">
    <cfRule type="expression" dxfId="2" priority="1">
      <formula>J13=3</formula>
    </cfRule>
    <cfRule type="expression" dxfId="1" priority="2">
      <formula>J13=2</formula>
    </cfRule>
    <cfRule type="expression" dxfId="0" priority="3">
      <formula>J13=1</formula>
    </cfRule>
  </conditionalFormatting>
  <pageMargins left="0.7" right="0.7" top="0.75" bottom="0.75" header="0.3" footer="0.3"/>
  <pageSetup paperSize="9" orientation="portrait" r:id="rId1"/>
  <headerFooter>
    <oddFooter>&amp;C&amp;1#&amp;"arial"&amp;10&amp;Kec6414CONFIDENCIAL EXTERNO</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0DB4C-6086-49EC-99F7-E2DB5BC8EDB5}">
  <dimension ref="A2:G13"/>
  <sheetViews>
    <sheetView workbookViewId="0">
      <selection activeCell="C13" sqref="C13"/>
    </sheetView>
  </sheetViews>
  <sheetFormatPr defaultRowHeight="14.25" x14ac:dyDescent="0.45"/>
  <cols>
    <col min="1" max="1" width="34.19921875" customWidth="1"/>
    <col min="2" max="7" width="17.46484375" customWidth="1"/>
  </cols>
  <sheetData>
    <row r="2" spans="1:7" x14ac:dyDescent="0.45">
      <c r="A2" s="20" t="s">
        <v>276</v>
      </c>
      <c r="B2" s="20" t="s">
        <v>278</v>
      </c>
      <c r="C2" s="20" t="s">
        <v>277</v>
      </c>
      <c r="D2" s="21" t="s">
        <v>279</v>
      </c>
      <c r="E2" s="21" t="s">
        <v>280</v>
      </c>
      <c r="F2" s="21" t="s">
        <v>281</v>
      </c>
      <c r="G2" s="21" t="s">
        <v>282</v>
      </c>
    </row>
    <row r="3" spans="1:7" x14ac:dyDescent="0.45">
      <c r="A3" s="9" t="s">
        <v>284</v>
      </c>
      <c r="B3" s="9" t="s">
        <v>283</v>
      </c>
      <c r="C3" s="22">
        <f>E3*F3</f>
        <v>4000</v>
      </c>
      <c r="D3" s="30"/>
      <c r="E3" s="30">
        <v>100</v>
      </c>
      <c r="F3" s="30">
        <v>40</v>
      </c>
      <c r="G3" s="22"/>
    </row>
    <row r="4" spans="1:7" x14ac:dyDescent="0.45">
      <c r="A4" s="9" t="s">
        <v>285</v>
      </c>
      <c r="B4" s="9" t="s">
        <v>283</v>
      </c>
      <c r="C4" s="22">
        <f>D4*E4*F4+G4</f>
        <v>24000</v>
      </c>
      <c r="D4" s="30">
        <v>25</v>
      </c>
      <c r="E4" s="30">
        <v>30</v>
      </c>
      <c r="F4" s="30">
        <v>20</v>
      </c>
      <c r="G4" s="22">
        <v>9000</v>
      </c>
    </row>
    <row r="5" spans="1:7" x14ac:dyDescent="0.45">
      <c r="A5" s="9" t="s">
        <v>286</v>
      </c>
      <c r="B5" s="9" t="s">
        <v>283</v>
      </c>
      <c r="C5" s="22">
        <f>D5*E5*F5</f>
        <v>18000</v>
      </c>
      <c r="D5" s="30">
        <v>30</v>
      </c>
      <c r="E5" s="30">
        <v>30</v>
      </c>
      <c r="F5" s="30">
        <v>20</v>
      </c>
      <c r="G5" s="22"/>
    </row>
    <row r="6" spans="1:7" x14ac:dyDescent="0.45">
      <c r="A6" s="9" t="s">
        <v>287</v>
      </c>
      <c r="B6" s="9" t="s">
        <v>283</v>
      </c>
      <c r="C6" s="22">
        <f>D6*E6*F6</f>
        <v>24000</v>
      </c>
      <c r="D6" s="30">
        <v>20</v>
      </c>
      <c r="E6" s="30">
        <v>60</v>
      </c>
      <c r="F6" s="30">
        <v>20</v>
      </c>
      <c r="G6" s="22"/>
    </row>
    <row r="7" spans="1:7" x14ac:dyDescent="0.45">
      <c r="A7" s="9" t="s">
        <v>288</v>
      </c>
      <c r="B7" s="9" t="s">
        <v>289</v>
      </c>
      <c r="C7" s="22">
        <f>D7*E7*F7+G7</f>
        <v>159000</v>
      </c>
      <c r="D7" s="30">
        <v>200</v>
      </c>
      <c r="E7" s="30">
        <v>30</v>
      </c>
      <c r="F7" s="30">
        <v>25</v>
      </c>
      <c r="G7" s="22">
        <v>9000</v>
      </c>
    </row>
    <row r="8" spans="1:7" x14ac:dyDescent="0.45">
      <c r="A8" s="23" t="s">
        <v>383</v>
      </c>
      <c r="B8" s="23"/>
      <c r="C8" s="24">
        <f>ROUND(SUM(C3:C7),-5)</f>
        <v>200000</v>
      </c>
      <c r="D8" s="30"/>
      <c r="E8" s="30"/>
      <c r="F8" s="30"/>
      <c r="G8" s="30"/>
    </row>
    <row r="9" spans="1:7" x14ac:dyDescent="0.45">
      <c r="B9" s="110"/>
      <c r="C9" s="25"/>
    </row>
    <row r="11" spans="1:7" x14ac:dyDescent="0.45">
      <c r="A11" s="17" t="s">
        <v>358</v>
      </c>
    </row>
    <row r="13" spans="1:7" x14ac:dyDescent="0.45">
      <c r="C13" s="58">
        <f>'Detailed Budget'!M21</f>
        <v>200000</v>
      </c>
    </row>
  </sheetData>
  <pageMargins left="0.7" right="0.7" top="0.75" bottom="0.75" header="0.3" footer="0.3"/>
  <pageSetup paperSize="9" orientation="portrait" r:id="rId1"/>
  <headerFooter>
    <oddFooter>&amp;C&amp;1#&amp;"arial"&amp;10&amp;Kec6414CONFIDENCIAL EXTERNO</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DED25A-13F7-4818-9F79-582328996904}"/>
</file>

<file path=customXml/itemProps2.xml><?xml version="1.0" encoding="utf-8"?>
<ds:datastoreItem xmlns:ds="http://schemas.openxmlformats.org/officeDocument/2006/customXml" ds:itemID="{713A2DD6-13FA-446D-ADBE-774751AB1B4B}">
  <ds:schemaRefs>
    <ds:schemaRef ds:uri="http://schemas.microsoft.com/office/2006/metadata/properties"/>
    <ds:schemaRef ds:uri="313f570a-0a98-4d16-9f03-19a2e3f8adb3"/>
    <ds:schemaRef ds:uri="http://schemas.microsoft.com/office/2006/documentManagement/types"/>
    <ds:schemaRef ds:uri="http://purl.org/dc/dcmitype/"/>
    <ds:schemaRef ds:uri="http://purl.org/dc/elements/1.1/"/>
    <ds:schemaRef ds:uri="http://purl.org/dc/terms/"/>
    <ds:schemaRef ds:uri="http://schemas.microsoft.com/office/infopath/2007/PartnerControls"/>
    <ds:schemaRef ds:uri="http://schemas.openxmlformats.org/package/2006/metadata/core-properties"/>
    <ds:schemaRef ds:uri="a4d228b8-d215-4ceb-8083-8087c205388b"/>
    <ds:schemaRef ds:uri="http://www.w3.org/XML/1998/namespace"/>
  </ds:schemaRefs>
</ds:datastoreItem>
</file>

<file path=customXml/itemProps3.xml><?xml version="1.0" encoding="utf-8"?>
<ds:datastoreItem xmlns:ds="http://schemas.openxmlformats.org/officeDocument/2006/customXml" ds:itemID="{621B2A67-8866-4DF4-9FDC-24F7F253505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Detailed Budget</vt:lpstr>
      <vt:lpstr>Sheet1</vt:lpstr>
      <vt:lpstr>Notes and Assumptions</vt:lpstr>
      <vt:lpstr>1A</vt:lpstr>
      <vt:lpstr>1B</vt:lpstr>
      <vt:lpstr>1C</vt:lpstr>
      <vt:lpstr>1D</vt:lpstr>
      <vt:lpstr>2A</vt:lpstr>
      <vt:lpstr>2B</vt:lpstr>
      <vt:lpstr>3A</vt:lpstr>
      <vt:lpstr>3B</vt:lpstr>
      <vt:lpstr>'3B'!_ftnref1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Mara Baviera</dc:creator>
  <cp:lastModifiedBy>GCF Secretariat</cp:lastModifiedBy>
  <dcterms:created xsi:type="dcterms:W3CDTF">2016-04-04T05:39:24Z</dcterms:created>
  <dcterms:modified xsi:type="dcterms:W3CDTF">2021-05-27T06:11:52Z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SIP_Label_2aec1570-21d4-4e4b-b10f-d0670eae5a42_Enabled">
    <vt:lpwstr>true</vt:lpwstr>
  </property>
  <property fmtid="{D5CDD505-2E9C-101B-9397-08002B2CF9AE}" pid="4" name="MSIP_Label_2aec1570-21d4-4e4b-b10f-d0670eae5a42_SetDate">
    <vt:lpwstr>2021-05-21T02:23:32Z</vt:lpwstr>
  </property>
  <property fmtid="{D5CDD505-2E9C-101B-9397-08002B2CF9AE}" pid="5" name="MSIP_Label_2aec1570-21d4-4e4b-b10f-d0670eae5a42_Method">
    <vt:lpwstr>Privileged</vt:lpwstr>
  </property>
  <property fmtid="{D5CDD505-2E9C-101B-9397-08002B2CF9AE}" pid="6" name="MSIP_Label_2aec1570-21d4-4e4b-b10f-d0670eae5a42_Name">
    <vt:lpwstr>Confidencial Externo</vt:lpwstr>
  </property>
  <property fmtid="{D5CDD505-2E9C-101B-9397-08002B2CF9AE}" pid="7" name="MSIP_Label_2aec1570-21d4-4e4b-b10f-d0670eae5a42_SiteId">
    <vt:lpwstr>7c454549-6212-4ac1-be14-96aadbceb0ba</vt:lpwstr>
  </property>
  <property fmtid="{D5CDD505-2E9C-101B-9397-08002B2CF9AE}" pid="8" name="MSIP_Label_2aec1570-21d4-4e4b-b10f-d0670eae5a42_ActionId">
    <vt:lpwstr>495b2f1c-ad69-4183-89ce-5dd27cf4efaf</vt:lpwstr>
  </property>
  <property fmtid="{D5CDD505-2E9C-101B-9397-08002B2CF9AE}" pid="9" name="MSIP_Label_2aec1570-21d4-4e4b-b10f-d0670eae5a42_ContentBits">
    <vt:lpwstr>2</vt:lpwstr>
  </property>
</Properties>
</file>