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Users/Graciela/Desktop/RIOS- FP V3 20201124/20201125 RIOS- Full proposal /20201023- Annex 10- RIOS- Economic analysis/"/>
    </mc:Choice>
  </mc:AlternateContent>
  <xr:revisionPtr revIDLastSave="0" documentId="13_ncr:1_{7063C071-FF95-1348-9689-0109F934E463}" xr6:coauthVersionLast="36" xr6:coauthVersionMax="36" xr10:uidLastSave="{00000000-0000-0000-0000-000000000000}"/>
  <bookViews>
    <workbookView xWindow="0" yWindow="0" windowWidth="28800" windowHeight="18000" activeTab="1" xr2:uid="{2857B83E-620F-44E8-8D3D-425F20C2D030}"/>
  </bookViews>
  <sheets>
    <sheet name="Results Table " sheetId="4" r:id="rId1"/>
    <sheet name="Benefit-Cost Total" sheetId="2" r:id="rId2"/>
    <sheet name="Datos cuenca" sheetId="6" r:id="rId3"/>
    <sheet name="Datos" sheetId="1" r:id="rId4"/>
    <sheet name="References" sheetId="3" r:id="rId5"/>
    <sheet name="Tablas" sheetId="5" r:id="rId6"/>
    <sheet name="Hoja2" sheetId="7" r:id="rId7"/>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113" i="2" l="1"/>
  <c r="W111" i="2"/>
  <c r="W112" i="2"/>
  <c r="C7" i="2"/>
  <c r="H36" i="2" l="1"/>
  <c r="H37" i="2"/>
  <c r="H39" i="2"/>
  <c r="H40" i="2"/>
  <c r="H41" i="2"/>
  <c r="H42" i="2"/>
  <c r="H43" i="2"/>
  <c r="B21" i="6" l="1"/>
  <c r="G108" i="2"/>
  <c r="H108" i="2" l="1"/>
  <c r="D110" i="2"/>
  <c r="C109" i="2"/>
  <c r="D108" i="2" s="1"/>
  <c r="G26" i="2"/>
  <c r="C27" i="1"/>
  <c r="L22" i="6"/>
  <c r="M22" i="6"/>
  <c r="J22" i="6"/>
  <c r="L24" i="6"/>
  <c r="L25" i="6"/>
  <c r="L26" i="6"/>
  <c r="L27" i="6"/>
  <c r="K22" i="6"/>
  <c r="L23" i="6" l="1"/>
  <c r="J18" i="6" l="1"/>
  <c r="L16" i="6"/>
  <c r="L15" i="6"/>
  <c r="K15" i="6"/>
  <c r="M15" i="6"/>
  <c r="N15" i="6"/>
  <c r="J15" i="6"/>
  <c r="D18" i="6"/>
  <c r="C17" i="6"/>
  <c r="D17" i="6"/>
  <c r="B17" i="6"/>
  <c r="H18" i="2" l="1"/>
  <c r="C110" i="2"/>
  <c r="E110" i="2"/>
  <c r="F110" i="2"/>
  <c r="G110" i="2"/>
  <c r="H110" i="2"/>
  <c r="I110" i="2" s="1"/>
  <c r="J110" i="2" l="1"/>
  <c r="K110" i="2" l="1"/>
  <c r="L110" i="2" l="1"/>
  <c r="M110" i="2" l="1"/>
  <c r="N110" i="2" l="1"/>
  <c r="O110" i="2" l="1"/>
  <c r="P110" i="2" l="1"/>
  <c r="Q110" i="2" l="1"/>
  <c r="R110" i="2" l="1"/>
  <c r="S110" i="2" l="1"/>
  <c r="T110" i="2" l="1"/>
  <c r="U110" i="2" l="1"/>
  <c r="V110" i="2" l="1"/>
  <c r="I26" i="5" l="1"/>
  <c r="J26" i="5"/>
  <c r="K26" i="5"/>
  <c r="L26" i="5"/>
  <c r="H26" i="5"/>
  <c r="G15" i="2"/>
  <c r="H17" i="2"/>
  <c r="G44" i="2" l="1"/>
  <c r="H44" i="2" s="1"/>
  <c r="C72" i="2" s="1"/>
  <c r="C84" i="2" s="1"/>
  <c r="C44" i="2"/>
  <c r="F108" i="2" l="1"/>
  <c r="E108" i="2"/>
  <c r="C47" i="1" l="1"/>
  <c r="D47" i="1"/>
  <c r="C46" i="1"/>
  <c r="D46" i="1"/>
  <c r="C45" i="1"/>
  <c r="C44" i="1"/>
  <c r="D45" i="1"/>
  <c r="H44" i="1"/>
  <c r="H41" i="1"/>
  <c r="H72" i="2"/>
  <c r="D72" i="2" l="1"/>
  <c r="L72" i="2"/>
  <c r="T72" i="2"/>
  <c r="P72" i="2"/>
  <c r="Q72" i="2"/>
  <c r="R72" i="2"/>
  <c r="E72" i="2"/>
  <c r="M72" i="2"/>
  <c r="U72" i="2"/>
  <c r="V72" i="2"/>
  <c r="J72" i="2"/>
  <c r="F72" i="2"/>
  <c r="N72" i="2"/>
  <c r="O72" i="2"/>
  <c r="I72" i="2"/>
  <c r="S72" i="2"/>
  <c r="G72" i="2"/>
  <c r="K72" i="2"/>
  <c r="H34" i="1"/>
  <c r="H35" i="1"/>
  <c r="H36" i="1"/>
  <c r="H37" i="1"/>
  <c r="H38" i="1"/>
  <c r="H39" i="1"/>
  <c r="H40" i="1"/>
  <c r="H42" i="1"/>
  <c r="H43" i="1"/>
  <c r="H29" i="1"/>
  <c r="H30" i="1"/>
  <c r="H31" i="1"/>
  <c r="H32" i="1"/>
  <c r="H33" i="1"/>
  <c r="H28" i="1"/>
  <c r="C38" i="1"/>
  <c r="C39" i="1" s="1"/>
  <c r="C40" i="1" s="1"/>
  <c r="C41" i="1" s="1"/>
  <c r="C42" i="1" s="1"/>
  <c r="C43" i="1" s="1"/>
  <c r="C37" i="1"/>
  <c r="C30" i="1"/>
  <c r="C31" i="1" s="1"/>
  <c r="C32" i="1" s="1"/>
  <c r="C33" i="1" s="1"/>
  <c r="C34" i="1" s="1"/>
  <c r="C35" i="1" s="1"/>
  <c r="C29" i="1"/>
  <c r="C28" i="1"/>
  <c r="G31" i="2"/>
  <c r="G30" i="2"/>
  <c r="G29" i="2"/>
  <c r="G28" i="2"/>
  <c r="G27" i="2"/>
  <c r="C54" i="2"/>
  <c r="G25" i="2" l="1"/>
  <c r="D84" i="2"/>
  <c r="D96" i="2" s="1"/>
  <c r="C96" i="2"/>
  <c r="G24" i="2"/>
  <c r="J22" i="1"/>
  <c r="I22" i="1"/>
  <c r="H22" i="1"/>
  <c r="G22" i="1"/>
  <c r="F22" i="1"/>
  <c r="E22" i="1"/>
  <c r="C21" i="1"/>
  <c r="C20" i="1"/>
  <c r="C14" i="2" l="1"/>
  <c r="H24" i="2"/>
  <c r="C22" i="1"/>
  <c r="D22" i="1"/>
  <c r="E84" i="2"/>
  <c r="E96" i="2" s="1"/>
  <c r="M5" i="5"/>
  <c r="M6" i="5"/>
  <c r="M7" i="5"/>
  <c r="M8" i="5"/>
  <c r="M9" i="5"/>
  <c r="M10" i="5"/>
  <c r="M11" i="5"/>
  <c r="M4" i="5"/>
  <c r="H14" i="2"/>
  <c r="D14" i="2" l="1"/>
  <c r="C60" i="2" s="1"/>
  <c r="C61" i="2" s="1"/>
  <c r="C79" i="2" s="1"/>
  <c r="F84" i="2"/>
  <c r="F96" i="2" s="1"/>
  <c r="R89" i="2"/>
  <c r="S89" i="2"/>
  <c r="T89" i="2"/>
  <c r="U89" i="2"/>
  <c r="V89" i="2"/>
  <c r="G84" i="2" l="1"/>
  <c r="G96" i="2" s="1"/>
  <c r="E53" i="2"/>
  <c r="H84" i="2" l="1"/>
  <c r="H96" i="2" s="1"/>
  <c r="E9" i="5"/>
  <c r="I84" i="2" l="1"/>
  <c r="I96" i="2" s="1"/>
  <c r="B93" i="2"/>
  <c r="B97" i="2"/>
  <c r="A93" i="2"/>
  <c r="A92" i="2"/>
  <c r="B91" i="2"/>
  <c r="A91" i="2"/>
  <c r="Q89" i="2"/>
  <c r="P89" i="2"/>
  <c r="O89" i="2"/>
  <c r="N89" i="2"/>
  <c r="M89" i="2"/>
  <c r="L89" i="2"/>
  <c r="K89" i="2"/>
  <c r="J89" i="2"/>
  <c r="I89" i="2"/>
  <c r="H89" i="2"/>
  <c r="G89" i="2"/>
  <c r="F89" i="2"/>
  <c r="E89" i="2"/>
  <c r="D89" i="2"/>
  <c r="C89" i="2"/>
  <c r="H7" i="2"/>
  <c r="J84" i="2" l="1"/>
  <c r="E49" i="2"/>
  <c r="E52" i="2"/>
  <c r="E51" i="2"/>
  <c r="E50" i="2"/>
  <c r="H16" i="2"/>
  <c r="H15" i="2"/>
  <c r="J96" i="2" l="1"/>
  <c r="K84" i="2"/>
  <c r="H28" i="2"/>
  <c r="H29" i="2"/>
  <c r="H31" i="2"/>
  <c r="C70" i="2" s="1"/>
  <c r="C71" i="2" s="1"/>
  <c r="H27" i="2"/>
  <c r="H30" i="2"/>
  <c r="H26" i="2"/>
  <c r="E64" i="2" s="1"/>
  <c r="H25" i="2"/>
  <c r="F53" i="2"/>
  <c r="G53" i="2"/>
  <c r="E54" i="2"/>
  <c r="D15" i="2"/>
  <c r="D16" i="2"/>
  <c r="D17" i="2"/>
  <c r="G49" i="2"/>
  <c r="F50" i="2"/>
  <c r="F51" i="2"/>
  <c r="F52" i="2"/>
  <c r="F49" i="2"/>
  <c r="G51" i="2"/>
  <c r="G52" i="2"/>
  <c r="G50" i="2"/>
  <c r="C62" i="2" l="1"/>
  <c r="C63" i="2" s="1"/>
  <c r="G62" i="2"/>
  <c r="G60" i="2"/>
  <c r="L84" i="2"/>
  <c r="L96" i="2" s="1"/>
  <c r="K96" i="2"/>
  <c r="F64" i="2"/>
  <c r="G64" i="2"/>
  <c r="D64" i="2"/>
  <c r="C64" i="2"/>
  <c r="C66" i="2"/>
  <c r="C67" i="2" s="1"/>
  <c r="C81" i="2" s="1"/>
  <c r="D66" i="2"/>
  <c r="E66" i="2"/>
  <c r="F66" i="2"/>
  <c r="G66" i="2"/>
  <c r="D70" i="2"/>
  <c r="E70" i="2"/>
  <c r="F70" i="2"/>
  <c r="G70" i="2"/>
  <c r="C83" i="2"/>
  <c r="C68" i="2"/>
  <c r="C69" i="2" s="1"/>
  <c r="C82" i="2" s="1"/>
  <c r="E68" i="2"/>
  <c r="F68" i="2"/>
  <c r="G68" i="2"/>
  <c r="D68" i="2"/>
  <c r="D62" i="2"/>
  <c r="E62" i="2"/>
  <c r="F62" i="2"/>
  <c r="F54" i="2"/>
  <c r="D60" i="2"/>
  <c r="E60" i="2"/>
  <c r="F60" i="2"/>
  <c r="G54" i="2"/>
  <c r="C91" i="2" l="1"/>
  <c r="C65" i="2"/>
  <c r="C80" i="2" s="1"/>
  <c r="D61" i="2"/>
  <c r="D79" i="2" s="1"/>
  <c r="C93" i="2"/>
  <c r="C94" i="2"/>
  <c r="M84" i="2"/>
  <c r="M96" i="2" s="1"/>
  <c r="D63" i="2"/>
  <c r="D67" i="2"/>
  <c r="D69" i="2"/>
  <c r="G3" i="1"/>
  <c r="C112" i="2" l="1"/>
  <c r="D65" i="2"/>
  <c r="D80" i="2" s="1"/>
  <c r="D92" i="2" s="1"/>
  <c r="C111" i="2"/>
  <c r="C113" i="2" s="1"/>
  <c r="C85" i="2"/>
  <c r="C92" i="2"/>
  <c r="D71" i="2"/>
  <c r="E71" i="2" s="1"/>
  <c r="E63" i="2"/>
  <c r="D91" i="2"/>
  <c r="N84" i="2"/>
  <c r="N96" i="2" s="1"/>
  <c r="E69" i="2"/>
  <c r="D82" i="2"/>
  <c r="D94" i="2" s="1"/>
  <c r="E65" i="2"/>
  <c r="E80" i="2" s="1"/>
  <c r="E92" i="2" s="1"/>
  <c r="E67" i="2"/>
  <c r="D81" i="2"/>
  <c r="D93" i="2" s="1"/>
  <c r="E61" i="2"/>
  <c r="E13" i="1"/>
  <c r="E12" i="1"/>
  <c r="D10" i="1"/>
  <c r="D9" i="1"/>
  <c r="D8" i="1"/>
  <c r="C10" i="1"/>
  <c r="C9" i="1"/>
  <c r="C8" i="1"/>
  <c r="E79" i="2" l="1"/>
  <c r="C118" i="2"/>
  <c r="E112" i="2"/>
  <c r="D112" i="2"/>
  <c r="D111" i="2"/>
  <c r="E111" i="2"/>
  <c r="E113" i="2" s="1"/>
  <c r="C95" i="2"/>
  <c r="C97" i="2" s="1"/>
  <c r="D83" i="2"/>
  <c r="D95" i="2" s="1"/>
  <c r="D97" i="2" s="1"/>
  <c r="O84" i="2"/>
  <c r="O96" i="2" s="1"/>
  <c r="F63" i="2"/>
  <c r="E91" i="2"/>
  <c r="F65" i="2"/>
  <c r="F80" i="2" s="1"/>
  <c r="F92" i="2" s="1"/>
  <c r="F69" i="2"/>
  <c r="E82" i="2"/>
  <c r="E94" i="2" s="1"/>
  <c r="F67" i="2"/>
  <c r="E81" i="2"/>
  <c r="E93" i="2" s="1"/>
  <c r="F71" i="2"/>
  <c r="E83" i="2"/>
  <c r="E95" i="2" s="1"/>
  <c r="F61" i="2"/>
  <c r="C119" i="2" l="1"/>
  <c r="F112" i="2"/>
  <c r="D113" i="2"/>
  <c r="F111" i="2"/>
  <c r="G63" i="2"/>
  <c r="D85" i="2"/>
  <c r="G61" i="2"/>
  <c r="E85" i="2"/>
  <c r="G65" i="2"/>
  <c r="H65" i="2" s="1"/>
  <c r="E97" i="2"/>
  <c r="F91" i="2"/>
  <c r="P84" i="2"/>
  <c r="P96" i="2" s="1"/>
  <c r="G69" i="2"/>
  <c r="H69" i="2" s="1"/>
  <c r="F82" i="2"/>
  <c r="F94" i="2" s="1"/>
  <c r="F83" i="2"/>
  <c r="F95" i="2" s="1"/>
  <c r="G71" i="2"/>
  <c r="H71" i="2" s="1"/>
  <c r="G67" i="2"/>
  <c r="H67" i="2" s="1"/>
  <c r="F81" i="2"/>
  <c r="F93" i="2" s="1"/>
  <c r="F79" i="2"/>
  <c r="D119" i="2" l="1"/>
  <c r="H61" i="2"/>
  <c r="D118" i="2"/>
  <c r="F113" i="2"/>
  <c r="G112" i="2"/>
  <c r="H63" i="2"/>
  <c r="G111" i="2"/>
  <c r="G79" i="2"/>
  <c r="G83" i="2"/>
  <c r="G95" i="2" s="1"/>
  <c r="I71" i="2"/>
  <c r="J71" i="2" s="1"/>
  <c r="K71" i="2" s="1"/>
  <c r="L71" i="2" s="1"/>
  <c r="M71" i="2" s="1"/>
  <c r="N71" i="2" s="1"/>
  <c r="O71" i="2" s="1"/>
  <c r="P71" i="2" s="1"/>
  <c r="Q71" i="2" s="1"/>
  <c r="R71" i="2" s="1"/>
  <c r="S71" i="2" s="1"/>
  <c r="T71" i="2" s="1"/>
  <c r="U71" i="2" s="1"/>
  <c r="V71" i="2" s="1"/>
  <c r="G80" i="2"/>
  <c r="G92" i="2" s="1"/>
  <c r="H80" i="2"/>
  <c r="H92" i="2" s="1"/>
  <c r="E119" i="2"/>
  <c r="E118" i="2"/>
  <c r="F85" i="2"/>
  <c r="Q84" i="2"/>
  <c r="Q96" i="2" s="1"/>
  <c r="G91" i="2"/>
  <c r="F97" i="2"/>
  <c r="G82" i="2"/>
  <c r="G94" i="2" s="1"/>
  <c r="H81" i="2"/>
  <c r="H93" i="2" s="1"/>
  <c r="G81" i="2"/>
  <c r="G93" i="2" s="1"/>
  <c r="H79" i="2"/>
  <c r="H111" i="2" l="1"/>
  <c r="H112" i="2"/>
  <c r="H83" i="2"/>
  <c r="H95" i="2" s="1"/>
  <c r="G113" i="2"/>
  <c r="H91" i="2"/>
  <c r="I65" i="2"/>
  <c r="I80" i="2" s="1"/>
  <c r="I92" i="2" s="1"/>
  <c r="F119" i="2"/>
  <c r="F118" i="2"/>
  <c r="G97" i="2"/>
  <c r="G85" i="2"/>
  <c r="R84" i="2"/>
  <c r="I63" i="2"/>
  <c r="I69" i="2"/>
  <c r="H82" i="2"/>
  <c r="H94" i="2" s="1"/>
  <c r="I61" i="2"/>
  <c r="I79" i="2" s="1"/>
  <c r="I83" i="2" l="1"/>
  <c r="J83" i="2" s="1"/>
  <c r="H113" i="2"/>
  <c r="J65" i="2"/>
  <c r="J80" i="2" s="1"/>
  <c r="J92" i="2" s="1"/>
  <c r="H97" i="2"/>
  <c r="H85" i="2"/>
  <c r="J63" i="2"/>
  <c r="I91" i="2"/>
  <c r="R96" i="2"/>
  <c r="I95" i="2"/>
  <c r="S84" i="2"/>
  <c r="J69" i="2"/>
  <c r="I82" i="2"/>
  <c r="I94" i="2" s="1"/>
  <c r="G118" i="2"/>
  <c r="I67" i="2"/>
  <c r="I81" i="2" s="1"/>
  <c r="I93" i="2" s="1"/>
  <c r="J61" i="2"/>
  <c r="J79" i="2" s="1"/>
  <c r="I112" i="2" l="1"/>
  <c r="I111" i="2"/>
  <c r="K65" i="2"/>
  <c r="K80" i="2" s="1"/>
  <c r="K92" i="2" s="1"/>
  <c r="G119" i="2"/>
  <c r="I85" i="2"/>
  <c r="T84" i="2"/>
  <c r="T96" i="2" s="1"/>
  <c r="K83" i="2"/>
  <c r="J95" i="2"/>
  <c r="I97" i="2"/>
  <c r="S96" i="2"/>
  <c r="K63" i="2"/>
  <c r="J91" i="2"/>
  <c r="K69" i="2"/>
  <c r="J82" i="2"/>
  <c r="J94" i="2" s="1"/>
  <c r="H118" i="2"/>
  <c r="J67" i="2"/>
  <c r="J81" i="2" s="1"/>
  <c r="J93" i="2" s="1"/>
  <c r="K61" i="2"/>
  <c r="K79" i="2" s="1"/>
  <c r="I113" i="2" l="1"/>
  <c r="J112" i="2"/>
  <c r="J111" i="2"/>
  <c r="L65" i="2"/>
  <c r="L80" i="2" s="1"/>
  <c r="L92" i="2" s="1"/>
  <c r="H119" i="2"/>
  <c r="L83" i="2"/>
  <c r="K95" i="2"/>
  <c r="J85" i="2"/>
  <c r="J97" i="2"/>
  <c r="L63" i="2"/>
  <c r="K91" i="2"/>
  <c r="V84" i="2"/>
  <c r="V96" i="2" s="1"/>
  <c r="U84" i="2"/>
  <c r="U96" i="2" s="1"/>
  <c r="L69" i="2"/>
  <c r="K82" i="2"/>
  <c r="K94" i="2" s="1"/>
  <c r="K67" i="2"/>
  <c r="K81" i="2" s="1"/>
  <c r="K93" i="2" s="1"/>
  <c r="L61" i="2"/>
  <c r="L79" i="2" s="1"/>
  <c r="I119" i="2" l="1"/>
  <c r="J113" i="2"/>
  <c r="J119" i="2" s="1"/>
  <c r="K112" i="2"/>
  <c r="M65" i="2"/>
  <c r="M80" i="2" s="1"/>
  <c r="M92" i="2" s="1"/>
  <c r="K111" i="2"/>
  <c r="I118" i="2"/>
  <c r="K97" i="2"/>
  <c r="M63" i="2"/>
  <c r="L91" i="2"/>
  <c r="K85" i="2"/>
  <c r="M83" i="2"/>
  <c r="L95" i="2"/>
  <c r="M69" i="2"/>
  <c r="L82" i="2"/>
  <c r="L94" i="2" s="1"/>
  <c r="L67" i="2"/>
  <c r="L81" i="2" s="1"/>
  <c r="L93" i="2" s="1"/>
  <c r="M61" i="2"/>
  <c r="M79" i="2" s="1"/>
  <c r="J118" i="2" l="1"/>
  <c r="K113" i="2"/>
  <c r="K118" i="2" s="1"/>
  <c r="N65" i="2"/>
  <c r="N80" i="2" s="1"/>
  <c r="N92" i="2" s="1"/>
  <c r="L112" i="2"/>
  <c r="L111" i="2"/>
  <c r="N83" i="2"/>
  <c r="M95" i="2"/>
  <c r="L97" i="2"/>
  <c r="L85" i="2"/>
  <c r="N63" i="2"/>
  <c r="M91" i="2"/>
  <c r="N69" i="2"/>
  <c r="M82" i="2"/>
  <c r="M94" i="2" s="1"/>
  <c r="O65" i="2"/>
  <c r="O80" i="2" s="1"/>
  <c r="O92" i="2" s="1"/>
  <c r="M67" i="2"/>
  <c r="M81" i="2" s="1"/>
  <c r="M93" i="2" s="1"/>
  <c r="N61" i="2"/>
  <c r="N79" i="2" s="1"/>
  <c r="C16" i="4" l="1"/>
  <c r="L113" i="2"/>
  <c r="D27" i="4" s="1"/>
  <c r="K119" i="2"/>
  <c r="M112" i="2"/>
  <c r="M111" i="2"/>
  <c r="M113" i="2" s="1"/>
  <c r="E26" i="4"/>
  <c r="F26" i="4"/>
  <c r="F27" i="4"/>
  <c r="D26" i="4"/>
  <c r="C27" i="4"/>
  <c r="D16" i="4"/>
  <c r="M97" i="2"/>
  <c r="O83" i="2"/>
  <c r="N95" i="2"/>
  <c r="O63" i="2"/>
  <c r="N91" i="2"/>
  <c r="M85" i="2"/>
  <c r="O69" i="2"/>
  <c r="N82" i="2"/>
  <c r="N94" i="2" s="1"/>
  <c r="P65" i="2"/>
  <c r="P80" i="2" s="1"/>
  <c r="P92" i="2" s="1"/>
  <c r="N67" i="2"/>
  <c r="N81" i="2" s="1"/>
  <c r="N93" i="2" s="1"/>
  <c r="O61" i="2"/>
  <c r="O79" i="2" s="1"/>
  <c r="L119" i="2" l="1"/>
  <c r="C125" i="2" s="1"/>
  <c r="L118" i="2"/>
  <c r="C124" i="2" s="1"/>
  <c r="E27" i="4"/>
  <c r="C26" i="4"/>
  <c r="N112" i="2"/>
  <c r="N111" i="2"/>
  <c r="M119" i="2"/>
  <c r="M118" i="2"/>
  <c r="N97" i="2"/>
  <c r="P63" i="2"/>
  <c r="O91" i="2"/>
  <c r="P83" i="2"/>
  <c r="O95" i="2"/>
  <c r="N85" i="2"/>
  <c r="P69" i="2"/>
  <c r="O82" i="2"/>
  <c r="O94" i="2" s="1"/>
  <c r="Q65" i="2"/>
  <c r="Q80" i="2" s="1"/>
  <c r="Q92" i="2" s="1"/>
  <c r="O67" i="2"/>
  <c r="O81" i="2" s="1"/>
  <c r="O93" i="2" s="1"/>
  <c r="P61" i="2"/>
  <c r="P79" i="2" s="1"/>
  <c r="N113" i="2" l="1"/>
  <c r="N119" i="2" s="1"/>
  <c r="O112" i="2"/>
  <c r="O111" i="2"/>
  <c r="N118" i="2"/>
  <c r="Q83" i="2"/>
  <c r="P95" i="2"/>
  <c r="O85" i="2"/>
  <c r="O97" i="2"/>
  <c r="Q63" i="2"/>
  <c r="P91" i="2"/>
  <c r="Q69" i="2"/>
  <c r="P82" i="2"/>
  <c r="P94" i="2" s="1"/>
  <c r="R65" i="2"/>
  <c r="R80" i="2" s="1"/>
  <c r="R92" i="2" s="1"/>
  <c r="P67" i="2"/>
  <c r="P81" i="2" s="1"/>
  <c r="P93" i="2" s="1"/>
  <c r="Q61" i="2"/>
  <c r="O113" i="2" l="1"/>
  <c r="P112" i="2"/>
  <c r="P111" i="2"/>
  <c r="O118" i="2"/>
  <c r="O119" i="2"/>
  <c r="P85" i="2"/>
  <c r="P97" i="2"/>
  <c r="R63" i="2"/>
  <c r="Q91" i="2"/>
  <c r="R83" i="2"/>
  <c r="Q95" i="2"/>
  <c r="R69" i="2"/>
  <c r="Q82" i="2"/>
  <c r="Q94" i="2" s="1"/>
  <c r="R61" i="2"/>
  <c r="R79" i="2" s="1"/>
  <c r="Q79" i="2"/>
  <c r="S65" i="2"/>
  <c r="S80" i="2" s="1"/>
  <c r="S92" i="2" s="1"/>
  <c r="Q67" i="2"/>
  <c r="Q111" i="2" s="1"/>
  <c r="P113" i="2" l="1"/>
  <c r="P119" i="2" s="1"/>
  <c r="Q112" i="2"/>
  <c r="Q113" i="2" s="1"/>
  <c r="S83" i="2"/>
  <c r="R95" i="2"/>
  <c r="S61" i="2"/>
  <c r="S79" i="2" s="1"/>
  <c r="S63" i="2"/>
  <c r="R91" i="2"/>
  <c r="S69" i="2"/>
  <c r="R82" i="2"/>
  <c r="R94" i="2" s="1"/>
  <c r="R67" i="2"/>
  <c r="R81" i="2" s="1"/>
  <c r="R93" i="2" s="1"/>
  <c r="Q81" i="2"/>
  <c r="Q93" i="2" s="1"/>
  <c r="T65" i="2"/>
  <c r="T80" i="2" s="1"/>
  <c r="T92" i="2" s="1"/>
  <c r="P118" i="2" l="1"/>
  <c r="R112" i="2"/>
  <c r="R111" i="2"/>
  <c r="R113" i="2" s="1"/>
  <c r="Q85" i="2"/>
  <c r="Q97" i="2"/>
  <c r="T63" i="2"/>
  <c r="S91" i="2"/>
  <c r="T83" i="2"/>
  <c r="S95" i="2"/>
  <c r="R85" i="2"/>
  <c r="T61" i="2"/>
  <c r="T79" i="2" s="1"/>
  <c r="R97" i="2"/>
  <c r="S67" i="2"/>
  <c r="S81" i="2" s="1"/>
  <c r="S93" i="2" s="1"/>
  <c r="T69" i="2"/>
  <c r="S82" i="2"/>
  <c r="S94" i="2" s="1"/>
  <c r="U65" i="2"/>
  <c r="U80" i="2" s="1"/>
  <c r="U92" i="2" s="1"/>
  <c r="S112" i="2" l="1"/>
  <c r="S111" i="2"/>
  <c r="S113" i="2" s="1"/>
  <c r="R119" i="2"/>
  <c r="R118" i="2"/>
  <c r="Q119" i="2"/>
  <c r="C123" i="2" s="1"/>
  <c r="E15" i="4"/>
  <c r="F16" i="4"/>
  <c r="F15" i="4"/>
  <c r="E16" i="4"/>
  <c r="Q118" i="2"/>
  <c r="C122" i="2" s="1"/>
  <c r="D15" i="4"/>
  <c r="C15" i="4"/>
  <c r="T67" i="2"/>
  <c r="T81" i="2" s="1"/>
  <c r="T93" i="2" s="1"/>
  <c r="U83" i="2"/>
  <c r="T95" i="2"/>
  <c r="S85" i="2"/>
  <c r="S97" i="2"/>
  <c r="U63" i="2"/>
  <c r="T91" i="2"/>
  <c r="U61" i="2"/>
  <c r="U79" i="2" s="1"/>
  <c r="U69" i="2"/>
  <c r="T82" i="2"/>
  <c r="T94" i="2" s="1"/>
  <c r="V65" i="2"/>
  <c r="V80" i="2" s="1"/>
  <c r="V92" i="2" s="1"/>
  <c r="U67" i="2" l="1"/>
  <c r="U81" i="2" s="1"/>
  <c r="U93" i="2" s="1"/>
  <c r="T112" i="2"/>
  <c r="T111" i="2"/>
  <c r="S119" i="2"/>
  <c r="S118" i="2"/>
  <c r="T97" i="2"/>
  <c r="V61" i="2"/>
  <c r="V79" i="2" s="1"/>
  <c r="V63" i="2"/>
  <c r="U91" i="2"/>
  <c r="V83" i="2"/>
  <c r="V95" i="2" s="1"/>
  <c r="U95" i="2"/>
  <c r="T85" i="2"/>
  <c r="V69" i="2"/>
  <c r="V82" i="2" s="1"/>
  <c r="V94" i="2" s="1"/>
  <c r="U82" i="2"/>
  <c r="U94" i="2" s="1"/>
  <c r="T113" i="2" l="1"/>
  <c r="T118" i="2" s="1"/>
  <c r="U111" i="2"/>
  <c r="V67" i="2"/>
  <c r="V111" i="2" s="1"/>
  <c r="U112" i="2"/>
  <c r="V91" i="2"/>
  <c r="U97" i="2"/>
  <c r="U85" i="2"/>
  <c r="T119" i="2" l="1"/>
  <c r="U113" i="2"/>
  <c r="U118" i="2" s="1"/>
  <c r="V81" i="2"/>
  <c r="V93" i="2" s="1"/>
  <c r="V112" i="2"/>
  <c r="V113" i="2" s="1"/>
  <c r="C115" i="2" s="1"/>
  <c r="V97" i="2"/>
  <c r="V85" i="2"/>
  <c r="C5" i="4" s="1"/>
  <c r="C114" i="2" l="1"/>
  <c r="C6" i="4"/>
  <c r="C99" i="2"/>
  <c r="E5" i="4"/>
  <c r="C87" i="2"/>
  <c r="U119" i="2"/>
  <c r="F5" i="4"/>
  <c r="D5" i="4"/>
  <c r="D6" i="4"/>
  <c r="V119" i="2"/>
  <c r="C98" i="2"/>
  <c r="E6" i="4" s="1"/>
  <c r="V118" i="2"/>
  <c r="C120" i="2" s="1"/>
  <c r="C86" i="2"/>
  <c r="B92" i="2"/>
  <c r="C121" i="2" l="1"/>
  <c r="C17" i="4"/>
  <c r="F6" i="4"/>
</calcChain>
</file>

<file path=xl/sharedStrings.xml><?xml version="1.0" encoding="utf-8"?>
<sst xmlns="http://schemas.openxmlformats.org/spreadsheetml/2006/main" count="423" uniqueCount="259">
  <si>
    <t>Jalisco</t>
  </si>
  <si>
    <t>Basins (ha)</t>
  </si>
  <si>
    <t>Small producers
(&lt;20 head of cattle)</t>
  </si>
  <si>
    <t>Medium-scale farmers
(20-100 head of cattle)</t>
  </si>
  <si>
    <t>Large producers
(&gt;100 head of cattle)</t>
  </si>
  <si>
    <t>Chiapas</t>
  </si>
  <si>
    <t>Chihuahua</t>
  </si>
  <si>
    <t>Reserves in the Basins (ha)</t>
  </si>
  <si>
    <t>Veracruz</t>
  </si>
  <si>
    <t xml:space="preserve">Area of livestock production unit (LPU) </t>
  </si>
  <si>
    <t>Small producers 
(production value &lt;$1,000,000 pesos)</t>
  </si>
  <si>
    <t>Large ranchers 
(production value &gt; $1,000,000)</t>
  </si>
  <si>
    <t>Cattle farmers live in the watersheds</t>
  </si>
  <si>
    <t>Total Cattle Farmers in the State</t>
  </si>
  <si>
    <t>Items</t>
  </si>
  <si>
    <t>Grasslands (ha)</t>
  </si>
  <si>
    <t>Total</t>
  </si>
  <si>
    <t>Area of landscapes under improved practices 
(excluding protected areas)</t>
  </si>
  <si>
    <t>Input variables</t>
  </si>
  <si>
    <t>Financing</t>
  </si>
  <si>
    <t xml:space="preserve">Project Duration in years </t>
  </si>
  <si>
    <t>Sequence of partial sums</t>
  </si>
  <si>
    <t>Final Result</t>
  </si>
  <si>
    <t>Annual multiplication factor</t>
  </si>
  <si>
    <t>Flujo anual equivalente por hectárea 
(USD)</t>
  </si>
  <si>
    <t>Flujo anual equivalente por hectárea 
(pesos)</t>
  </si>
  <si>
    <t>Reference</t>
  </si>
  <si>
    <t>Lara et al. (2014)</t>
  </si>
  <si>
    <t>Project costs by Component</t>
  </si>
  <si>
    <t>Project Financing</t>
  </si>
  <si>
    <t>Annual multiplication factor
(GEF Financing)</t>
  </si>
  <si>
    <t>Annual multiplication factor
(GEF + Parallel cofinancing)</t>
  </si>
  <si>
    <t>GEF (US$ million)</t>
  </si>
  <si>
    <t>Parallel cofinancing (US$ million)</t>
  </si>
  <si>
    <t>Component 1</t>
  </si>
  <si>
    <t>Component 2</t>
  </si>
  <si>
    <t>Component 3</t>
  </si>
  <si>
    <t>Component 4</t>
  </si>
  <si>
    <t>Total Project Cost</t>
  </si>
  <si>
    <t>Development and Promotion of Integrated Landscape Management Systems</t>
  </si>
  <si>
    <t>Promotion of Sustainable Food Production Practices</t>
  </si>
  <si>
    <t>Conservation and Restoration of Habitats</t>
  </si>
  <si>
    <t>Project Coordination and Monitorinig and Evaluation</t>
  </si>
  <si>
    <t>Total Benefits</t>
  </si>
  <si>
    <t>COSTS</t>
  </si>
  <si>
    <t>Annual project costs</t>
  </si>
  <si>
    <t>Cumulative project costs</t>
  </si>
  <si>
    <t>Lower Bound</t>
  </si>
  <si>
    <t>Upper Bound</t>
  </si>
  <si>
    <t xml:space="preserve">Increase productivity by at least </t>
  </si>
  <si>
    <t>Ecosystem Services (Mexico)</t>
  </si>
  <si>
    <t>Siikamaki et al. (2015)</t>
  </si>
  <si>
    <t>Recreation</t>
  </si>
  <si>
    <t>Habitat</t>
  </si>
  <si>
    <t>NWFPs</t>
  </si>
  <si>
    <t>Water</t>
  </si>
  <si>
    <t>Lara-Pulido et al. (2018)</t>
  </si>
  <si>
    <t>T.Cambio (USD/Pesos)</t>
  </si>
  <si>
    <t>Lara-Pulido et al. (2014) USAID - Costos y beneficios de diferentes tipos de uso de suelo en México</t>
  </si>
  <si>
    <t>Lara-Pulido et al. (2018) A meta-analysis of economic valuation of ecosystem services in México</t>
  </si>
  <si>
    <t>Siikamaki et al. (2015) Global Assessment of Nonwood Forest Ecosystem Services</t>
  </si>
  <si>
    <t>BENEFITS - UPPER BOUND</t>
  </si>
  <si>
    <t>BENEFITS - LOWER BOUND</t>
  </si>
  <si>
    <t>Forest Management</t>
  </si>
  <si>
    <t>Characteristics</t>
  </si>
  <si>
    <t>Cultivo de café y palma camedor</t>
  </si>
  <si>
    <t>Plan de manejo forestal y 
actividades de conservación</t>
  </si>
  <si>
    <t xml:space="preserve">Farmers adopting improved agricultural technology (CRI, Number)  </t>
  </si>
  <si>
    <t>Female (CRI, Number)</t>
  </si>
  <si>
    <t>Male (CRI, Number)</t>
  </si>
  <si>
    <t>Producer groups that increase productivity by at least 10% (Percentage)</t>
  </si>
  <si>
    <t>NPV of benefits (6%)</t>
  </si>
  <si>
    <t>NPV of benefits (9%)</t>
  </si>
  <si>
    <t>Total Costs</t>
  </si>
  <si>
    <t>NPV of costs (6%)</t>
  </si>
  <si>
    <t>NPV of costs (9%)</t>
  </si>
  <si>
    <t>Discount rate 6%</t>
  </si>
  <si>
    <t>Discount rate 9%</t>
  </si>
  <si>
    <t>NPV</t>
  </si>
  <si>
    <t>BC-Ratio</t>
  </si>
  <si>
    <t>Additional Operative Costs (+2%)</t>
  </si>
  <si>
    <t>Coastal</t>
  </si>
  <si>
    <t>Wetlands</t>
  </si>
  <si>
    <t>Forest</t>
  </si>
  <si>
    <t>Cultivated (for provisioning)</t>
  </si>
  <si>
    <t>Total Sum</t>
  </si>
  <si>
    <t>Total Overall</t>
  </si>
  <si>
    <t>Area under Silvopastoral system</t>
  </si>
  <si>
    <t>Conventional Agriculture</t>
  </si>
  <si>
    <t>Conventional Livestock</t>
  </si>
  <si>
    <t>Fire Management</t>
  </si>
  <si>
    <t>Commercial Forest Plantation</t>
  </si>
  <si>
    <t>Improved Cornfield</t>
  </si>
  <si>
    <t>Agroforestry System</t>
  </si>
  <si>
    <t>Silvopastoral System</t>
  </si>
  <si>
    <t>Hectares</t>
  </si>
  <si>
    <t>Years</t>
  </si>
  <si>
    <t>Cost Benefit Index 
(CBI)</t>
  </si>
  <si>
    <t>Activities</t>
  </si>
  <si>
    <t>Equivalent Annual Flow
(Thousands of Mexican Peso Currency)</t>
  </si>
  <si>
    <t>Net Present Value
(Thousands of Mexican Peso Currency)</t>
  </si>
  <si>
    <t>Equivalent Annual Flow per hectares 
(Thousands of Mexican Peso Currency)</t>
  </si>
  <si>
    <t>Equivalent Annual Flow per hectare
(US$)</t>
  </si>
  <si>
    <t xml:space="preserve">Estado </t>
  </si>
  <si>
    <t>Área de intervención total por estado (ha)</t>
  </si>
  <si>
    <t>Área con reducción de presión de deforestación (ha)</t>
  </si>
  <si>
    <t>Área de sistemas agroforestal (ha)</t>
  </si>
  <si>
    <t>Área de sistemas silvopastoril (ha)</t>
  </si>
  <si>
    <t>Áreas naturales protegidas (ANP) (ha)</t>
  </si>
  <si>
    <t xml:space="preserve">Áreas de pastizal </t>
  </si>
  <si>
    <t># de cabeza de ganado</t>
  </si>
  <si>
    <t xml:space="preserve">Restauradas </t>
  </si>
  <si>
    <t>Año</t>
  </si>
  <si>
    <t>https://www.globalforestwatch.org/dashboards/country/MEX?map=eyJkYXRhc2V0cyI6W3siZGF0YXNldCI6IjBiMDIwOGI2LWI0MjQtNGI1Ny05ODRmLWNhZGRmYTI1YmEyMiIsImxheWVycyI6WyJjYzM1NDMyZC0zOGQ3LTRhMDMtODcyZS0zYTcxYTJmNTU1ZmMiLCJiNDUzNTBlMy01YTc2LTQ0Y2QtYjBhOS01MDM4YTBkOGJmYWUiXSwiYm91bmRhcnkiOnRydWUsIm9wYWNpdHkiOjEsInZpc2liaWxpdHkiOnRydWV9LHsiZGF0YXNldCI6ImVhYjk2NTVmLWRkMzctNGJiMy1iMjIzLTRjNWRmMTY2NTY0YyIsImxheWVycyI6WyJkY2U4MDA0Zi00ZDBmLTRjMmQtYWU0Yi1kY2Y1NWUxNDAzNWYiXSwib3BhY2l0eSI6MSwidmlzaWJpbGl0eSI6dHJ1ZSwidGltZWxpbmVQYXJhbXMiOnsic3RhcnREYXRlIjoiMjAwMS0wMS0wMSIsImVuZERhdGUiOiIyMDAxLTEyLTMxIiwidHJpbUVuZERhdGUiOiIyMDAxLTEyLTMxIn0sInBhcmFtcyI6eyJ0aHJlc2giOjMwLCJ2aXNpYmlsaXR5Ijp0cnVlfX1dLCJjZW50ZXIiOnsibGF0IjoyMy45NDQ4MDEyNjA2Mjg2MSwibG5nIjotMTAyLjUyODI2MzA4OTk4ODkxfSwiYmVhcmluZyI6MCwicGl0Y2giOjAsInpvb20iOjIsImNhbkJvdW5kIjpmYWxzZSwiYmJveCI6W119&amp;showMap=true&amp;treeLoss=eyJpbnRlcmFjdGlvbiI6e30sImV4dGVudFllYXIiOjIwMDAsInN0YXJ0WWVhciI6MjAwMSwiZW5kWWVhciI6MjAwMX0%3D&amp;widget=treeLoss</t>
  </si>
  <si>
    <t>Pérdida de bosque
(ha)</t>
  </si>
  <si>
    <t>Disminución de la 
cobertura arbórea
desde 2000</t>
  </si>
  <si>
    <t>Emisiones de CO2
desde 2000
(Mt)</t>
  </si>
  <si>
    <t>Project Management Costs</t>
  </si>
  <si>
    <t>Estado</t>
  </si>
  <si>
    <t>Cobertura arbórea
(ha)</t>
  </si>
  <si>
    <t>Increase in area under agroforestal system</t>
  </si>
  <si>
    <t>Increase in area under silvopastoral system</t>
  </si>
  <si>
    <t>Total intervention area</t>
  </si>
  <si>
    <t xml:space="preserve">Increase in total intervention area </t>
  </si>
  <si>
    <t>Increase in grassland areas</t>
  </si>
  <si>
    <t>Area under grassland areas</t>
  </si>
  <si>
    <t>Total restored areas</t>
  </si>
  <si>
    <t>Increase in restored areas</t>
  </si>
  <si>
    <t>Agroforestal System</t>
  </si>
  <si>
    <t>Deforestation pressure reduction</t>
  </si>
  <si>
    <t xml:space="preserve">Total area under deforestation pressure reduction </t>
  </si>
  <si>
    <t xml:space="preserve">Increase in area under deforestation pressure reduction </t>
  </si>
  <si>
    <t xml:space="preserve">Deforestation rate </t>
  </si>
  <si>
    <t>Restored areas</t>
  </si>
  <si>
    <t>Grassland areas</t>
  </si>
  <si>
    <t>Carbon Capture</t>
  </si>
  <si>
    <t>Value</t>
  </si>
  <si>
    <t>Source</t>
  </si>
  <si>
    <t>Name</t>
  </si>
  <si>
    <t>World Bank Group</t>
  </si>
  <si>
    <t>Shadow price of carbon in economic analysis
Cover Note</t>
  </si>
  <si>
    <t>TnCO2/ha</t>
  </si>
  <si>
    <t>shadow price in 
economic analysis (TnCO2)</t>
  </si>
  <si>
    <t>Scenario</t>
  </si>
  <si>
    <t>Total 20 years</t>
  </si>
  <si>
    <t>Indirect</t>
  </si>
  <si>
    <t>C1</t>
  </si>
  <si>
    <t>Avoided deforestation within watershed</t>
  </si>
  <si>
    <t>Protection of conservation areas Indirect</t>
  </si>
  <si>
    <t>Direct</t>
  </si>
  <si>
    <t>Avoided deforestation intervention area</t>
  </si>
  <si>
    <t>C3</t>
  </si>
  <si>
    <t>Sustainable Forest management direct</t>
  </si>
  <si>
    <t>Sustainable Grassland management direct</t>
  </si>
  <si>
    <t>Agroforestry and Silvopastoril</t>
  </si>
  <si>
    <t>Livestock</t>
  </si>
  <si>
    <t>Component</t>
  </si>
  <si>
    <t xml:space="preserve">Annual </t>
  </si>
  <si>
    <t>RESULTS FRAMEWORK</t>
  </si>
  <si>
    <t>Proyectando</t>
  </si>
  <si>
    <t>Carbon Sequestration</t>
  </si>
  <si>
    <t>Total Carbon Sequestration</t>
  </si>
  <si>
    <t>Carbon Price 
(US$ 40)</t>
  </si>
  <si>
    <t>Carbon Price 
(US$ 60)</t>
  </si>
  <si>
    <t>BENEFITS - COSTS</t>
  </si>
  <si>
    <t>Upper bound</t>
  </si>
  <si>
    <t>Lower bound</t>
  </si>
  <si>
    <t>TIR Upper bound</t>
  </si>
  <si>
    <t xml:space="preserve">TIR Lower bound </t>
  </si>
  <si>
    <t>2. Area of landscapes under agroforestal system (cumulative)</t>
  </si>
  <si>
    <t>3. Area of landscapes under silvopastoral system (cumulative)</t>
  </si>
  <si>
    <t>4. Area of landscapes under grassland areas (cumulative)</t>
  </si>
  <si>
    <t>5. Area of landscapes under conservation (cumulative)</t>
  </si>
  <si>
    <t>Total of area of landscapes under sustainable practices (cumulative)</t>
  </si>
  <si>
    <t>Type of areas under sustainable practices</t>
  </si>
  <si>
    <t>Forest Management and conservation activities</t>
  </si>
  <si>
    <t>20 years</t>
  </si>
  <si>
    <t xml:space="preserve">TIR Upper bound </t>
  </si>
  <si>
    <t>15 years</t>
  </si>
  <si>
    <t>Area of landscapes under deforestation pressure reduction (cumulative)</t>
  </si>
  <si>
    <t>Silvopastoral system</t>
  </si>
  <si>
    <t>Grassland Areas</t>
  </si>
  <si>
    <t>Restored Areas</t>
  </si>
  <si>
    <t>10 years</t>
  </si>
  <si>
    <t>Component 1 &amp; 3</t>
  </si>
  <si>
    <t>Carbon Price
(US$ 3.01)</t>
  </si>
  <si>
    <t>Establecimiento de un banco de proteína para el ganado</t>
  </si>
  <si>
    <t>Agricultura tradicional de bajo nivel tecnológico
Maíz de grano de temporal utilizando semilla convencional</t>
  </si>
  <si>
    <t>Productive System</t>
  </si>
  <si>
    <t>Proposed activities supported under the project</t>
  </si>
  <si>
    <t>Deviation from baseline scenario and expected benefits</t>
  </si>
  <si>
    <t>Environmental benefits</t>
  </si>
  <si>
    <t>Socio-economic benefits</t>
  </si>
  <si>
    <t>In situ conservation of agrobiodiversity and the evolution of native species
Reduction of pest and disease damage.
Avoid the risk of ecosystem services deteriorating or diminishing.
Reduce or avoid deforestation and the degradation of natural resources.</t>
  </si>
  <si>
    <t>Contribute to strengthening economic growth, productivity, and profitability of producer organization, forestry communities, and producers.
Improve activities, processes, and the community economy. 
Strenghthen local capacities and social, cultural participation in support of conservation.
Increase capacities to access differentiated markets. 
Increase competitive capacities in the management of natural resources at the community level.</t>
  </si>
  <si>
    <t>Silvopastoral System 
(milk and beef sustainable production)</t>
  </si>
  <si>
    <t>Agroforestry System
(coffee, cacao, and pepper)</t>
  </si>
  <si>
    <t>Forest Management 
(conservation activites in forest and grassland areas)</t>
  </si>
  <si>
    <t>Contribute to maintaining habitat connectivity.
Maintain the heterogeneity of the landscape.
Protect critical ecosystems, such as bodies of water.
Main the structural complexity of the forest.
Establish limits of the susceptible areas of management.
Prevent the disappearance, reduction, or fragmentation of habitats.
Prevent increases in deforestation and maintain more stable habitats for wildlife.
Recover forest and grassland in agricultural areas. 
Guarantee the integrity of ecosystems.</t>
  </si>
  <si>
    <t xml:space="preserve">Develop and execute forest management plans.
Develop associative forms that make forest management more efficient through Integrated Landscape Management.
Incorporate criteria for the conservation of biodiversity (especially species at risk) in production landscapes.
Identify and establish appropiate practices in the stages of preparation, use, and abandonment of the sites. 
Carry out measures to prevent, control, and fight fires, pests, and zoonotic diseases in forests and grassland areas.
Establish and execute restoration actions.
Strengthen forest performance monitoring systems.
Incorporate the management of diverse ecosystems in forest management. 
Promote agreements with landowneres for establishment of voluntary areas for conservation.
</t>
  </si>
  <si>
    <t>Improved food security and diets.
Conservation of the social value of native cultivations.
Recognition of traditional knowledge.
Decreased risk due to climatic events, alongside increased income and productivity for producers.
Improved links to more diverse markets as a result of surplus production.</t>
  </si>
  <si>
    <t xml:space="preserve">Training and technical assitance to Producer Groups in the process to be formalized, dedicated to agroforestry systems. 
Improve the application of technologies that promote climate change mitigation and adaptation.
Promote agroecological practices to conserve soild and restore degraded pasture lands.
Eradicate agricultural practices that cause environmental degradation.
Improve the connectivity of agroforestry landscapes with livestock.
</t>
  </si>
  <si>
    <t xml:space="preserve">Reduce the use of fire in paddocks.
Reduce GHGs.
Intensify animal production by increasing yield (and thus reducing paddock area).
Incorporate various species in livestock management.
Incorporate trees (at low density) in deforested areas.
Reduce impacts on soil from overgrazing.
Reduce deforestation in areas adjacent to pastures.
Manage streams and waterways.
Increase resilience to effects of climatic events.
</t>
  </si>
  <si>
    <t xml:space="preserve">Increase food production based on the diversification of pasture areas.
Incorporate food processing technologies.
Semi-established herd structure.
Incorporate living fences and divide pastures to manage pasture area and rotate grazing animals.
Manage and conserve water sources.
Monitor the incorporation of agroforestry practices.
</t>
  </si>
  <si>
    <t>Increased income and wealth (more assets in animal production units).
Increased sustainable productivity.
Increased need for labor, which generates employment.
Stronger technical capacity to manage natural resources and livestock. 
Reduced production costs.
Diversification of income from by-products derived from silvopastoral production (sales of fodder and seed, sales for milk and beef, etc).</t>
  </si>
  <si>
    <t>Total area under agroforestry system</t>
  </si>
  <si>
    <t>Conventional Cattle Ranching</t>
  </si>
  <si>
    <t>Cattle Ranching Opportunity Costs</t>
  </si>
  <si>
    <t xml:space="preserve">Conventional Agricultural Opportunity Costs </t>
  </si>
  <si>
    <t xml:space="preserve"> Indicator Name</t>
  </si>
  <si>
    <t>Land use land cover</t>
  </si>
  <si>
    <t>Cuenca</t>
  </si>
  <si>
    <t>Ameca-Mascota</t>
  </si>
  <si>
    <t xml:space="preserve"> ANP Sierra de Vallejo - Río Ameca</t>
  </si>
  <si>
    <t>Subcuenca</t>
  </si>
  <si>
    <t>Talpa-Mascota</t>
  </si>
  <si>
    <t>Cloud forest</t>
  </si>
  <si>
    <t>-</t>
  </si>
  <si>
    <t>Cropland</t>
  </si>
  <si>
    <t>Dry forest</t>
  </si>
  <si>
    <t>Grassland</t>
  </si>
  <si>
    <t>Mangrove</t>
  </si>
  <si>
    <t>Mixed forest</t>
  </si>
  <si>
    <t>Oak forest</t>
  </si>
  <si>
    <t>Pine forest</t>
  </si>
  <si>
    <t>Sabanoid</t>
  </si>
  <si>
    <t>Secondary vegetation cloud forest</t>
  </si>
  <si>
    <t>Secondary vegetation dry forest</t>
  </si>
  <si>
    <t>Secondary vegetation mixed forest</t>
  </si>
  <si>
    <t>Secondary vegetation oak forest</t>
  </si>
  <si>
    <t>Secondary vegetation pine forest</t>
  </si>
  <si>
    <t>UsyV INEGI s6</t>
  </si>
  <si>
    <t>JAMAPA</t>
  </si>
  <si>
    <t>ANP Pico de Orizaba- Forest 1</t>
  </si>
  <si>
    <t>Cuenca Jamapa (excl ANP)</t>
  </si>
  <si>
    <r>
      <t>Cuenca Jamapa (excl ANP)</t>
    </r>
    <r>
      <rPr>
        <b/>
        <sz val="11"/>
        <color rgb="FF000000"/>
        <rFont val="Calibri"/>
        <family val="2"/>
        <scheme val="minor"/>
      </rPr>
      <t>Forest zone 1</t>
    </r>
  </si>
  <si>
    <r>
      <t>Cuenca Jamapa (excl ANP)</t>
    </r>
    <r>
      <rPr>
        <b/>
        <sz val="11"/>
        <color rgb="FF000000"/>
        <rFont val="Calibri"/>
        <family val="2"/>
        <scheme val="minor"/>
      </rPr>
      <t>Forest zone 2</t>
    </r>
  </si>
  <si>
    <t>PRADERA DE ALTA MONTAÑA</t>
  </si>
  <si>
    <t>BOSQUE DE OYAMEL</t>
  </si>
  <si>
    <t>BOSQUE DE PINO</t>
  </si>
  <si>
    <t>BOSQUE DE ENCINO</t>
  </si>
  <si>
    <t>BOSQUE DE PINO-ENCINO</t>
  </si>
  <si>
    <t>BOSQUE DE ENCINO-PINO</t>
  </si>
  <si>
    <t>BOSQUE MESÓFILO DE MONTAÑA</t>
  </si>
  <si>
    <t>SELVA ALTA (PERENNIFOLIA y subperrenifolia)</t>
  </si>
  <si>
    <t>SELVA BAJA CADUCIFOLIA</t>
  </si>
  <si>
    <t>POPAL</t>
  </si>
  <si>
    <t>SABANOIDE</t>
  </si>
  <si>
    <t>VEGETACIÓN DE DUNAS COSTERAS</t>
  </si>
  <si>
    <t>MANGLAR</t>
  </si>
  <si>
    <t>Ganadería</t>
  </si>
  <si>
    <t>Reducción presión</t>
  </si>
  <si>
    <t>ANP</t>
  </si>
  <si>
    <t>Agroforestal</t>
  </si>
  <si>
    <t>Restauración</t>
  </si>
  <si>
    <t>Component 1,2,3 : 20 years and GCF costs</t>
  </si>
  <si>
    <t>Component 1,2,3 : 15 years and GCF costs</t>
  </si>
  <si>
    <t>Component 1,2,3 : 10 years and GCF costs</t>
  </si>
  <si>
    <t>Cost "without project"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</si>
</sst>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quot;$&quot;#,##0_);[Red]\(&quot;$&quot;#,##0\)"/>
    <numFmt numFmtId="165" formatCode="&quot;$&quot;#,##0.00_);[Red]\(&quot;$&quot;#,##0.00\)"/>
    <numFmt numFmtId="166" formatCode="_(&quot;$&quot;* #,##0.00_);_(&quot;$&quot;* \(#,##0.00\);_(&quot;$&quot;* &quot;-&quot;??_);_(@_)"/>
    <numFmt numFmtId="167" formatCode="_(* #,##0.00_);_(* \(#,##0.00\);_(* &quot;-&quot;??_);_(@_)"/>
    <numFmt numFmtId="168" formatCode="&quot;$&quot;#,##0.00"/>
    <numFmt numFmtId="169" formatCode="&quot;$&quot;#,##0"/>
    <numFmt numFmtId="170" formatCode="_(* #,##0_);_(* \(#,##0\);_(* &quot;-&quot;??_);_(@_)"/>
    <numFmt numFmtId="171" formatCode="0.0"/>
    <numFmt numFmtId="172" formatCode="0.0%"/>
  </numFmts>
  <fonts count="15" x14ac:knownFonts="1">
    <font>
      <sz val="11"/>
      <color theme="1"/>
      <name val="Calibri"/>
      <family val="2"/>
      <scheme val="minor"/>
    </font>
    <font>
      <b/>
      <sz val="13"/>
      <color theme="1"/>
      <name val="Calibri"/>
      <family val="2"/>
      <scheme val="minor"/>
    </font>
    <font>
      <sz val="11"/>
      <color theme="1"/>
      <name val="Calibri"/>
      <family val="2"/>
      <scheme val="minor"/>
    </font>
    <font>
      <b/>
      <sz val="11"/>
      <color theme="1"/>
      <name val="Calibri"/>
      <family val="2"/>
      <scheme val="minor"/>
    </font>
    <font>
      <b/>
      <sz val="16"/>
      <color theme="1"/>
      <name val="Calibri"/>
      <family val="2"/>
      <scheme val="minor"/>
    </font>
    <font>
      <sz val="11"/>
      <color theme="1"/>
      <name val="Times New Roman"/>
      <family val="1"/>
    </font>
    <font>
      <b/>
      <sz val="12"/>
      <color theme="1"/>
      <name val="Calibri"/>
      <family val="2"/>
      <scheme val="minor"/>
    </font>
    <font>
      <u/>
      <sz val="11"/>
      <color theme="10"/>
      <name val="Calibri"/>
      <family val="2"/>
      <scheme val="minor"/>
    </font>
    <font>
      <sz val="11"/>
      <color rgb="FF000000"/>
      <name val="Calibri"/>
      <family val="2"/>
    </font>
    <font>
      <b/>
      <sz val="11"/>
      <color rgb="FF000000"/>
      <name val="Calibri"/>
      <family val="2"/>
    </font>
    <font>
      <b/>
      <i/>
      <sz val="11"/>
      <color rgb="FF000000"/>
      <name val="Calibri"/>
      <family val="2"/>
    </font>
    <font>
      <sz val="11"/>
      <color rgb="FF000000"/>
      <name val="Calibri"/>
      <family val="2"/>
      <scheme val="minor"/>
    </font>
    <font>
      <b/>
      <i/>
      <sz val="11"/>
      <color rgb="FF000000"/>
      <name val="Calibri"/>
      <family val="2"/>
      <scheme val="minor"/>
    </font>
    <font>
      <b/>
      <sz val="11"/>
      <color rgb="FF000000"/>
      <name val="Calibri"/>
      <family val="2"/>
      <scheme val="minor"/>
    </font>
    <font>
      <i/>
      <sz val="11"/>
      <color rgb="FF000000"/>
      <name val="Calibri"/>
      <family val="2"/>
      <scheme val="minor"/>
    </font>
  </fonts>
  <fills count="19">
    <fill>
      <patternFill patternType="none"/>
    </fill>
    <fill>
      <patternFill patternType="gray125"/>
    </fill>
    <fill>
      <patternFill patternType="solid">
        <fgColor theme="6" tint="0.79998168889431442"/>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7"/>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rgb="FFFFFFFF"/>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rgb="FFE7E6E6"/>
        <bgColor indexed="64"/>
      </patternFill>
    </fill>
    <fill>
      <patternFill patternType="solid">
        <fgColor rgb="FFF2F2F2"/>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medium">
        <color indexed="64"/>
      </top>
      <bottom/>
      <diagonal/>
    </border>
    <border>
      <left/>
      <right/>
      <top/>
      <bottom style="medium">
        <color indexed="64"/>
      </bottom>
      <diagonal/>
    </border>
    <border>
      <left/>
      <right/>
      <top/>
      <bottom style="medium">
        <color rgb="FF7F7F7F"/>
      </bottom>
      <diagonal/>
    </border>
    <border>
      <left/>
      <right style="medium">
        <color rgb="FF7F7F7F"/>
      </right>
      <top/>
      <bottom/>
      <diagonal/>
    </border>
  </borders>
  <cellStyleXfs count="5">
    <xf numFmtId="0" fontId="0" fillId="0" borderId="0"/>
    <xf numFmtId="166" fontId="2" fillId="0" borderId="0" applyFont="0" applyFill="0" applyBorder="0" applyAlignment="0" applyProtection="0"/>
    <xf numFmtId="167" fontId="2" fillId="0" borderId="0" applyFont="0" applyFill="0" applyBorder="0" applyAlignment="0" applyProtection="0"/>
    <xf numFmtId="0" fontId="7" fillId="0" borderId="0" applyNumberFormat="0" applyFill="0" applyBorder="0" applyAlignment="0" applyProtection="0"/>
    <xf numFmtId="9" fontId="2" fillId="0" borderId="0" applyFont="0" applyFill="0" applyBorder="0" applyAlignment="0" applyProtection="0"/>
  </cellStyleXfs>
  <cellXfs count="207">
    <xf numFmtId="0" fontId="0" fillId="0" borderId="0" xfId="0"/>
    <xf numFmtId="0" fontId="0" fillId="0" borderId="0" xfId="0" applyAlignment="1">
      <alignment horizontal="center"/>
    </xf>
    <xf numFmtId="0" fontId="0" fillId="0" borderId="1" xfId="0" applyBorder="1"/>
    <xf numFmtId="3" fontId="0" fillId="0" borderId="1" xfId="0" applyNumberFormat="1" applyBorder="1" applyAlignment="1">
      <alignment horizontal="center"/>
    </xf>
    <xf numFmtId="4" fontId="0" fillId="0" borderId="1" xfId="0" applyNumberFormat="1" applyBorder="1" applyAlignment="1">
      <alignment horizontal="center"/>
    </xf>
    <xf numFmtId="0" fontId="0" fillId="0" borderId="1" xfId="0" applyBorder="1" applyAlignment="1">
      <alignment horizontal="left" wrapText="1"/>
    </xf>
    <xf numFmtId="0" fontId="0" fillId="0" borderId="1" xfId="0" applyBorder="1" applyAlignment="1">
      <alignment horizontal="center"/>
    </xf>
    <xf numFmtId="0" fontId="0" fillId="0" borderId="1" xfId="0" applyBorder="1" applyAlignment="1">
      <alignment horizontal="right" wrapText="1"/>
    </xf>
    <xf numFmtId="1" fontId="0" fillId="0" borderId="1" xfId="0" applyNumberFormat="1" applyBorder="1" applyAlignment="1">
      <alignment horizontal="center"/>
    </xf>
    <xf numFmtId="0" fontId="1" fillId="2" borderId="1" xfId="0" applyFont="1" applyFill="1" applyBorder="1"/>
    <xf numFmtId="0" fontId="1" fillId="2" borderId="1" xfId="0" applyFont="1" applyFill="1" applyBorder="1" applyAlignment="1">
      <alignment horizontal="center"/>
    </xf>
    <xf numFmtId="0" fontId="0" fillId="3" borderId="1" xfId="0" applyFill="1" applyBorder="1"/>
    <xf numFmtId="3" fontId="0" fillId="3" borderId="1" xfId="0" applyNumberFormat="1" applyFill="1" applyBorder="1" applyAlignment="1">
      <alignment horizontal="center"/>
    </xf>
    <xf numFmtId="4" fontId="0" fillId="3" borderId="1" xfId="0" applyNumberFormat="1" applyFill="1" applyBorder="1" applyAlignment="1">
      <alignment horizontal="center"/>
    </xf>
    <xf numFmtId="3" fontId="0" fillId="0" borderId="1" xfId="0" applyNumberFormat="1" applyBorder="1"/>
    <xf numFmtId="0" fontId="3" fillId="0" borderId="0" xfId="0" applyFont="1"/>
    <xf numFmtId="0" fontId="3" fillId="0" borderId="1" xfId="0" applyFont="1" applyBorder="1"/>
    <xf numFmtId="0" fontId="0" fillId="0" borderId="1" xfId="0" applyBorder="1" applyAlignment="1">
      <alignment horizontal="center" vertical="center"/>
    </xf>
    <xf numFmtId="0" fontId="3" fillId="0" borderId="1" xfId="0" applyFont="1" applyBorder="1" applyAlignment="1">
      <alignment wrapText="1"/>
    </xf>
    <xf numFmtId="3" fontId="0" fillId="0" borderId="1" xfId="0" applyNumberFormat="1" applyBorder="1" applyAlignment="1">
      <alignment horizontal="center" vertical="center"/>
    </xf>
    <xf numFmtId="0" fontId="0" fillId="0" borderId="1" xfId="0" applyFill="1" applyBorder="1"/>
    <xf numFmtId="9" fontId="0" fillId="0" borderId="1" xfId="0" applyNumberFormat="1" applyBorder="1" applyAlignment="1">
      <alignment horizontal="center" vertical="center"/>
    </xf>
    <xf numFmtId="0" fontId="0" fillId="0" borderId="0" xfId="0" applyBorder="1"/>
    <xf numFmtId="0" fontId="0" fillId="0" borderId="0" xfId="0" applyBorder="1" applyAlignment="1">
      <alignment horizontal="center"/>
    </xf>
    <xf numFmtId="168" fontId="0" fillId="0" borderId="1" xfId="1" applyNumberFormat="1" applyFont="1" applyBorder="1" applyAlignment="1">
      <alignment horizontal="center" vertical="center"/>
    </xf>
    <xf numFmtId="168" fontId="0" fillId="0" borderId="1" xfId="0" applyNumberFormat="1" applyBorder="1" applyAlignment="1">
      <alignment horizontal="center"/>
    </xf>
    <xf numFmtId="0" fontId="3" fillId="0" borderId="1" xfId="0" applyFont="1" applyFill="1" applyBorder="1" applyAlignment="1">
      <alignment horizontal="left"/>
    </xf>
    <xf numFmtId="169" fontId="0" fillId="0" borderId="1" xfId="0" applyNumberFormat="1" applyBorder="1" applyAlignment="1">
      <alignment horizontal="center"/>
    </xf>
    <xf numFmtId="0" fontId="3" fillId="0" borderId="1" xfId="0" applyFont="1" applyFill="1" applyBorder="1"/>
    <xf numFmtId="0" fontId="0" fillId="0" borderId="0" xfId="0" applyFill="1" applyBorder="1" applyAlignment="1">
      <alignment horizontal="right"/>
    </xf>
    <xf numFmtId="0" fontId="3" fillId="4" borderId="1" xfId="0" applyFont="1" applyFill="1" applyBorder="1"/>
    <xf numFmtId="0" fontId="3" fillId="4" borderId="1" xfId="0" applyFont="1" applyFill="1" applyBorder="1" applyAlignment="1">
      <alignment horizontal="center"/>
    </xf>
    <xf numFmtId="0" fontId="3" fillId="5" borderId="1" xfId="0" applyFont="1" applyFill="1" applyBorder="1"/>
    <xf numFmtId="0" fontId="3" fillId="5" borderId="1" xfId="0" applyFont="1" applyFill="1" applyBorder="1" applyAlignment="1">
      <alignment horizontal="center" wrapText="1"/>
    </xf>
    <xf numFmtId="0" fontId="3" fillId="5" borderId="1" xfId="0" applyFont="1" applyFill="1" applyBorder="1" applyAlignment="1">
      <alignment horizontal="center" vertical="center"/>
    </xf>
    <xf numFmtId="168" fontId="3" fillId="4" borderId="1" xfId="0" applyNumberFormat="1" applyFont="1" applyFill="1" applyBorder="1" applyAlignment="1">
      <alignment horizontal="center"/>
    </xf>
    <xf numFmtId="0" fontId="3" fillId="6" borderId="1" xfId="0" applyFont="1" applyFill="1" applyBorder="1" applyAlignment="1">
      <alignment vertical="center"/>
    </xf>
    <xf numFmtId="0" fontId="3" fillId="6" borderId="1" xfId="0" applyFont="1" applyFill="1" applyBorder="1" applyAlignment="1">
      <alignment horizontal="center" vertical="center"/>
    </xf>
    <xf numFmtId="0" fontId="3" fillId="6" borderId="1" xfId="0" applyFont="1" applyFill="1" applyBorder="1"/>
    <xf numFmtId="3" fontId="3" fillId="6" borderId="1" xfId="0" applyNumberFormat="1" applyFont="1" applyFill="1" applyBorder="1" applyAlignment="1">
      <alignment horizontal="center" vertical="center"/>
    </xf>
    <xf numFmtId="0" fontId="3" fillId="5" borderId="1" xfId="0" applyFont="1" applyFill="1" applyBorder="1" applyAlignment="1">
      <alignment horizontal="center" vertical="center" wrapText="1"/>
    </xf>
    <xf numFmtId="0" fontId="3" fillId="6" borderId="1" xfId="0" applyFont="1" applyFill="1" applyBorder="1" applyAlignment="1">
      <alignment horizontal="left" vertical="center"/>
    </xf>
    <xf numFmtId="0" fontId="3" fillId="6" borderId="1" xfId="0" applyFont="1" applyFill="1" applyBorder="1" applyAlignment="1">
      <alignment horizontal="center" wrapText="1"/>
    </xf>
    <xf numFmtId="0" fontId="4" fillId="7" borderId="1" xfId="0" applyFont="1" applyFill="1" applyBorder="1"/>
    <xf numFmtId="0" fontId="3" fillId="7" borderId="1" xfId="0" applyFont="1" applyFill="1" applyBorder="1" applyAlignment="1">
      <alignment horizontal="center"/>
    </xf>
    <xf numFmtId="0" fontId="3" fillId="7" borderId="2" xfId="0" applyFont="1" applyFill="1" applyBorder="1" applyAlignment="1">
      <alignment horizontal="center"/>
    </xf>
    <xf numFmtId="0" fontId="4" fillId="7" borderId="1" xfId="0" applyFont="1" applyFill="1" applyBorder="1" applyAlignment="1">
      <alignment horizontal="left"/>
    </xf>
    <xf numFmtId="0" fontId="0" fillId="0" borderId="1" xfId="0" applyBorder="1" applyAlignment="1">
      <alignment horizontal="center"/>
    </xf>
    <xf numFmtId="168" fontId="0" fillId="0" borderId="1" xfId="0" applyNumberFormat="1" applyBorder="1" applyAlignment="1">
      <alignment horizontal="center" vertical="center"/>
    </xf>
    <xf numFmtId="9" fontId="0" fillId="0" borderId="1" xfId="0" applyNumberFormat="1" applyBorder="1" applyAlignment="1">
      <alignment horizontal="center"/>
    </xf>
    <xf numFmtId="0" fontId="3" fillId="0" borderId="0" xfId="0" applyFont="1" applyFill="1" applyBorder="1" applyAlignment="1">
      <alignment horizontal="left"/>
    </xf>
    <xf numFmtId="168" fontId="0" fillId="0" borderId="0" xfId="0" applyNumberFormat="1" applyBorder="1" applyAlignment="1">
      <alignment horizontal="center"/>
    </xf>
    <xf numFmtId="165" fontId="0" fillId="0" borderId="1" xfId="0" applyNumberFormat="1" applyBorder="1" applyAlignment="1">
      <alignment horizontal="center" vertical="center"/>
    </xf>
    <xf numFmtId="169" fontId="0" fillId="0" borderId="1" xfId="0" applyNumberFormat="1" applyBorder="1" applyAlignment="1">
      <alignment horizontal="center" vertical="center"/>
    </xf>
    <xf numFmtId="0" fontId="3" fillId="8" borderId="1" xfId="0" applyFont="1" applyFill="1" applyBorder="1" applyAlignment="1">
      <alignment horizontal="left"/>
    </xf>
    <xf numFmtId="3" fontId="0" fillId="8" borderId="1" xfId="0" applyNumberFormat="1" applyFill="1" applyBorder="1" applyAlignment="1">
      <alignment horizontal="center" vertical="center"/>
    </xf>
    <xf numFmtId="0" fontId="0" fillId="8" borderId="1" xfId="0" applyFill="1" applyBorder="1" applyAlignment="1">
      <alignment horizontal="right"/>
    </xf>
    <xf numFmtId="0" fontId="0" fillId="0" borderId="3" xfId="0" applyBorder="1" applyAlignment="1">
      <alignment horizontal="center"/>
    </xf>
    <xf numFmtId="2" fontId="0" fillId="4" borderId="1" xfId="0" applyNumberFormat="1" applyFill="1" applyBorder="1" applyAlignment="1">
      <alignment horizontal="center"/>
    </xf>
    <xf numFmtId="2" fontId="3" fillId="0" borderId="1" xfId="0" applyNumberFormat="1" applyFont="1" applyBorder="1"/>
    <xf numFmtId="3" fontId="3" fillId="0" borderId="1" xfId="0" applyNumberFormat="1" applyFont="1" applyBorder="1" applyAlignment="1">
      <alignment horizontal="center" vertical="center"/>
    </xf>
    <xf numFmtId="3" fontId="3" fillId="0" borderId="1" xfId="0" applyNumberFormat="1" applyFont="1" applyBorder="1" applyAlignment="1">
      <alignment horizontal="center"/>
    </xf>
    <xf numFmtId="168" fontId="3" fillId="4" borderId="1" xfId="0" applyNumberFormat="1" applyFont="1" applyFill="1" applyBorder="1" applyAlignment="1">
      <alignment horizontal="left"/>
    </xf>
    <xf numFmtId="0" fontId="0" fillId="0" borderId="1" xfId="0" applyBorder="1" applyAlignment="1">
      <alignment horizontal="center"/>
    </xf>
    <xf numFmtId="0" fontId="0" fillId="0" borderId="0" xfId="0" applyFill="1" applyBorder="1" applyAlignment="1">
      <alignment horizontal="center"/>
    </xf>
    <xf numFmtId="0" fontId="0" fillId="0" borderId="1" xfId="0" applyBorder="1" applyAlignment="1">
      <alignment horizontal="center"/>
    </xf>
    <xf numFmtId="0" fontId="0" fillId="0" borderId="1" xfId="0"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5" fillId="0" borderId="0" xfId="0" applyFont="1" applyAlignment="1"/>
    <xf numFmtId="0" fontId="5" fillId="0" borderId="0" xfId="0" applyFont="1" applyAlignment="1">
      <alignment horizont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1" xfId="0" applyFont="1" applyBorder="1" applyAlignment="1"/>
    <xf numFmtId="4" fontId="0" fillId="0" borderId="1" xfId="0" applyNumberFormat="1" applyFont="1" applyBorder="1" applyAlignment="1">
      <alignment horizontal="center" vertical="center"/>
    </xf>
    <xf numFmtId="4" fontId="0" fillId="0" borderId="1" xfId="0" applyNumberFormat="1" applyBorder="1" applyAlignment="1">
      <alignment horizontal="center" vertical="center"/>
    </xf>
    <xf numFmtId="0" fontId="0" fillId="0" borderId="1" xfId="0" applyBorder="1" applyAlignment="1">
      <alignment horizontal="center" vertical="center"/>
    </xf>
    <xf numFmtId="0" fontId="3" fillId="0" borderId="1" xfId="0" applyFont="1" applyBorder="1" applyAlignment="1">
      <alignment horizontal="center" vertical="center" wrapText="1"/>
    </xf>
    <xf numFmtId="0" fontId="3" fillId="10" borderId="1" xfId="0" applyFont="1" applyFill="1" applyBorder="1" applyAlignment="1">
      <alignment horizontal="center" vertical="center" wrapText="1"/>
    </xf>
    <xf numFmtId="170" fontId="2" fillId="0" borderId="1" xfId="2" applyNumberFormat="1" applyFont="1" applyBorder="1" applyAlignment="1">
      <alignment vertical="center" wrapText="1"/>
    </xf>
    <xf numFmtId="170" fontId="0" fillId="0" borderId="1" xfId="2" applyNumberFormat="1" applyFont="1" applyBorder="1" applyAlignment="1">
      <alignment vertical="center"/>
    </xf>
    <xf numFmtId="170" fontId="0" fillId="0" borderId="0" xfId="2" applyNumberFormat="1" applyFont="1" applyAlignment="1">
      <alignment vertical="center"/>
    </xf>
    <xf numFmtId="170" fontId="6" fillId="10" borderId="1" xfId="2" applyNumberFormat="1" applyFont="1" applyFill="1" applyBorder="1" applyAlignment="1">
      <alignment vertical="center"/>
    </xf>
    <xf numFmtId="170" fontId="6" fillId="11" borderId="1" xfId="2" applyNumberFormat="1" applyFont="1" applyFill="1" applyBorder="1" applyAlignment="1">
      <alignment vertical="center"/>
    </xf>
    <xf numFmtId="0" fontId="7" fillId="0" borderId="0" xfId="3"/>
    <xf numFmtId="0" fontId="3" fillId="0" borderId="1" xfId="0"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171" fontId="0" fillId="0" borderId="1" xfId="0" applyNumberFormat="1" applyBorder="1" applyAlignment="1">
      <alignment horizontal="center" vertical="center"/>
    </xf>
    <xf numFmtId="171" fontId="0" fillId="0" borderId="1" xfId="0" applyNumberFormat="1" applyBorder="1" applyAlignment="1">
      <alignment horizontal="center"/>
    </xf>
    <xf numFmtId="0" fontId="0" fillId="0" borderId="1" xfId="0" applyBorder="1" applyAlignment="1">
      <alignment horizontal="center" vertical="center" wrapText="1"/>
    </xf>
    <xf numFmtId="0" fontId="0" fillId="0" borderId="1" xfId="0" applyBorder="1" applyAlignment="1">
      <alignment horizontal="center" vertical="center"/>
    </xf>
    <xf numFmtId="0" fontId="3" fillId="0" borderId="1" xfId="0" applyFont="1" applyBorder="1" applyAlignment="1">
      <alignment vertical="center" wrapText="1"/>
    </xf>
    <xf numFmtId="170" fontId="2" fillId="0" borderId="1" xfId="2" applyNumberFormat="1" applyFont="1" applyBorder="1" applyAlignment="1">
      <alignment horizontal="center" vertical="center" wrapText="1"/>
    </xf>
    <xf numFmtId="0" fontId="3" fillId="6" borderId="1" xfId="0" applyFont="1" applyFill="1" applyBorder="1" applyAlignment="1">
      <alignment horizontal="center" vertical="center" wrapText="1"/>
    </xf>
    <xf numFmtId="10" fontId="0" fillId="0" borderId="0" xfId="4" applyNumberFormat="1" applyFont="1"/>
    <xf numFmtId="0" fontId="3" fillId="0" borderId="0" xfId="0" applyFont="1" applyFill="1" applyBorder="1"/>
    <xf numFmtId="0" fontId="0" fillId="0" borderId="1" xfId="0" applyFont="1" applyFill="1" applyBorder="1"/>
    <xf numFmtId="3" fontId="0" fillId="0" borderId="1" xfId="0" applyNumberFormat="1" applyFont="1" applyBorder="1" applyAlignment="1">
      <alignment horizontal="center"/>
    </xf>
    <xf numFmtId="3" fontId="3" fillId="12" borderId="1" xfId="0" applyNumberFormat="1" applyFont="1" applyFill="1" applyBorder="1" applyAlignment="1">
      <alignment horizontal="center" vertical="center"/>
    </xf>
    <xf numFmtId="3" fontId="3" fillId="0" borderId="0" xfId="0" applyNumberFormat="1" applyFont="1" applyBorder="1" applyAlignment="1">
      <alignment horizontal="center"/>
    </xf>
    <xf numFmtId="3" fontId="0" fillId="0" borderId="0" xfId="0" applyNumberFormat="1" applyBorder="1" applyAlignment="1">
      <alignment horizontal="center"/>
    </xf>
    <xf numFmtId="3" fontId="0" fillId="0" borderId="0" xfId="0" applyNumberFormat="1"/>
    <xf numFmtId="0" fontId="3" fillId="0" borderId="0" xfId="0" applyFont="1" applyBorder="1"/>
    <xf numFmtId="9" fontId="0" fillId="0" borderId="0" xfId="0" applyNumberFormat="1" applyBorder="1" applyAlignment="1">
      <alignment horizontal="center"/>
    </xf>
    <xf numFmtId="3" fontId="0" fillId="0" borderId="0" xfId="0" applyNumberFormat="1" applyBorder="1" applyAlignment="1">
      <alignment horizontal="center" vertical="center"/>
    </xf>
    <xf numFmtId="172" fontId="0" fillId="0" borderId="1" xfId="4" applyNumberFormat="1" applyFont="1" applyBorder="1" applyAlignment="1">
      <alignment horizontal="center" vertical="center"/>
    </xf>
    <xf numFmtId="3" fontId="3" fillId="5" borderId="1" xfId="0" applyNumberFormat="1" applyFont="1" applyFill="1" applyBorder="1" applyAlignment="1">
      <alignment horizontal="center" vertical="center"/>
    </xf>
    <xf numFmtId="3" fontId="3" fillId="5" borderId="1" xfId="0" applyNumberFormat="1" applyFont="1" applyFill="1" applyBorder="1" applyAlignment="1">
      <alignment horizontal="center"/>
    </xf>
    <xf numFmtId="0" fontId="3" fillId="4" borderId="1" xfId="0" applyFont="1" applyFill="1" applyBorder="1" applyAlignment="1">
      <alignment horizontal="left"/>
    </xf>
    <xf numFmtId="0" fontId="3" fillId="4" borderId="1" xfId="0" applyFont="1" applyFill="1" applyBorder="1" applyAlignment="1">
      <alignment horizontal="center" vertical="center"/>
    </xf>
    <xf numFmtId="0" fontId="0" fillId="0" borderId="1" xfId="0" applyBorder="1" applyAlignment="1">
      <alignment horizontal="left" vertical="center" wrapText="1"/>
    </xf>
    <xf numFmtId="168" fontId="0" fillId="0" borderId="1" xfId="1" applyNumberFormat="1" applyFont="1" applyFill="1" applyBorder="1" applyAlignment="1">
      <alignment horizontal="center" vertical="center"/>
    </xf>
    <xf numFmtId="0" fontId="0" fillId="0" borderId="1" xfId="0" applyBorder="1" applyAlignment="1">
      <alignment horizontal="left" vertical="center"/>
    </xf>
    <xf numFmtId="0" fontId="0" fillId="0" borderId="1" xfId="0" applyBorder="1" applyAlignment="1">
      <alignment wrapText="1"/>
    </xf>
    <xf numFmtId="0" fontId="0" fillId="0" borderId="1" xfId="0" applyFill="1" applyBorder="1" applyAlignment="1">
      <alignment vertical="center"/>
    </xf>
    <xf numFmtId="0" fontId="0" fillId="0" borderId="3" xfId="0" applyBorder="1" applyAlignment="1">
      <alignment horizontal="center"/>
    </xf>
    <xf numFmtId="0" fontId="0" fillId="0" borderId="1" xfId="0" applyBorder="1" applyAlignment="1">
      <alignment horizontal="center"/>
    </xf>
    <xf numFmtId="0" fontId="9" fillId="13" borderId="1" xfId="0" applyFont="1" applyFill="1" applyBorder="1" applyAlignment="1">
      <alignment vertical="center" wrapText="1"/>
    </xf>
    <xf numFmtId="0" fontId="8" fillId="13" borderId="1" xfId="0" applyFont="1" applyFill="1" applyBorder="1" applyAlignment="1">
      <alignment vertical="center" wrapText="1"/>
    </xf>
    <xf numFmtId="0" fontId="10" fillId="13" borderId="1" xfId="0" applyFont="1" applyFill="1" applyBorder="1" applyAlignment="1">
      <alignment vertical="center" wrapText="1"/>
    </xf>
    <xf numFmtId="0" fontId="9" fillId="14" borderId="1" xfId="0" applyFont="1" applyFill="1" applyBorder="1" applyAlignment="1">
      <alignment horizontal="center" vertical="center" wrapText="1"/>
    </xf>
    <xf numFmtId="3" fontId="8" fillId="13" borderId="1" xfId="0" applyNumberFormat="1" applyFont="1" applyFill="1" applyBorder="1" applyAlignment="1">
      <alignment horizontal="center" vertical="center" wrapText="1"/>
    </xf>
    <xf numFmtId="0" fontId="8" fillId="13" borderId="1" xfId="0" applyFont="1" applyFill="1" applyBorder="1" applyAlignment="1">
      <alignment horizontal="center" vertical="center" wrapText="1"/>
    </xf>
    <xf numFmtId="3" fontId="9" fillId="13" borderId="1" xfId="0" applyNumberFormat="1" applyFont="1" applyFill="1" applyBorder="1" applyAlignment="1">
      <alignment horizontal="center" vertical="center" wrapText="1"/>
    </xf>
    <xf numFmtId="3" fontId="0" fillId="0" borderId="1" xfId="0" applyNumberFormat="1" applyFill="1" applyBorder="1" applyAlignment="1">
      <alignment horizontal="center" vertical="center"/>
    </xf>
    <xf numFmtId="0" fontId="0" fillId="0" borderId="1" xfId="0" applyFill="1" applyBorder="1" applyAlignment="1">
      <alignment horizontal="center"/>
    </xf>
    <xf numFmtId="0" fontId="0" fillId="15" borderId="1" xfId="0" applyFill="1" applyBorder="1" applyAlignment="1">
      <alignment horizontal="center" vertical="center"/>
    </xf>
    <xf numFmtId="3" fontId="0" fillId="15" borderId="1" xfId="0" applyNumberFormat="1" applyFill="1" applyBorder="1" applyAlignment="1">
      <alignment horizontal="center"/>
    </xf>
    <xf numFmtId="0" fontId="0" fillId="15" borderId="1" xfId="0" applyFill="1" applyBorder="1"/>
    <xf numFmtId="0" fontId="3" fillId="0" borderId="1" xfId="0" applyFont="1" applyBorder="1" applyAlignment="1">
      <alignment horizontal="left"/>
    </xf>
    <xf numFmtId="0" fontId="3" fillId="0" borderId="1" xfId="0" applyFont="1" applyBorder="1" applyAlignment="1">
      <alignment horizontal="center"/>
    </xf>
    <xf numFmtId="10" fontId="0" fillId="0" borderId="1" xfId="0" applyNumberFormat="1" applyBorder="1" applyAlignment="1">
      <alignment horizontal="center" vertical="center"/>
    </xf>
    <xf numFmtId="10" fontId="0" fillId="0" borderId="1" xfId="0" applyNumberFormat="1" applyBorder="1" applyAlignment="1">
      <alignment horizontal="center"/>
    </xf>
    <xf numFmtId="0" fontId="0" fillId="0" borderId="1" xfId="0" applyBorder="1" applyAlignment="1">
      <alignment vertical="center"/>
    </xf>
    <xf numFmtId="0" fontId="0" fillId="0" borderId="2" xfId="0" applyBorder="1"/>
    <xf numFmtId="0" fontId="0" fillId="0" borderId="1" xfId="0" applyFont="1" applyBorder="1" applyAlignment="1">
      <alignment vertical="center" wrapText="1"/>
    </xf>
    <xf numFmtId="0" fontId="0" fillId="0" borderId="1" xfId="0" applyFont="1" applyBorder="1" applyAlignment="1">
      <alignment vertical="center"/>
    </xf>
    <xf numFmtId="0" fontId="3" fillId="0" borderId="1" xfId="0" applyFont="1" applyFill="1" applyBorder="1" applyAlignment="1">
      <alignment horizontal="center"/>
    </xf>
    <xf numFmtId="169" fontId="0" fillId="0" borderId="0" xfId="0" applyNumberFormat="1" applyAlignment="1">
      <alignment horizontal="center"/>
    </xf>
    <xf numFmtId="0" fontId="0" fillId="0" borderId="1" xfId="0" applyBorder="1" applyAlignment="1">
      <alignment horizontal="center"/>
    </xf>
    <xf numFmtId="165" fontId="0" fillId="0" borderId="1" xfId="0" applyNumberFormat="1" applyBorder="1" applyAlignment="1">
      <alignment horizontal="center"/>
    </xf>
    <xf numFmtId="0" fontId="3" fillId="0" borderId="1" xfId="0" applyFont="1" applyFill="1" applyBorder="1" applyAlignment="1">
      <alignment horizontal="center" vertical="center"/>
    </xf>
    <xf numFmtId="0" fontId="0" fillId="0" borderId="1" xfId="0" applyBorder="1" applyAlignment="1">
      <alignment horizontal="center"/>
    </xf>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xf>
    <xf numFmtId="0" fontId="3" fillId="0" borderId="1" xfId="0" applyFont="1" applyBorder="1" applyAlignment="1">
      <alignment horizontal="center" vertical="center"/>
    </xf>
    <xf numFmtId="0" fontId="0" fillId="0" borderId="1" xfId="0" applyBorder="1" applyAlignment="1">
      <alignment horizontal="center" vertical="center"/>
    </xf>
    <xf numFmtId="1" fontId="0" fillId="0" borderId="0" xfId="0" applyNumberFormat="1" applyAlignment="1">
      <alignment horizontal="center"/>
    </xf>
    <xf numFmtId="164" fontId="0" fillId="9" borderId="1" xfId="0" applyNumberFormat="1" applyFill="1" applyBorder="1" applyAlignment="1">
      <alignment horizontal="center" vertical="center"/>
    </xf>
    <xf numFmtId="164" fontId="0" fillId="9" borderId="1" xfId="0" quotePrefix="1" applyNumberFormat="1" applyFill="1" applyBorder="1" applyAlignment="1">
      <alignment horizontal="center" vertical="center"/>
    </xf>
    <xf numFmtId="164" fontId="0" fillId="9" borderId="1" xfId="0" applyNumberFormat="1" applyFill="1" applyBorder="1" applyAlignment="1">
      <alignment horizontal="center"/>
    </xf>
    <xf numFmtId="0" fontId="0" fillId="0" borderId="1" xfId="0" applyBorder="1" applyAlignment="1">
      <alignment horizontal="center"/>
    </xf>
    <xf numFmtId="0" fontId="0" fillId="0" borderId="3" xfId="0" applyBorder="1" applyAlignment="1">
      <alignment horizontal="center"/>
    </xf>
    <xf numFmtId="0" fontId="11" fillId="16" borderId="0" xfId="0" applyFont="1" applyFill="1" applyAlignment="1">
      <alignment horizontal="center" vertical="center" wrapText="1"/>
    </xf>
    <xf numFmtId="0" fontId="11" fillId="16" borderId="9" xfId="0" applyFont="1" applyFill="1" applyBorder="1" applyAlignment="1">
      <alignment horizontal="center" vertical="center" wrapText="1"/>
    </xf>
    <xf numFmtId="0" fontId="11" fillId="0" borderId="9" xfId="0" applyFont="1" applyBorder="1" applyAlignment="1">
      <alignment vertical="center"/>
    </xf>
    <xf numFmtId="0" fontId="11" fillId="0" borderId="9" xfId="0" applyFont="1" applyBorder="1" applyAlignment="1">
      <alignment horizontal="right" vertical="center"/>
    </xf>
    <xf numFmtId="0" fontId="11" fillId="0" borderId="0" xfId="0" applyFont="1" applyAlignment="1">
      <alignment vertical="center"/>
    </xf>
    <xf numFmtId="0" fontId="11" fillId="0" borderId="0" xfId="0" applyFont="1" applyAlignment="1">
      <alignment horizontal="right" vertical="center"/>
    </xf>
    <xf numFmtId="0" fontId="11" fillId="0" borderId="10" xfId="0" applyFont="1" applyBorder="1" applyAlignment="1">
      <alignment vertical="center"/>
    </xf>
    <xf numFmtId="0" fontId="11" fillId="0" borderId="10" xfId="0" applyFont="1" applyBorder="1" applyAlignment="1">
      <alignment horizontal="right" vertical="center"/>
    </xf>
    <xf numFmtId="0" fontId="0" fillId="0" borderId="0" xfId="0" applyAlignment="1">
      <alignment horizontal="justify" vertical="center"/>
    </xf>
    <xf numFmtId="0" fontId="12" fillId="13" borderId="11" xfId="0" applyFont="1" applyFill="1" applyBorder="1" applyAlignment="1">
      <alignment horizontal="center" vertical="center"/>
    </xf>
    <xf numFmtId="0" fontId="12" fillId="13" borderId="11" xfId="0" applyFont="1" applyFill="1" applyBorder="1" applyAlignment="1">
      <alignment horizontal="center" vertical="center" wrapText="1"/>
    </xf>
    <xf numFmtId="0" fontId="14" fillId="13" borderId="12" xfId="0" applyFont="1" applyFill="1" applyBorder="1" applyAlignment="1">
      <alignment horizontal="right" vertical="center" wrapText="1"/>
    </xf>
    <xf numFmtId="0" fontId="11" fillId="17" borderId="0" xfId="0" applyFont="1" applyFill="1" applyAlignment="1">
      <alignment horizontal="center" vertical="center"/>
    </xf>
    <xf numFmtId="0" fontId="0" fillId="17" borderId="0" xfId="0" applyFill="1" applyAlignment="1">
      <alignment vertical="top"/>
    </xf>
    <xf numFmtId="0" fontId="11" fillId="0" borderId="0" xfId="0" applyFont="1" applyAlignment="1">
      <alignment horizontal="center" vertical="center"/>
    </xf>
    <xf numFmtId="0" fontId="0" fillId="0" borderId="0" xfId="0" applyAlignment="1">
      <alignment vertical="top"/>
    </xf>
    <xf numFmtId="167" fontId="0" fillId="0" borderId="0" xfId="2" applyFont="1"/>
    <xf numFmtId="0" fontId="11" fillId="0" borderId="0" xfId="0" applyFont="1"/>
    <xf numFmtId="167" fontId="0" fillId="0" borderId="1" xfId="2" applyFont="1" applyBorder="1"/>
    <xf numFmtId="167" fontId="11" fillId="0" borderId="1" xfId="2" applyFont="1" applyBorder="1"/>
    <xf numFmtId="0" fontId="0" fillId="11" borderId="1" xfId="0" applyFill="1" applyBorder="1"/>
    <xf numFmtId="167" fontId="0" fillId="0" borderId="0" xfId="0" applyNumberFormat="1"/>
    <xf numFmtId="43" fontId="0" fillId="0" borderId="0" xfId="0" applyNumberFormat="1"/>
    <xf numFmtId="0" fontId="0" fillId="0" borderId="1" xfId="0" applyBorder="1" applyAlignment="1">
      <alignment horizontal="center" wrapText="1"/>
    </xf>
    <xf numFmtId="0" fontId="0" fillId="0" borderId="1" xfId="0" applyBorder="1" applyAlignment="1">
      <alignment horizontal="center"/>
    </xf>
    <xf numFmtId="0" fontId="3" fillId="0" borderId="0" xfId="0" applyFont="1" applyAlignment="1">
      <alignment horizontal="center"/>
    </xf>
    <xf numFmtId="0" fontId="0" fillId="0" borderId="3" xfId="0" applyBorder="1" applyAlignment="1">
      <alignment horizont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6" borderId="1" xfId="0" applyFont="1" applyFill="1" applyBorder="1" applyAlignment="1">
      <alignment horizontal="center" vertical="center"/>
    </xf>
    <xf numFmtId="0" fontId="3" fillId="5" borderId="1" xfId="0" applyFont="1" applyFill="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11" fillId="16" borderId="9" xfId="0" applyFont="1" applyFill="1" applyBorder="1" applyAlignment="1">
      <alignment horizontal="center" vertical="center"/>
    </xf>
    <xf numFmtId="0" fontId="11" fillId="16" borderId="10" xfId="0" applyFont="1" applyFill="1" applyBorder="1" applyAlignment="1">
      <alignment horizontal="center" vertical="center"/>
    </xf>
    <xf numFmtId="0" fontId="11" fillId="16" borderId="9" xfId="0" applyFont="1" applyFill="1" applyBorder="1" applyAlignment="1">
      <alignment horizontal="center" vertical="center" wrapText="1"/>
    </xf>
    <xf numFmtId="0" fontId="11" fillId="16" borderId="10"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4" xfId="0" applyFont="1" applyBorder="1" applyAlignment="1">
      <alignment horizontal="center" vertical="center" wrapText="1"/>
    </xf>
    <xf numFmtId="0" fontId="0" fillId="0" borderId="3" xfId="0" applyBorder="1" applyAlignment="1">
      <alignment horizontal="center" vertical="center"/>
    </xf>
    <xf numFmtId="0" fontId="0" fillId="0" borderId="6" xfId="0" applyBorder="1" applyAlignment="1">
      <alignment horizontal="center" vertical="center"/>
    </xf>
    <xf numFmtId="3" fontId="9" fillId="18" borderId="1" xfId="0" applyNumberFormat="1" applyFont="1" applyFill="1" applyBorder="1" applyAlignment="1">
      <alignment horizontal="center" vertical="center" wrapText="1"/>
    </xf>
    <xf numFmtId="0" fontId="3" fillId="18" borderId="1" xfId="0" applyFont="1" applyFill="1" applyBorder="1" applyAlignment="1">
      <alignment horizontal="center"/>
    </xf>
    <xf numFmtId="169" fontId="0" fillId="0" borderId="0" xfId="0" applyNumberFormat="1"/>
    <xf numFmtId="0" fontId="3" fillId="7" borderId="1" xfId="0" applyFont="1" applyFill="1" applyBorder="1" applyAlignment="1">
      <alignment horizontal="center" wrapText="1"/>
    </xf>
    <xf numFmtId="169" fontId="0" fillId="0" borderId="1" xfId="0" applyNumberFormat="1" applyBorder="1"/>
  </cellXfs>
  <cellStyles count="5">
    <cellStyle name="Hipervínculo" xfId="3" builtinId="8"/>
    <cellStyle name="Millares" xfId="2" builtinId="3"/>
    <cellStyle name="Moneda" xfId="1" builtinId="4"/>
    <cellStyle name="Normal" xfId="0" builtinId="0"/>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'Benefit-Cost Total'!$B$108</c:f>
              <c:strCache>
                <c:ptCount val="1"/>
                <c:pt idx="0">
                  <c:v>Annual project costs</c:v>
                </c:pt>
              </c:strCache>
            </c:strRef>
          </c:tx>
          <c:spPr>
            <a:solidFill>
              <a:schemeClr val="accent1"/>
            </a:solidFill>
            <a:ln>
              <a:noFill/>
            </a:ln>
            <a:effectLst/>
          </c:spPr>
          <c:invertIfNegative val="0"/>
          <c:cat>
            <c:numRef>
              <c:f>'Benefit-Cost Total'!$C$103:$H$103</c:f>
              <c:numCache>
                <c:formatCode>General</c:formatCode>
                <c:ptCount val="6"/>
                <c:pt idx="0">
                  <c:v>2021</c:v>
                </c:pt>
                <c:pt idx="1">
                  <c:v>2022</c:v>
                </c:pt>
                <c:pt idx="2">
                  <c:v>2023</c:v>
                </c:pt>
                <c:pt idx="3">
                  <c:v>2024</c:v>
                </c:pt>
                <c:pt idx="4">
                  <c:v>2025</c:v>
                </c:pt>
                <c:pt idx="5">
                  <c:v>2026</c:v>
                </c:pt>
              </c:numCache>
            </c:numRef>
          </c:cat>
          <c:val>
            <c:numRef>
              <c:f>'Benefit-Cost Total'!$C$108:$H$108</c:f>
              <c:numCache>
                <c:formatCode>"$"#,##0</c:formatCode>
                <c:ptCount val="6"/>
                <c:pt idx="0">
                  <c:v>150000</c:v>
                </c:pt>
                <c:pt idx="1">
                  <c:v>940000</c:v>
                </c:pt>
                <c:pt idx="2">
                  <c:v>1440000</c:v>
                </c:pt>
                <c:pt idx="3">
                  <c:v>2660000</c:v>
                </c:pt>
                <c:pt idx="4">
                  <c:v>2810000</c:v>
                </c:pt>
                <c:pt idx="5">
                  <c:v>2000000</c:v>
                </c:pt>
              </c:numCache>
            </c:numRef>
          </c:val>
          <c:extLst>
            <c:ext xmlns:c16="http://schemas.microsoft.com/office/drawing/2014/chart" uri="{C3380CC4-5D6E-409C-BE32-E72D297353CC}">
              <c16:uniqueId val="{00000000-8386-4F26-AAD5-C66E7DB9A130}"/>
            </c:ext>
          </c:extLst>
        </c:ser>
        <c:ser>
          <c:idx val="1"/>
          <c:order val="1"/>
          <c:tx>
            <c:strRef>
              <c:f>'Benefit-Cost Total'!$B$109</c:f>
              <c:strCache>
                <c:ptCount val="1"/>
                <c:pt idx="0">
                  <c:v>Cumulative project costs</c:v>
                </c:pt>
              </c:strCache>
            </c:strRef>
          </c:tx>
          <c:spPr>
            <a:solidFill>
              <a:schemeClr val="accent2"/>
            </a:solidFill>
            <a:ln>
              <a:noFill/>
            </a:ln>
            <a:effectLst/>
          </c:spPr>
          <c:invertIfNegative val="0"/>
          <c:cat>
            <c:numRef>
              <c:f>'Benefit-Cost Total'!$C$103:$H$103</c:f>
              <c:numCache>
                <c:formatCode>General</c:formatCode>
                <c:ptCount val="6"/>
                <c:pt idx="0">
                  <c:v>2021</c:v>
                </c:pt>
                <c:pt idx="1">
                  <c:v>2022</c:v>
                </c:pt>
                <c:pt idx="2">
                  <c:v>2023</c:v>
                </c:pt>
                <c:pt idx="3">
                  <c:v>2024</c:v>
                </c:pt>
                <c:pt idx="4">
                  <c:v>2025</c:v>
                </c:pt>
                <c:pt idx="5">
                  <c:v>2026</c:v>
                </c:pt>
              </c:numCache>
            </c:numRef>
          </c:cat>
          <c:val>
            <c:numRef>
              <c:f>'Benefit-Cost Total'!$C$109:$H$109</c:f>
              <c:numCache>
                <c:formatCode>"$"#,##0</c:formatCode>
                <c:ptCount val="6"/>
                <c:pt idx="0">
                  <c:v>150000</c:v>
                </c:pt>
                <c:pt idx="1">
                  <c:v>1090000</c:v>
                </c:pt>
                <c:pt idx="2">
                  <c:v>2530000</c:v>
                </c:pt>
                <c:pt idx="3">
                  <c:v>5190000</c:v>
                </c:pt>
                <c:pt idx="4">
                  <c:v>8000000</c:v>
                </c:pt>
                <c:pt idx="5">
                  <c:v>10000000</c:v>
                </c:pt>
              </c:numCache>
            </c:numRef>
          </c:val>
          <c:extLst>
            <c:ext xmlns:c16="http://schemas.microsoft.com/office/drawing/2014/chart" uri="{C3380CC4-5D6E-409C-BE32-E72D297353CC}">
              <c16:uniqueId val="{00000001-8386-4F26-AAD5-C66E7DB9A130}"/>
            </c:ext>
          </c:extLst>
        </c:ser>
        <c:dLbls>
          <c:showLegendKey val="0"/>
          <c:showVal val="0"/>
          <c:showCatName val="0"/>
          <c:showSerName val="0"/>
          <c:showPercent val="0"/>
          <c:showBubbleSize val="0"/>
        </c:dLbls>
        <c:gapWidth val="150"/>
        <c:axId val="134091087"/>
        <c:axId val="2059795663"/>
      </c:barChart>
      <c:catAx>
        <c:axId val="13409108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2059795663"/>
        <c:crosses val="autoZero"/>
        <c:auto val="1"/>
        <c:lblAlgn val="ctr"/>
        <c:lblOffset val="100"/>
        <c:noMultiLvlLbl val="0"/>
      </c:catAx>
      <c:valAx>
        <c:axId val="2059795663"/>
        <c:scaling>
          <c:orientation val="minMax"/>
        </c:scaling>
        <c:delete val="0"/>
        <c:axPos val="l"/>
        <c:majorGridlines>
          <c:spPr>
            <a:ln w="9525" cap="flat" cmpd="sng" algn="ctr">
              <a:solidFill>
                <a:schemeClr val="tx1">
                  <a:lumMod val="15000"/>
                  <a:lumOff val="85000"/>
                </a:schemeClr>
              </a:solidFill>
              <a:round/>
            </a:ln>
            <a:effectLst/>
          </c:spPr>
        </c:majorGridlines>
        <c:numFmt formatCode="&quot;$&quot;#,##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134091087"/>
        <c:crosses val="autoZero"/>
        <c:crossBetween val="between"/>
        <c:dispUnits>
          <c:builtInUnit val="millions"/>
          <c:dispUnitsLbl>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MX"/>
              </a:p>
            </c:txPr>
          </c:dispUnitsLbl>
        </c:dispUnits>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MX"/>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MX"/>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barChart>
        <c:barDir val="col"/>
        <c:grouping val="clustered"/>
        <c:varyColors val="0"/>
        <c:ser>
          <c:idx val="1"/>
          <c:order val="0"/>
          <c:tx>
            <c:v>Total Area Number</c:v>
          </c:tx>
          <c:spPr>
            <a:solidFill>
              <a:schemeClr val="dk1">
                <a:tint val="55000"/>
              </a:schemeClr>
            </a:solidFill>
            <a:ln>
              <a:noFill/>
            </a:ln>
            <a:effectLst/>
          </c:spPr>
          <c:invertIfNegative val="0"/>
          <c:dLbls>
            <c:numFmt formatCode="#,##0" sourceLinked="0"/>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Tablas!$H$20:$L$20</c:f>
              <c:numCache>
                <c:formatCode>General</c:formatCode>
                <c:ptCount val="5"/>
                <c:pt idx="0">
                  <c:v>2021</c:v>
                </c:pt>
                <c:pt idx="1">
                  <c:v>2022</c:v>
                </c:pt>
                <c:pt idx="2">
                  <c:v>2023</c:v>
                </c:pt>
                <c:pt idx="3">
                  <c:v>2024</c:v>
                </c:pt>
                <c:pt idx="4">
                  <c:v>2025</c:v>
                </c:pt>
              </c:numCache>
            </c:numRef>
          </c:cat>
          <c:val>
            <c:numRef>
              <c:f>Tablas!$H$21:$L$21</c:f>
              <c:numCache>
                <c:formatCode>General</c:formatCode>
                <c:ptCount val="5"/>
                <c:pt idx="0">
                  <c:v>29200</c:v>
                </c:pt>
                <c:pt idx="1">
                  <c:v>87600</c:v>
                </c:pt>
                <c:pt idx="2">
                  <c:v>175200</c:v>
                </c:pt>
                <c:pt idx="3">
                  <c:v>292000</c:v>
                </c:pt>
                <c:pt idx="4">
                  <c:v>438000</c:v>
                </c:pt>
              </c:numCache>
            </c:numRef>
          </c:val>
          <c:extLst>
            <c:ext xmlns:c16="http://schemas.microsoft.com/office/drawing/2014/chart" uri="{C3380CC4-5D6E-409C-BE32-E72D297353CC}">
              <c16:uniqueId val="{00000001-C028-4F3F-8286-80DF9A98B863}"/>
            </c:ext>
          </c:extLst>
        </c:ser>
        <c:dLbls>
          <c:showLegendKey val="0"/>
          <c:showVal val="0"/>
          <c:showCatName val="0"/>
          <c:showSerName val="0"/>
          <c:showPercent val="0"/>
          <c:showBubbleSize val="0"/>
        </c:dLbls>
        <c:gapWidth val="219"/>
        <c:overlap val="-27"/>
        <c:axId val="180023999"/>
        <c:axId val="279369087"/>
      </c:barChart>
      <c:catAx>
        <c:axId val="18002399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MX"/>
          </a:p>
        </c:txPr>
        <c:crossAx val="279369087"/>
        <c:crosses val="autoZero"/>
        <c:auto val="1"/>
        <c:lblAlgn val="ctr"/>
        <c:lblOffset val="100"/>
        <c:noMultiLvlLbl val="0"/>
      </c:catAx>
      <c:valAx>
        <c:axId val="279369087"/>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MX"/>
          </a:p>
        </c:txPr>
        <c:crossAx val="18002399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MX"/>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s-MX"/>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Tablas!$G$33</c:f>
              <c:strCache>
                <c:ptCount val="1"/>
                <c:pt idx="0">
                  <c:v>Agroforestal System</c:v>
                </c:pt>
              </c:strCache>
            </c:strRef>
          </c:tx>
          <c:spPr>
            <a:solidFill>
              <a:schemeClr val="accent1"/>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Tablas!$H$32:$L$32</c:f>
              <c:strCache>
                <c:ptCount val="5"/>
                <c:pt idx="0">
                  <c:v>Chihuahua</c:v>
                </c:pt>
                <c:pt idx="1">
                  <c:v>Chiapas</c:v>
                </c:pt>
                <c:pt idx="2">
                  <c:v>Jalisco</c:v>
                </c:pt>
                <c:pt idx="3">
                  <c:v>Veracruz</c:v>
                </c:pt>
                <c:pt idx="4">
                  <c:v>Total</c:v>
                </c:pt>
              </c:strCache>
            </c:strRef>
          </c:cat>
          <c:val>
            <c:numRef>
              <c:f>Tablas!$H$33:$L$33</c:f>
              <c:numCache>
                <c:formatCode>#,##0</c:formatCode>
                <c:ptCount val="5"/>
                <c:pt idx="1">
                  <c:v>1000</c:v>
                </c:pt>
                <c:pt idx="2">
                  <c:v>1000</c:v>
                </c:pt>
                <c:pt idx="3">
                  <c:v>2500</c:v>
                </c:pt>
                <c:pt idx="4">
                  <c:v>4500</c:v>
                </c:pt>
              </c:numCache>
            </c:numRef>
          </c:val>
          <c:extLst>
            <c:ext xmlns:c16="http://schemas.microsoft.com/office/drawing/2014/chart" uri="{C3380CC4-5D6E-409C-BE32-E72D297353CC}">
              <c16:uniqueId val="{00000000-BDBD-416A-9C5D-505635C783BC}"/>
            </c:ext>
          </c:extLst>
        </c:ser>
        <c:ser>
          <c:idx val="1"/>
          <c:order val="1"/>
          <c:tx>
            <c:strRef>
              <c:f>Tablas!$G$34</c:f>
              <c:strCache>
                <c:ptCount val="1"/>
                <c:pt idx="0">
                  <c:v>Silvopastoral system</c:v>
                </c:pt>
              </c:strCache>
            </c:strRef>
          </c:tx>
          <c:spPr>
            <a:solidFill>
              <a:schemeClr val="accent3"/>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Tablas!$H$32:$L$32</c:f>
              <c:strCache>
                <c:ptCount val="5"/>
                <c:pt idx="0">
                  <c:v>Chihuahua</c:v>
                </c:pt>
                <c:pt idx="1">
                  <c:v>Chiapas</c:v>
                </c:pt>
                <c:pt idx="2">
                  <c:v>Jalisco</c:v>
                </c:pt>
                <c:pt idx="3">
                  <c:v>Veracruz</c:v>
                </c:pt>
                <c:pt idx="4">
                  <c:v>Total</c:v>
                </c:pt>
              </c:strCache>
            </c:strRef>
          </c:cat>
          <c:val>
            <c:numRef>
              <c:f>Tablas!$H$34:$L$34</c:f>
              <c:numCache>
                <c:formatCode>#,##0</c:formatCode>
                <c:ptCount val="5"/>
                <c:pt idx="1">
                  <c:v>300</c:v>
                </c:pt>
                <c:pt idx="2">
                  <c:v>400</c:v>
                </c:pt>
                <c:pt idx="3">
                  <c:v>400</c:v>
                </c:pt>
                <c:pt idx="4">
                  <c:v>1100</c:v>
                </c:pt>
              </c:numCache>
            </c:numRef>
          </c:val>
          <c:extLst>
            <c:ext xmlns:c16="http://schemas.microsoft.com/office/drawing/2014/chart" uri="{C3380CC4-5D6E-409C-BE32-E72D297353CC}">
              <c16:uniqueId val="{00000001-BDBD-416A-9C5D-505635C783BC}"/>
            </c:ext>
          </c:extLst>
        </c:ser>
        <c:ser>
          <c:idx val="2"/>
          <c:order val="2"/>
          <c:tx>
            <c:strRef>
              <c:f>Tablas!$G$35</c:f>
              <c:strCache>
                <c:ptCount val="1"/>
                <c:pt idx="0">
                  <c:v>Grassland Areas</c:v>
                </c:pt>
              </c:strCache>
            </c:strRef>
          </c:tx>
          <c:spPr>
            <a:solidFill>
              <a:schemeClr val="accent5"/>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Tablas!$H$32:$L$32</c:f>
              <c:strCache>
                <c:ptCount val="5"/>
                <c:pt idx="0">
                  <c:v>Chihuahua</c:v>
                </c:pt>
                <c:pt idx="1">
                  <c:v>Chiapas</c:v>
                </c:pt>
                <c:pt idx="2">
                  <c:v>Jalisco</c:v>
                </c:pt>
                <c:pt idx="3">
                  <c:v>Veracruz</c:v>
                </c:pt>
                <c:pt idx="4">
                  <c:v>Total</c:v>
                </c:pt>
              </c:strCache>
            </c:strRef>
          </c:cat>
          <c:val>
            <c:numRef>
              <c:f>Tablas!$H$35:$L$35</c:f>
              <c:numCache>
                <c:formatCode>#,##0</c:formatCode>
                <c:ptCount val="5"/>
                <c:pt idx="0">
                  <c:v>400</c:v>
                </c:pt>
                <c:pt idx="4">
                  <c:v>400</c:v>
                </c:pt>
              </c:numCache>
            </c:numRef>
          </c:val>
          <c:extLst>
            <c:ext xmlns:c16="http://schemas.microsoft.com/office/drawing/2014/chart" uri="{C3380CC4-5D6E-409C-BE32-E72D297353CC}">
              <c16:uniqueId val="{00000002-BDBD-416A-9C5D-505635C783BC}"/>
            </c:ext>
          </c:extLst>
        </c:ser>
        <c:ser>
          <c:idx val="3"/>
          <c:order val="3"/>
          <c:tx>
            <c:strRef>
              <c:f>Tablas!$G$36</c:f>
              <c:strCache>
                <c:ptCount val="1"/>
                <c:pt idx="0">
                  <c:v>Restored Areas</c:v>
                </c:pt>
              </c:strCache>
            </c:strRef>
          </c:tx>
          <c:spPr>
            <a:solidFill>
              <a:schemeClr val="accent1">
                <a:lumMod val="60000"/>
              </a:schemeClr>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Tablas!$H$32:$L$32</c:f>
              <c:strCache>
                <c:ptCount val="5"/>
                <c:pt idx="0">
                  <c:v>Chihuahua</c:v>
                </c:pt>
                <c:pt idx="1">
                  <c:v>Chiapas</c:v>
                </c:pt>
                <c:pt idx="2">
                  <c:v>Jalisco</c:v>
                </c:pt>
                <c:pt idx="3">
                  <c:v>Veracruz</c:v>
                </c:pt>
                <c:pt idx="4">
                  <c:v>Total</c:v>
                </c:pt>
              </c:strCache>
            </c:strRef>
          </c:cat>
          <c:val>
            <c:numRef>
              <c:f>Tablas!$H$36:$L$36</c:f>
              <c:numCache>
                <c:formatCode>#,##0</c:formatCode>
                <c:ptCount val="5"/>
                <c:pt idx="0">
                  <c:v>1500</c:v>
                </c:pt>
                <c:pt idx="1">
                  <c:v>1500</c:v>
                </c:pt>
                <c:pt idx="2">
                  <c:v>1500</c:v>
                </c:pt>
                <c:pt idx="3">
                  <c:v>1500</c:v>
                </c:pt>
                <c:pt idx="4">
                  <c:v>6000</c:v>
                </c:pt>
              </c:numCache>
            </c:numRef>
          </c:val>
          <c:extLst>
            <c:ext xmlns:c16="http://schemas.microsoft.com/office/drawing/2014/chart" uri="{C3380CC4-5D6E-409C-BE32-E72D297353CC}">
              <c16:uniqueId val="{00000003-BDBD-416A-9C5D-505635C783BC}"/>
            </c:ext>
          </c:extLst>
        </c:ser>
        <c:dLbls>
          <c:showLegendKey val="0"/>
          <c:showVal val="0"/>
          <c:showCatName val="0"/>
          <c:showSerName val="0"/>
          <c:showPercent val="0"/>
          <c:showBubbleSize val="0"/>
        </c:dLbls>
        <c:gapWidth val="219"/>
        <c:overlap val="-27"/>
        <c:axId val="1955912528"/>
        <c:axId val="1955040064"/>
      </c:barChart>
      <c:catAx>
        <c:axId val="1955912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MX"/>
          </a:p>
        </c:txPr>
        <c:crossAx val="1955040064"/>
        <c:crosses val="autoZero"/>
        <c:auto val="1"/>
        <c:lblAlgn val="ctr"/>
        <c:lblOffset val="100"/>
        <c:noMultiLvlLbl val="0"/>
      </c:catAx>
      <c:valAx>
        <c:axId val="195504006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MX"/>
          </a:p>
        </c:txPr>
        <c:crossAx val="195591252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MX"/>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s-MX"/>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colors3.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1712279</xdr:colOff>
      <xdr:row>128</xdr:row>
      <xdr:rowOff>173954</xdr:rowOff>
    </xdr:from>
    <xdr:to>
      <xdr:col>3</xdr:col>
      <xdr:colOff>1057726</xdr:colOff>
      <xdr:row>150</xdr:row>
      <xdr:rowOff>175268</xdr:rowOff>
    </xdr:to>
    <xdr:graphicFrame macro="">
      <xdr:nvGraphicFramePr>
        <xdr:cNvPr id="2" name="Chart 1">
          <a:extLst>
            <a:ext uri="{FF2B5EF4-FFF2-40B4-BE49-F238E27FC236}">
              <a16:creationId xmlns:a16="http://schemas.microsoft.com/office/drawing/2014/main" id="{CBF95977-59C6-4A49-9B68-EC8F728B22F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18236</xdr:colOff>
      <xdr:row>17</xdr:row>
      <xdr:rowOff>3787321</xdr:rowOff>
    </xdr:from>
    <xdr:to>
      <xdr:col>23</xdr:col>
      <xdr:colOff>158749</xdr:colOff>
      <xdr:row>44</xdr:row>
      <xdr:rowOff>158222</xdr:rowOff>
    </xdr:to>
    <xdr:graphicFrame macro="">
      <xdr:nvGraphicFramePr>
        <xdr:cNvPr id="2" name="Chart 1">
          <a:extLst>
            <a:ext uri="{FF2B5EF4-FFF2-40B4-BE49-F238E27FC236}">
              <a16:creationId xmlns:a16="http://schemas.microsoft.com/office/drawing/2014/main" id="{27C55C32-7782-4A6C-84F3-8567F395C21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1267538</xdr:colOff>
      <xdr:row>39</xdr:row>
      <xdr:rowOff>174993</xdr:rowOff>
    </xdr:from>
    <xdr:to>
      <xdr:col>8</xdr:col>
      <xdr:colOff>441912</xdr:colOff>
      <xdr:row>59</xdr:row>
      <xdr:rowOff>92197</xdr:rowOff>
    </xdr:to>
    <xdr:graphicFrame macro="">
      <xdr:nvGraphicFramePr>
        <xdr:cNvPr id="3" name="Chart 2">
          <a:extLst>
            <a:ext uri="{FF2B5EF4-FFF2-40B4-BE49-F238E27FC236}">
              <a16:creationId xmlns:a16="http://schemas.microsoft.com/office/drawing/2014/main" id="{4C776B73-E181-45CA-8800-61B3012DF35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globalforestwatch.org/dashboards/country/MEX?map=eyJkYXRhc2V0cyI6W3siZGF0YXNldCI6IjBiMDIwOGI2LWI0MjQtNGI1Ny05ODRmLWNhZGRmYTI1YmEyMiIsImxheWVycyI6WyJjYzM1NDMyZC0zOGQ3LTRhMDMtODcyZS0zYTcxYTJmNTU1ZmMiLCJiNDUzNTBlMy01YTc2LTQ0Y2QtYjBhOS01MDM4YTBkOGJmYWUiXSwiYm91bmRhcnkiOnRydWUsIm9wYWNpdHkiOjEsInZpc2liaWxpdHkiOnRydWV9LHsiZGF0YXNldCI6ImVhYjk2NTVmLWRkMzctNGJiMy1iMjIzLTRjNWRmMTY2NTY0YyIsImxheWVycyI6WyJkY2U4MDA0Zi00ZDBmLTRjMmQtYWU0Yi1kY2Y1NWUxNDAzNWYiXSwib3BhY2l0eSI6MSwidmlzaWJpbGl0eSI6dHJ1ZSwidGltZWxpbmVQYXJhbXMiOnsic3RhcnREYXRlIjoiMjAwMS0wMS0wMSIsImVuZERhdGUiOiIyMDAxLTEyLTMxIiwidHJpbUVuZERhdGUiOiIyMDAxLTEyLTMxIn0sInBhcmFtcyI6eyJ0aHJlc2giOjMwLCJ2aXNpYmlsaXR5Ijp0cnVlfX1dLCJjZW50ZXIiOnsibGF0IjoyMy45NDQ4MDEyNjA2Mjg2MSwibG5nIjotMTAyLjUyODI2MzA4OTk4ODkxfSwiYmVhcmluZyI6MCwicGl0Y2giOjAsInpvb20iOjIsImNhbkJvdW5kIjpmYWxzZSwiYmJveCI6W119&amp;showMap=true&amp;treeLoss=eyJpbnRlcmFjdGlvbiI6e30sImV4dGVudFllYXIiOjIwMDAsInN0YXJ0WWVhciI6MjAwMSwiZW5kWWVhciI6MjAwMX0%3D&amp;widget=treeLoss"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409F18-5576-4B1B-9D1E-A7CA6C25325A}">
  <dimension ref="A2:N31"/>
  <sheetViews>
    <sheetView zoomScale="103" zoomScaleNormal="162" workbookViewId="0">
      <selection activeCell="I24" sqref="I24:N31"/>
    </sheetView>
  </sheetViews>
  <sheetFormatPr baseColWidth="10" defaultColWidth="8.83203125" defaultRowHeight="15" x14ac:dyDescent="0.2"/>
  <cols>
    <col min="1" max="1" width="11.83203125" customWidth="1"/>
    <col min="2" max="2" width="15.83203125" bestFit="1" customWidth="1"/>
    <col min="3" max="3" width="22.1640625" bestFit="1" customWidth="1"/>
    <col min="4" max="4" width="14" customWidth="1"/>
    <col min="5" max="5" width="16.5" bestFit="1" customWidth="1"/>
    <col min="6" max="6" width="16.5" customWidth="1"/>
    <col min="9" max="9" width="11.83203125" customWidth="1"/>
    <col min="10" max="10" width="15.83203125" bestFit="1" customWidth="1"/>
    <col min="11" max="11" width="22.1640625" bestFit="1" customWidth="1"/>
    <col min="12" max="12" width="14" customWidth="1"/>
    <col min="13" max="13" width="16.5" bestFit="1" customWidth="1"/>
    <col min="14" max="14" width="16.5" customWidth="1"/>
  </cols>
  <sheetData>
    <row r="2" spans="1:14" x14ac:dyDescent="0.2">
      <c r="C2" s="182" t="s">
        <v>255</v>
      </c>
      <c r="D2" s="182"/>
      <c r="E2" s="182"/>
      <c r="F2" s="182"/>
      <c r="K2" s="182" t="s">
        <v>255</v>
      </c>
      <c r="L2" s="182"/>
      <c r="M2" s="182"/>
      <c r="N2" s="182"/>
    </row>
    <row r="3" spans="1:14" x14ac:dyDescent="0.2">
      <c r="C3" s="183" t="s">
        <v>48</v>
      </c>
      <c r="D3" s="181"/>
      <c r="E3" s="181" t="s">
        <v>47</v>
      </c>
      <c r="F3" s="181"/>
      <c r="K3" s="183" t="s">
        <v>48</v>
      </c>
      <c r="L3" s="181"/>
      <c r="M3" s="181" t="s">
        <v>47</v>
      </c>
      <c r="N3" s="181"/>
    </row>
    <row r="4" spans="1:14" ht="15" customHeight="1" x14ac:dyDescent="0.2">
      <c r="C4" s="57" t="s">
        <v>78</v>
      </c>
      <c r="D4" s="6" t="s">
        <v>79</v>
      </c>
      <c r="E4" s="6" t="s">
        <v>78</v>
      </c>
      <c r="F4" s="6" t="s">
        <v>79</v>
      </c>
      <c r="K4" s="156" t="s">
        <v>78</v>
      </c>
      <c r="L4" s="155" t="s">
        <v>79</v>
      </c>
      <c r="M4" s="155" t="s">
        <v>78</v>
      </c>
      <c r="N4" s="155" t="s">
        <v>79</v>
      </c>
    </row>
    <row r="5" spans="1:14" x14ac:dyDescent="0.2">
      <c r="A5" s="180" t="s">
        <v>163</v>
      </c>
      <c r="B5" s="2" t="s">
        <v>76</v>
      </c>
      <c r="C5" s="152">
        <f>NPV(6%,'Benefit-Cost Total'!C85:V85)-NPV(6%,'Benefit-Cost Total'!C113:V113)</f>
        <v>101430579.20098069</v>
      </c>
      <c r="D5" s="58">
        <f>NPV(6%,'Benefit-Cost Total'!C85:V85)/NPV(6%,'Benefit-Cost Total'!C113:V113)</f>
        <v>2.935231753510227</v>
      </c>
      <c r="E5" s="154">
        <f>NPV(6%,'Benefit-Cost Total'!C97:V97)-NPV(6%,'Benefit-Cost Total'!C113:V113)</f>
        <v>63961536.012345098</v>
      </c>
      <c r="F5" s="58">
        <f>NPV(6%,'Benefit-Cost Total'!C97:V97)/NPV(6%,'Benefit-Cost Total'!C113:V113)</f>
        <v>2.2203459397497096</v>
      </c>
      <c r="I5" s="180" t="s">
        <v>163</v>
      </c>
      <c r="J5" s="2" t="s">
        <v>76</v>
      </c>
      <c r="K5" s="152">
        <v>101430579.20098069</v>
      </c>
      <c r="L5" s="58">
        <v>2.935231753510227</v>
      </c>
      <c r="M5" s="154">
        <v>63961536.012345098</v>
      </c>
      <c r="N5" s="58">
        <v>2.2203459397497096</v>
      </c>
    </row>
    <row r="6" spans="1:14" ht="15" customHeight="1" x14ac:dyDescent="0.2">
      <c r="A6" s="181"/>
      <c r="B6" s="2" t="s">
        <v>77</v>
      </c>
      <c r="C6" s="152">
        <f>NPV(9%,'Benefit-Cost Total'!C85:V85)-NPV(9%,'Benefit-Cost Total'!C113:V113)</f>
        <v>78969159.547130942</v>
      </c>
      <c r="D6" s="58">
        <f>NPV(9%,'Benefit-Cost Total'!C85:V85)/NPV(9%,'Benefit-Cost Total'!C113:V113)</f>
        <v>2.9395945727994626</v>
      </c>
      <c r="E6" s="154">
        <f>NPV(9%,'Benefit-Cost Total'!C98:V98)-NPV(9%,'Benefit-Cost Total'!C114:V114)</f>
        <v>58680308.268206514</v>
      </c>
      <c r="F6" s="58">
        <f>'Benefit-Cost Total'!C99/'Benefit-Cost Total'!C115</f>
        <v>2.2425793201780162</v>
      </c>
      <c r="I6" s="181"/>
      <c r="J6" s="2" t="s">
        <v>77</v>
      </c>
      <c r="K6" s="152">
        <v>78969159.547130942</v>
      </c>
      <c r="L6" s="58">
        <v>2.9395945727994626</v>
      </c>
      <c r="M6" s="154">
        <v>58680308.268206514</v>
      </c>
      <c r="N6" s="58">
        <v>2.2425793201780162</v>
      </c>
    </row>
    <row r="7" spans="1:14" x14ac:dyDescent="0.2">
      <c r="A7" s="180" t="s">
        <v>162</v>
      </c>
      <c r="B7" s="2" t="s">
        <v>76</v>
      </c>
      <c r="C7" s="153">
        <v>68249425.007926747</v>
      </c>
      <c r="D7" s="58">
        <v>1.8048817030495887</v>
      </c>
      <c r="E7" s="154">
        <v>5475593.0442863405</v>
      </c>
      <c r="F7" s="58">
        <v>1.0645749712056887</v>
      </c>
      <c r="I7" s="180" t="s">
        <v>162</v>
      </c>
      <c r="J7" s="2" t="s">
        <v>76</v>
      </c>
      <c r="K7" s="153">
        <v>74016526.95506978</v>
      </c>
      <c r="L7" s="58">
        <v>2.4121888524778505</v>
      </c>
      <c r="M7" s="154">
        <v>36547483.7664342</v>
      </c>
      <c r="N7" s="58">
        <v>1.6973030387173336</v>
      </c>
    </row>
    <row r="8" spans="1:14" ht="15" customHeight="1" x14ac:dyDescent="0.2">
      <c r="A8" s="181"/>
      <c r="B8" s="2" t="s">
        <v>77</v>
      </c>
      <c r="C8" s="152">
        <v>51682327.257387951</v>
      </c>
      <c r="D8" s="58">
        <v>1.7892269220412207</v>
      </c>
      <c r="E8" s="154">
        <v>42554975.73028671</v>
      </c>
      <c r="F8" s="58">
        <v>1.0631966909353001</v>
      </c>
      <c r="I8" s="181"/>
      <c r="J8" s="2" t="s">
        <v>77</v>
      </c>
      <c r="K8" s="152">
        <v>57151186.857270777</v>
      </c>
      <c r="L8" s="58">
        <v>2.403714215690139</v>
      </c>
      <c r="M8" s="154">
        <v>33529801.620581828</v>
      </c>
      <c r="N8" s="58">
        <v>1.7066989630686913</v>
      </c>
    </row>
    <row r="9" spans="1:14" x14ac:dyDescent="0.2">
      <c r="A9" s="180" t="s">
        <v>185</v>
      </c>
      <c r="B9" s="2" t="s">
        <v>76</v>
      </c>
      <c r="C9" s="152">
        <v>38186511.90858151</v>
      </c>
      <c r="D9" s="58">
        <v>1.4503426180503753</v>
      </c>
      <c r="E9" s="154">
        <v>-24587320.0550589</v>
      </c>
      <c r="F9" s="58">
        <v>0.71003588620647506</v>
      </c>
      <c r="I9" s="180" t="s">
        <v>185</v>
      </c>
      <c r="J9" s="2" t="s">
        <v>76</v>
      </c>
      <c r="K9" s="152">
        <v>23314237.326257624</v>
      </c>
      <c r="L9" s="58">
        <v>1.4448210070184722</v>
      </c>
      <c r="M9" s="154">
        <v>-14154805.862377949</v>
      </c>
      <c r="N9" s="58">
        <v>0.72993519325795519</v>
      </c>
    </row>
    <row r="10" spans="1:14" x14ac:dyDescent="0.2">
      <c r="A10" s="181"/>
      <c r="B10" s="2" t="s">
        <v>77</v>
      </c>
      <c r="C10" s="152">
        <v>27756210.421559975</v>
      </c>
      <c r="D10" s="58">
        <v>1.4238576256336211</v>
      </c>
      <c r="E10" s="154">
        <v>42554975.73028671</v>
      </c>
      <c r="F10" s="58">
        <v>0.69782739452770126</v>
      </c>
      <c r="I10" s="181"/>
      <c r="J10" s="2" t="s">
        <v>77</v>
      </c>
      <c r="K10" s="152">
        <v>16798846.367374308</v>
      </c>
      <c r="L10" s="58">
        <v>1.4126034952164432</v>
      </c>
      <c r="M10" s="154">
        <v>-12986060.424199954</v>
      </c>
      <c r="N10" s="58">
        <v>0.71558824259499609</v>
      </c>
    </row>
    <row r="12" spans="1:14" x14ac:dyDescent="0.2">
      <c r="C12" s="182" t="s">
        <v>256</v>
      </c>
      <c r="D12" s="182"/>
      <c r="E12" s="182"/>
      <c r="F12" s="182"/>
      <c r="K12" s="182" t="s">
        <v>256</v>
      </c>
      <c r="L12" s="182"/>
      <c r="M12" s="182"/>
      <c r="N12" s="182"/>
    </row>
    <row r="13" spans="1:14" x14ac:dyDescent="0.2">
      <c r="C13" s="183" t="s">
        <v>48</v>
      </c>
      <c r="D13" s="181"/>
      <c r="E13" s="181" t="s">
        <v>47</v>
      </c>
      <c r="F13" s="181"/>
      <c r="K13" s="183" t="s">
        <v>48</v>
      </c>
      <c r="L13" s="181"/>
      <c r="M13" s="181" t="s">
        <v>47</v>
      </c>
      <c r="N13" s="181"/>
    </row>
    <row r="14" spans="1:14" x14ac:dyDescent="0.2">
      <c r="C14" s="57" t="s">
        <v>78</v>
      </c>
      <c r="D14" s="6" t="s">
        <v>79</v>
      </c>
      <c r="E14" s="6" t="s">
        <v>78</v>
      </c>
      <c r="F14" s="6" t="s">
        <v>79</v>
      </c>
      <c r="K14" s="156" t="s">
        <v>78</v>
      </c>
      <c r="L14" s="155" t="s">
        <v>79</v>
      </c>
      <c r="M14" s="155" t="s">
        <v>78</v>
      </c>
      <c r="N14" s="155" t="s">
        <v>79</v>
      </c>
    </row>
    <row r="15" spans="1:14" x14ac:dyDescent="0.2">
      <c r="A15" s="180" t="s">
        <v>163</v>
      </c>
      <c r="B15" s="2" t="s">
        <v>76</v>
      </c>
      <c r="C15" s="154">
        <f>NPV(6%,'Benefit-Cost Total'!C85:Q85)-NPV(6%,'Benefit-Cost Total'!C113:Q113)</f>
        <v>83639613.906609833</v>
      </c>
      <c r="D15" s="58">
        <f>NPV(6%,'Benefit-Cost Total'!C85:Q85)/NPV(6%,'Benefit-Cost Total'!C113:Q113)</f>
        <v>2.9102147027609169</v>
      </c>
      <c r="E15" s="154">
        <f>NPV(6%,'Benefit-Cost Total'!C97:Q97)-NPV(6%,'Benefit-Cost Total'!C113:Q113)</f>
        <v>53400105.016903497</v>
      </c>
      <c r="F15" s="58">
        <f>NPV(6%,'Benefit-Cost Total'!C97:Q97)/NPV(6%,'Benefit-Cost Total'!C113:Q113)</f>
        <v>2.2195855643973128</v>
      </c>
      <c r="I15" s="180" t="s">
        <v>163</v>
      </c>
      <c r="J15" s="2" t="s">
        <v>76</v>
      </c>
      <c r="K15" s="154">
        <v>83639613.906609833</v>
      </c>
      <c r="L15" s="58">
        <v>2.9102147027609169</v>
      </c>
      <c r="M15" s="154">
        <v>53400105.016903497</v>
      </c>
      <c r="N15" s="58">
        <v>2.2195855643973128</v>
      </c>
    </row>
    <row r="16" spans="1:14" x14ac:dyDescent="0.2">
      <c r="A16" s="181"/>
      <c r="B16" s="2" t="s">
        <v>77</v>
      </c>
      <c r="C16" s="154">
        <f>NPV(9%,'Benefit-Cost Total'!C85:L85)-NPV(9%,'Benefit-Cost Total'!C113:L113)</f>
        <v>51529849.243128628</v>
      </c>
      <c r="D16" s="58">
        <f>NPV(9%,'Benefit-Cost Total'!C85:L85)/NPV(9%,'Benefit-Cost Total'!C113:L113)</f>
        <v>2.8800735687589771</v>
      </c>
      <c r="E16" s="154">
        <f>NPV(9%,'Benefit-Cost Total'!C97:Q97)-NPV(9%,'Benefit-Cost Total'!C113:Q113)</f>
        <v>44174200.566597238</v>
      </c>
      <c r="F16" s="58">
        <f>NPV(9%,'Benefit-Cost Total'!C97:Q97)/NPV(9%,'Benefit-Cost Total'!C113:Q113)</f>
        <v>2.2452942389290267</v>
      </c>
      <c r="I16" s="181"/>
      <c r="J16" s="2" t="s">
        <v>77</v>
      </c>
      <c r="K16" s="154">
        <v>51529849.243128628</v>
      </c>
      <c r="L16" s="58">
        <v>2.8800735687589771</v>
      </c>
      <c r="M16" s="154">
        <v>44174200.566597238</v>
      </c>
      <c r="N16" s="58">
        <v>2.2452942389290267</v>
      </c>
    </row>
    <row r="17" spans="1:14" x14ac:dyDescent="0.2">
      <c r="A17" s="180" t="s">
        <v>162</v>
      </c>
      <c r="B17" s="2" t="s">
        <v>76</v>
      </c>
      <c r="C17" s="154">
        <f>NPV(6%,'Benefit-Cost Total'!C87:Q87)-NPV(6%,'Benefit-Cost Total'!C115:Q115)</f>
        <v>74499207.119934842</v>
      </c>
      <c r="D17" s="58">
        <v>1.7723923330001683</v>
      </c>
      <c r="E17" s="154">
        <v>3728534.2852151692</v>
      </c>
      <c r="F17" s="58">
        <v>1.0529485684486581</v>
      </c>
      <c r="I17" s="180" t="s">
        <v>162</v>
      </c>
      <c r="J17" s="2" t="s">
        <v>76</v>
      </c>
      <c r="K17" s="154">
        <v>60426542.421491854</v>
      </c>
      <c r="L17" s="58">
        <v>2.3800598111251929</v>
      </c>
      <c r="M17" s="154">
        <v>30187033.53178554</v>
      </c>
      <c r="N17" s="58">
        <v>1.6894306727615889</v>
      </c>
    </row>
    <row r="18" spans="1:14" x14ac:dyDescent="0.2">
      <c r="A18" s="181"/>
      <c r="B18" s="2" t="s">
        <v>77</v>
      </c>
      <c r="C18" s="154">
        <v>30307242.294911906</v>
      </c>
      <c r="D18" s="58">
        <v>1.6997438609121693</v>
      </c>
      <c r="E18" s="154">
        <v>3077010.3483840376</v>
      </c>
      <c r="F18" s="58">
        <v>1.0542199184302981</v>
      </c>
      <c r="I18" s="181"/>
      <c r="J18" s="2" t="s">
        <v>77</v>
      </c>
      <c r="K18" s="154">
        <v>36191121.089427099</v>
      </c>
      <c r="L18" s="58">
        <v>2.3204379827107822</v>
      </c>
      <c r="M18" s="154">
        <v>24908494.24279435</v>
      </c>
      <c r="N18" s="58">
        <v>1.7021837177151657</v>
      </c>
    </row>
    <row r="19" spans="1:14" x14ac:dyDescent="0.2">
      <c r="A19" s="180" t="s">
        <v>185</v>
      </c>
      <c r="B19" s="2" t="s">
        <v>76</v>
      </c>
      <c r="C19" s="154">
        <v>28934336.431172282</v>
      </c>
      <c r="D19" s="58">
        <v>1.4108938193534715</v>
      </c>
      <c r="E19" s="154">
        <v>-21727481.650191918</v>
      </c>
      <c r="F19" s="58">
        <v>0.6914500548019612</v>
      </c>
      <c r="I19" s="180" t="s">
        <v>185</v>
      </c>
      <c r="J19" s="2" t="s">
        <v>76</v>
      </c>
      <c r="K19" s="154">
        <v>17493966.709766231</v>
      </c>
      <c r="L19" s="58">
        <v>1.3995383390449223</v>
      </c>
      <c r="M19" s="154">
        <v>-12745542.179940082</v>
      </c>
      <c r="N19" s="58">
        <v>0.70890920068131835</v>
      </c>
    </row>
    <row r="20" spans="1:14" x14ac:dyDescent="0.2">
      <c r="A20" s="181"/>
      <c r="B20" s="2" t="s">
        <v>77</v>
      </c>
      <c r="C20" s="154">
        <v>13486421.811942555</v>
      </c>
      <c r="D20" s="58">
        <v>1.3113790683015427</v>
      </c>
      <c r="E20" s="154">
        <v>-18050229.42684415</v>
      </c>
      <c r="F20" s="58">
        <v>0.6819373819507516</v>
      </c>
      <c r="I20" s="181"/>
      <c r="J20" s="2" t="s">
        <v>77</v>
      </c>
      <c r="K20" s="154">
        <v>7822143.3691561371</v>
      </c>
      <c r="L20" s="58">
        <v>1.2853919663146458</v>
      </c>
      <c r="M20" s="154">
        <v>-10723429.603079092</v>
      </c>
      <c r="N20" s="58">
        <v>0.69770080873013018</v>
      </c>
    </row>
    <row r="23" spans="1:14" x14ac:dyDescent="0.2">
      <c r="C23" s="182" t="s">
        <v>257</v>
      </c>
      <c r="D23" s="182"/>
      <c r="E23" s="182"/>
      <c r="F23" s="182"/>
      <c r="K23" s="182" t="s">
        <v>257</v>
      </c>
      <c r="L23" s="182"/>
      <c r="M23" s="182"/>
      <c r="N23" s="182"/>
    </row>
    <row r="24" spans="1:14" x14ac:dyDescent="0.2">
      <c r="C24" s="183" t="s">
        <v>48</v>
      </c>
      <c r="D24" s="181"/>
      <c r="E24" s="181" t="s">
        <v>47</v>
      </c>
      <c r="F24" s="181"/>
      <c r="K24" s="183" t="s">
        <v>48</v>
      </c>
      <c r="L24" s="181"/>
      <c r="M24" s="181" t="s">
        <v>47</v>
      </c>
      <c r="N24" s="181"/>
    </row>
    <row r="25" spans="1:14" x14ac:dyDescent="0.2">
      <c r="C25" s="57" t="s">
        <v>78</v>
      </c>
      <c r="D25" s="118" t="s">
        <v>79</v>
      </c>
      <c r="E25" s="118" t="s">
        <v>78</v>
      </c>
      <c r="F25" s="118" t="s">
        <v>79</v>
      </c>
      <c r="K25" s="156" t="s">
        <v>78</v>
      </c>
      <c r="L25" s="156" t="s">
        <v>79</v>
      </c>
      <c r="M25" s="156" t="s">
        <v>78</v>
      </c>
      <c r="N25" s="156" t="s">
        <v>79</v>
      </c>
    </row>
    <row r="26" spans="1:14" x14ac:dyDescent="0.2">
      <c r="A26" s="180" t="s">
        <v>163</v>
      </c>
      <c r="B26" s="2" t="s">
        <v>76</v>
      </c>
      <c r="C26" s="154">
        <f>NPV(6%,'Benefit-Cost Total'!C85:L85)-NPV(6%,'Benefit-Cost Total'!C113:L113)</f>
        <v>59831289.09948884</v>
      </c>
      <c r="D26" s="58">
        <f>NPV(6%,'Benefit-Cost Total'!C85:L85)/NPV(6%,'Benefit-Cost Total'!C113:L113)</f>
        <v>2.8557892982149555</v>
      </c>
      <c r="E26" s="154">
        <f>NPV(6%,'Benefit-Cost Total'!C97:L97)-NPV(6%,'Benefit-Cost Total'!C113:L113)</f>
        <v>39266527.922746137</v>
      </c>
      <c r="F26" s="58">
        <f>NPV(6%,'Benefit-Cost Total'!C97:L97)/NPV(6%,'Benefit-Cost Total'!C113:L113)</f>
        <v>2.2179313431793259</v>
      </c>
      <c r="I26" s="180" t="s">
        <v>163</v>
      </c>
      <c r="J26" s="2" t="s">
        <v>76</v>
      </c>
      <c r="K26" s="154">
        <v>59831289.09948884</v>
      </c>
      <c r="L26" s="58">
        <v>2.8557892982149555</v>
      </c>
      <c r="M26" s="154">
        <v>39266527.922746137</v>
      </c>
      <c r="N26" s="58">
        <v>2.2179313431793259</v>
      </c>
    </row>
    <row r="27" spans="1:14" x14ac:dyDescent="0.2">
      <c r="A27" s="181"/>
      <c r="B27" s="2" t="s">
        <v>77</v>
      </c>
      <c r="C27" s="154">
        <f>NPV(9%,'Benefit-Cost Total'!C85:L85)-NPV(9%,'Benefit-Cost Total'!C113:L113)</f>
        <v>51529849.243128628</v>
      </c>
      <c r="D27" s="58">
        <f>NPV(9%,'Benefit-Cost Total'!C85:L85)/NPV(9%,'Benefit-Cost Total'!C113:L113)</f>
        <v>2.8800735687589771</v>
      </c>
      <c r="E27" s="154">
        <f>NPV(9%,'Benefit-Cost Total'!C97:L97)-NPV(9%,'Benefit-Cost Total'!C113:L113)</f>
        <v>34301622.869692303</v>
      </c>
      <c r="F27" s="58">
        <f>NPV(9%,'Benefit-Cost Total'!C97:L97)/NPV(9%,'Benefit-Cost Total'!C113:L113)</f>
        <v>2.2514993827863075</v>
      </c>
      <c r="I27" s="181"/>
      <c r="J27" s="2" t="s">
        <v>77</v>
      </c>
      <c r="K27" s="154">
        <v>51529849.243128628</v>
      </c>
      <c r="L27" s="58">
        <v>2.8800735687589771</v>
      </c>
      <c r="M27" s="154">
        <v>34301622.869692303</v>
      </c>
      <c r="N27" s="58">
        <v>2.2514993827863075</v>
      </c>
    </row>
    <row r="28" spans="1:14" x14ac:dyDescent="0.2">
      <c r="A28" s="180" t="s">
        <v>162</v>
      </c>
      <c r="B28" s="2" t="s">
        <v>76</v>
      </c>
      <c r="C28" s="154">
        <v>35843786.876111925</v>
      </c>
      <c r="D28" s="58">
        <v>1.7003573642367531</v>
      </c>
      <c r="E28" s="154">
        <v>1390575.5682559982</v>
      </c>
      <c r="F28" s="58">
        <v>1.0271706737661932</v>
      </c>
      <c r="I28" s="180" t="s">
        <v>162</v>
      </c>
      <c r="J28" s="2" t="s">
        <v>76</v>
      </c>
      <c r="K28" s="154">
        <v>42240077.519469485</v>
      </c>
      <c r="L28" s="58">
        <v>2.3101620405680228</v>
      </c>
      <c r="M28" s="154">
        <v>21675316.342726797</v>
      </c>
      <c r="N28" s="58">
        <v>1.6723040855323936</v>
      </c>
    </row>
    <row r="29" spans="1:14" x14ac:dyDescent="0.2">
      <c r="A29" s="181"/>
      <c r="B29" s="2" t="s">
        <v>77</v>
      </c>
      <c r="C29" s="154">
        <v>30307242.294911906</v>
      </c>
      <c r="D29" s="58">
        <v>1.6997438609121693</v>
      </c>
      <c r="E29" s="154">
        <v>1443900.843863979</v>
      </c>
      <c r="F29" s="58">
        <v>1.0333372710531747</v>
      </c>
      <c r="I29" s="181"/>
      <c r="J29" s="2" t="s">
        <v>77</v>
      </c>
      <c r="K29" s="154">
        <v>36191121.089427099</v>
      </c>
      <c r="L29" s="58">
        <v>2.3204379827107822</v>
      </c>
      <c r="M29" s="154">
        <v>18962894.715990782</v>
      </c>
      <c r="N29" s="58">
        <v>1.6918637967381127</v>
      </c>
    </row>
    <row r="30" spans="1:14" x14ac:dyDescent="0.2">
      <c r="A30" s="180" t="s">
        <v>185</v>
      </c>
      <c r="B30" s="2" t="s">
        <v>76</v>
      </c>
      <c r="C30" s="154">
        <v>16552838.558859766</v>
      </c>
      <c r="D30" s="58">
        <v>1.3234285044654588</v>
      </c>
      <c r="E30" s="154">
        <v>-17900372.748996157</v>
      </c>
      <c r="F30" s="58">
        <v>0.65024181399489911</v>
      </c>
      <c r="I30" s="180" t="s">
        <v>185</v>
      </c>
      <c r="J30" s="2" t="s">
        <v>76</v>
      </c>
      <c r="K30" s="154">
        <v>9705131.7022237256</v>
      </c>
      <c r="L30" s="58">
        <v>1.3010244275500218</v>
      </c>
      <c r="M30" s="154">
        <v>-10859629.474518966</v>
      </c>
      <c r="N30" s="58">
        <v>0.66316647251439254</v>
      </c>
    </row>
    <row r="31" spans="1:14" x14ac:dyDescent="0.2">
      <c r="A31" s="181"/>
      <c r="B31" s="2" t="s">
        <v>77</v>
      </c>
      <c r="C31" s="154">
        <v>13486421.811942555</v>
      </c>
      <c r="D31" s="58">
        <v>1.3113790683015427</v>
      </c>
      <c r="E31" s="154">
        <v>-15376919.639105354</v>
      </c>
      <c r="F31" s="58">
        <v>0.64497247844254846</v>
      </c>
      <c r="I31" s="181"/>
      <c r="J31" s="2" t="s">
        <v>77</v>
      </c>
      <c r="K31" s="154">
        <v>7822143.3691561371</v>
      </c>
      <c r="L31" s="58">
        <v>1.2853919663146458</v>
      </c>
      <c r="M31" s="154">
        <v>-9406083.0042801909</v>
      </c>
      <c r="N31" s="58">
        <v>0.65681778034197624</v>
      </c>
    </row>
  </sheetData>
  <mergeCells count="36">
    <mergeCell ref="I28:I29"/>
    <mergeCell ref="I30:I31"/>
    <mergeCell ref="K2:N2"/>
    <mergeCell ref="M3:N3"/>
    <mergeCell ref="I5:I6"/>
    <mergeCell ref="I7:I8"/>
    <mergeCell ref="I9:I10"/>
    <mergeCell ref="K12:N12"/>
    <mergeCell ref="M13:N13"/>
    <mergeCell ref="I15:I16"/>
    <mergeCell ref="I17:I18"/>
    <mergeCell ref="I19:I20"/>
    <mergeCell ref="K23:N23"/>
    <mergeCell ref="M24:N24"/>
    <mergeCell ref="I26:I27"/>
    <mergeCell ref="K24:L24"/>
    <mergeCell ref="K13:L13"/>
    <mergeCell ref="K3:L3"/>
    <mergeCell ref="A26:A27"/>
    <mergeCell ref="A7:A8"/>
    <mergeCell ref="A17:A18"/>
    <mergeCell ref="A15:A16"/>
    <mergeCell ref="A30:A31"/>
    <mergeCell ref="A28:A29"/>
    <mergeCell ref="C2:F2"/>
    <mergeCell ref="C12:F12"/>
    <mergeCell ref="C13:D13"/>
    <mergeCell ref="E13:F13"/>
    <mergeCell ref="C23:F23"/>
    <mergeCell ref="A5:A6"/>
    <mergeCell ref="C24:D24"/>
    <mergeCell ref="E24:F24"/>
    <mergeCell ref="C3:D3"/>
    <mergeCell ref="E3:F3"/>
    <mergeCell ref="A9:A10"/>
    <mergeCell ref="A19:A2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E55DBD-C6D7-4043-A843-C2DC1A8A678B}">
  <dimension ref="A1:Y125"/>
  <sheetViews>
    <sheetView tabSelected="1" topLeftCell="A86" zoomScaleNormal="100" workbookViewId="0">
      <selection activeCell="B99" sqref="B99"/>
    </sheetView>
  </sheetViews>
  <sheetFormatPr baseColWidth="10" defaultColWidth="8.83203125" defaultRowHeight="15" x14ac:dyDescent="0.2"/>
  <cols>
    <col min="1" max="1" width="26" customWidth="1"/>
    <col min="2" max="2" width="65.33203125" customWidth="1"/>
    <col min="3" max="3" width="30.83203125" customWidth="1"/>
    <col min="4" max="4" width="34.6640625" customWidth="1"/>
    <col min="5" max="5" width="48.5" bestFit="1" customWidth="1"/>
    <col min="6" max="6" width="58.1640625" customWidth="1"/>
    <col min="7" max="7" width="33.6640625" customWidth="1"/>
    <col min="8" max="8" width="28.5" customWidth="1"/>
    <col min="9" max="9" width="21" customWidth="1"/>
    <col min="10" max="10" width="27.5" customWidth="1"/>
    <col min="11" max="11" width="17" bestFit="1" customWidth="1"/>
    <col min="12" max="12" width="17" customWidth="1"/>
    <col min="13" max="22" width="17" bestFit="1" customWidth="1"/>
    <col min="23" max="23" width="11.1640625" bestFit="1" customWidth="1"/>
    <col min="25" max="25" width="12.1640625" bestFit="1" customWidth="1"/>
  </cols>
  <sheetData>
    <row r="1" spans="2:11" x14ac:dyDescent="0.2">
      <c r="G1" s="31" t="s">
        <v>48</v>
      </c>
      <c r="H1" s="31" t="s">
        <v>47</v>
      </c>
    </row>
    <row r="2" spans="2:11" ht="15.75" customHeight="1" x14ac:dyDescent="0.2">
      <c r="F2" s="30" t="s">
        <v>50</v>
      </c>
      <c r="G2" s="31" t="s">
        <v>56</v>
      </c>
      <c r="H2" s="31" t="s">
        <v>51</v>
      </c>
    </row>
    <row r="3" spans="2:11" ht="15.75" customHeight="1" x14ac:dyDescent="0.2">
      <c r="F3" s="2" t="s">
        <v>52</v>
      </c>
      <c r="G3" s="2"/>
      <c r="H3" s="25">
        <v>28.1</v>
      </c>
    </row>
    <row r="4" spans="2:11" ht="15.75" customHeight="1" x14ac:dyDescent="0.2">
      <c r="F4" s="2" t="s">
        <v>53</v>
      </c>
      <c r="G4" s="2"/>
      <c r="H4" s="25">
        <v>3</v>
      </c>
    </row>
    <row r="5" spans="2:11" ht="30" customHeight="1" x14ac:dyDescent="0.2">
      <c r="B5" s="36" t="s">
        <v>18</v>
      </c>
      <c r="C5" s="37" t="s">
        <v>19</v>
      </c>
      <c r="F5" s="2" t="s">
        <v>54</v>
      </c>
      <c r="G5" s="2"/>
      <c r="H5" s="25">
        <v>26.2</v>
      </c>
    </row>
    <row r="6" spans="2:11" ht="15.75" customHeight="1" x14ac:dyDescent="0.2">
      <c r="B6" s="2" t="s">
        <v>20</v>
      </c>
      <c r="C6" s="17">
        <v>5</v>
      </c>
      <c r="F6" s="2" t="s">
        <v>55</v>
      </c>
      <c r="G6" s="2"/>
      <c r="H6" s="25">
        <v>86.4</v>
      </c>
    </row>
    <row r="7" spans="2:11" ht="15.75" customHeight="1" x14ac:dyDescent="0.2">
      <c r="B7" s="2" t="s">
        <v>21</v>
      </c>
      <c r="C7" s="17">
        <f>C6*(C6+1)/2</f>
        <v>15</v>
      </c>
      <c r="F7" s="30" t="s">
        <v>16</v>
      </c>
      <c r="G7" s="35">
        <v>293</v>
      </c>
      <c r="H7" s="35">
        <f>SUM(H3:H6)</f>
        <v>143.69999999999999</v>
      </c>
    </row>
    <row r="8" spans="2:11" ht="15.75" customHeight="1" x14ac:dyDescent="0.2">
      <c r="B8" s="117" t="s">
        <v>49</v>
      </c>
      <c r="C8" s="21">
        <v>0.1</v>
      </c>
    </row>
    <row r="9" spans="2:11" x14ac:dyDescent="0.2">
      <c r="B9" s="20" t="s">
        <v>132</v>
      </c>
      <c r="C9" s="108">
        <v>5.0000000000000001E-3</v>
      </c>
      <c r="F9" s="111" t="s">
        <v>135</v>
      </c>
      <c r="G9" s="112" t="s">
        <v>136</v>
      </c>
      <c r="H9" s="112" t="s">
        <v>137</v>
      </c>
      <c r="I9" s="112" t="s">
        <v>138</v>
      </c>
    </row>
    <row r="10" spans="2:11" ht="48" x14ac:dyDescent="0.2">
      <c r="F10" s="113" t="s">
        <v>142</v>
      </c>
      <c r="G10" s="114">
        <v>60</v>
      </c>
      <c r="H10" s="93" t="s">
        <v>139</v>
      </c>
      <c r="I10" s="92" t="s">
        <v>140</v>
      </c>
    </row>
    <row r="11" spans="2:11" x14ac:dyDescent="0.2">
      <c r="F11" s="115" t="s">
        <v>141</v>
      </c>
      <c r="G11" s="93">
        <v>100</v>
      </c>
      <c r="H11" s="93"/>
      <c r="I11" s="116"/>
    </row>
    <row r="13" spans="2:11" ht="48" x14ac:dyDescent="0.2">
      <c r="B13" s="38" t="s">
        <v>209</v>
      </c>
      <c r="C13" s="37" t="s">
        <v>22</v>
      </c>
      <c r="D13" s="39" t="s">
        <v>23</v>
      </c>
      <c r="F13" s="32"/>
      <c r="G13" s="40" t="s">
        <v>25</v>
      </c>
      <c r="H13" s="33" t="s">
        <v>24</v>
      </c>
      <c r="I13" s="34" t="s">
        <v>26</v>
      </c>
      <c r="J13" s="188" t="s">
        <v>64</v>
      </c>
      <c r="K13" s="188"/>
    </row>
    <row r="14" spans="2:11" ht="32" x14ac:dyDescent="0.2">
      <c r="B14" s="18" t="s">
        <v>17</v>
      </c>
      <c r="C14" s="19">
        <f>G24</f>
        <v>268058.69</v>
      </c>
      <c r="D14" s="19">
        <f>C14/$C$7</f>
        <v>17870.579333333335</v>
      </c>
      <c r="F14" s="149" t="s">
        <v>175</v>
      </c>
      <c r="G14" s="19">
        <v>1911</v>
      </c>
      <c r="H14" s="48">
        <f>G14*$G$21</f>
        <v>78.350999999999999</v>
      </c>
      <c r="I14" s="150" t="s">
        <v>27</v>
      </c>
      <c r="J14" s="189" t="s">
        <v>66</v>
      </c>
      <c r="K14" s="190"/>
    </row>
    <row r="15" spans="2:11" x14ac:dyDescent="0.2">
      <c r="B15" s="54" t="s">
        <v>67</v>
      </c>
      <c r="C15" s="55">
        <v>6000</v>
      </c>
      <c r="D15" s="55">
        <f>C15/$C$7</f>
        <v>400</v>
      </c>
      <c r="F15" s="149" t="s">
        <v>93</v>
      </c>
      <c r="G15" s="150">
        <f>1000*0.172</f>
        <v>172</v>
      </c>
      <c r="H15" s="48">
        <f>G15*$G$21</f>
        <v>7.0520000000000005</v>
      </c>
      <c r="I15" s="150" t="s">
        <v>27</v>
      </c>
      <c r="J15" s="190" t="s">
        <v>65</v>
      </c>
      <c r="K15" s="190"/>
    </row>
    <row r="16" spans="2:11" ht="31.5" customHeight="1" x14ac:dyDescent="0.2">
      <c r="B16" s="56" t="s">
        <v>68</v>
      </c>
      <c r="C16" s="55">
        <v>2000</v>
      </c>
      <c r="D16" s="55">
        <f>C16/$C$7</f>
        <v>133.33333333333334</v>
      </c>
      <c r="F16" s="149" t="s">
        <v>94</v>
      </c>
      <c r="G16" s="19">
        <v>5610</v>
      </c>
      <c r="H16" s="48">
        <f>G16*$G$21</f>
        <v>230.01000000000002</v>
      </c>
      <c r="I16" s="150" t="s">
        <v>27</v>
      </c>
      <c r="J16" s="189" t="s">
        <v>186</v>
      </c>
      <c r="K16" s="190"/>
    </row>
    <row r="17" spans="2:11" x14ac:dyDescent="0.2">
      <c r="B17" s="56" t="s">
        <v>69</v>
      </c>
      <c r="C17" s="55">
        <v>4000</v>
      </c>
      <c r="D17" s="55">
        <f>C17/$C$7</f>
        <v>266.66666666666669</v>
      </c>
      <c r="F17" s="144" t="s">
        <v>88</v>
      </c>
      <c r="G17" s="19">
        <v>1333</v>
      </c>
      <c r="H17" s="48">
        <f>G17*$G$21</f>
        <v>54.653000000000006</v>
      </c>
      <c r="I17" s="150" t="s">
        <v>27</v>
      </c>
      <c r="J17" s="180" t="s">
        <v>187</v>
      </c>
      <c r="K17" s="181"/>
    </row>
    <row r="18" spans="2:11" x14ac:dyDescent="0.2">
      <c r="B18" s="16" t="s">
        <v>70</v>
      </c>
      <c r="C18" s="49">
        <v>0.7</v>
      </c>
      <c r="D18" s="19"/>
      <c r="F18" s="144" t="s">
        <v>206</v>
      </c>
      <c r="G18" s="3">
        <v>2951</v>
      </c>
      <c r="H18" s="48">
        <f>G18*$G$21</f>
        <v>120.991</v>
      </c>
      <c r="I18" s="150" t="s">
        <v>27</v>
      </c>
      <c r="J18" s="181"/>
      <c r="K18" s="181"/>
    </row>
    <row r="19" spans="2:11" x14ac:dyDescent="0.2">
      <c r="B19" s="105"/>
      <c r="C19" s="106"/>
      <c r="D19" s="107"/>
    </row>
    <row r="20" spans="2:11" x14ac:dyDescent="0.2">
      <c r="B20" s="105"/>
      <c r="C20" s="106"/>
      <c r="D20" s="107"/>
    </row>
    <row r="21" spans="2:11" x14ac:dyDescent="0.2">
      <c r="B21" s="105"/>
      <c r="C21" s="106"/>
      <c r="D21" s="107"/>
      <c r="F21" s="16" t="s">
        <v>57</v>
      </c>
      <c r="G21" s="17">
        <v>4.1000000000000002E-2</v>
      </c>
    </row>
    <row r="22" spans="2:11" x14ac:dyDescent="0.2">
      <c r="B22" s="29"/>
    </row>
    <row r="23" spans="2:11" ht="16" x14ac:dyDescent="0.2">
      <c r="B23" s="38" t="s">
        <v>118</v>
      </c>
      <c r="C23" s="96" t="s">
        <v>6</v>
      </c>
      <c r="D23" s="96" t="s">
        <v>5</v>
      </c>
      <c r="E23" s="96" t="s">
        <v>0</v>
      </c>
      <c r="F23" s="96" t="s">
        <v>8</v>
      </c>
      <c r="G23" s="96" t="s">
        <v>16</v>
      </c>
      <c r="H23" s="96" t="s">
        <v>23</v>
      </c>
    </row>
    <row r="24" spans="2:11" ht="16" x14ac:dyDescent="0.2">
      <c r="B24" s="94" t="s">
        <v>104</v>
      </c>
      <c r="C24" s="19">
        <v>0</v>
      </c>
      <c r="D24" s="19">
        <v>0</v>
      </c>
      <c r="E24" s="19">
        <v>108346.87</v>
      </c>
      <c r="F24" s="19">
        <v>159711.82</v>
      </c>
      <c r="G24" s="101">
        <f>SUM(C24:F24)</f>
        <v>268058.69</v>
      </c>
      <c r="H24" s="19">
        <f>G24/$C$7</f>
        <v>17870.579333333335</v>
      </c>
    </row>
    <row r="25" spans="2:11" ht="16" x14ac:dyDescent="0.2">
      <c r="B25" s="94" t="s">
        <v>105</v>
      </c>
      <c r="C25" s="19">
        <v>0</v>
      </c>
      <c r="D25" s="19">
        <v>0</v>
      </c>
      <c r="E25" s="19">
        <v>45586</v>
      </c>
      <c r="F25" s="19">
        <v>150399</v>
      </c>
      <c r="G25" s="101">
        <f>268059-G26-G27-G31-G29</f>
        <v>260333.31</v>
      </c>
      <c r="H25" s="19">
        <f t="shared" ref="H25:H31" si="0">G25/$C$7</f>
        <v>17355.554</v>
      </c>
    </row>
    <row r="26" spans="2:11" ht="16" x14ac:dyDescent="0.2">
      <c r="B26" s="94" t="s">
        <v>106</v>
      </c>
      <c r="C26" s="19"/>
      <c r="D26" s="19">
        <v>0</v>
      </c>
      <c r="E26" s="19">
        <v>172</v>
      </c>
      <c r="F26" s="19">
        <v>560</v>
      </c>
      <c r="G26" s="101">
        <f>SUM(D26:F26)</f>
        <v>732</v>
      </c>
      <c r="H26" s="19">
        <f t="shared" si="0"/>
        <v>48.8</v>
      </c>
    </row>
    <row r="27" spans="2:11" ht="16" x14ac:dyDescent="0.2">
      <c r="B27" s="94" t="s">
        <v>107</v>
      </c>
      <c r="C27" s="19"/>
      <c r="D27" s="19">
        <v>0</v>
      </c>
      <c r="E27" s="19">
        <v>1551.87</v>
      </c>
      <c r="F27" s="19">
        <v>5039.82</v>
      </c>
      <c r="G27" s="101">
        <f>SUM(D27:F27)</f>
        <v>6591.69</v>
      </c>
      <c r="H27" s="19">
        <f t="shared" si="0"/>
        <v>439.44599999999997</v>
      </c>
    </row>
    <row r="28" spans="2:11" ht="16" x14ac:dyDescent="0.2">
      <c r="B28" s="94" t="s">
        <v>108</v>
      </c>
      <c r="C28" s="19">
        <v>0</v>
      </c>
      <c r="D28" s="19">
        <v>0</v>
      </c>
      <c r="E28" s="19">
        <v>61001</v>
      </c>
      <c r="F28" s="19">
        <v>3347</v>
      </c>
      <c r="G28" s="60">
        <f>SUM(D28:F28)</f>
        <v>64348</v>
      </c>
      <c r="H28" s="19">
        <f t="shared" si="0"/>
        <v>4289.8666666666668</v>
      </c>
    </row>
    <row r="29" spans="2:11" ht="16" x14ac:dyDescent="0.2">
      <c r="B29" s="94" t="s">
        <v>109</v>
      </c>
      <c r="C29" s="19">
        <v>0</v>
      </c>
      <c r="D29" s="19"/>
      <c r="E29" s="19"/>
      <c r="F29" s="19"/>
      <c r="G29" s="101">
        <f>SUM(C29:F29)</f>
        <v>0</v>
      </c>
      <c r="H29" s="19">
        <f t="shared" si="0"/>
        <v>0</v>
      </c>
    </row>
    <row r="30" spans="2:11" ht="16" x14ac:dyDescent="0.2">
      <c r="B30" s="94" t="s">
        <v>110</v>
      </c>
      <c r="C30" s="19">
        <v>0</v>
      </c>
      <c r="D30" s="19">
        <v>0</v>
      </c>
      <c r="E30" s="19"/>
      <c r="F30" s="19"/>
      <c r="G30" s="60">
        <f>SUM(C30:F30)</f>
        <v>0</v>
      </c>
      <c r="H30" s="19">
        <f t="shared" si="0"/>
        <v>0</v>
      </c>
    </row>
    <row r="31" spans="2:11" ht="16" x14ac:dyDescent="0.2">
      <c r="B31" s="94" t="s">
        <v>111</v>
      </c>
      <c r="C31" s="19">
        <v>0</v>
      </c>
      <c r="D31" s="19">
        <v>0</v>
      </c>
      <c r="E31" s="19">
        <v>36</v>
      </c>
      <c r="F31" s="19">
        <v>366</v>
      </c>
      <c r="G31" s="101">
        <f>SUM(C31:F31)</f>
        <v>402</v>
      </c>
      <c r="H31" s="19">
        <f t="shared" si="0"/>
        <v>26.8</v>
      </c>
    </row>
    <row r="32" spans="2:11" x14ac:dyDescent="0.2">
      <c r="G32" s="104"/>
    </row>
    <row r="34" spans="1:8" ht="16" x14ac:dyDescent="0.2">
      <c r="A34" s="123" t="s">
        <v>156</v>
      </c>
      <c r="B34" s="123" t="s">
        <v>143</v>
      </c>
      <c r="C34" s="123"/>
      <c r="D34" s="123"/>
      <c r="E34" s="123"/>
      <c r="F34" s="123"/>
      <c r="G34" s="123" t="s">
        <v>144</v>
      </c>
      <c r="H34" s="96" t="s">
        <v>157</v>
      </c>
    </row>
    <row r="35" spans="1:8" ht="16" x14ac:dyDescent="0.2">
      <c r="A35" s="121"/>
      <c r="B35" s="122" t="s">
        <v>145</v>
      </c>
      <c r="C35" s="121"/>
      <c r="D35" s="121"/>
      <c r="E35" s="121"/>
      <c r="F35" s="121"/>
      <c r="G35" s="121"/>
      <c r="H35" s="2"/>
    </row>
    <row r="36" spans="1:8" ht="16" x14ac:dyDescent="0.2">
      <c r="A36" s="121" t="s">
        <v>146</v>
      </c>
      <c r="B36" s="121" t="s">
        <v>147</v>
      </c>
      <c r="C36" s="124">
        <v>0</v>
      </c>
      <c r="D36" s="124">
        <v>0</v>
      </c>
      <c r="E36" s="124">
        <v>0</v>
      </c>
      <c r="F36" s="124">
        <v>0</v>
      </c>
      <c r="G36" s="124">
        <v>-871111</v>
      </c>
      <c r="H36" s="119">
        <f>G36/20</f>
        <v>-43555.55</v>
      </c>
    </row>
    <row r="37" spans="1:8" ht="16" x14ac:dyDescent="0.2">
      <c r="A37" s="121" t="s">
        <v>146</v>
      </c>
      <c r="B37" s="121" t="s">
        <v>148</v>
      </c>
      <c r="C37" s="125"/>
      <c r="D37" s="125"/>
      <c r="E37" s="125"/>
      <c r="F37" s="125"/>
      <c r="G37" s="124">
        <v>-20175</v>
      </c>
      <c r="H37" s="119">
        <f t="shared" ref="H37:H43" si="1">G37/20</f>
        <v>-1008.75</v>
      </c>
    </row>
    <row r="38" spans="1:8" ht="16" x14ac:dyDescent="0.2">
      <c r="A38" s="121"/>
      <c r="B38" s="122" t="s">
        <v>149</v>
      </c>
      <c r="C38" s="125"/>
      <c r="D38" s="125"/>
      <c r="E38" s="125"/>
      <c r="F38" s="125"/>
      <c r="G38" s="125"/>
      <c r="H38" s="119"/>
    </row>
    <row r="39" spans="1:8" ht="16" x14ac:dyDescent="0.2">
      <c r="A39" s="121"/>
      <c r="B39" s="121" t="s">
        <v>150</v>
      </c>
      <c r="C39" s="124">
        <v>0</v>
      </c>
      <c r="D39" s="125">
        <v>0</v>
      </c>
      <c r="E39" s="124">
        <v>0</v>
      </c>
      <c r="F39" s="124">
        <v>0</v>
      </c>
      <c r="G39" s="125">
        <v>-73280</v>
      </c>
      <c r="H39" s="119">
        <f t="shared" si="1"/>
        <v>-3664</v>
      </c>
    </row>
    <row r="40" spans="1:8" ht="16" x14ac:dyDescent="0.2">
      <c r="A40" s="121" t="s">
        <v>151</v>
      </c>
      <c r="B40" s="121" t="s">
        <v>152</v>
      </c>
      <c r="C40" s="124">
        <v>0</v>
      </c>
      <c r="D40" s="124">
        <v>0</v>
      </c>
      <c r="E40" s="124">
        <v>0</v>
      </c>
      <c r="F40" s="124">
        <v>0</v>
      </c>
      <c r="G40" s="124">
        <v>-26258</v>
      </c>
      <c r="H40" s="119">
        <f t="shared" si="1"/>
        <v>-1312.9</v>
      </c>
    </row>
    <row r="41" spans="1:8" ht="16" x14ac:dyDescent="0.2">
      <c r="A41" s="121" t="s">
        <v>151</v>
      </c>
      <c r="B41" s="121" t="s">
        <v>153</v>
      </c>
      <c r="C41" s="125">
        <v>0</v>
      </c>
      <c r="D41" s="124">
        <v>0</v>
      </c>
      <c r="E41" s="125"/>
      <c r="F41" s="125">
        <v>0</v>
      </c>
      <c r="G41" s="124"/>
      <c r="H41" s="119">
        <f t="shared" si="1"/>
        <v>0</v>
      </c>
    </row>
    <row r="42" spans="1:8" ht="16" x14ac:dyDescent="0.2">
      <c r="A42" s="121" t="s">
        <v>151</v>
      </c>
      <c r="B42" s="121" t="s">
        <v>154</v>
      </c>
      <c r="C42" s="124">
        <v>0</v>
      </c>
      <c r="D42" s="125">
        <v>0</v>
      </c>
      <c r="E42" s="124">
        <v>0</v>
      </c>
      <c r="F42" s="124">
        <v>0</v>
      </c>
      <c r="G42" s="124">
        <v>-1397185</v>
      </c>
      <c r="H42" s="119">
        <f t="shared" si="1"/>
        <v>-69859.25</v>
      </c>
    </row>
    <row r="43" spans="1:8" ht="16" x14ac:dyDescent="0.2">
      <c r="A43" s="121" t="s">
        <v>151</v>
      </c>
      <c r="B43" s="121" t="s">
        <v>155</v>
      </c>
      <c r="C43" s="124">
        <v>0</v>
      </c>
      <c r="D43" s="125">
        <v>0</v>
      </c>
      <c r="E43" s="124">
        <v>0</v>
      </c>
      <c r="F43" s="124">
        <v>0</v>
      </c>
      <c r="G43" s="124">
        <v>-2073</v>
      </c>
      <c r="H43" s="119">
        <f t="shared" si="1"/>
        <v>-103.65</v>
      </c>
    </row>
    <row r="44" spans="1:8" ht="16" x14ac:dyDescent="0.2">
      <c r="A44" s="121"/>
      <c r="B44" s="120" t="s">
        <v>16</v>
      </c>
      <c r="C44" s="126">
        <f>SUM(C35:C43)</f>
        <v>0</v>
      </c>
      <c r="D44" s="126">
        <v>0</v>
      </c>
      <c r="E44" s="126">
        <v>0</v>
      </c>
      <c r="F44" s="126">
        <v>0</v>
      </c>
      <c r="G44" s="202">
        <f>SUM(G35:G43)</f>
        <v>-2390082</v>
      </c>
      <c r="H44" s="203">
        <f>G44/20</f>
        <v>-119504.1</v>
      </c>
    </row>
    <row r="45" spans="1:8" x14ac:dyDescent="0.2">
      <c r="H45" s="15"/>
    </row>
    <row r="47" spans="1:8" ht="32" x14ac:dyDescent="0.2">
      <c r="B47" s="41" t="s">
        <v>28</v>
      </c>
      <c r="C47" s="187" t="s">
        <v>29</v>
      </c>
      <c r="D47" s="187"/>
      <c r="E47" s="187"/>
      <c r="F47" s="42" t="s">
        <v>30</v>
      </c>
      <c r="G47" s="42" t="s">
        <v>31</v>
      </c>
      <c r="H47" s="104"/>
    </row>
    <row r="48" spans="1:8" x14ac:dyDescent="0.2">
      <c r="B48" s="2"/>
      <c r="C48" s="148" t="s">
        <v>32</v>
      </c>
      <c r="D48" s="148" t="s">
        <v>33</v>
      </c>
      <c r="E48" s="148" t="s">
        <v>16</v>
      </c>
      <c r="F48" s="2"/>
      <c r="G48" s="2"/>
    </row>
    <row r="49" spans="1:22" x14ac:dyDescent="0.2">
      <c r="A49" s="15"/>
      <c r="B49" s="2" t="s">
        <v>39</v>
      </c>
      <c r="C49" s="19">
        <v>0</v>
      </c>
      <c r="D49" s="148"/>
      <c r="E49" s="3">
        <f>SUM(C49:D49)</f>
        <v>0</v>
      </c>
      <c r="F49" s="6">
        <f>C49/$C$7</f>
        <v>0</v>
      </c>
      <c r="G49" s="6">
        <f>E49/$C$7</f>
        <v>0</v>
      </c>
    </row>
    <row r="50" spans="1:22" x14ac:dyDescent="0.2">
      <c r="A50" s="15"/>
      <c r="B50" s="2" t="s">
        <v>40</v>
      </c>
      <c r="C50" s="19">
        <v>0</v>
      </c>
      <c r="D50" s="148"/>
      <c r="E50" s="148">
        <f>SUM(C50:D50)</f>
        <v>0</v>
      </c>
      <c r="F50" s="6">
        <f>C50/$C$7</f>
        <v>0</v>
      </c>
      <c r="G50" s="6">
        <f>E50/$C$7</f>
        <v>0</v>
      </c>
    </row>
    <row r="51" spans="1:22" x14ac:dyDescent="0.2">
      <c r="A51" s="15"/>
      <c r="B51" s="2" t="s">
        <v>41</v>
      </c>
      <c r="C51" s="127">
        <v>0</v>
      </c>
      <c r="D51" s="128"/>
      <c r="E51" s="148">
        <f>SUM(C51:D51)</f>
        <v>0</v>
      </c>
      <c r="F51" s="6">
        <f>C51/$C$7</f>
        <v>0</v>
      </c>
      <c r="G51" s="6">
        <f>E51/$C$7</f>
        <v>0</v>
      </c>
    </row>
    <row r="52" spans="1:22" x14ac:dyDescent="0.2">
      <c r="A52" s="15"/>
      <c r="B52" s="2" t="s">
        <v>42</v>
      </c>
      <c r="C52" s="127">
        <v>0</v>
      </c>
      <c r="D52" s="128"/>
      <c r="E52" s="148">
        <f>SUM(C52:D52)</f>
        <v>0</v>
      </c>
      <c r="F52" s="6">
        <f>C52/$C$7</f>
        <v>0</v>
      </c>
      <c r="G52" s="6">
        <f>E52/$C$7</f>
        <v>0</v>
      </c>
    </row>
    <row r="53" spans="1:22" x14ac:dyDescent="0.2">
      <c r="A53" s="15"/>
      <c r="B53" s="2" t="s">
        <v>117</v>
      </c>
      <c r="C53" s="127">
        <v>0</v>
      </c>
      <c r="D53" s="128"/>
      <c r="E53" s="148">
        <f>SUM(C53:D53)</f>
        <v>0</v>
      </c>
      <c r="F53" s="47">
        <f>C53/$C$7</f>
        <v>0</v>
      </c>
      <c r="G53" s="47">
        <f>E53/$C$7</f>
        <v>0</v>
      </c>
    </row>
    <row r="54" spans="1:22" x14ac:dyDescent="0.2">
      <c r="B54" s="2" t="s">
        <v>38</v>
      </c>
      <c r="C54" s="127">
        <f>SUM(C49:C53)</f>
        <v>0</v>
      </c>
      <c r="D54" s="128"/>
      <c r="E54" s="148">
        <f>SUM(E49:E53)</f>
        <v>0</v>
      </c>
      <c r="F54" s="8">
        <f>SUM(F49:F53)</f>
        <v>0</v>
      </c>
      <c r="G54" s="6">
        <f>SUM(G49:G53)</f>
        <v>0</v>
      </c>
    </row>
    <row r="55" spans="1:22" ht="18.75" customHeight="1" x14ac:dyDescent="0.2">
      <c r="C55" s="1"/>
      <c r="D55" s="1"/>
      <c r="E55" s="1"/>
      <c r="F55" s="1"/>
      <c r="G55" s="1"/>
    </row>
    <row r="56" spans="1:22" x14ac:dyDescent="0.2">
      <c r="C56" s="1"/>
      <c r="D56" s="1"/>
      <c r="E56" s="1"/>
      <c r="F56" s="1"/>
      <c r="G56" s="1"/>
    </row>
    <row r="57" spans="1:22" x14ac:dyDescent="0.2">
      <c r="C57" s="1"/>
      <c r="D57" s="1"/>
      <c r="E57" s="1"/>
      <c r="F57" s="1"/>
      <c r="G57" s="1"/>
    </row>
    <row r="58" spans="1:22" s="22" customFormat="1" x14ac:dyDescent="0.2">
      <c r="C58" s="23">
        <v>1</v>
      </c>
      <c r="D58" s="23">
        <v>2</v>
      </c>
      <c r="E58" s="23">
        <v>3</v>
      </c>
      <c r="F58" s="23">
        <v>4</v>
      </c>
      <c r="G58" s="23">
        <v>5</v>
      </c>
      <c r="H58" s="23">
        <v>6</v>
      </c>
      <c r="I58" s="23">
        <v>7</v>
      </c>
      <c r="J58" s="23">
        <v>8</v>
      </c>
      <c r="K58" s="23">
        <v>9</v>
      </c>
      <c r="L58" s="23">
        <v>10</v>
      </c>
      <c r="M58" s="23">
        <v>11</v>
      </c>
      <c r="N58" s="23">
        <v>12</v>
      </c>
      <c r="O58" s="23">
        <v>13</v>
      </c>
      <c r="P58" s="23">
        <v>14</v>
      </c>
      <c r="Q58" s="23">
        <v>15</v>
      </c>
      <c r="R58" s="64">
        <v>16</v>
      </c>
      <c r="S58" s="64">
        <v>17</v>
      </c>
      <c r="T58" s="64">
        <v>18</v>
      </c>
      <c r="U58" s="64">
        <v>19</v>
      </c>
      <c r="V58" s="64">
        <v>20</v>
      </c>
    </row>
    <row r="59" spans="1:22" ht="21" x14ac:dyDescent="0.25">
      <c r="B59" s="43" t="s">
        <v>158</v>
      </c>
      <c r="C59" s="44">
        <v>2021</v>
      </c>
      <c r="D59" s="44">
        <v>2022</v>
      </c>
      <c r="E59" s="44">
        <v>2023</v>
      </c>
      <c r="F59" s="44">
        <v>2024</v>
      </c>
      <c r="G59" s="44">
        <v>2025</v>
      </c>
      <c r="H59" s="44">
        <v>2026</v>
      </c>
      <c r="I59" s="45">
        <v>2027</v>
      </c>
      <c r="J59" s="44">
        <v>2028</v>
      </c>
      <c r="K59" s="44">
        <v>2029</v>
      </c>
      <c r="L59" s="44">
        <v>2030</v>
      </c>
      <c r="M59" s="44">
        <v>2031</v>
      </c>
      <c r="N59" s="44">
        <v>2032</v>
      </c>
      <c r="O59" s="44">
        <v>2033</v>
      </c>
      <c r="P59" s="44">
        <v>2034</v>
      </c>
      <c r="Q59" s="44">
        <v>2035</v>
      </c>
      <c r="R59" s="44">
        <v>2036</v>
      </c>
      <c r="S59" s="44">
        <v>2037</v>
      </c>
      <c r="T59" s="44">
        <v>2038</v>
      </c>
      <c r="U59" s="44">
        <v>2039</v>
      </c>
      <c r="V59" s="44">
        <v>2040</v>
      </c>
    </row>
    <row r="60" spans="1:22" x14ac:dyDescent="0.2">
      <c r="B60" s="2" t="s">
        <v>123</v>
      </c>
      <c r="C60" s="19">
        <f>$D$14*C58</f>
        <v>17870.579333333335</v>
      </c>
      <c r="D60" s="19">
        <f>$D$14*D58</f>
        <v>35741.15866666667</v>
      </c>
      <c r="E60" s="19">
        <f>$D$14*E58</f>
        <v>53611.738000000005</v>
      </c>
      <c r="F60" s="19">
        <f>$D$14*F58</f>
        <v>71482.31733333334</v>
      </c>
      <c r="G60" s="19">
        <f>$D$14*G58</f>
        <v>89352.896666666667</v>
      </c>
      <c r="H60" s="19"/>
      <c r="I60" s="2"/>
      <c r="J60" s="2"/>
      <c r="K60" s="2"/>
      <c r="L60" s="2"/>
      <c r="M60" s="2"/>
      <c r="N60" s="2"/>
      <c r="O60" s="2"/>
      <c r="P60" s="2"/>
      <c r="Q60" s="2"/>
      <c r="R60" s="2"/>
      <c r="S60" s="2"/>
      <c r="T60" s="2"/>
      <c r="U60" s="2"/>
      <c r="V60" s="2"/>
    </row>
    <row r="61" spans="1:22" x14ac:dyDescent="0.2">
      <c r="B61" s="59" t="s">
        <v>122</v>
      </c>
      <c r="C61" s="60">
        <f>C60</f>
        <v>17870.579333333335</v>
      </c>
      <c r="D61" s="60">
        <f>C61+D60</f>
        <v>53611.738000000005</v>
      </c>
      <c r="E61" s="60">
        <f>D61+E60</f>
        <v>107223.47600000001</v>
      </c>
      <c r="F61" s="60">
        <f>E61+F60</f>
        <v>178705.79333333333</v>
      </c>
      <c r="G61" s="60">
        <f>F61+G60</f>
        <v>268058.69</v>
      </c>
      <c r="H61" s="60">
        <f>G61</f>
        <v>268058.69</v>
      </c>
      <c r="I61" s="47">
        <f t="shared" ref="I61:V61" si="2">H61</f>
        <v>268058.69</v>
      </c>
      <c r="J61" s="47">
        <f t="shared" si="2"/>
        <v>268058.69</v>
      </c>
      <c r="K61" s="47">
        <f t="shared" si="2"/>
        <v>268058.69</v>
      </c>
      <c r="L61" s="47">
        <f t="shared" si="2"/>
        <v>268058.69</v>
      </c>
      <c r="M61" s="47">
        <f t="shared" si="2"/>
        <v>268058.69</v>
      </c>
      <c r="N61" s="47">
        <f t="shared" si="2"/>
        <v>268058.69</v>
      </c>
      <c r="O61" s="47">
        <f t="shared" si="2"/>
        <v>268058.69</v>
      </c>
      <c r="P61" s="47">
        <f t="shared" si="2"/>
        <v>268058.69</v>
      </c>
      <c r="Q61" s="47">
        <f t="shared" si="2"/>
        <v>268058.69</v>
      </c>
      <c r="R61" s="63">
        <f t="shared" si="2"/>
        <v>268058.69</v>
      </c>
      <c r="S61" s="63">
        <f t="shared" si="2"/>
        <v>268058.69</v>
      </c>
      <c r="T61" s="63">
        <f t="shared" si="2"/>
        <v>268058.69</v>
      </c>
      <c r="U61" s="63">
        <f t="shared" si="2"/>
        <v>268058.69</v>
      </c>
      <c r="V61" s="63">
        <f t="shared" si="2"/>
        <v>268058.69</v>
      </c>
    </row>
    <row r="62" spans="1:22" x14ac:dyDescent="0.2">
      <c r="B62" s="99" t="s">
        <v>131</v>
      </c>
      <c r="C62" s="19">
        <f>$H$25*C58</f>
        <v>17355.554</v>
      </c>
      <c r="D62" s="19">
        <f>$H$25*D58</f>
        <v>34711.108</v>
      </c>
      <c r="E62" s="19">
        <f>$H$25*E58</f>
        <v>52066.661999999997</v>
      </c>
      <c r="F62" s="19">
        <f>$H$25*F58</f>
        <v>69422.216</v>
      </c>
      <c r="G62" s="19">
        <f>$H$25*G58</f>
        <v>86777.77</v>
      </c>
      <c r="H62" s="19"/>
      <c r="I62" s="2"/>
      <c r="J62" s="2"/>
      <c r="K62" s="2"/>
      <c r="L62" s="2"/>
      <c r="M62" s="2"/>
      <c r="N62" s="2"/>
      <c r="O62" s="2"/>
      <c r="P62" s="2"/>
      <c r="Q62" s="2"/>
      <c r="R62" s="2"/>
      <c r="S62" s="2"/>
      <c r="T62" s="2"/>
      <c r="U62" s="2"/>
      <c r="V62" s="2"/>
    </row>
    <row r="63" spans="1:22" x14ac:dyDescent="0.2">
      <c r="B63" s="32" t="s">
        <v>130</v>
      </c>
      <c r="C63" s="109">
        <f>C62</f>
        <v>17355.554</v>
      </c>
      <c r="D63" s="110">
        <f>C63+D62</f>
        <v>52066.661999999997</v>
      </c>
      <c r="E63" s="110">
        <f>D63+E62</f>
        <v>104133.32399999999</v>
      </c>
      <c r="F63" s="110">
        <f>E63+F62</f>
        <v>173555.53999999998</v>
      </c>
      <c r="G63" s="110">
        <f>F63+G62</f>
        <v>260333.31</v>
      </c>
      <c r="H63" s="3">
        <f t="shared" ref="H63:V63" si="3">G63</f>
        <v>260333.31</v>
      </c>
      <c r="I63" s="3">
        <f t="shared" si="3"/>
        <v>260333.31</v>
      </c>
      <c r="J63" s="3">
        <f t="shared" si="3"/>
        <v>260333.31</v>
      </c>
      <c r="K63" s="3">
        <f t="shared" si="3"/>
        <v>260333.31</v>
      </c>
      <c r="L63" s="3">
        <f t="shared" si="3"/>
        <v>260333.31</v>
      </c>
      <c r="M63" s="3">
        <f t="shared" si="3"/>
        <v>260333.31</v>
      </c>
      <c r="N63" s="3">
        <f t="shared" si="3"/>
        <v>260333.31</v>
      </c>
      <c r="O63" s="3">
        <f t="shared" si="3"/>
        <v>260333.31</v>
      </c>
      <c r="P63" s="3">
        <f t="shared" si="3"/>
        <v>260333.31</v>
      </c>
      <c r="Q63" s="3">
        <f t="shared" si="3"/>
        <v>260333.31</v>
      </c>
      <c r="R63" s="3">
        <f t="shared" si="3"/>
        <v>260333.31</v>
      </c>
      <c r="S63" s="3">
        <f t="shared" si="3"/>
        <v>260333.31</v>
      </c>
      <c r="T63" s="3">
        <f t="shared" si="3"/>
        <v>260333.31</v>
      </c>
      <c r="U63" s="3">
        <f t="shared" si="3"/>
        <v>260333.31</v>
      </c>
      <c r="V63" s="3">
        <f t="shared" si="3"/>
        <v>260333.31</v>
      </c>
    </row>
    <row r="64" spans="1:22" x14ac:dyDescent="0.2">
      <c r="B64" s="99" t="s">
        <v>120</v>
      </c>
      <c r="C64" s="100">
        <f>$H$26*C58</f>
        <v>48.8</v>
      </c>
      <c r="D64" s="100">
        <f>$H$26*D58</f>
        <v>97.6</v>
      </c>
      <c r="E64" s="100">
        <f>$H$26*E58</f>
        <v>146.39999999999998</v>
      </c>
      <c r="F64" s="100">
        <f>$H$26*F58</f>
        <v>195.2</v>
      </c>
      <c r="G64" s="100">
        <f>$H$26*G58</f>
        <v>244</v>
      </c>
      <c r="H64" s="100"/>
      <c r="I64" s="3"/>
      <c r="J64" s="3"/>
      <c r="K64" s="3"/>
      <c r="L64" s="3"/>
      <c r="M64" s="3"/>
      <c r="N64" s="3"/>
      <c r="O64" s="3"/>
      <c r="P64" s="3"/>
      <c r="Q64" s="3"/>
      <c r="R64" s="3"/>
      <c r="S64" s="3"/>
      <c r="T64" s="3"/>
      <c r="U64" s="3"/>
      <c r="V64" s="3"/>
    </row>
    <row r="65" spans="1:23" x14ac:dyDescent="0.2">
      <c r="B65" s="32" t="s">
        <v>205</v>
      </c>
      <c r="C65" s="109">
        <f>C64</f>
        <v>48.8</v>
      </c>
      <c r="D65" s="109">
        <f>D64+C65</f>
        <v>146.39999999999998</v>
      </c>
      <c r="E65" s="109">
        <f>E64+D65</f>
        <v>292.79999999999995</v>
      </c>
      <c r="F65" s="109">
        <f>F64+E65</f>
        <v>487.99999999999994</v>
      </c>
      <c r="G65" s="109">
        <f>G64+F65</f>
        <v>732</v>
      </c>
      <c r="H65" s="19">
        <f t="shared" ref="H65:V65" si="4">G65</f>
        <v>732</v>
      </c>
      <c r="I65" s="19">
        <f t="shared" si="4"/>
        <v>732</v>
      </c>
      <c r="J65" s="19">
        <f t="shared" si="4"/>
        <v>732</v>
      </c>
      <c r="K65" s="19">
        <f t="shared" si="4"/>
        <v>732</v>
      </c>
      <c r="L65" s="19">
        <f t="shared" si="4"/>
        <v>732</v>
      </c>
      <c r="M65" s="19">
        <f t="shared" si="4"/>
        <v>732</v>
      </c>
      <c r="N65" s="19">
        <f t="shared" si="4"/>
        <v>732</v>
      </c>
      <c r="O65" s="19">
        <f t="shared" si="4"/>
        <v>732</v>
      </c>
      <c r="P65" s="19">
        <f t="shared" si="4"/>
        <v>732</v>
      </c>
      <c r="Q65" s="19">
        <f t="shared" si="4"/>
        <v>732</v>
      </c>
      <c r="R65" s="19">
        <f t="shared" si="4"/>
        <v>732</v>
      </c>
      <c r="S65" s="19">
        <f t="shared" si="4"/>
        <v>732</v>
      </c>
      <c r="T65" s="19">
        <f t="shared" si="4"/>
        <v>732</v>
      </c>
      <c r="U65" s="19">
        <f t="shared" si="4"/>
        <v>732</v>
      </c>
      <c r="V65" s="19">
        <f t="shared" si="4"/>
        <v>732</v>
      </c>
    </row>
    <row r="66" spans="1:23" x14ac:dyDescent="0.2">
      <c r="B66" s="20" t="s">
        <v>121</v>
      </c>
      <c r="C66" s="19">
        <f>$H$27*C58</f>
        <v>439.44599999999997</v>
      </c>
      <c r="D66" s="19">
        <f>$H$27*D58</f>
        <v>878.89199999999994</v>
      </c>
      <c r="E66" s="19">
        <f>$H$27*E58</f>
        <v>1318.338</v>
      </c>
      <c r="F66" s="19">
        <f>$H$27*F58</f>
        <v>1757.7839999999999</v>
      </c>
      <c r="G66" s="19">
        <f>$H$27*G58</f>
        <v>2197.23</v>
      </c>
      <c r="H66" s="19"/>
      <c r="I66" s="3"/>
      <c r="J66" s="3"/>
      <c r="K66" s="3"/>
      <c r="L66" s="3"/>
      <c r="M66" s="3"/>
      <c r="N66" s="3"/>
      <c r="O66" s="3"/>
      <c r="P66" s="3"/>
      <c r="Q66" s="3"/>
      <c r="R66" s="3"/>
      <c r="S66" s="3"/>
      <c r="T66" s="3"/>
      <c r="U66" s="3"/>
      <c r="V66" s="3"/>
    </row>
    <row r="67" spans="1:23" x14ac:dyDescent="0.2">
      <c r="B67" s="32" t="s">
        <v>87</v>
      </c>
      <c r="C67" s="109">
        <f>C66</f>
        <v>439.44599999999997</v>
      </c>
      <c r="D67" s="109">
        <f>D66+C67</f>
        <v>1318.338</v>
      </c>
      <c r="E67" s="109">
        <f>E66+D67</f>
        <v>2636.6759999999999</v>
      </c>
      <c r="F67" s="109">
        <f>F66+E67</f>
        <v>4394.46</v>
      </c>
      <c r="G67" s="109">
        <f>G66+F67</f>
        <v>6591.6900000000005</v>
      </c>
      <c r="H67" s="3">
        <f t="shared" ref="H67:V67" si="5">G67</f>
        <v>6591.6900000000005</v>
      </c>
      <c r="I67" s="3">
        <f t="shared" si="5"/>
        <v>6591.6900000000005</v>
      </c>
      <c r="J67" s="3">
        <f t="shared" si="5"/>
        <v>6591.6900000000005</v>
      </c>
      <c r="K67" s="3">
        <f t="shared" si="5"/>
        <v>6591.6900000000005</v>
      </c>
      <c r="L67" s="3">
        <f t="shared" si="5"/>
        <v>6591.6900000000005</v>
      </c>
      <c r="M67" s="3">
        <f t="shared" si="5"/>
        <v>6591.6900000000005</v>
      </c>
      <c r="N67" s="3">
        <f t="shared" si="5"/>
        <v>6591.6900000000005</v>
      </c>
      <c r="O67" s="3">
        <f t="shared" si="5"/>
        <v>6591.6900000000005</v>
      </c>
      <c r="P67" s="3">
        <f t="shared" si="5"/>
        <v>6591.6900000000005</v>
      </c>
      <c r="Q67" s="3">
        <f t="shared" si="5"/>
        <v>6591.6900000000005</v>
      </c>
      <c r="R67" s="3">
        <f t="shared" si="5"/>
        <v>6591.6900000000005</v>
      </c>
      <c r="S67" s="3">
        <f t="shared" si="5"/>
        <v>6591.6900000000005</v>
      </c>
      <c r="T67" s="3">
        <f t="shared" si="5"/>
        <v>6591.6900000000005</v>
      </c>
      <c r="U67" s="3">
        <f t="shared" si="5"/>
        <v>6591.6900000000005</v>
      </c>
      <c r="V67" s="3">
        <f t="shared" si="5"/>
        <v>6591.6900000000005</v>
      </c>
    </row>
    <row r="68" spans="1:23" x14ac:dyDescent="0.2">
      <c r="B68" s="99" t="s">
        <v>124</v>
      </c>
      <c r="C68" s="100">
        <f>$H$29*C58</f>
        <v>0</v>
      </c>
      <c r="D68" s="100">
        <f>$H$29*D58</f>
        <v>0</v>
      </c>
      <c r="E68" s="100">
        <f>$H$29*E58</f>
        <v>0</v>
      </c>
      <c r="F68" s="100">
        <f>$H$29*F58</f>
        <v>0</v>
      </c>
      <c r="G68" s="100">
        <f>$H$29*G58</f>
        <v>0</v>
      </c>
      <c r="H68" s="100"/>
      <c r="I68" s="3"/>
      <c r="J68" s="119"/>
      <c r="K68" s="119"/>
      <c r="L68" s="119"/>
      <c r="M68" s="119"/>
      <c r="N68" s="119"/>
      <c r="O68" s="119"/>
      <c r="P68" s="119"/>
      <c r="Q68" s="119"/>
      <c r="R68" s="119"/>
      <c r="S68" s="119"/>
      <c r="T68" s="119"/>
      <c r="U68" s="119"/>
      <c r="V68" s="119"/>
    </row>
    <row r="69" spans="1:23" x14ac:dyDescent="0.2">
      <c r="B69" s="32" t="s">
        <v>125</v>
      </c>
      <c r="C69" s="110">
        <f>C68</f>
        <v>0</v>
      </c>
      <c r="D69" s="110">
        <f>D68+C69</f>
        <v>0</v>
      </c>
      <c r="E69" s="110">
        <f>E68+D69</f>
        <v>0</v>
      </c>
      <c r="F69" s="110">
        <f>F68+E69</f>
        <v>0</v>
      </c>
      <c r="G69" s="110">
        <f>G68+F69</f>
        <v>0</v>
      </c>
      <c r="H69" s="61">
        <f t="shared" ref="H69:V69" si="6">G69</f>
        <v>0</v>
      </c>
      <c r="I69" s="61">
        <f t="shared" si="6"/>
        <v>0</v>
      </c>
      <c r="J69" s="61">
        <f t="shared" si="6"/>
        <v>0</v>
      </c>
      <c r="K69" s="61">
        <f t="shared" si="6"/>
        <v>0</v>
      </c>
      <c r="L69" s="61">
        <f t="shared" si="6"/>
        <v>0</v>
      </c>
      <c r="M69" s="61">
        <f t="shared" si="6"/>
        <v>0</v>
      </c>
      <c r="N69" s="61">
        <f t="shared" si="6"/>
        <v>0</v>
      </c>
      <c r="O69" s="61">
        <f t="shared" si="6"/>
        <v>0</v>
      </c>
      <c r="P69" s="61">
        <f t="shared" si="6"/>
        <v>0</v>
      </c>
      <c r="Q69" s="61">
        <f t="shared" si="6"/>
        <v>0</v>
      </c>
      <c r="R69" s="61">
        <f t="shared" si="6"/>
        <v>0</v>
      </c>
      <c r="S69" s="61">
        <f t="shared" si="6"/>
        <v>0</v>
      </c>
      <c r="T69" s="61">
        <f t="shared" si="6"/>
        <v>0</v>
      </c>
      <c r="U69" s="61">
        <f t="shared" si="6"/>
        <v>0</v>
      </c>
      <c r="V69" s="61">
        <f t="shared" si="6"/>
        <v>0</v>
      </c>
    </row>
    <row r="70" spans="1:23" x14ac:dyDescent="0.2">
      <c r="B70" s="99" t="s">
        <v>127</v>
      </c>
      <c r="C70" s="100">
        <f>$H$31*C58</f>
        <v>26.8</v>
      </c>
      <c r="D70" s="100">
        <f>$H$31*D58</f>
        <v>53.6</v>
      </c>
      <c r="E70" s="100">
        <f>$H$31*E58</f>
        <v>80.400000000000006</v>
      </c>
      <c r="F70" s="100">
        <f>$H$31*F58</f>
        <v>107.2</v>
      </c>
      <c r="G70" s="100">
        <f>$H$31*G58</f>
        <v>134</v>
      </c>
      <c r="H70" s="100"/>
      <c r="I70" s="3"/>
      <c r="J70" s="119"/>
      <c r="K70" s="119"/>
      <c r="L70" s="119"/>
      <c r="M70" s="119"/>
      <c r="N70" s="119"/>
      <c r="O70" s="119"/>
      <c r="P70" s="119"/>
      <c r="Q70" s="119"/>
      <c r="R70" s="119"/>
      <c r="S70" s="119"/>
      <c r="T70" s="119"/>
      <c r="U70" s="119"/>
      <c r="V70" s="119"/>
    </row>
    <row r="71" spans="1:23" x14ac:dyDescent="0.2">
      <c r="B71" s="32" t="s">
        <v>126</v>
      </c>
      <c r="C71" s="110">
        <f>C70</f>
        <v>26.8</v>
      </c>
      <c r="D71" s="110">
        <f>D70+C71</f>
        <v>80.400000000000006</v>
      </c>
      <c r="E71" s="110">
        <f>E70+D71</f>
        <v>160.80000000000001</v>
      </c>
      <c r="F71" s="110">
        <f>F70+E71</f>
        <v>268</v>
      </c>
      <c r="G71" s="110">
        <f>G70+F71</f>
        <v>402</v>
      </c>
      <c r="H71" s="61">
        <f t="shared" ref="H71:V71" si="7">G71</f>
        <v>402</v>
      </c>
      <c r="I71" s="61">
        <f t="shared" si="7"/>
        <v>402</v>
      </c>
      <c r="J71" s="61">
        <f t="shared" si="7"/>
        <v>402</v>
      </c>
      <c r="K71" s="61">
        <f t="shared" si="7"/>
        <v>402</v>
      </c>
      <c r="L71" s="61">
        <f t="shared" si="7"/>
        <v>402</v>
      </c>
      <c r="M71" s="61">
        <f t="shared" si="7"/>
        <v>402</v>
      </c>
      <c r="N71" s="61">
        <f t="shared" si="7"/>
        <v>402</v>
      </c>
      <c r="O71" s="61">
        <f t="shared" si="7"/>
        <v>402</v>
      </c>
      <c r="P71" s="61">
        <f t="shared" si="7"/>
        <v>402</v>
      </c>
      <c r="Q71" s="61">
        <f t="shared" si="7"/>
        <v>402</v>
      </c>
      <c r="R71" s="61">
        <f t="shared" si="7"/>
        <v>402</v>
      </c>
      <c r="S71" s="61">
        <f t="shared" si="7"/>
        <v>402</v>
      </c>
      <c r="T71" s="61">
        <f t="shared" si="7"/>
        <v>402</v>
      </c>
      <c r="U71" s="61">
        <f t="shared" si="7"/>
        <v>402</v>
      </c>
      <c r="V71" s="61">
        <f t="shared" si="7"/>
        <v>402</v>
      </c>
    </row>
    <row r="72" spans="1:23" x14ac:dyDescent="0.2">
      <c r="B72" s="28" t="s">
        <v>161</v>
      </c>
      <c r="C72" s="61">
        <f>-$H$44</f>
        <v>119504.1</v>
      </c>
      <c r="D72" s="61">
        <f t="shared" ref="D72:V72" si="8">-$H$44</f>
        <v>119504.1</v>
      </c>
      <c r="E72" s="61">
        <f t="shared" si="8"/>
        <v>119504.1</v>
      </c>
      <c r="F72" s="61">
        <f t="shared" si="8"/>
        <v>119504.1</v>
      </c>
      <c r="G72" s="61">
        <f t="shared" si="8"/>
        <v>119504.1</v>
      </c>
      <c r="H72" s="61">
        <f t="shared" si="8"/>
        <v>119504.1</v>
      </c>
      <c r="I72" s="61">
        <f t="shared" si="8"/>
        <v>119504.1</v>
      </c>
      <c r="J72" s="61">
        <f t="shared" si="8"/>
        <v>119504.1</v>
      </c>
      <c r="K72" s="61">
        <f t="shared" si="8"/>
        <v>119504.1</v>
      </c>
      <c r="L72" s="61">
        <f t="shared" si="8"/>
        <v>119504.1</v>
      </c>
      <c r="M72" s="61">
        <f t="shared" si="8"/>
        <v>119504.1</v>
      </c>
      <c r="N72" s="61">
        <f t="shared" si="8"/>
        <v>119504.1</v>
      </c>
      <c r="O72" s="61">
        <f t="shared" si="8"/>
        <v>119504.1</v>
      </c>
      <c r="P72" s="61">
        <f t="shared" si="8"/>
        <v>119504.1</v>
      </c>
      <c r="Q72" s="61">
        <f t="shared" si="8"/>
        <v>119504.1</v>
      </c>
      <c r="R72" s="61">
        <f t="shared" si="8"/>
        <v>119504.1</v>
      </c>
      <c r="S72" s="61">
        <f t="shared" si="8"/>
        <v>119504.1</v>
      </c>
      <c r="T72" s="61">
        <f t="shared" si="8"/>
        <v>119504.1</v>
      </c>
      <c r="U72" s="61">
        <f t="shared" si="8"/>
        <v>119504.1</v>
      </c>
      <c r="V72" s="61">
        <f t="shared" si="8"/>
        <v>119504.1</v>
      </c>
      <c r="W72" s="104"/>
    </row>
    <row r="73" spans="1:23" x14ac:dyDescent="0.2">
      <c r="B73" s="98"/>
      <c r="C73" s="102"/>
      <c r="D73" s="102"/>
      <c r="E73" s="102"/>
      <c r="F73" s="102"/>
      <c r="G73" s="102"/>
      <c r="H73" s="102"/>
      <c r="I73" s="103"/>
      <c r="J73" s="23"/>
      <c r="K73" s="23"/>
      <c r="L73" s="23"/>
      <c r="M73" s="23"/>
      <c r="N73" s="23"/>
      <c r="O73" s="23"/>
      <c r="P73" s="23"/>
      <c r="Q73" s="23"/>
      <c r="R73" s="23"/>
      <c r="S73" s="23"/>
      <c r="T73" s="23"/>
      <c r="U73" s="23"/>
      <c r="V73" s="23"/>
    </row>
    <row r="74" spans="1:23" x14ac:dyDescent="0.2">
      <c r="B74" s="98"/>
      <c r="C74" s="102"/>
      <c r="D74" s="102"/>
      <c r="E74" s="102"/>
      <c r="F74" s="102"/>
      <c r="G74" s="102"/>
      <c r="H74" s="102"/>
      <c r="I74" s="103"/>
      <c r="J74" s="23"/>
      <c r="K74" s="23"/>
      <c r="L74" s="23"/>
      <c r="M74" s="23"/>
      <c r="N74" s="23"/>
      <c r="O74" s="23"/>
      <c r="P74" s="23"/>
      <c r="Q74" s="23"/>
      <c r="R74" s="23"/>
      <c r="S74" s="23"/>
      <c r="T74" s="23"/>
      <c r="U74" s="23"/>
      <c r="V74" s="23"/>
    </row>
    <row r="75" spans="1:23" x14ac:dyDescent="0.2">
      <c r="B75" s="98"/>
      <c r="C75" s="102"/>
      <c r="D75" s="102"/>
      <c r="E75" s="102"/>
      <c r="F75" s="102"/>
      <c r="G75" s="102"/>
      <c r="H75" s="102"/>
      <c r="I75" s="103"/>
      <c r="J75" s="23"/>
      <c r="K75" s="23"/>
      <c r="L75" s="23"/>
      <c r="M75" s="23"/>
      <c r="N75" s="23"/>
      <c r="O75" s="23"/>
      <c r="P75" s="23"/>
      <c r="Q75" s="23"/>
      <c r="R75" s="23"/>
      <c r="S75" s="23"/>
      <c r="T75" s="23"/>
      <c r="U75" s="23"/>
      <c r="V75" s="23"/>
    </row>
    <row r="76" spans="1:23" x14ac:dyDescent="0.2">
      <c r="C76" s="1">
        <v>1</v>
      </c>
      <c r="D76" s="1">
        <v>2</v>
      </c>
      <c r="E76" s="1">
        <v>3</v>
      </c>
      <c r="F76" s="1">
        <v>4</v>
      </c>
      <c r="G76" s="1">
        <v>5</v>
      </c>
      <c r="H76" s="1"/>
      <c r="I76" s="1"/>
      <c r="J76" s="1"/>
      <c r="K76" s="1"/>
      <c r="L76" s="1"/>
      <c r="M76" s="1"/>
      <c r="N76" s="1"/>
      <c r="O76" s="1"/>
      <c r="P76" s="1"/>
      <c r="Q76" s="1"/>
    </row>
    <row r="77" spans="1:23" ht="21" x14ac:dyDescent="0.25">
      <c r="B77" s="43" t="s">
        <v>61</v>
      </c>
      <c r="C77" s="44">
        <v>2021</v>
      </c>
      <c r="D77" s="44">
        <v>2022</v>
      </c>
      <c r="E77" s="44">
        <v>2023</v>
      </c>
      <c r="F77" s="44">
        <v>2024</v>
      </c>
      <c r="G77" s="44">
        <v>2025</v>
      </c>
      <c r="H77" s="44">
        <v>2026</v>
      </c>
      <c r="I77" s="44">
        <v>2027</v>
      </c>
      <c r="J77" s="44">
        <v>2028</v>
      </c>
      <c r="K77" s="44">
        <v>2029</v>
      </c>
      <c r="L77" s="44">
        <v>2030</v>
      </c>
      <c r="M77" s="44">
        <v>2031</v>
      </c>
      <c r="N77" s="44">
        <v>2032</v>
      </c>
      <c r="O77" s="44">
        <v>2033</v>
      </c>
      <c r="P77" s="44">
        <v>2034</v>
      </c>
      <c r="Q77" s="44">
        <v>2035</v>
      </c>
      <c r="R77" s="44">
        <v>2036</v>
      </c>
      <c r="S77" s="44">
        <v>2037</v>
      </c>
      <c r="T77" s="44">
        <v>2038</v>
      </c>
      <c r="U77" s="44">
        <v>2039</v>
      </c>
      <c r="V77" s="44">
        <v>2040</v>
      </c>
    </row>
    <row r="78" spans="1:23" x14ac:dyDescent="0.2">
      <c r="C78" s="1"/>
    </row>
    <row r="79" spans="1:23" x14ac:dyDescent="0.2">
      <c r="A79" s="15" t="s">
        <v>34</v>
      </c>
      <c r="B79" s="132" t="s">
        <v>129</v>
      </c>
      <c r="C79" s="25">
        <f>C61*$C$8*$G$7</f>
        <v>523607.9744666667</v>
      </c>
      <c r="D79" s="25">
        <f t="shared" ref="D79:V79" si="9">D61*$C$8*$G$7</f>
        <v>1570823.9234000002</v>
      </c>
      <c r="E79" s="25">
        <f t="shared" si="9"/>
        <v>3141647.8468000004</v>
      </c>
      <c r="F79" s="25">
        <f t="shared" si="9"/>
        <v>5236079.7446666667</v>
      </c>
      <c r="G79" s="25">
        <f t="shared" si="9"/>
        <v>7854119.6170000006</v>
      </c>
      <c r="H79" s="25">
        <f t="shared" si="9"/>
        <v>7854119.6170000006</v>
      </c>
      <c r="I79" s="25">
        <f t="shared" si="9"/>
        <v>7854119.6170000006</v>
      </c>
      <c r="J79" s="25">
        <f t="shared" si="9"/>
        <v>7854119.6170000006</v>
      </c>
      <c r="K79" s="25">
        <f t="shared" si="9"/>
        <v>7854119.6170000006</v>
      </c>
      <c r="L79" s="25">
        <f t="shared" si="9"/>
        <v>7854119.6170000006</v>
      </c>
      <c r="M79" s="25">
        <f t="shared" si="9"/>
        <v>7854119.6170000006</v>
      </c>
      <c r="N79" s="25">
        <f t="shared" si="9"/>
        <v>7854119.6170000006</v>
      </c>
      <c r="O79" s="25">
        <f t="shared" si="9"/>
        <v>7854119.6170000006</v>
      </c>
      <c r="P79" s="25">
        <f t="shared" si="9"/>
        <v>7854119.6170000006</v>
      </c>
      <c r="Q79" s="25">
        <f t="shared" si="9"/>
        <v>7854119.6170000006</v>
      </c>
      <c r="R79" s="25">
        <f t="shared" si="9"/>
        <v>7854119.6170000006</v>
      </c>
      <c r="S79" s="25">
        <f t="shared" si="9"/>
        <v>7854119.6170000006</v>
      </c>
      <c r="T79" s="25">
        <f t="shared" si="9"/>
        <v>7854119.6170000006</v>
      </c>
      <c r="U79" s="25">
        <f t="shared" si="9"/>
        <v>7854119.6170000006</v>
      </c>
      <c r="V79" s="25">
        <f t="shared" si="9"/>
        <v>7854119.6170000006</v>
      </c>
    </row>
    <row r="80" spans="1:23" x14ac:dyDescent="0.2">
      <c r="A80" s="15" t="s">
        <v>36</v>
      </c>
      <c r="B80" s="132" t="s">
        <v>93</v>
      </c>
      <c r="C80" s="24">
        <f>C65*$C$8*$H$15*$C$18</f>
        <v>24.089632000000002</v>
      </c>
      <c r="D80" s="24">
        <f t="shared" ref="D80:V80" si="10">D65*$C$8*$H$15*$C$18</f>
        <v>72.268895999999998</v>
      </c>
      <c r="E80" s="24">
        <f t="shared" si="10"/>
        <v>144.537792</v>
      </c>
      <c r="F80" s="24">
        <f t="shared" si="10"/>
        <v>240.89632</v>
      </c>
      <c r="G80" s="24">
        <f t="shared" si="10"/>
        <v>361.34447999999998</v>
      </c>
      <c r="H80" s="24">
        <f t="shared" si="10"/>
        <v>361.34447999999998</v>
      </c>
      <c r="I80" s="24">
        <f t="shared" si="10"/>
        <v>361.34447999999998</v>
      </c>
      <c r="J80" s="24">
        <f t="shared" si="10"/>
        <v>361.34447999999998</v>
      </c>
      <c r="K80" s="24">
        <f t="shared" si="10"/>
        <v>361.34447999999998</v>
      </c>
      <c r="L80" s="24">
        <f t="shared" si="10"/>
        <v>361.34447999999998</v>
      </c>
      <c r="M80" s="24">
        <f t="shared" si="10"/>
        <v>361.34447999999998</v>
      </c>
      <c r="N80" s="24">
        <f t="shared" si="10"/>
        <v>361.34447999999998</v>
      </c>
      <c r="O80" s="24">
        <f t="shared" si="10"/>
        <v>361.34447999999998</v>
      </c>
      <c r="P80" s="24">
        <f t="shared" si="10"/>
        <v>361.34447999999998</v>
      </c>
      <c r="Q80" s="24">
        <f t="shared" si="10"/>
        <v>361.34447999999998</v>
      </c>
      <c r="R80" s="24">
        <f t="shared" si="10"/>
        <v>361.34447999999998</v>
      </c>
      <c r="S80" s="24">
        <f t="shared" si="10"/>
        <v>361.34447999999998</v>
      </c>
      <c r="T80" s="24">
        <f t="shared" si="10"/>
        <v>361.34447999999998</v>
      </c>
      <c r="U80" s="24">
        <f t="shared" si="10"/>
        <v>361.34447999999998</v>
      </c>
      <c r="V80" s="24">
        <f t="shared" si="10"/>
        <v>361.34447999999998</v>
      </c>
    </row>
    <row r="81" spans="1:22" x14ac:dyDescent="0.2">
      <c r="A81" s="15" t="s">
        <v>36</v>
      </c>
      <c r="B81" s="132" t="s">
        <v>94</v>
      </c>
      <c r="C81" s="25">
        <f>C67*$C$8*$H$15*$C$18</f>
        <v>216.92812344000001</v>
      </c>
      <c r="D81" s="25">
        <f t="shared" ref="D81:V81" si="11">D67*$C$8*$H$15*$C$18</f>
        <v>650.78437031999999</v>
      </c>
      <c r="E81" s="25">
        <f t="shared" si="11"/>
        <v>1301.56874064</v>
      </c>
      <c r="F81" s="25">
        <f t="shared" si="11"/>
        <v>2169.2812343999999</v>
      </c>
      <c r="G81" s="25">
        <f t="shared" si="11"/>
        <v>3253.9218516000005</v>
      </c>
      <c r="H81" s="25">
        <f t="shared" si="11"/>
        <v>3253.9218516000005</v>
      </c>
      <c r="I81" s="25">
        <f t="shared" si="11"/>
        <v>3253.9218516000005</v>
      </c>
      <c r="J81" s="25">
        <f t="shared" si="11"/>
        <v>3253.9218516000005</v>
      </c>
      <c r="K81" s="25">
        <f t="shared" si="11"/>
        <v>3253.9218516000005</v>
      </c>
      <c r="L81" s="25">
        <f t="shared" si="11"/>
        <v>3253.9218516000005</v>
      </c>
      <c r="M81" s="25">
        <f t="shared" si="11"/>
        <v>3253.9218516000005</v>
      </c>
      <c r="N81" s="25">
        <f t="shared" si="11"/>
        <v>3253.9218516000005</v>
      </c>
      <c r="O81" s="25">
        <f t="shared" si="11"/>
        <v>3253.9218516000005</v>
      </c>
      <c r="P81" s="25">
        <f t="shared" si="11"/>
        <v>3253.9218516000005</v>
      </c>
      <c r="Q81" s="25">
        <f t="shared" si="11"/>
        <v>3253.9218516000005</v>
      </c>
      <c r="R81" s="25">
        <f t="shared" si="11"/>
        <v>3253.9218516000005</v>
      </c>
      <c r="S81" s="25">
        <f t="shared" si="11"/>
        <v>3253.9218516000005</v>
      </c>
      <c r="T81" s="25">
        <f t="shared" si="11"/>
        <v>3253.9218516000005</v>
      </c>
      <c r="U81" s="25">
        <f t="shared" si="11"/>
        <v>3253.9218516000005</v>
      </c>
      <c r="V81" s="25">
        <f t="shared" si="11"/>
        <v>3253.9218516000005</v>
      </c>
    </row>
    <row r="82" spans="1:22" x14ac:dyDescent="0.2">
      <c r="A82" s="98" t="s">
        <v>36</v>
      </c>
      <c r="B82" s="132" t="s">
        <v>134</v>
      </c>
      <c r="C82" s="25">
        <f>C69*$H$14*$C$8*$C$18</f>
        <v>0</v>
      </c>
      <c r="D82" s="25">
        <f t="shared" ref="D82:V82" si="12">D69*$H$14*$C$8*$C$18</f>
        <v>0</v>
      </c>
      <c r="E82" s="25">
        <f t="shared" si="12"/>
        <v>0</v>
      </c>
      <c r="F82" s="25">
        <f t="shared" si="12"/>
        <v>0</v>
      </c>
      <c r="G82" s="25">
        <f t="shared" si="12"/>
        <v>0</v>
      </c>
      <c r="H82" s="25">
        <f t="shared" si="12"/>
        <v>0</v>
      </c>
      <c r="I82" s="25">
        <f t="shared" si="12"/>
        <v>0</v>
      </c>
      <c r="J82" s="25">
        <f t="shared" si="12"/>
        <v>0</v>
      </c>
      <c r="K82" s="25">
        <f t="shared" si="12"/>
        <v>0</v>
      </c>
      <c r="L82" s="25">
        <f t="shared" si="12"/>
        <v>0</v>
      </c>
      <c r="M82" s="25">
        <f t="shared" si="12"/>
        <v>0</v>
      </c>
      <c r="N82" s="25">
        <f t="shared" si="12"/>
        <v>0</v>
      </c>
      <c r="O82" s="25">
        <f t="shared" si="12"/>
        <v>0</v>
      </c>
      <c r="P82" s="25">
        <f t="shared" si="12"/>
        <v>0</v>
      </c>
      <c r="Q82" s="25">
        <f t="shared" si="12"/>
        <v>0</v>
      </c>
      <c r="R82" s="25">
        <f t="shared" si="12"/>
        <v>0</v>
      </c>
      <c r="S82" s="25">
        <f t="shared" si="12"/>
        <v>0</v>
      </c>
      <c r="T82" s="25">
        <f t="shared" si="12"/>
        <v>0</v>
      </c>
      <c r="U82" s="25">
        <f t="shared" si="12"/>
        <v>0</v>
      </c>
      <c r="V82" s="25">
        <f t="shared" si="12"/>
        <v>0</v>
      </c>
    </row>
    <row r="83" spans="1:22" x14ac:dyDescent="0.2">
      <c r="A83" s="98" t="s">
        <v>36</v>
      </c>
      <c r="B83" s="132" t="s">
        <v>133</v>
      </c>
      <c r="C83" s="25">
        <f>C71*$H$14*$C$18*$C$8</f>
        <v>146.98647599999998</v>
      </c>
      <c r="D83" s="25">
        <f>D71*$H$14*$C$18*$C$8</f>
        <v>440.95942799999995</v>
      </c>
      <c r="E83" s="25">
        <f>E71*$H$14*$C$18*$C$8</f>
        <v>881.91885599999989</v>
      </c>
      <c r="F83" s="25">
        <f>F71*$H$14*$C$18*$C$8</f>
        <v>1469.8647599999999</v>
      </c>
      <c r="G83" s="25">
        <f>G71*$H$14*$C$18*$C$8</f>
        <v>2204.7971400000001</v>
      </c>
      <c r="H83" s="25">
        <f>G83</f>
        <v>2204.7971400000001</v>
      </c>
      <c r="I83" s="25">
        <f t="shared" ref="I83:V83" si="13">H83</f>
        <v>2204.7971400000001</v>
      </c>
      <c r="J83" s="25">
        <f t="shared" si="13"/>
        <v>2204.7971400000001</v>
      </c>
      <c r="K83" s="25">
        <f t="shared" si="13"/>
        <v>2204.7971400000001</v>
      </c>
      <c r="L83" s="25">
        <f t="shared" si="13"/>
        <v>2204.7971400000001</v>
      </c>
      <c r="M83" s="25">
        <f t="shared" si="13"/>
        <v>2204.7971400000001</v>
      </c>
      <c r="N83" s="25">
        <f t="shared" si="13"/>
        <v>2204.7971400000001</v>
      </c>
      <c r="O83" s="25">
        <f t="shared" si="13"/>
        <v>2204.7971400000001</v>
      </c>
      <c r="P83" s="25">
        <f t="shared" si="13"/>
        <v>2204.7971400000001</v>
      </c>
      <c r="Q83" s="25">
        <f t="shared" si="13"/>
        <v>2204.7971400000001</v>
      </c>
      <c r="R83" s="25">
        <f t="shared" si="13"/>
        <v>2204.7971400000001</v>
      </c>
      <c r="S83" s="25">
        <f t="shared" si="13"/>
        <v>2204.7971400000001</v>
      </c>
      <c r="T83" s="25">
        <f t="shared" si="13"/>
        <v>2204.7971400000001</v>
      </c>
      <c r="U83" s="25">
        <f t="shared" si="13"/>
        <v>2204.7971400000001</v>
      </c>
      <c r="V83" s="25">
        <f t="shared" si="13"/>
        <v>2204.7971400000001</v>
      </c>
    </row>
    <row r="84" spans="1:22" x14ac:dyDescent="0.2">
      <c r="A84" s="98" t="s">
        <v>184</v>
      </c>
      <c r="B84" s="16" t="s">
        <v>160</v>
      </c>
      <c r="C84" s="25">
        <f>C72*$G$10</f>
        <v>7170246</v>
      </c>
      <c r="D84" s="25">
        <f t="shared" ref="D84:V84" si="14">D72*$G$10</f>
        <v>7170246</v>
      </c>
      <c r="E84" s="25">
        <f t="shared" si="14"/>
        <v>7170246</v>
      </c>
      <c r="F84" s="25">
        <f t="shared" si="14"/>
        <v>7170246</v>
      </c>
      <c r="G84" s="25">
        <f t="shared" si="14"/>
        <v>7170246</v>
      </c>
      <c r="H84" s="25">
        <f t="shared" si="14"/>
        <v>7170246</v>
      </c>
      <c r="I84" s="25">
        <f t="shared" si="14"/>
        <v>7170246</v>
      </c>
      <c r="J84" s="25">
        <f t="shared" si="14"/>
        <v>7170246</v>
      </c>
      <c r="K84" s="25">
        <f t="shared" si="14"/>
        <v>7170246</v>
      </c>
      <c r="L84" s="25">
        <f t="shared" si="14"/>
        <v>7170246</v>
      </c>
      <c r="M84" s="25">
        <f t="shared" si="14"/>
        <v>7170246</v>
      </c>
      <c r="N84" s="25">
        <f t="shared" si="14"/>
        <v>7170246</v>
      </c>
      <c r="O84" s="25">
        <f t="shared" si="14"/>
        <v>7170246</v>
      </c>
      <c r="P84" s="25">
        <f t="shared" si="14"/>
        <v>7170246</v>
      </c>
      <c r="Q84" s="25">
        <f t="shared" si="14"/>
        <v>7170246</v>
      </c>
      <c r="R84" s="25">
        <f t="shared" si="14"/>
        <v>7170246</v>
      </c>
      <c r="S84" s="25">
        <f t="shared" si="14"/>
        <v>7170246</v>
      </c>
      <c r="T84" s="25">
        <f t="shared" si="14"/>
        <v>7170246</v>
      </c>
      <c r="U84" s="25">
        <f t="shared" si="14"/>
        <v>7170246</v>
      </c>
      <c r="V84" s="25">
        <f t="shared" si="14"/>
        <v>7170246</v>
      </c>
    </row>
    <row r="85" spans="1:22" x14ac:dyDescent="0.2">
      <c r="B85" s="26" t="s">
        <v>43</v>
      </c>
      <c r="C85" s="25">
        <f>SUM(C79:C84)</f>
        <v>7694241.9786981065</v>
      </c>
      <c r="D85" s="25">
        <f t="shared" ref="D85:V85" si="15">SUM(D79:D84)</f>
        <v>8742233.9360943194</v>
      </c>
      <c r="E85" s="25">
        <f t="shared" si="15"/>
        <v>10314221.872188641</v>
      </c>
      <c r="F85" s="25">
        <f t="shared" si="15"/>
        <v>12410205.786981069</v>
      </c>
      <c r="G85" s="25">
        <f t="shared" si="15"/>
        <v>15030185.680471601</v>
      </c>
      <c r="H85" s="25">
        <f t="shared" si="15"/>
        <v>15030185.680471601</v>
      </c>
      <c r="I85" s="25">
        <f t="shared" si="15"/>
        <v>15030185.680471601</v>
      </c>
      <c r="J85" s="25">
        <f t="shared" si="15"/>
        <v>15030185.680471601</v>
      </c>
      <c r="K85" s="25">
        <f t="shared" si="15"/>
        <v>15030185.680471601</v>
      </c>
      <c r="L85" s="25">
        <f t="shared" si="15"/>
        <v>15030185.680471601</v>
      </c>
      <c r="M85" s="25">
        <f t="shared" si="15"/>
        <v>15030185.680471601</v>
      </c>
      <c r="N85" s="25">
        <f t="shared" si="15"/>
        <v>15030185.680471601</v>
      </c>
      <c r="O85" s="25">
        <f t="shared" si="15"/>
        <v>15030185.680471601</v>
      </c>
      <c r="P85" s="25">
        <f t="shared" si="15"/>
        <v>15030185.680471601</v>
      </c>
      <c r="Q85" s="25">
        <f t="shared" si="15"/>
        <v>15030185.680471601</v>
      </c>
      <c r="R85" s="25">
        <f t="shared" si="15"/>
        <v>15030185.680471601</v>
      </c>
      <c r="S85" s="25">
        <f t="shared" si="15"/>
        <v>15030185.680471601</v>
      </c>
      <c r="T85" s="25">
        <f t="shared" si="15"/>
        <v>15030185.680471601</v>
      </c>
      <c r="U85" s="25">
        <f t="shared" si="15"/>
        <v>15030185.680471601</v>
      </c>
      <c r="V85" s="25">
        <f t="shared" si="15"/>
        <v>15030185.680471601</v>
      </c>
    </row>
    <row r="86" spans="1:22" x14ac:dyDescent="0.2">
      <c r="B86" s="16" t="s">
        <v>71</v>
      </c>
      <c r="C86" s="143">
        <f>NPV(6%,C85:V85)</f>
        <v>153843205.75953135</v>
      </c>
    </row>
    <row r="87" spans="1:22" x14ac:dyDescent="0.2">
      <c r="B87" s="16" t="s">
        <v>72</v>
      </c>
      <c r="C87" s="143">
        <f>NPV(9%,C85:V85)</f>
        <v>119683420.48319496</v>
      </c>
    </row>
    <row r="88" spans="1:22" x14ac:dyDescent="0.2">
      <c r="H88" s="1"/>
      <c r="I88" s="1"/>
      <c r="J88" s="1"/>
      <c r="K88" s="1"/>
      <c r="L88" s="1"/>
      <c r="M88" s="1"/>
      <c r="N88" s="1"/>
      <c r="O88" s="1"/>
      <c r="P88" s="1"/>
      <c r="Q88" s="1"/>
    </row>
    <row r="89" spans="1:22" ht="21" x14ac:dyDescent="0.25">
      <c r="B89" s="43" t="s">
        <v>62</v>
      </c>
      <c r="C89" s="44">
        <f t="shared" ref="C89:V89" si="16">C77</f>
        <v>2021</v>
      </c>
      <c r="D89" s="44">
        <f t="shared" si="16"/>
        <v>2022</v>
      </c>
      <c r="E89" s="44">
        <f t="shared" si="16"/>
        <v>2023</v>
      </c>
      <c r="F89" s="44">
        <f t="shared" si="16"/>
        <v>2024</v>
      </c>
      <c r="G89" s="44">
        <f t="shared" si="16"/>
        <v>2025</v>
      </c>
      <c r="H89" s="44">
        <f t="shared" si="16"/>
        <v>2026</v>
      </c>
      <c r="I89" s="44">
        <f t="shared" si="16"/>
        <v>2027</v>
      </c>
      <c r="J89" s="44">
        <f t="shared" si="16"/>
        <v>2028</v>
      </c>
      <c r="K89" s="44">
        <f t="shared" si="16"/>
        <v>2029</v>
      </c>
      <c r="L89" s="44">
        <f t="shared" si="16"/>
        <v>2030</v>
      </c>
      <c r="M89" s="44">
        <f t="shared" si="16"/>
        <v>2031</v>
      </c>
      <c r="N89" s="44">
        <f t="shared" si="16"/>
        <v>2032</v>
      </c>
      <c r="O89" s="44">
        <f t="shared" si="16"/>
        <v>2033</v>
      </c>
      <c r="P89" s="44">
        <f t="shared" si="16"/>
        <v>2034</v>
      </c>
      <c r="Q89" s="44">
        <f t="shared" si="16"/>
        <v>2035</v>
      </c>
      <c r="R89" s="44">
        <f t="shared" si="16"/>
        <v>2036</v>
      </c>
      <c r="S89" s="44">
        <f t="shared" si="16"/>
        <v>2037</v>
      </c>
      <c r="T89" s="44">
        <f t="shared" si="16"/>
        <v>2038</v>
      </c>
      <c r="U89" s="44">
        <f t="shared" si="16"/>
        <v>2039</v>
      </c>
      <c r="V89" s="44">
        <f t="shared" si="16"/>
        <v>2040</v>
      </c>
    </row>
    <row r="90" spans="1:22" x14ac:dyDescent="0.2">
      <c r="A90" s="15"/>
      <c r="B90" s="16"/>
      <c r="C90" s="25"/>
      <c r="D90" s="25"/>
      <c r="E90" s="25"/>
      <c r="F90" s="25"/>
      <c r="G90" s="25"/>
      <c r="H90" s="25"/>
      <c r="I90" s="25"/>
      <c r="J90" s="25"/>
      <c r="K90" s="25"/>
      <c r="L90" s="25"/>
      <c r="M90" s="25"/>
      <c r="N90" s="25"/>
      <c r="O90" s="25"/>
      <c r="P90" s="25"/>
      <c r="Q90" s="25"/>
      <c r="R90" s="25"/>
      <c r="S90" s="25"/>
      <c r="T90" s="25"/>
      <c r="U90" s="25"/>
      <c r="V90" s="25"/>
    </row>
    <row r="91" spans="1:22" x14ac:dyDescent="0.2">
      <c r="A91" s="15" t="str">
        <f t="shared" ref="A91:B93" si="17">A79</f>
        <v>Component 1</v>
      </c>
      <c r="B91" s="132" t="str">
        <f t="shared" si="17"/>
        <v>Deforestation pressure reduction</v>
      </c>
      <c r="C91" s="24">
        <f>C63*$H$7*$C$8</f>
        <v>249399.31097999998</v>
      </c>
      <c r="D91" s="24">
        <f t="shared" ref="D91:V91" si="18">D63*$H$7*$C$8</f>
        <v>748197.93293999997</v>
      </c>
      <c r="E91" s="24">
        <f t="shared" si="18"/>
        <v>1496395.8658799999</v>
      </c>
      <c r="F91" s="24">
        <f t="shared" si="18"/>
        <v>2493993.1097999993</v>
      </c>
      <c r="G91" s="24">
        <f t="shared" si="18"/>
        <v>3740989.6647000001</v>
      </c>
      <c r="H91" s="24">
        <f>H63*$H$7*$C$8</f>
        <v>3740989.6647000001</v>
      </c>
      <c r="I91" s="24">
        <f t="shared" si="18"/>
        <v>3740989.6647000001</v>
      </c>
      <c r="J91" s="24">
        <f t="shared" si="18"/>
        <v>3740989.6647000001</v>
      </c>
      <c r="K91" s="24">
        <f t="shared" si="18"/>
        <v>3740989.6647000001</v>
      </c>
      <c r="L91" s="24">
        <f t="shared" si="18"/>
        <v>3740989.6647000001</v>
      </c>
      <c r="M91" s="24">
        <f t="shared" si="18"/>
        <v>3740989.6647000001</v>
      </c>
      <c r="N91" s="24">
        <f t="shared" si="18"/>
        <v>3740989.6647000001</v>
      </c>
      <c r="O91" s="24">
        <f t="shared" si="18"/>
        <v>3740989.6647000001</v>
      </c>
      <c r="P91" s="24">
        <f t="shared" si="18"/>
        <v>3740989.6647000001</v>
      </c>
      <c r="Q91" s="24">
        <f t="shared" si="18"/>
        <v>3740989.6647000001</v>
      </c>
      <c r="R91" s="24">
        <f t="shared" si="18"/>
        <v>3740989.6647000001</v>
      </c>
      <c r="S91" s="24">
        <f t="shared" si="18"/>
        <v>3740989.6647000001</v>
      </c>
      <c r="T91" s="24">
        <f t="shared" si="18"/>
        <v>3740989.6647000001</v>
      </c>
      <c r="U91" s="24">
        <f t="shared" si="18"/>
        <v>3740989.6647000001</v>
      </c>
      <c r="V91" s="24">
        <f t="shared" si="18"/>
        <v>3740989.6647000001</v>
      </c>
    </row>
    <row r="92" spans="1:22" x14ac:dyDescent="0.2">
      <c r="A92" s="15" t="str">
        <f t="shared" si="17"/>
        <v>Component 3</v>
      </c>
      <c r="B92" s="132" t="str">
        <f t="shared" si="17"/>
        <v>Agroforestry System</v>
      </c>
      <c r="C92" s="24">
        <f>C80</f>
        <v>24.089632000000002</v>
      </c>
      <c r="D92" s="24">
        <f>D80</f>
        <v>72.268895999999998</v>
      </c>
      <c r="E92" s="24">
        <f>E80</f>
        <v>144.537792</v>
      </c>
      <c r="F92" s="24">
        <f>F80</f>
        <v>240.89632</v>
      </c>
      <c r="G92" s="24">
        <f>G80</f>
        <v>361.34447999999998</v>
      </c>
      <c r="H92" s="24">
        <f t="shared" ref="D92:V96" si="19">H80</f>
        <v>361.34447999999998</v>
      </c>
      <c r="I92" s="24">
        <f t="shared" si="19"/>
        <v>361.34447999999998</v>
      </c>
      <c r="J92" s="24">
        <f t="shared" si="19"/>
        <v>361.34447999999998</v>
      </c>
      <c r="K92" s="24">
        <f t="shared" si="19"/>
        <v>361.34447999999998</v>
      </c>
      <c r="L92" s="24">
        <f t="shared" si="19"/>
        <v>361.34447999999998</v>
      </c>
      <c r="M92" s="24">
        <f t="shared" si="19"/>
        <v>361.34447999999998</v>
      </c>
      <c r="N92" s="24">
        <f t="shared" si="19"/>
        <v>361.34447999999998</v>
      </c>
      <c r="O92" s="24">
        <f t="shared" si="19"/>
        <v>361.34447999999998</v>
      </c>
      <c r="P92" s="24">
        <f t="shared" si="19"/>
        <v>361.34447999999998</v>
      </c>
      <c r="Q92" s="24">
        <f t="shared" si="19"/>
        <v>361.34447999999998</v>
      </c>
      <c r="R92" s="24">
        <f t="shared" si="19"/>
        <v>361.34447999999998</v>
      </c>
      <c r="S92" s="24">
        <f t="shared" si="19"/>
        <v>361.34447999999998</v>
      </c>
      <c r="T92" s="24">
        <f t="shared" si="19"/>
        <v>361.34447999999998</v>
      </c>
      <c r="U92" s="24">
        <f t="shared" si="19"/>
        <v>361.34447999999998</v>
      </c>
      <c r="V92" s="24">
        <f t="shared" si="19"/>
        <v>361.34447999999998</v>
      </c>
    </row>
    <row r="93" spans="1:22" x14ac:dyDescent="0.2">
      <c r="A93" s="15" t="str">
        <f t="shared" si="17"/>
        <v>Component 3</v>
      </c>
      <c r="B93" s="132" t="str">
        <f t="shared" si="17"/>
        <v>Silvopastoral System</v>
      </c>
      <c r="C93" s="24">
        <f>C81</f>
        <v>216.92812344000001</v>
      </c>
      <c r="D93" s="24">
        <f t="shared" ref="D93:R93" si="20">D81</f>
        <v>650.78437031999999</v>
      </c>
      <c r="E93" s="24">
        <f t="shared" si="20"/>
        <v>1301.56874064</v>
      </c>
      <c r="F93" s="24">
        <f t="shared" si="20"/>
        <v>2169.2812343999999</v>
      </c>
      <c r="G93" s="24">
        <f t="shared" si="20"/>
        <v>3253.9218516000005</v>
      </c>
      <c r="H93" s="24">
        <f t="shared" si="20"/>
        <v>3253.9218516000005</v>
      </c>
      <c r="I93" s="24">
        <f t="shared" si="20"/>
        <v>3253.9218516000005</v>
      </c>
      <c r="J93" s="24">
        <f t="shared" si="20"/>
        <v>3253.9218516000005</v>
      </c>
      <c r="K93" s="24">
        <f t="shared" si="20"/>
        <v>3253.9218516000005</v>
      </c>
      <c r="L93" s="24">
        <f t="shared" si="20"/>
        <v>3253.9218516000005</v>
      </c>
      <c r="M93" s="24">
        <f t="shared" si="20"/>
        <v>3253.9218516000005</v>
      </c>
      <c r="N93" s="24">
        <f t="shared" si="20"/>
        <v>3253.9218516000005</v>
      </c>
      <c r="O93" s="24">
        <f t="shared" si="20"/>
        <v>3253.9218516000005</v>
      </c>
      <c r="P93" s="24">
        <f t="shared" si="20"/>
        <v>3253.9218516000005</v>
      </c>
      <c r="Q93" s="24">
        <f t="shared" si="20"/>
        <v>3253.9218516000005</v>
      </c>
      <c r="R93" s="24">
        <f t="shared" si="20"/>
        <v>3253.9218516000005</v>
      </c>
      <c r="S93" s="24">
        <f t="shared" si="19"/>
        <v>3253.9218516000005</v>
      </c>
      <c r="T93" s="24">
        <f t="shared" si="19"/>
        <v>3253.9218516000005</v>
      </c>
      <c r="U93" s="24">
        <f t="shared" si="19"/>
        <v>3253.9218516000005</v>
      </c>
      <c r="V93" s="24">
        <f t="shared" si="19"/>
        <v>3253.9218516000005</v>
      </c>
    </row>
    <row r="94" spans="1:22" x14ac:dyDescent="0.2">
      <c r="A94" s="98" t="s">
        <v>36</v>
      </c>
      <c r="B94" s="132" t="s">
        <v>134</v>
      </c>
      <c r="C94" s="24">
        <f>C82</f>
        <v>0</v>
      </c>
      <c r="D94" s="24">
        <f t="shared" si="19"/>
        <v>0</v>
      </c>
      <c r="E94" s="24">
        <f t="shared" si="19"/>
        <v>0</v>
      </c>
      <c r="F94" s="24">
        <f t="shared" si="19"/>
        <v>0</v>
      </c>
      <c r="G94" s="24">
        <f t="shared" si="19"/>
        <v>0</v>
      </c>
      <c r="H94" s="24">
        <f t="shared" si="19"/>
        <v>0</v>
      </c>
      <c r="I94" s="24">
        <f t="shared" si="19"/>
        <v>0</v>
      </c>
      <c r="J94" s="24">
        <f t="shared" si="19"/>
        <v>0</v>
      </c>
      <c r="K94" s="24">
        <f t="shared" si="19"/>
        <v>0</v>
      </c>
      <c r="L94" s="24">
        <f t="shared" si="19"/>
        <v>0</v>
      </c>
      <c r="M94" s="24">
        <f t="shared" si="19"/>
        <v>0</v>
      </c>
      <c r="N94" s="24">
        <f t="shared" si="19"/>
        <v>0</v>
      </c>
      <c r="O94" s="24">
        <f t="shared" si="19"/>
        <v>0</v>
      </c>
      <c r="P94" s="24">
        <f t="shared" si="19"/>
        <v>0</v>
      </c>
      <c r="Q94" s="24">
        <f t="shared" si="19"/>
        <v>0</v>
      </c>
      <c r="R94" s="24">
        <f t="shared" si="19"/>
        <v>0</v>
      </c>
      <c r="S94" s="24">
        <f t="shared" si="19"/>
        <v>0</v>
      </c>
      <c r="T94" s="24">
        <f t="shared" si="19"/>
        <v>0</v>
      </c>
      <c r="U94" s="24">
        <f t="shared" si="19"/>
        <v>0</v>
      </c>
      <c r="V94" s="24">
        <f t="shared" si="19"/>
        <v>0</v>
      </c>
    </row>
    <row r="95" spans="1:22" x14ac:dyDescent="0.2">
      <c r="A95" s="98" t="s">
        <v>36</v>
      </c>
      <c r="B95" s="132" t="s">
        <v>133</v>
      </c>
      <c r="C95" s="24">
        <f>C83</f>
        <v>146.98647599999998</v>
      </c>
      <c r="D95" s="24">
        <f t="shared" si="19"/>
        <v>440.95942799999995</v>
      </c>
      <c r="E95" s="24">
        <f t="shared" si="19"/>
        <v>881.91885599999989</v>
      </c>
      <c r="F95" s="24">
        <f t="shared" si="19"/>
        <v>1469.8647599999999</v>
      </c>
      <c r="G95" s="24">
        <f t="shared" si="19"/>
        <v>2204.7971400000001</v>
      </c>
      <c r="H95" s="24">
        <f t="shared" si="19"/>
        <v>2204.7971400000001</v>
      </c>
      <c r="I95" s="24">
        <f t="shared" si="19"/>
        <v>2204.7971400000001</v>
      </c>
      <c r="J95" s="24">
        <f t="shared" si="19"/>
        <v>2204.7971400000001</v>
      </c>
      <c r="K95" s="24">
        <f t="shared" si="19"/>
        <v>2204.7971400000001</v>
      </c>
      <c r="L95" s="24">
        <f t="shared" si="19"/>
        <v>2204.7971400000001</v>
      </c>
      <c r="M95" s="24">
        <f t="shared" si="19"/>
        <v>2204.7971400000001</v>
      </c>
      <c r="N95" s="24">
        <f t="shared" si="19"/>
        <v>2204.7971400000001</v>
      </c>
      <c r="O95" s="24">
        <f t="shared" si="19"/>
        <v>2204.7971400000001</v>
      </c>
      <c r="P95" s="24">
        <f t="shared" si="19"/>
        <v>2204.7971400000001</v>
      </c>
      <c r="Q95" s="24">
        <f t="shared" si="19"/>
        <v>2204.7971400000001</v>
      </c>
      <c r="R95" s="24">
        <f t="shared" si="19"/>
        <v>2204.7971400000001</v>
      </c>
      <c r="S95" s="24">
        <f t="shared" si="19"/>
        <v>2204.7971400000001</v>
      </c>
      <c r="T95" s="24">
        <f t="shared" si="19"/>
        <v>2204.7971400000001</v>
      </c>
      <c r="U95" s="24">
        <f t="shared" si="19"/>
        <v>2204.7971400000001</v>
      </c>
      <c r="V95" s="24">
        <f t="shared" si="19"/>
        <v>2204.7971400000001</v>
      </c>
    </row>
    <row r="96" spans="1:22" x14ac:dyDescent="0.2">
      <c r="A96" s="98" t="s">
        <v>184</v>
      </c>
      <c r="B96" s="16" t="s">
        <v>160</v>
      </c>
      <c r="C96" s="24">
        <f>C84</f>
        <v>7170246</v>
      </c>
      <c r="D96" s="24">
        <f t="shared" si="19"/>
        <v>7170246</v>
      </c>
      <c r="E96" s="24">
        <f t="shared" si="19"/>
        <v>7170246</v>
      </c>
      <c r="F96" s="24">
        <f t="shared" si="19"/>
        <v>7170246</v>
      </c>
      <c r="G96" s="24">
        <f t="shared" si="19"/>
        <v>7170246</v>
      </c>
      <c r="H96" s="24">
        <f t="shared" si="19"/>
        <v>7170246</v>
      </c>
      <c r="I96" s="24">
        <f t="shared" si="19"/>
        <v>7170246</v>
      </c>
      <c r="J96" s="24">
        <f t="shared" si="19"/>
        <v>7170246</v>
      </c>
      <c r="K96" s="24">
        <f t="shared" si="19"/>
        <v>7170246</v>
      </c>
      <c r="L96" s="24">
        <f t="shared" si="19"/>
        <v>7170246</v>
      </c>
      <c r="M96" s="24">
        <f t="shared" si="19"/>
        <v>7170246</v>
      </c>
      <c r="N96" s="24">
        <f t="shared" si="19"/>
        <v>7170246</v>
      </c>
      <c r="O96" s="24">
        <f t="shared" si="19"/>
        <v>7170246</v>
      </c>
      <c r="P96" s="24">
        <f t="shared" si="19"/>
        <v>7170246</v>
      </c>
      <c r="Q96" s="24">
        <f t="shared" si="19"/>
        <v>7170246</v>
      </c>
      <c r="R96" s="24">
        <f t="shared" si="19"/>
        <v>7170246</v>
      </c>
      <c r="S96" s="24">
        <f t="shared" si="19"/>
        <v>7170246</v>
      </c>
      <c r="T96" s="24">
        <f t="shared" si="19"/>
        <v>7170246</v>
      </c>
      <c r="U96" s="24">
        <f t="shared" si="19"/>
        <v>7170246</v>
      </c>
      <c r="V96" s="24">
        <f t="shared" si="19"/>
        <v>7170246</v>
      </c>
    </row>
    <row r="97" spans="1:25" x14ac:dyDescent="0.2">
      <c r="B97" s="26" t="str">
        <f>B85</f>
        <v>Total Benefits</v>
      </c>
      <c r="C97" s="25">
        <f>SUM(C90:C96)</f>
        <v>7420033.3152114395</v>
      </c>
      <c r="D97" s="25">
        <f t="shared" ref="D97:V97" si="21">SUM(D90:D96)</f>
        <v>7919607.9456343204</v>
      </c>
      <c r="E97" s="25">
        <f t="shared" si="21"/>
        <v>8668969.8912686408</v>
      </c>
      <c r="F97" s="25">
        <f t="shared" si="21"/>
        <v>9668119.1521143988</v>
      </c>
      <c r="G97" s="25">
        <f t="shared" si="21"/>
        <v>10917055.7281716</v>
      </c>
      <c r="H97" s="25">
        <f t="shared" si="21"/>
        <v>10917055.7281716</v>
      </c>
      <c r="I97" s="25">
        <f t="shared" si="21"/>
        <v>10917055.7281716</v>
      </c>
      <c r="J97" s="25">
        <f t="shared" si="21"/>
        <v>10917055.7281716</v>
      </c>
      <c r="K97" s="25">
        <f t="shared" si="21"/>
        <v>10917055.7281716</v>
      </c>
      <c r="L97" s="25">
        <f t="shared" si="21"/>
        <v>10917055.7281716</v>
      </c>
      <c r="M97" s="25">
        <f t="shared" si="21"/>
        <v>10917055.7281716</v>
      </c>
      <c r="N97" s="25">
        <f t="shared" si="21"/>
        <v>10917055.7281716</v>
      </c>
      <c r="O97" s="25">
        <f t="shared" si="21"/>
        <v>10917055.7281716</v>
      </c>
      <c r="P97" s="25">
        <f t="shared" si="21"/>
        <v>10917055.7281716</v>
      </c>
      <c r="Q97" s="25">
        <f t="shared" si="21"/>
        <v>10917055.7281716</v>
      </c>
      <c r="R97" s="25">
        <f t="shared" si="21"/>
        <v>10917055.7281716</v>
      </c>
      <c r="S97" s="25">
        <f t="shared" si="21"/>
        <v>10917055.7281716</v>
      </c>
      <c r="T97" s="25">
        <f t="shared" si="21"/>
        <v>10917055.7281716</v>
      </c>
      <c r="U97" s="25">
        <f t="shared" si="21"/>
        <v>10917055.7281716</v>
      </c>
      <c r="V97" s="25">
        <f t="shared" si="21"/>
        <v>10917055.7281716</v>
      </c>
    </row>
    <row r="98" spans="1:25" x14ac:dyDescent="0.2">
      <c r="B98" s="16" t="s">
        <v>71</v>
      </c>
      <c r="C98" s="25">
        <f>NPV(6%,C97:V97)</f>
        <v>116374162.57089576</v>
      </c>
      <c r="D98" s="51"/>
      <c r="E98" s="51"/>
      <c r="F98" s="51"/>
      <c r="G98" s="51"/>
      <c r="H98" s="51"/>
      <c r="I98" s="51"/>
      <c r="J98" s="51"/>
      <c r="K98" s="51"/>
      <c r="L98" s="51"/>
      <c r="M98" s="51"/>
      <c r="N98" s="51"/>
      <c r="O98" s="51"/>
      <c r="P98" s="51"/>
      <c r="Q98" s="51"/>
    </row>
    <row r="99" spans="1:25" x14ac:dyDescent="0.2">
      <c r="B99" s="16" t="s">
        <v>72</v>
      </c>
      <c r="C99" s="25">
        <f>NPV(9%,C97:V97)</f>
        <v>91304959.611548811</v>
      </c>
      <c r="D99" s="51"/>
      <c r="E99" s="51"/>
      <c r="F99" s="51"/>
      <c r="G99" s="51"/>
      <c r="H99" s="51"/>
      <c r="I99" s="51"/>
      <c r="J99" s="51"/>
      <c r="K99" s="51"/>
      <c r="L99" s="51"/>
      <c r="M99" s="51"/>
      <c r="N99" s="51"/>
      <c r="O99" s="51"/>
      <c r="P99" s="51"/>
      <c r="Q99" s="51"/>
    </row>
    <row r="100" spans="1:25" x14ac:dyDescent="0.2">
      <c r="B100" s="105"/>
      <c r="C100" s="51"/>
      <c r="D100" s="51"/>
      <c r="E100" s="51"/>
      <c r="F100" s="51"/>
      <c r="G100" s="51"/>
      <c r="H100" s="51"/>
      <c r="I100" s="51"/>
      <c r="J100" s="51"/>
      <c r="K100" s="51"/>
      <c r="L100" s="51"/>
      <c r="M100" s="51"/>
      <c r="N100" s="51"/>
      <c r="O100" s="51"/>
      <c r="P100" s="51"/>
      <c r="Q100" s="51"/>
    </row>
    <row r="101" spans="1:25" x14ac:dyDescent="0.2">
      <c r="B101" s="50"/>
      <c r="C101" s="51"/>
      <c r="D101" s="51"/>
      <c r="E101" s="51"/>
      <c r="F101" s="51"/>
      <c r="G101" s="51"/>
      <c r="H101" s="51"/>
      <c r="I101" s="51"/>
      <c r="J101" s="51"/>
      <c r="K101" s="51"/>
      <c r="L101" s="51"/>
      <c r="M101" s="51"/>
      <c r="N101" s="51"/>
      <c r="O101" s="51"/>
      <c r="P101" s="51"/>
      <c r="Q101" s="51"/>
    </row>
    <row r="102" spans="1:25" x14ac:dyDescent="0.2">
      <c r="C102" s="1"/>
      <c r="D102" s="1"/>
      <c r="E102" s="1"/>
      <c r="F102" s="1"/>
      <c r="G102" s="1"/>
      <c r="H102" s="1"/>
      <c r="I102" s="1"/>
      <c r="J102" s="1"/>
      <c r="K102" s="1"/>
      <c r="L102" s="1"/>
      <c r="M102" s="1"/>
      <c r="N102" s="1"/>
      <c r="O102" s="1"/>
      <c r="P102" s="1"/>
      <c r="Q102" s="1"/>
    </row>
    <row r="103" spans="1:25" ht="21" x14ac:dyDescent="0.25">
      <c r="B103" s="46" t="s">
        <v>44</v>
      </c>
      <c r="C103" s="44">
        <v>2021</v>
      </c>
      <c r="D103" s="44">
        <v>2022</v>
      </c>
      <c r="E103" s="44">
        <v>2023</v>
      </c>
      <c r="F103" s="44">
        <v>2024</v>
      </c>
      <c r="G103" s="44">
        <v>2025</v>
      </c>
      <c r="H103" s="45">
        <v>2026</v>
      </c>
      <c r="I103" s="44">
        <v>2027</v>
      </c>
      <c r="J103" s="44">
        <v>2028</v>
      </c>
      <c r="K103" s="44">
        <v>2029</v>
      </c>
      <c r="L103" s="44">
        <v>2030</v>
      </c>
      <c r="M103" s="44">
        <v>2031</v>
      </c>
      <c r="N103" s="44">
        <v>2032</v>
      </c>
      <c r="O103" s="44">
        <v>2033</v>
      </c>
      <c r="P103" s="44">
        <v>2034</v>
      </c>
      <c r="Q103" s="44">
        <v>2035</v>
      </c>
      <c r="R103" s="44">
        <v>2036</v>
      </c>
      <c r="S103" s="44">
        <v>2037</v>
      </c>
      <c r="T103" s="44">
        <v>2038</v>
      </c>
      <c r="U103" s="44">
        <v>2039</v>
      </c>
      <c r="V103" s="44">
        <v>2040</v>
      </c>
    </row>
    <row r="104" spans="1:25" x14ac:dyDescent="0.2">
      <c r="A104" s="15" t="s">
        <v>34</v>
      </c>
      <c r="B104" s="2" t="s">
        <v>39</v>
      </c>
      <c r="C104" s="27"/>
      <c r="D104" s="27"/>
      <c r="E104" s="27"/>
      <c r="F104" s="27"/>
      <c r="G104" s="27"/>
      <c r="H104" s="27"/>
      <c r="I104" s="2"/>
      <c r="J104" s="2"/>
      <c r="K104" s="2"/>
      <c r="L104" s="2"/>
      <c r="M104" s="2"/>
      <c r="N104" s="2"/>
      <c r="O104" s="2"/>
      <c r="P104" s="2"/>
      <c r="Q104" s="2"/>
      <c r="R104" s="2"/>
      <c r="S104" s="2"/>
      <c r="T104" s="2"/>
      <c r="U104" s="2"/>
      <c r="V104" s="2"/>
    </row>
    <row r="105" spans="1:25" x14ac:dyDescent="0.2">
      <c r="A105" s="15" t="s">
        <v>35</v>
      </c>
      <c r="B105" s="2" t="s">
        <v>40</v>
      </c>
      <c r="C105" s="27"/>
      <c r="D105" s="27"/>
      <c r="E105" s="27"/>
      <c r="F105" s="27"/>
      <c r="G105" s="27"/>
      <c r="H105" s="27"/>
      <c r="I105" s="2"/>
      <c r="J105" s="2"/>
      <c r="K105" s="2"/>
      <c r="L105" s="2"/>
      <c r="M105" s="2"/>
      <c r="N105" s="2"/>
      <c r="O105" s="2"/>
      <c r="P105" s="2"/>
      <c r="Q105" s="2"/>
      <c r="R105" s="2"/>
      <c r="S105" s="2"/>
      <c r="T105" s="2"/>
      <c r="U105" s="2"/>
      <c r="V105" s="2"/>
    </row>
    <row r="106" spans="1:25" x14ac:dyDescent="0.2">
      <c r="A106" s="15" t="s">
        <v>36</v>
      </c>
      <c r="B106" s="2" t="s">
        <v>41</v>
      </c>
      <c r="C106" s="27"/>
      <c r="D106" s="27"/>
      <c r="E106" s="27"/>
      <c r="F106" s="27"/>
      <c r="G106" s="27"/>
      <c r="H106" s="27"/>
      <c r="I106" s="2"/>
      <c r="J106" s="2"/>
      <c r="K106" s="2"/>
      <c r="L106" s="2"/>
      <c r="M106" s="2"/>
      <c r="N106" s="2"/>
      <c r="O106" s="2"/>
      <c r="P106" s="2"/>
      <c r="Q106" s="2"/>
      <c r="R106" s="2"/>
      <c r="S106" s="2"/>
      <c r="T106" s="2"/>
      <c r="U106" s="2"/>
      <c r="V106" s="2"/>
    </row>
    <row r="107" spans="1:25" x14ac:dyDescent="0.2">
      <c r="A107" s="15" t="s">
        <v>37</v>
      </c>
      <c r="B107" s="2" t="s">
        <v>42</v>
      </c>
      <c r="C107" s="27"/>
      <c r="D107" s="27"/>
      <c r="E107" s="27"/>
      <c r="F107" s="27"/>
      <c r="G107" s="27"/>
      <c r="H107" s="27"/>
      <c r="I107" s="2"/>
      <c r="J107" s="2"/>
      <c r="K107" s="2"/>
      <c r="L107" s="2"/>
      <c r="M107" s="2"/>
      <c r="N107" s="2"/>
      <c r="O107" s="2"/>
      <c r="P107" s="2"/>
      <c r="Q107" s="2"/>
      <c r="R107" s="2"/>
      <c r="S107" s="2"/>
      <c r="T107" s="2"/>
      <c r="U107" s="2"/>
      <c r="V107" s="2"/>
    </row>
    <row r="108" spans="1:25" x14ac:dyDescent="0.2">
      <c r="A108" s="15"/>
      <c r="B108" s="16" t="s">
        <v>45</v>
      </c>
      <c r="C108" s="27">
        <v>150000</v>
      </c>
      <c r="D108" s="141">
        <f>D109-C109</f>
        <v>940000</v>
      </c>
      <c r="E108" s="27">
        <f>E109-D109</f>
        <v>1440000</v>
      </c>
      <c r="F108" s="27">
        <f>F109-E109</f>
        <v>2660000</v>
      </c>
      <c r="G108" s="27">
        <f>G109-F109</f>
        <v>2810000</v>
      </c>
      <c r="H108" s="27">
        <f>H109-G109</f>
        <v>2000000</v>
      </c>
      <c r="I108" s="2"/>
      <c r="J108" s="2"/>
      <c r="K108" s="2"/>
      <c r="L108" s="2"/>
      <c r="M108" s="2"/>
      <c r="N108" s="2"/>
      <c r="O108" s="2"/>
      <c r="P108" s="2"/>
      <c r="Q108" s="2"/>
      <c r="R108" s="2"/>
      <c r="S108" s="2"/>
      <c r="T108" s="2"/>
      <c r="U108" s="2"/>
      <c r="V108" s="2"/>
    </row>
    <row r="109" spans="1:25" x14ac:dyDescent="0.2">
      <c r="B109" s="28" t="s">
        <v>46</v>
      </c>
      <c r="C109" s="27">
        <f>SUM(C108)</f>
        <v>150000</v>
      </c>
      <c r="D109" s="27">
        <v>1090000</v>
      </c>
      <c r="E109" s="27">
        <v>2530000</v>
      </c>
      <c r="F109" s="27">
        <v>5190000</v>
      </c>
      <c r="G109" s="27">
        <v>8000000</v>
      </c>
      <c r="H109" s="27">
        <v>10000000</v>
      </c>
      <c r="I109" s="2"/>
      <c r="J109" s="2"/>
      <c r="K109" s="2"/>
      <c r="L109" s="2"/>
      <c r="M109" s="2"/>
      <c r="N109" s="2"/>
      <c r="O109" s="2"/>
      <c r="P109" s="2"/>
      <c r="Q109" s="2"/>
      <c r="R109" s="2"/>
      <c r="S109" s="2"/>
      <c r="T109" s="2"/>
      <c r="U109" s="2"/>
      <c r="V109" s="2"/>
    </row>
    <row r="110" spans="1:25" x14ac:dyDescent="0.2">
      <c r="B110" s="20" t="s">
        <v>80</v>
      </c>
      <c r="C110" s="27">
        <f t="shared" ref="C110:H110" si="22">C109*0.02</f>
        <v>3000</v>
      </c>
      <c r="D110" s="27">
        <f>D109*0.02</f>
        <v>21800</v>
      </c>
      <c r="E110" s="27">
        <f t="shared" si="22"/>
        <v>50600</v>
      </c>
      <c r="F110" s="27">
        <f t="shared" si="22"/>
        <v>103800</v>
      </c>
      <c r="G110" s="27">
        <f t="shared" si="22"/>
        <v>160000</v>
      </c>
      <c r="H110" s="27">
        <f t="shared" si="22"/>
        <v>200000</v>
      </c>
      <c r="I110" s="27">
        <f>H110</f>
        <v>200000</v>
      </c>
      <c r="J110" s="27">
        <f t="shared" ref="J110:Q110" si="23">I110</f>
        <v>200000</v>
      </c>
      <c r="K110" s="27">
        <f t="shared" si="23"/>
        <v>200000</v>
      </c>
      <c r="L110" s="27">
        <f t="shared" si="23"/>
        <v>200000</v>
      </c>
      <c r="M110" s="27">
        <f t="shared" si="23"/>
        <v>200000</v>
      </c>
      <c r="N110" s="27">
        <f t="shared" si="23"/>
        <v>200000</v>
      </c>
      <c r="O110" s="27">
        <f t="shared" si="23"/>
        <v>200000</v>
      </c>
      <c r="P110" s="27">
        <f t="shared" si="23"/>
        <v>200000</v>
      </c>
      <c r="Q110" s="27">
        <f t="shared" si="23"/>
        <v>200000</v>
      </c>
      <c r="R110" s="27">
        <f>Q110</f>
        <v>200000</v>
      </c>
      <c r="S110" s="27">
        <f>R110</f>
        <v>200000</v>
      </c>
      <c r="T110" s="27">
        <f>S110</f>
        <v>200000</v>
      </c>
      <c r="U110" s="27">
        <f>T110</f>
        <v>200000</v>
      </c>
      <c r="V110" s="27">
        <f>U110</f>
        <v>200000</v>
      </c>
    </row>
    <row r="111" spans="1:25" x14ac:dyDescent="0.2">
      <c r="B111" s="20" t="s">
        <v>208</v>
      </c>
      <c r="C111" s="27">
        <f>(C63+C65+C67+C69+C71)*$H$17*$C$8</f>
        <v>97668.190180000005</v>
      </c>
      <c r="D111" s="27">
        <f t="shared" ref="D111:V111" si="24">(D63+D65+D67+D69+D71)*$H$17*$C$8</f>
        <v>293004.57054000004</v>
      </c>
      <c r="E111" s="27">
        <f t="shared" si="24"/>
        <v>586009.14108000009</v>
      </c>
      <c r="F111" s="27">
        <f t="shared" si="24"/>
        <v>976681.90179999999</v>
      </c>
      <c r="G111" s="27">
        <f t="shared" si="24"/>
        <v>1465022.8527000002</v>
      </c>
      <c r="H111" s="27">
        <f t="shared" si="24"/>
        <v>1465022.8527000002</v>
      </c>
      <c r="I111" s="27">
        <f t="shared" si="24"/>
        <v>1465022.8527000002</v>
      </c>
      <c r="J111" s="27">
        <f t="shared" si="24"/>
        <v>1465022.8527000002</v>
      </c>
      <c r="K111" s="27">
        <f t="shared" si="24"/>
        <v>1465022.8527000002</v>
      </c>
      <c r="L111" s="27">
        <f t="shared" si="24"/>
        <v>1465022.8527000002</v>
      </c>
      <c r="M111" s="27">
        <f t="shared" si="24"/>
        <v>1465022.8527000002</v>
      </c>
      <c r="N111" s="27">
        <f t="shared" si="24"/>
        <v>1465022.8527000002</v>
      </c>
      <c r="O111" s="27">
        <f t="shared" si="24"/>
        <v>1465022.8527000002</v>
      </c>
      <c r="P111" s="27">
        <f t="shared" si="24"/>
        <v>1465022.8527000002</v>
      </c>
      <c r="Q111" s="27">
        <f t="shared" si="24"/>
        <v>1465022.8527000002</v>
      </c>
      <c r="R111" s="27">
        <f t="shared" si="24"/>
        <v>1465022.8527000002</v>
      </c>
      <c r="S111" s="27">
        <f t="shared" si="24"/>
        <v>1465022.8527000002</v>
      </c>
      <c r="T111" s="27">
        <f t="shared" si="24"/>
        <v>1465022.8527000002</v>
      </c>
      <c r="U111" s="27">
        <f t="shared" si="24"/>
        <v>1465022.8527000002</v>
      </c>
      <c r="V111" s="27">
        <f t="shared" si="24"/>
        <v>1465022.8527000002</v>
      </c>
      <c r="W111" s="204">
        <f>SUM(C112:V112)</f>
        <v>56216725.879599981</v>
      </c>
    </row>
    <row r="112" spans="1:25" ht="32" x14ac:dyDescent="0.2">
      <c r="B112" s="20" t="s">
        <v>207</v>
      </c>
      <c r="C112" s="27">
        <f>(C63+C65+C67+C69+C71)*$H$18*$C$8</f>
        <v>216218.17645999999</v>
      </c>
      <c r="D112" s="27">
        <f t="shared" ref="D112:V112" si="25">(D63+D65+D67+D69+D71)*$H$18*$C$8</f>
        <v>648654.52938000008</v>
      </c>
      <c r="E112" s="27">
        <f t="shared" si="25"/>
        <v>1297309.0587600002</v>
      </c>
      <c r="F112" s="27">
        <f t="shared" si="25"/>
        <v>2162181.7645999999</v>
      </c>
      <c r="G112" s="27">
        <f t="shared" si="25"/>
        <v>3243272.6469000001</v>
      </c>
      <c r="H112" s="27">
        <f t="shared" si="25"/>
        <v>3243272.6469000001</v>
      </c>
      <c r="I112" s="27">
        <f t="shared" si="25"/>
        <v>3243272.6469000001</v>
      </c>
      <c r="J112" s="27">
        <f t="shared" si="25"/>
        <v>3243272.6469000001</v>
      </c>
      <c r="K112" s="27">
        <f t="shared" si="25"/>
        <v>3243272.6469000001</v>
      </c>
      <c r="L112" s="27">
        <f t="shared" si="25"/>
        <v>3243272.6469000001</v>
      </c>
      <c r="M112" s="27">
        <f t="shared" si="25"/>
        <v>3243272.6469000001</v>
      </c>
      <c r="N112" s="27">
        <f t="shared" si="25"/>
        <v>3243272.6469000001</v>
      </c>
      <c r="O112" s="27">
        <f t="shared" si="25"/>
        <v>3243272.6469000001</v>
      </c>
      <c r="P112" s="27">
        <f t="shared" si="25"/>
        <v>3243272.6469000001</v>
      </c>
      <c r="Q112" s="27">
        <f t="shared" si="25"/>
        <v>3243272.6469000001</v>
      </c>
      <c r="R112" s="27">
        <f t="shared" si="25"/>
        <v>3243272.6469000001</v>
      </c>
      <c r="S112" s="27">
        <f t="shared" si="25"/>
        <v>3243272.6469000001</v>
      </c>
      <c r="T112" s="27">
        <f t="shared" si="25"/>
        <v>3243272.6469000001</v>
      </c>
      <c r="U112" s="27">
        <f t="shared" si="25"/>
        <v>3243272.6469000001</v>
      </c>
      <c r="V112" s="27">
        <f t="shared" si="25"/>
        <v>3243272.6469000001</v>
      </c>
      <c r="W112" s="204">
        <f>SUM(C113:V113)</f>
        <v>94949655.326399982</v>
      </c>
      <c r="Y112" s="205" t="s">
        <v>258</v>
      </c>
    </row>
    <row r="113" spans="1:25" x14ac:dyDescent="0.2">
      <c r="B113" s="26" t="s">
        <v>73</v>
      </c>
      <c r="C113" s="53">
        <f>SUM(C108,C110,C111,C112)</f>
        <v>466886.36664000002</v>
      </c>
      <c r="D113" s="53">
        <f t="shared" ref="D113:V113" si="26">SUM(D108,D110,D111,D112)</f>
        <v>1903459.0999199999</v>
      </c>
      <c r="E113" s="53">
        <f t="shared" si="26"/>
        <v>3373918.1998399999</v>
      </c>
      <c r="F113" s="53">
        <f t="shared" si="26"/>
        <v>5902663.6664000005</v>
      </c>
      <c r="G113" s="53">
        <f t="shared" si="26"/>
        <v>7678295.4996000007</v>
      </c>
      <c r="H113" s="53">
        <f t="shared" si="26"/>
        <v>6908295.4996000007</v>
      </c>
      <c r="I113" s="53">
        <f t="shared" si="26"/>
        <v>4908295.4996000007</v>
      </c>
      <c r="J113" s="53">
        <f t="shared" si="26"/>
        <v>4908295.4996000007</v>
      </c>
      <c r="K113" s="53">
        <f t="shared" si="26"/>
        <v>4908295.4996000007</v>
      </c>
      <c r="L113" s="53">
        <f t="shared" si="26"/>
        <v>4908295.4996000007</v>
      </c>
      <c r="M113" s="53">
        <f t="shared" si="26"/>
        <v>4908295.4996000007</v>
      </c>
      <c r="N113" s="53">
        <f t="shared" si="26"/>
        <v>4908295.4996000007</v>
      </c>
      <c r="O113" s="53">
        <f t="shared" si="26"/>
        <v>4908295.4996000007</v>
      </c>
      <c r="P113" s="53">
        <f t="shared" si="26"/>
        <v>4908295.4996000007</v>
      </c>
      <c r="Q113" s="53">
        <f t="shared" si="26"/>
        <v>4908295.4996000007</v>
      </c>
      <c r="R113" s="53">
        <f t="shared" si="26"/>
        <v>4908295.4996000007</v>
      </c>
      <c r="S113" s="53">
        <f t="shared" si="26"/>
        <v>4908295.4996000007</v>
      </c>
      <c r="T113" s="53">
        <f t="shared" si="26"/>
        <v>4908295.4996000007</v>
      </c>
      <c r="U113" s="53">
        <f t="shared" si="26"/>
        <v>4908295.4996000007</v>
      </c>
      <c r="V113" s="53">
        <f t="shared" si="26"/>
        <v>4908295.4996000007</v>
      </c>
      <c r="Y113" s="206">
        <f>W111+W112</f>
        <v>151166381.20599997</v>
      </c>
    </row>
    <row r="114" spans="1:25" x14ac:dyDescent="0.2">
      <c r="B114" s="2" t="s">
        <v>74</v>
      </c>
      <c r="C114" s="52">
        <f>NPV(6%,C113:V113)</f>
        <v>52412626.558550663</v>
      </c>
    </row>
    <row r="115" spans="1:25" x14ac:dyDescent="0.2">
      <c r="B115" s="2" t="s">
        <v>75</v>
      </c>
      <c r="C115" s="52">
        <f>NPV(9%,C113:V113)</f>
        <v>40714260.93606402</v>
      </c>
    </row>
    <row r="117" spans="1:25" ht="21" x14ac:dyDescent="0.25">
      <c r="B117" s="46" t="s">
        <v>164</v>
      </c>
      <c r="C117" s="44">
        <v>2021</v>
      </c>
      <c r="D117" s="44">
        <v>2022</v>
      </c>
      <c r="E117" s="44">
        <v>2023</v>
      </c>
      <c r="F117" s="44">
        <v>2024</v>
      </c>
      <c r="G117" s="44">
        <v>2025</v>
      </c>
      <c r="H117" s="45">
        <v>2026</v>
      </c>
      <c r="I117" s="44">
        <v>2027</v>
      </c>
      <c r="J117" s="44">
        <v>2028</v>
      </c>
      <c r="K117" s="44">
        <v>2029</v>
      </c>
      <c r="L117" s="44">
        <v>2030</v>
      </c>
      <c r="M117" s="44">
        <v>2031</v>
      </c>
      <c r="N117" s="44">
        <v>2032</v>
      </c>
      <c r="O117" s="44">
        <v>2033</v>
      </c>
      <c r="P117" s="44">
        <v>2034</v>
      </c>
      <c r="Q117" s="44">
        <v>2035</v>
      </c>
      <c r="R117" s="44">
        <v>2036</v>
      </c>
      <c r="S117" s="44">
        <v>2037</v>
      </c>
      <c r="T117" s="44">
        <v>2038</v>
      </c>
      <c r="U117" s="44">
        <v>2039</v>
      </c>
      <c r="V117" s="44">
        <v>2040</v>
      </c>
    </row>
    <row r="118" spans="1:25" x14ac:dyDescent="0.2">
      <c r="B118" s="133" t="s">
        <v>165</v>
      </c>
      <c r="C118" s="25">
        <f>-(C85-C113)</f>
        <v>-7227355.6120581068</v>
      </c>
      <c r="D118" s="25">
        <f t="shared" ref="D118:V118" si="27">D85-D113</f>
        <v>6838774.8361743195</v>
      </c>
      <c r="E118" s="25">
        <f t="shared" si="27"/>
        <v>6940303.6723486409</v>
      </c>
      <c r="F118" s="25">
        <f t="shared" si="27"/>
        <v>6507542.1205810681</v>
      </c>
      <c r="G118" s="25">
        <f t="shared" si="27"/>
        <v>7351890.1808716003</v>
      </c>
      <c r="H118" s="25">
        <f t="shared" si="27"/>
        <v>8121890.1808716003</v>
      </c>
      <c r="I118" s="25">
        <f t="shared" si="27"/>
        <v>10121890.1808716</v>
      </c>
      <c r="J118" s="25">
        <f t="shared" si="27"/>
        <v>10121890.1808716</v>
      </c>
      <c r="K118" s="25">
        <f t="shared" si="27"/>
        <v>10121890.1808716</v>
      </c>
      <c r="L118" s="25">
        <f t="shared" si="27"/>
        <v>10121890.1808716</v>
      </c>
      <c r="M118" s="25">
        <f t="shared" si="27"/>
        <v>10121890.1808716</v>
      </c>
      <c r="N118" s="25">
        <f t="shared" si="27"/>
        <v>10121890.1808716</v>
      </c>
      <c r="O118" s="25">
        <f t="shared" si="27"/>
        <v>10121890.1808716</v>
      </c>
      <c r="P118" s="25">
        <f t="shared" si="27"/>
        <v>10121890.1808716</v>
      </c>
      <c r="Q118" s="25">
        <f t="shared" si="27"/>
        <v>10121890.1808716</v>
      </c>
      <c r="R118" s="25">
        <f t="shared" si="27"/>
        <v>10121890.1808716</v>
      </c>
      <c r="S118" s="25">
        <f t="shared" si="27"/>
        <v>10121890.1808716</v>
      </c>
      <c r="T118" s="25">
        <f t="shared" si="27"/>
        <v>10121890.1808716</v>
      </c>
      <c r="U118" s="25">
        <f t="shared" si="27"/>
        <v>10121890.1808716</v>
      </c>
      <c r="V118" s="25">
        <f t="shared" si="27"/>
        <v>10121890.1808716</v>
      </c>
    </row>
    <row r="119" spans="1:25" x14ac:dyDescent="0.2">
      <c r="B119" s="133" t="s">
        <v>166</v>
      </c>
      <c r="C119" s="25">
        <f>-(C97-C113)</f>
        <v>-6953146.9485714398</v>
      </c>
      <c r="D119" s="25">
        <f t="shared" ref="D119:V119" si="28">D97-D113</f>
        <v>6016148.8457143204</v>
      </c>
      <c r="E119" s="25">
        <f t="shared" si="28"/>
        <v>5295051.6914286409</v>
      </c>
      <c r="F119" s="25">
        <f t="shared" si="28"/>
        <v>3765455.4857143983</v>
      </c>
      <c r="G119" s="25">
        <f t="shared" si="28"/>
        <v>3238760.2285715993</v>
      </c>
      <c r="H119" s="25">
        <f t="shared" si="28"/>
        <v>4008760.2285715993</v>
      </c>
      <c r="I119" s="25">
        <f t="shared" si="28"/>
        <v>6008760.2285715993</v>
      </c>
      <c r="J119" s="25">
        <f t="shared" si="28"/>
        <v>6008760.2285715993</v>
      </c>
      <c r="K119" s="25">
        <f t="shared" si="28"/>
        <v>6008760.2285715993</v>
      </c>
      <c r="L119" s="25">
        <f t="shared" si="28"/>
        <v>6008760.2285715993</v>
      </c>
      <c r="M119" s="25">
        <f t="shared" si="28"/>
        <v>6008760.2285715993</v>
      </c>
      <c r="N119" s="25">
        <f t="shared" si="28"/>
        <v>6008760.2285715993</v>
      </c>
      <c r="O119" s="25">
        <f t="shared" si="28"/>
        <v>6008760.2285715993</v>
      </c>
      <c r="P119" s="25">
        <f t="shared" si="28"/>
        <v>6008760.2285715993</v>
      </c>
      <c r="Q119" s="25">
        <f t="shared" si="28"/>
        <v>6008760.2285715993</v>
      </c>
      <c r="R119" s="25">
        <f t="shared" si="28"/>
        <v>6008760.2285715993</v>
      </c>
      <c r="S119" s="25">
        <f t="shared" si="28"/>
        <v>6008760.2285715993</v>
      </c>
      <c r="T119" s="25">
        <f t="shared" si="28"/>
        <v>6008760.2285715993</v>
      </c>
      <c r="U119" s="25">
        <f t="shared" si="28"/>
        <v>6008760.2285715993</v>
      </c>
      <c r="V119" s="25">
        <f t="shared" si="28"/>
        <v>6008760.2285715993</v>
      </c>
    </row>
    <row r="120" spans="1:25" x14ac:dyDescent="0.2">
      <c r="A120" s="186" t="s">
        <v>176</v>
      </c>
      <c r="B120" s="133" t="s">
        <v>177</v>
      </c>
      <c r="C120" s="134">
        <f>IRR(C118:V118)</f>
        <v>0.96963212444447011</v>
      </c>
      <c r="D120" s="137"/>
      <c r="E120" s="2"/>
      <c r="F120" s="2"/>
      <c r="G120" s="2"/>
      <c r="H120" s="2"/>
      <c r="I120" s="2"/>
      <c r="J120" s="2"/>
      <c r="K120" s="2"/>
      <c r="L120" s="2"/>
      <c r="M120" s="2"/>
      <c r="N120" s="2"/>
      <c r="O120" s="2"/>
      <c r="P120" s="2"/>
      <c r="Q120" s="2"/>
      <c r="R120" s="2"/>
      <c r="S120" s="2"/>
      <c r="T120" s="2"/>
      <c r="U120" s="2"/>
      <c r="V120" s="2"/>
    </row>
    <row r="121" spans="1:25" x14ac:dyDescent="0.2">
      <c r="A121" s="186"/>
      <c r="B121" s="133" t="s">
        <v>168</v>
      </c>
      <c r="C121" s="135">
        <f>IRR(C119:V119)</f>
        <v>0.74927922765339638</v>
      </c>
      <c r="D121" s="137"/>
      <c r="E121" s="2"/>
      <c r="F121" s="2"/>
      <c r="G121" s="2"/>
      <c r="H121" s="2"/>
      <c r="I121" s="2"/>
      <c r="J121" s="2"/>
      <c r="K121" s="2"/>
      <c r="L121" s="2"/>
      <c r="M121" s="2"/>
      <c r="N121" s="2"/>
      <c r="O121" s="2"/>
      <c r="P121" s="2"/>
      <c r="Q121" s="2"/>
      <c r="R121" s="2"/>
      <c r="S121" s="2"/>
      <c r="T121" s="2"/>
      <c r="U121" s="2"/>
      <c r="V121" s="2"/>
    </row>
    <row r="122" spans="1:25" x14ac:dyDescent="0.2">
      <c r="A122" s="186" t="s">
        <v>178</v>
      </c>
      <c r="B122" s="133" t="s">
        <v>167</v>
      </c>
      <c r="C122" s="135">
        <f>IRR(C118:Q118)</f>
        <v>0.96953453739339523</v>
      </c>
    </row>
    <row r="123" spans="1:25" x14ac:dyDescent="0.2">
      <c r="A123" s="186"/>
      <c r="B123" s="133" t="s">
        <v>168</v>
      </c>
      <c r="C123" s="135">
        <f>IRR(C119:Q119)</f>
        <v>0.74893343922421352</v>
      </c>
    </row>
    <row r="124" spans="1:25" x14ac:dyDescent="0.2">
      <c r="A124" s="184" t="s">
        <v>183</v>
      </c>
      <c r="B124" s="140" t="s">
        <v>167</v>
      </c>
      <c r="C124" s="135">
        <f>IRR(C118:L118)</f>
        <v>0.9666027321485815</v>
      </c>
    </row>
    <row r="125" spans="1:25" x14ac:dyDescent="0.2">
      <c r="A125" s="185"/>
      <c r="B125" s="140" t="s">
        <v>168</v>
      </c>
      <c r="C125" s="135">
        <f>IRR(C119:L119)</f>
        <v>0.74309278186940908</v>
      </c>
    </row>
  </sheetData>
  <mergeCells count="10">
    <mergeCell ref="A124:A125"/>
    <mergeCell ref="A120:A121"/>
    <mergeCell ref="A122:A123"/>
    <mergeCell ref="C47:E47"/>
    <mergeCell ref="J13:K13"/>
    <mergeCell ref="J14:K14"/>
    <mergeCell ref="J15:K15"/>
    <mergeCell ref="J16:K16"/>
    <mergeCell ref="J17:K17"/>
    <mergeCell ref="J18:K18"/>
  </mergeCells>
  <pageMargins left="0.7" right="0.7" top="0.75" bottom="0.75" header="0.3" footer="0.3"/>
  <pageSetup orientation="portrait" horizontalDpi="300" verticalDpi="300" r:id="rId1"/>
  <ignoredErrors>
    <ignoredError sqref="D62:F62 C64 C66:F66 C68:F68 D70:F70 G70 G68 G66 G67 G69 G65 G63 G64" formula="1"/>
    <ignoredError sqref="G28" formulaRange="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F4030-0E5C-D54C-ACC7-803443C30C4E}">
  <dimension ref="A1:Q27"/>
  <sheetViews>
    <sheetView topLeftCell="A8" workbookViewId="0">
      <selection activeCell="B21" sqref="B21"/>
    </sheetView>
  </sheetViews>
  <sheetFormatPr baseColWidth="10" defaultRowHeight="15" x14ac:dyDescent="0.2"/>
  <cols>
    <col min="10" max="10" width="11.33203125" bestFit="1" customWidth="1"/>
    <col min="11" max="13" width="11.1640625" bestFit="1" customWidth="1"/>
  </cols>
  <sheetData>
    <row r="1" spans="1:14" ht="81" thickBot="1" x14ac:dyDescent="0.25">
      <c r="A1" s="191" t="s">
        <v>210</v>
      </c>
      <c r="B1" s="158" t="s">
        <v>211</v>
      </c>
      <c r="C1" s="193" t="s">
        <v>213</v>
      </c>
      <c r="D1" s="158" t="s">
        <v>214</v>
      </c>
      <c r="I1" s="166" t="s">
        <v>231</v>
      </c>
      <c r="J1" s="167" t="s">
        <v>232</v>
      </c>
      <c r="K1" s="167" t="s">
        <v>233</v>
      </c>
      <c r="L1" s="167" t="s">
        <v>234</v>
      </c>
      <c r="M1" s="167" t="s">
        <v>235</v>
      </c>
      <c r="N1" s="167" t="s">
        <v>236</v>
      </c>
    </row>
    <row r="2" spans="1:14" ht="49" thickBot="1" x14ac:dyDescent="0.25">
      <c r="A2" s="192"/>
      <c r="B2" s="157" t="s">
        <v>212</v>
      </c>
      <c r="C2" s="194"/>
      <c r="D2" s="157" t="s">
        <v>215</v>
      </c>
      <c r="I2" s="168" t="s">
        <v>237</v>
      </c>
      <c r="J2" s="169">
        <v>1181</v>
      </c>
      <c r="K2" s="169">
        <v>1181</v>
      </c>
      <c r="L2" s="169">
        <v>0</v>
      </c>
      <c r="M2" s="170"/>
      <c r="N2" s="169">
        <v>0</v>
      </c>
    </row>
    <row r="3" spans="1:14" ht="32" x14ac:dyDescent="0.2">
      <c r="A3" s="159" t="s">
        <v>216</v>
      </c>
      <c r="B3" s="160">
        <v>695</v>
      </c>
      <c r="C3" s="160">
        <v>498</v>
      </c>
      <c r="D3" s="159" t="s">
        <v>217</v>
      </c>
      <c r="I3" s="168" t="s">
        <v>238</v>
      </c>
      <c r="J3" s="171">
        <v>832</v>
      </c>
      <c r="K3" s="171">
        <v>169</v>
      </c>
      <c r="L3" s="171">
        <v>663</v>
      </c>
      <c r="M3" s="171">
        <v>663</v>
      </c>
      <c r="N3" s="172"/>
    </row>
    <row r="4" spans="1:14" ht="32" x14ac:dyDescent="0.2">
      <c r="A4" s="161" t="s">
        <v>218</v>
      </c>
      <c r="B4" s="162">
        <v>40491</v>
      </c>
      <c r="C4" s="162">
        <v>1091</v>
      </c>
      <c r="D4" s="162">
        <v>5703</v>
      </c>
      <c r="I4" s="168" t="s">
        <v>239</v>
      </c>
      <c r="J4" s="169">
        <v>6758</v>
      </c>
      <c r="K4" s="169">
        <v>1997</v>
      </c>
      <c r="L4" s="169">
        <v>4761</v>
      </c>
      <c r="M4" s="169">
        <v>4761</v>
      </c>
      <c r="N4" s="170"/>
    </row>
    <row r="5" spans="1:14" ht="32" x14ac:dyDescent="0.2">
      <c r="A5" s="161" t="s">
        <v>219</v>
      </c>
      <c r="B5" s="162">
        <v>11253</v>
      </c>
      <c r="C5" s="162">
        <v>9170</v>
      </c>
      <c r="D5" s="162">
        <v>30</v>
      </c>
      <c r="I5" s="168" t="s">
        <v>240</v>
      </c>
      <c r="J5" s="171">
        <v>903</v>
      </c>
      <c r="K5" s="172"/>
      <c r="L5" s="171">
        <v>903</v>
      </c>
      <c r="M5" s="171">
        <v>903</v>
      </c>
      <c r="N5" s="172"/>
    </row>
    <row r="6" spans="1:14" ht="48" x14ac:dyDescent="0.2">
      <c r="A6" s="161" t="s">
        <v>220</v>
      </c>
      <c r="B6" s="162">
        <v>6295</v>
      </c>
      <c r="C6" s="162">
        <v>2006</v>
      </c>
      <c r="D6" s="162">
        <v>2939</v>
      </c>
      <c r="I6" s="168" t="s">
        <v>241</v>
      </c>
      <c r="J6" s="169">
        <v>4655</v>
      </c>
      <c r="K6" s="170"/>
      <c r="L6" s="169">
        <v>4655</v>
      </c>
      <c r="M6" s="169">
        <v>4655</v>
      </c>
      <c r="N6" s="170"/>
    </row>
    <row r="7" spans="1:14" ht="48" x14ac:dyDescent="0.2">
      <c r="A7" s="161" t="s">
        <v>221</v>
      </c>
      <c r="B7" s="162">
        <v>136</v>
      </c>
      <c r="C7" s="161" t="s">
        <v>217</v>
      </c>
      <c r="D7" s="161" t="s">
        <v>217</v>
      </c>
      <c r="I7" s="168" t="s">
        <v>242</v>
      </c>
      <c r="J7" s="171">
        <v>719</v>
      </c>
      <c r="K7" s="172"/>
      <c r="L7" s="171">
        <v>719</v>
      </c>
      <c r="M7" s="171">
        <v>719</v>
      </c>
      <c r="N7" s="172"/>
    </row>
    <row r="8" spans="1:14" ht="64" x14ac:dyDescent="0.2">
      <c r="A8" s="161" t="s">
        <v>222</v>
      </c>
      <c r="B8" s="162">
        <v>37334</v>
      </c>
      <c r="C8" s="162">
        <v>17630</v>
      </c>
      <c r="D8" s="162">
        <v>3510</v>
      </c>
      <c r="I8" s="168" t="s">
        <v>243</v>
      </c>
      <c r="J8" s="169">
        <v>11004</v>
      </c>
      <c r="K8" s="170"/>
      <c r="L8" s="169">
        <v>11004</v>
      </c>
      <c r="M8" s="169">
        <v>11004</v>
      </c>
      <c r="N8" s="170"/>
    </row>
    <row r="9" spans="1:14" ht="80" x14ac:dyDescent="0.2">
      <c r="A9" s="161" t="s">
        <v>223</v>
      </c>
      <c r="B9" s="162">
        <v>15630</v>
      </c>
      <c r="C9" s="162">
        <v>3402</v>
      </c>
      <c r="D9" s="162">
        <v>3579</v>
      </c>
      <c r="I9" s="168" t="s">
        <v>244</v>
      </c>
      <c r="J9" s="171">
        <v>1830</v>
      </c>
      <c r="K9" s="172"/>
      <c r="L9" s="171">
        <v>1830</v>
      </c>
      <c r="M9" s="172"/>
      <c r="N9" s="171">
        <v>1830</v>
      </c>
    </row>
    <row r="10" spans="1:14" ht="48" x14ac:dyDescent="0.2">
      <c r="A10" s="161" t="s">
        <v>224</v>
      </c>
      <c r="B10" s="162">
        <v>7844</v>
      </c>
      <c r="C10" s="162">
        <v>1193</v>
      </c>
      <c r="D10" s="162">
        <v>718</v>
      </c>
      <c r="I10" s="168" t="s">
        <v>245</v>
      </c>
      <c r="J10" s="169">
        <v>13529</v>
      </c>
      <c r="K10" s="170"/>
      <c r="L10" s="169">
        <v>13529</v>
      </c>
      <c r="M10" s="170"/>
      <c r="N10" s="169">
        <v>13529</v>
      </c>
    </row>
    <row r="11" spans="1:14" ht="16" x14ac:dyDescent="0.2">
      <c r="A11" s="161" t="s">
        <v>225</v>
      </c>
      <c r="B11" s="162">
        <v>4213</v>
      </c>
      <c r="C11" s="162">
        <v>591</v>
      </c>
      <c r="D11" s="161" t="s">
        <v>217</v>
      </c>
      <c r="I11" s="168" t="s">
        <v>246</v>
      </c>
      <c r="J11" s="171">
        <v>201</v>
      </c>
      <c r="K11" s="172"/>
      <c r="L11" s="171">
        <v>201</v>
      </c>
      <c r="M11" s="172"/>
      <c r="N11" s="171">
        <v>201</v>
      </c>
    </row>
    <row r="12" spans="1:14" ht="16" x14ac:dyDescent="0.2">
      <c r="A12" s="161" t="s">
        <v>226</v>
      </c>
      <c r="B12" s="162">
        <v>92</v>
      </c>
      <c r="C12" s="162">
        <v>454</v>
      </c>
      <c r="D12" s="161" t="s">
        <v>217</v>
      </c>
      <c r="I12" s="168" t="s">
        <v>247</v>
      </c>
      <c r="J12" s="169">
        <v>2268</v>
      </c>
      <c r="K12" s="170"/>
      <c r="L12" s="169">
        <v>2268</v>
      </c>
      <c r="M12" s="170"/>
      <c r="N12" s="169">
        <v>2268</v>
      </c>
    </row>
    <row r="13" spans="1:14" ht="48" x14ac:dyDescent="0.2">
      <c r="A13" s="161" t="s">
        <v>227</v>
      </c>
      <c r="B13" s="162">
        <v>4349</v>
      </c>
      <c r="C13" s="162">
        <v>11398</v>
      </c>
      <c r="D13" s="162">
        <v>367</v>
      </c>
      <c r="I13" s="168" t="s">
        <v>248</v>
      </c>
      <c r="J13" s="171">
        <v>865</v>
      </c>
      <c r="K13" s="172"/>
      <c r="L13" s="171">
        <v>865</v>
      </c>
      <c r="M13" s="172"/>
      <c r="N13" s="171">
        <v>865</v>
      </c>
    </row>
    <row r="14" spans="1:14" ht="16" x14ac:dyDescent="0.2">
      <c r="A14" s="161" t="s">
        <v>228</v>
      </c>
      <c r="B14" s="162">
        <v>6515</v>
      </c>
      <c r="C14" s="162">
        <v>7798</v>
      </c>
      <c r="D14" s="162">
        <v>1728</v>
      </c>
      <c r="I14" s="168" t="s">
        <v>249</v>
      </c>
      <c r="J14" s="169">
        <v>841</v>
      </c>
      <c r="K14" s="170"/>
      <c r="L14" s="169">
        <v>841</v>
      </c>
      <c r="M14" s="170"/>
      <c r="N14" s="169">
        <v>841</v>
      </c>
    </row>
    <row r="15" spans="1:14" x14ac:dyDescent="0.2">
      <c r="A15" s="161" t="s">
        <v>229</v>
      </c>
      <c r="B15" s="162">
        <v>14436</v>
      </c>
      <c r="C15" s="162">
        <v>5322</v>
      </c>
      <c r="D15" s="162">
        <v>3693</v>
      </c>
      <c r="J15">
        <f>SUM(J2:J14)</f>
        <v>45586</v>
      </c>
      <c r="K15">
        <f t="shared" ref="K15:N15" si="0">SUM(K2:K14)</f>
        <v>3347</v>
      </c>
      <c r="L15">
        <f>SUM(L2:L14)</f>
        <v>42239</v>
      </c>
      <c r="M15">
        <f t="shared" si="0"/>
        <v>22705</v>
      </c>
      <c r="N15">
        <f t="shared" si="0"/>
        <v>19534</v>
      </c>
    </row>
    <row r="16" spans="1:14" ht="16" thickBot="1" x14ac:dyDescent="0.25">
      <c r="A16" s="163" t="s">
        <v>230</v>
      </c>
      <c r="B16" s="164">
        <v>1116</v>
      </c>
      <c r="C16" s="164">
        <v>448</v>
      </c>
      <c r="D16" s="163" t="s">
        <v>217</v>
      </c>
      <c r="L16">
        <f>J15-K15</f>
        <v>42239</v>
      </c>
    </row>
    <row r="17" spans="1:17" x14ac:dyDescent="0.2">
      <c r="A17" s="165"/>
      <c r="B17">
        <f>SUM(B3:B16)</f>
        <v>150399</v>
      </c>
      <c r="C17">
        <f t="shared" ref="C17:D17" si="1">SUM(C3:C16)</f>
        <v>61001</v>
      </c>
      <c r="D17">
        <f t="shared" si="1"/>
        <v>22267</v>
      </c>
    </row>
    <row r="18" spans="1:17" x14ac:dyDescent="0.2">
      <c r="D18">
        <f>B17-C17</f>
        <v>89398</v>
      </c>
      <c r="J18" s="173">
        <f>B17+J15</f>
        <v>195985</v>
      </c>
    </row>
    <row r="21" spans="1:17" x14ac:dyDescent="0.2">
      <c r="B21">
        <f>B17+J15</f>
        <v>195985</v>
      </c>
      <c r="I21" s="177"/>
      <c r="J21" s="177" t="s">
        <v>0</v>
      </c>
      <c r="K21" s="177" t="s">
        <v>8</v>
      </c>
      <c r="O21" s="174"/>
      <c r="P21">
        <v>172.43</v>
      </c>
    </row>
    <row r="22" spans="1:17" x14ac:dyDescent="0.2">
      <c r="I22" s="2" t="s">
        <v>16</v>
      </c>
      <c r="J22" s="175">
        <f>SUM(J23:J27)</f>
        <v>108346.87</v>
      </c>
      <c r="K22" s="175">
        <f>SUM(K23:K27)</f>
        <v>159711.82</v>
      </c>
      <c r="L22" s="178">
        <f>SUM(J22:K22)</f>
        <v>268058.69</v>
      </c>
      <c r="M22" s="173">
        <f>L22-J25-K25</f>
        <v>203710.69</v>
      </c>
      <c r="P22">
        <v>559.98</v>
      </c>
      <c r="Q22">
        <v>5039.82</v>
      </c>
    </row>
    <row r="23" spans="1:17" x14ac:dyDescent="0.2">
      <c r="I23" s="2" t="s">
        <v>250</v>
      </c>
      <c r="J23" s="175">
        <v>1551.87</v>
      </c>
      <c r="K23" s="175">
        <v>5039.82</v>
      </c>
      <c r="L23" s="178">
        <f t="shared" ref="L23:L27" si="2">SUM(J23:K23)</f>
        <v>6591.69</v>
      </c>
    </row>
    <row r="24" spans="1:17" x14ac:dyDescent="0.2">
      <c r="I24" s="2" t="s">
        <v>251</v>
      </c>
      <c r="J24" s="175">
        <v>45586</v>
      </c>
      <c r="K24" s="175">
        <v>150399</v>
      </c>
      <c r="L24" s="178">
        <f t="shared" si="2"/>
        <v>195985</v>
      </c>
    </row>
    <row r="25" spans="1:17" x14ac:dyDescent="0.2">
      <c r="I25" s="2" t="s">
        <v>252</v>
      </c>
      <c r="J25" s="175">
        <v>61001</v>
      </c>
      <c r="K25" s="175">
        <v>3347</v>
      </c>
      <c r="L25" s="178">
        <f t="shared" si="2"/>
        <v>64348</v>
      </c>
      <c r="O25">
        <v>559.98</v>
      </c>
    </row>
    <row r="26" spans="1:17" x14ac:dyDescent="0.2">
      <c r="I26" s="2" t="s">
        <v>253</v>
      </c>
      <c r="J26" s="175">
        <v>172</v>
      </c>
      <c r="K26" s="175">
        <v>560</v>
      </c>
      <c r="L26" s="178">
        <f t="shared" si="2"/>
        <v>732</v>
      </c>
      <c r="M26" s="179"/>
    </row>
    <row r="27" spans="1:17" x14ac:dyDescent="0.2">
      <c r="I27" s="2" t="s">
        <v>254</v>
      </c>
      <c r="J27" s="176">
        <v>36</v>
      </c>
      <c r="K27" s="176">
        <v>366</v>
      </c>
      <c r="L27" s="178">
        <f t="shared" si="2"/>
        <v>402</v>
      </c>
    </row>
  </sheetData>
  <mergeCells count="2">
    <mergeCell ref="A1:A2"/>
    <mergeCell ref="C1: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DA7D08-74D9-4AEA-B476-ACE640E2E68B}">
  <dimension ref="A1:J47"/>
  <sheetViews>
    <sheetView topLeftCell="A6" workbookViewId="0">
      <selection activeCell="D27" sqref="D27"/>
    </sheetView>
  </sheetViews>
  <sheetFormatPr baseColWidth="10" defaultColWidth="8.83203125" defaultRowHeight="15" x14ac:dyDescent="0.2"/>
  <cols>
    <col min="1" max="1" width="18.33203125" customWidth="1"/>
    <col min="2" max="2" width="37" bestFit="1" customWidth="1"/>
    <col min="3" max="3" width="22.5" style="1" customWidth="1"/>
    <col min="4" max="4" width="18.33203125" style="1" customWidth="1"/>
    <col min="5" max="5" width="27.83203125" customWidth="1"/>
    <col min="6" max="6" width="23.1640625" customWidth="1"/>
    <col min="7" max="7" width="10.1640625" customWidth="1"/>
    <col min="8" max="8" width="16" bestFit="1" customWidth="1"/>
    <col min="10" max="10" width="20.1640625" customWidth="1"/>
  </cols>
  <sheetData>
    <row r="1" spans="2:10" x14ac:dyDescent="0.2">
      <c r="E1" s="1"/>
    </row>
    <row r="2" spans="2:10" ht="17" x14ac:dyDescent="0.2">
      <c r="B2" s="9" t="s">
        <v>14</v>
      </c>
      <c r="C2" s="10" t="s">
        <v>0</v>
      </c>
      <c r="D2" s="10" t="s">
        <v>5</v>
      </c>
      <c r="E2" s="10" t="s">
        <v>6</v>
      </c>
      <c r="F2" s="10" t="s">
        <v>8</v>
      </c>
      <c r="G2" s="10" t="s">
        <v>16</v>
      </c>
    </row>
    <row r="3" spans="2:10" x14ac:dyDescent="0.2">
      <c r="B3" s="11" t="s">
        <v>1</v>
      </c>
      <c r="C3" s="12">
        <v>419555</v>
      </c>
      <c r="D3" s="13">
        <v>117376.82</v>
      </c>
      <c r="E3" s="12"/>
      <c r="F3" s="12"/>
      <c r="G3" s="14">
        <f>SUM(C3:F3)</f>
        <v>536931.82000000007</v>
      </c>
    </row>
    <row r="4" spans="2:10" x14ac:dyDescent="0.2">
      <c r="B4" s="2" t="s">
        <v>15</v>
      </c>
      <c r="C4" s="3"/>
      <c r="D4" s="4"/>
      <c r="E4" s="3"/>
      <c r="F4" s="3"/>
      <c r="G4" s="2"/>
    </row>
    <row r="5" spans="2:10" ht="16" x14ac:dyDescent="0.2">
      <c r="B5" s="5" t="s">
        <v>7</v>
      </c>
      <c r="C5" s="6"/>
      <c r="D5" s="6"/>
      <c r="E5" s="3"/>
      <c r="F5" s="3"/>
      <c r="G5" s="2"/>
    </row>
    <row r="6" spans="2:10" ht="16" x14ac:dyDescent="0.2">
      <c r="B6" s="5" t="s">
        <v>13</v>
      </c>
      <c r="C6" s="3">
        <v>3206495</v>
      </c>
      <c r="D6" s="3">
        <v>1589849</v>
      </c>
      <c r="E6" s="3"/>
      <c r="F6" s="3"/>
      <c r="G6" s="2"/>
    </row>
    <row r="7" spans="2:10" x14ac:dyDescent="0.2">
      <c r="B7" s="2" t="s">
        <v>12</v>
      </c>
      <c r="C7" s="3">
        <v>5277</v>
      </c>
      <c r="D7" s="3">
        <v>1669</v>
      </c>
      <c r="E7" s="2"/>
      <c r="F7" s="2"/>
      <c r="G7" s="2"/>
    </row>
    <row r="8" spans="2:10" ht="32" x14ac:dyDescent="0.2">
      <c r="B8" s="7" t="s">
        <v>2</v>
      </c>
      <c r="C8" s="3">
        <f>C7*64.7%</f>
        <v>3414.2190000000001</v>
      </c>
      <c r="D8" s="3">
        <f>D7*80.8%</f>
        <v>1348.5519999999999</v>
      </c>
      <c r="E8" s="2"/>
      <c r="F8" s="6"/>
      <c r="G8" s="2"/>
    </row>
    <row r="9" spans="2:10" ht="32" x14ac:dyDescent="0.2">
      <c r="B9" s="7" t="s">
        <v>3</v>
      </c>
      <c r="C9" s="3">
        <f>C7*33.5%</f>
        <v>1767.7950000000001</v>
      </c>
      <c r="D9" s="8">
        <f>D7*16.8%</f>
        <v>280.392</v>
      </c>
      <c r="E9" s="2"/>
      <c r="F9" s="6"/>
      <c r="G9" s="2"/>
    </row>
    <row r="10" spans="2:10" ht="32" x14ac:dyDescent="0.2">
      <c r="B10" s="7" t="s">
        <v>4</v>
      </c>
      <c r="C10" s="8">
        <f>C7*1.8%</f>
        <v>94.986000000000004</v>
      </c>
      <c r="D10" s="8">
        <f>D7*2.4%</f>
        <v>40.055999999999997</v>
      </c>
      <c r="E10" s="2"/>
      <c r="F10" s="6"/>
      <c r="G10" s="2"/>
    </row>
    <row r="11" spans="2:10" ht="16" x14ac:dyDescent="0.2">
      <c r="B11" s="5" t="s">
        <v>9</v>
      </c>
      <c r="C11" s="3">
        <v>76082</v>
      </c>
      <c r="D11" s="6"/>
      <c r="E11" s="3"/>
      <c r="F11" s="3"/>
      <c r="G11" s="2"/>
    </row>
    <row r="12" spans="2:10" ht="32" x14ac:dyDescent="0.2">
      <c r="B12" s="7" t="s">
        <v>10</v>
      </c>
      <c r="C12" s="6"/>
      <c r="D12" s="6"/>
      <c r="E12" s="8">
        <f>E11*89.8%</f>
        <v>0</v>
      </c>
      <c r="F12" s="6"/>
      <c r="G12" s="2"/>
    </row>
    <row r="13" spans="2:10" ht="32" x14ac:dyDescent="0.2">
      <c r="B13" s="7" t="s">
        <v>11</v>
      </c>
      <c r="C13" s="6"/>
      <c r="D13" s="6"/>
      <c r="E13" s="8">
        <f>E11*10.2%</f>
        <v>0</v>
      </c>
      <c r="F13" s="6"/>
      <c r="G13" s="2"/>
    </row>
    <row r="16" spans="2:10" x14ac:dyDescent="0.2">
      <c r="B16" s="197" t="s">
        <v>103</v>
      </c>
      <c r="C16" s="197" t="s">
        <v>104</v>
      </c>
      <c r="D16" s="197" t="s">
        <v>105</v>
      </c>
      <c r="E16" s="198" t="s">
        <v>106</v>
      </c>
      <c r="F16" s="198" t="s">
        <v>107</v>
      </c>
      <c r="G16" s="198" t="s">
        <v>108</v>
      </c>
      <c r="H16" s="198" t="s">
        <v>109</v>
      </c>
      <c r="I16" s="198" t="s">
        <v>110</v>
      </c>
      <c r="J16" s="195" t="s">
        <v>111</v>
      </c>
    </row>
    <row r="17" spans="2:10" x14ac:dyDescent="0.2">
      <c r="B17" s="197"/>
      <c r="C17" s="197"/>
      <c r="D17" s="197"/>
      <c r="E17" s="199"/>
      <c r="F17" s="199"/>
      <c r="G17" s="199"/>
      <c r="H17" s="199"/>
      <c r="I17" s="199"/>
      <c r="J17" s="196"/>
    </row>
    <row r="18" spans="2:10" ht="15.75" customHeight="1" x14ac:dyDescent="0.2">
      <c r="B18" s="77" t="s">
        <v>6</v>
      </c>
      <c r="C18" s="95"/>
      <c r="D18" s="95"/>
      <c r="E18" s="95"/>
      <c r="F18" s="79"/>
      <c r="G18" s="79">
        <v>0</v>
      </c>
      <c r="H18" s="79"/>
      <c r="I18" s="79"/>
      <c r="J18" s="80"/>
    </row>
    <row r="19" spans="2:10" ht="16" x14ac:dyDescent="0.2">
      <c r="B19" s="77" t="s">
        <v>5</v>
      </c>
      <c r="C19" s="95"/>
      <c r="D19" s="95"/>
      <c r="E19" s="95"/>
      <c r="F19" s="79"/>
      <c r="G19" s="79">
        <v>0</v>
      </c>
      <c r="H19" s="79"/>
      <c r="I19" s="81"/>
      <c r="J19" s="80"/>
    </row>
    <row r="20" spans="2:10" ht="16" x14ac:dyDescent="0.2">
      <c r="B20" s="77" t="s">
        <v>0</v>
      </c>
      <c r="C20" s="95">
        <f>SUM(D20:J20)-I20</f>
        <v>108734.87</v>
      </c>
      <c r="D20" s="175">
        <v>45586</v>
      </c>
      <c r="E20" s="175">
        <v>560</v>
      </c>
      <c r="F20" s="175">
        <v>1551.87</v>
      </c>
      <c r="G20" s="175">
        <v>61001</v>
      </c>
      <c r="H20" s="79"/>
      <c r="I20" s="79">
        <v>170</v>
      </c>
      <c r="J20" s="176">
        <v>36</v>
      </c>
    </row>
    <row r="21" spans="2:10" ht="16" x14ac:dyDescent="0.2">
      <c r="B21" s="77" t="s">
        <v>8</v>
      </c>
      <c r="C21" s="95">
        <f>SUM(D21:J21)-I21</f>
        <v>159323.82</v>
      </c>
      <c r="D21" s="175">
        <v>150399</v>
      </c>
      <c r="E21" s="175">
        <v>172</v>
      </c>
      <c r="F21" s="175">
        <v>5039.82</v>
      </c>
      <c r="G21" s="175">
        <v>3347</v>
      </c>
      <c r="H21" s="79"/>
      <c r="I21" s="79">
        <v>600</v>
      </c>
      <c r="J21" s="176">
        <v>366</v>
      </c>
    </row>
    <row r="22" spans="2:10" ht="16" x14ac:dyDescent="0.2">
      <c r="B22" s="78" t="s">
        <v>16</v>
      </c>
      <c r="C22" s="82">
        <f>SUM(C18:C21)</f>
        <v>268058.69</v>
      </c>
      <c r="D22" s="83">
        <f>450000-E22-F22-J22-H22</f>
        <v>442274.31</v>
      </c>
      <c r="E22" s="83">
        <f>SUM(E19:E21)</f>
        <v>732</v>
      </c>
      <c r="F22" s="83">
        <f>SUM(F19:F21)</f>
        <v>6591.69</v>
      </c>
      <c r="G22" s="83">
        <f>SUM(G19:G21)</f>
        <v>64348</v>
      </c>
      <c r="H22" s="83">
        <f>SUM(H18:H21)</f>
        <v>0</v>
      </c>
      <c r="I22" s="83">
        <f>SUM(I18:I21)</f>
        <v>770</v>
      </c>
      <c r="J22" s="83">
        <f>SUM(J18:J21)</f>
        <v>402</v>
      </c>
    </row>
    <row r="23" spans="2:10" x14ac:dyDescent="0.2">
      <c r="C23"/>
      <c r="D23"/>
    </row>
    <row r="24" spans="2:10" x14ac:dyDescent="0.2">
      <c r="C24"/>
      <c r="D24"/>
    </row>
    <row r="25" spans="2:10" x14ac:dyDescent="0.2">
      <c r="B25" s="84" t="s">
        <v>113</v>
      </c>
    </row>
    <row r="26" spans="2:10" ht="48" x14ac:dyDescent="0.2">
      <c r="B26" s="85" t="s">
        <v>112</v>
      </c>
      <c r="C26" s="89" t="s">
        <v>119</v>
      </c>
      <c r="D26" s="88" t="s">
        <v>114</v>
      </c>
      <c r="E26" s="77" t="s">
        <v>115</v>
      </c>
      <c r="F26" s="77" t="s">
        <v>116</v>
      </c>
    </row>
    <row r="27" spans="2:10" x14ac:dyDescent="0.2">
      <c r="B27" s="76">
        <v>2001</v>
      </c>
      <c r="C27" s="3">
        <f>52600000-D27</f>
        <v>52442000</v>
      </c>
      <c r="D27" s="3">
        <v>158000</v>
      </c>
      <c r="E27" s="86">
        <v>0.3</v>
      </c>
      <c r="F27" s="76">
        <v>38.1</v>
      </c>
    </row>
    <row r="28" spans="2:10" x14ac:dyDescent="0.2">
      <c r="B28" s="76">
        <v>2002</v>
      </c>
      <c r="C28" s="3">
        <f>C27-D28</f>
        <v>52283000</v>
      </c>
      <c r="D28" s="3">
        <v>159000</v>
      </c>
      <c r="E28" s="86">
        <v>0.3</v>
      </c>
      <c r="F28" s="76">
        <v>37.700000000000003</v>
      </c>
      <c r="H28" s="97">
        <f t="shared" ref="H28:H43" si="0">(C28-C27)/C27</f>
        <v>-3.0319209793676825E-3</v>
      </c>
    </row>
    <row r="29" spans="2:10" x14ac:dyDescent="0.2">
      <c r="B29" s="76">
        <v>2003</v>
      </c>
      <c r="C29" s="3">
        <f>C28-D29</f>
        <v>52130000</v>
      </c>
      <c r="D29" s="3">
        <v>153000</v>
      </c>
      <c r="E29" s="86">
        <v>0.28999999999999998</v>
      </c>
      <c r="F29" s="76">
        <v>35.1</v>
      </c>
      <c r="H29" s="97">
        <f t="shared" si="0"/>
        <v>-2.9263814241722932E-3</v>
      </c>
    </row>
    <row r="30" spans="2:10" x14ac:dyDescent="0.2">
      <c r="B30" s="76">
        <v>2004</v>
      </c>
      <c r="C30" s="3">
        <f t="shared" ref="C30:C35" si="1">C29-D30</f>
        <v>51960000</v>
      </c>
      <c r="D30" s="3">
        <v>170000</v>
      </c>
      <c r="E30" s="86">
        <v>0.32</v>
      </c>
      <c r="F30" s="76">
        <v>39.5</v>
      </c>
      <c r="H30" s="97">
        <f t="shared" si="0"/>
        <v>-3.2610780740456552E-3</v>
      </c>
    </row>
    <row r="31" spans="2:10" x14ac:dyDescent="0.2">
      <c r="B31" s="76">
        <v>2005</v>
      </c>
      <c r="C31" s="3">
        <f t="shared" si="1"/>
        <v>51753000</v>
      </c>
      <c r="D31" s="3">
        <v>207000</v>
      </c>
      <c r="E31" s="86">
        <v>0.39</v>
      </c>
      <c r="F31" s="76">
        <v>48.7</v>
      </c>
      <c r="H31" s="97">
        <f t="shared" si="0"/>
        <v>-3.9838337182448039E-3</v>
      </c>
    </row>
    <row r="32" spans="2:10" x14ac:dyDescent="0.2">
      <c r="B32" s="76">
        <v>2006</v>
      </c>
      <c r="C32" s="3">
        <f t="shared" si="1"/>
        <v>51574000</v>
      </c>
      <c r="D32" s="3">
        <v>179000</v>
      </c>
      <c r="E32" s="86">
        <v>0.34</v>
      </c>
      <c r="F32" s="87">
        <v>42.1</v>
      </c>
      <c r="H32" s="97">
        <f t="shared" si="0"/>
        <v>-3.4587366915927579E-3</v>
      </c>
    </row>
    <row r="33" spans="1:8" x14ac:dyDescent="0.2">
      <c r="B33" s="76">
        <v>2007</v>
      </c>
      <c r="C33" s="3">
        <f t="shared" si="1"/>
        <v>51355000</v>
      </c>
      <c r="D33" s="3">
        <v>219000</v>
      </c>
      <c r="E33" s="87">
        <v>0.41</v>
      </c>
      <c r="F33" s="87">
        <v>53.5</v>
      </c>
      <c r="H33" s="97">
        <f t="shared" si="0"/>
        <v>-4.2463256679722344E-3</v>
      </c>
    </row>
    <row r="34" spans="1:8" x14ac:dyDescent="0.2">
      <c r="B34" s="76">
        <v>2008</v>
      </c>
      <c r="C34" s="3">
        <f t="shared" si="1"/>
        <v>51171000</v>
      </c>
      <c r="D34" s="3">
        <v>184000</v>
      </c>
      <c r="E34" s="87">
        <v>0.35</v>
      </c>
      <c r="F34" s="90">
        <v>44.5</v>
      </c>
      <c r="H34" s="97">
        <f t="shared" si="0"/>
        <v>-3.5829033200272613E-3</v>
      </c>
    </row>
    <row r="35" spans="1:8" x14ac:dyDescent="0.2">
      <c r="B35" s="76">
        <v>2009</v>
      </c>
      <c r="C35" s="3">
        <f t="shared" si="1"/>
        <v>50890000</v>
      </c>
      <c r="D35" s="3">
        <v>281000</v>
      </c>
      <c r="E35" s="87">
        <v>0.53</v>
      </c>
      <c r="F35" s="90">
        <v>65.3</v>
      </c>
      <c r="H35" s="97">
        <f t="shared" si="0"/>
        <v>-5.4913916085282677E-3</v>
      </c>
    </row>
    <row r="36" spans="1:8" x14ac:dyDescent="0.2">
      <c r="B36" s="76">
        <v>2010</v>
      </c>
      <c r="C36" s="3">
        <v>49800000</v>
      </c>
      <c r="D36" s="3">
        <v>167000</v>
      </c>
      <c r="E36" s="87">
        <v>0.31</v>
      </c>
      <c r="F36" s="90">
        <v>41.6</v>
      </c>
      <c r="H36" s="97">
        <f t="shared" si="0"/>
        <v>-2.1418746315582628E-2</v>
      </c>
    </row>
    <row r="37" spans="1:8" x14ac:dyDescent="0.2">
      <c r="B37" s="76">
        <v>2011</v>
      </c>
      <c r="C37" s="3">
        <f>C36-D37</f>
        <v>49613000</v>
      </c>
      <c r="D37" s="3">
        <v>187000</v>
      </c>
      <c r="E37" s="87">
        <v>0.35</v>
      </c>
      <c r="F37" s="90">
        <v>46.1</v>
      </c>
      <c r="H37" s="97">
        <f t="shared" si="0"/>
        <v>-3.7550200803212852E-3</v>
      </c>
    </row>
    <row r="38" spans="1:8" x14ac:dyDescent="0.2">
      <c r="B38" s="76">
        <v>2012</v>
      </c>
      <c r="C38" s="3">
        <f t="shared" ref="C38:C43" si="2">C37-D38</f>
        <v>49438000</v>
      </c>
      <c r="D38" s="3">
        <v>175000</v>
      </c>
      <c r="E38" s="87">
        <v>0.33</v>
      </c>
      <c r="F38" s="90">
        <v>42.8</v>
      </c>
      <c r="H38" s="97">
        <f t="shared" si="0"/>
        <v>-3.5273013121560879E-3</v>
      </c>
    </row>
    <row r="39" spans="1:8" x14ac:dyDescent="0.2">
      <c r="B39" s="76">
        <v>2013</v>
      </c>
      <c r="C39" s="3">
        <f t="shared" si="2"/>
        <v>49219000</v>
      </c>
      <c r="D39" s="3">
        <v>219000</v>
      </c>
      <c r="E39" s="87">
        <v>0.41</v>
      </c>
      <c r="F39" s="91">
        <v>53.6</v>
      </c>
      <c r="H39" s="97">
        <f t="shared" si="0"/>
        <v>-4.4297908491443827E-3</v>
      </c>
    </row>
    <row r="40" spans="1:8" x14ac:dyDescent="0.2">
      <c r="B40" s="76">
        <v>2014</v>
      </c>
      <c r="C40" s="3">
        <f t="shared" si="2"/>
        <v>49048000</v>
      </c>
      <c r="D40" s="3">
        <v>171000</v>
      </c>
      <c r="E40" s="87">
        <v>0.32</v>
      </c>
      <c r="F40" s="91">
        <v>41.8</v>
      </c>
      <c r="H40" s="97">
        <f t="shared" si="0"/>
        <v>-3.4742680672098175E-3</v>
      </c>
    </row>
    <row r="41" spans="1:8" x14ac:dyDescent="0.2">
      <c r="B41" s="76">
        <v>2015</v>
      </c>
      <c r="C41" s="3">
        <f t="shared" si="2"/>
        <v>48850000</v>
      </c>
      <c r="D41" s="3">
        <v>198000</v>
      </c>
      <c r="E41" s="87">
        <v>0.37</v>
      </c>
      <c r="F41" s="91">
        <v>48.7</v>
      </c>
      <c r="H41" s="97">
        <f>(C41-C40)/C40</f>
        <v>-4.0368618496167017E-3</v>
      </c>
    </row>
    <row r="42" spans="1:8" x14ac:dyDescent="0.2">
      <c r="B42" s="76">
        <v>2016</v>
      </c>
      <c r="C42" s="3">
        <f t="shared" si="2"/>
        <v>48576000</v>
      </c>
      <c r="D42" s="3">
        <v>274000</v>
      </c>
      <c r="E42" s="87">
        <v>0.52</v>
      </c>
      <c r="F42" s="91">
        <v>70</v>
      </c>
      <c r="H42" s="97">
        <f t="shared" si="0"/>
        <v>-5.6090071647901737E-3</v>
      </c>
    </row>
    <row r="43" spans="1:8" x14ac:dyDescent="0.2">
      <c r="B43" s="76">
        <v>2017</v>
      </c>
      <c r="C43" s="3">
        <f t="shared" si="2"/>
        <v>48277000</v>
      </c>
      <c r="D43" s="3">
        <v>299000</v>
      </c>
      <c r="E43" s="87">
        <v>0.56000000000000005</v>
      </c>
      <c r="F43" s="91">
        <v>74.3</v>
      </c>
      <c r="H43" s="97">
        <f t="shared" si="0"/>
        <v>-6.15530303030303E-3</v>
      </c>
    </row>
    <row r="44" spans="1:8" x14ac:dyDescent="0.2">
      <c r="B44" s="76">
        <v>2018</v>
      </c>
      <c r="C44" s="3">
        <f>C43-D44</f>
        <v>48010000</v>
      </c>
      <c r="D44" s="3">
        <v>267000</v>
      </c>
      <c r="E44" s="86">
        <v>0.5</v>
      </c>
      <c r="F44" s="91">
        <v>67.5</v>
      </c>
      <c r="H44" s="97">
        <f>(C44-C43)/C43</f>
        <v>-5.5305839219504114E-3</v>
      </c>
    </row>
    <row r="45" spans="1:8" x14ac:dyDescent="0.2">
      <c r="A45" t="s">
        <v>159</v>
      </c>
      <c r="B45" s="129">
        <v>2019</v>
      </c>
      <c r="C45" s="130">
        <f>C44-D45</f>
        <v>47744476.665907159</v>
      </c>
      <c r="D45" s="130">
        <f>C44*-$H$44</f>
        <v>265523.33409283927</v>
      </c>
      <c r="E45" s="131"/>
      <c r="F45" s="131"/>
      <c r="H45" s="97"/>
    </row>
    <row r="46" spans="1:8" x14ac:dyDescent="0.2">
      <c r="B46" s="129">
        <v>2020</v>
      </c>
      <c r="C46" s="130">
        <f>C45-D46</f>
        <v>47480421.830896758</v>
      </c>
      <c r="D46" s="130">
        <f>C45*-$H$44</f>
        <v>264054.83501040272</v>
      </c>
      <c r="E46" s="131"/>
      <c r="F46" s="131"/>
    </row>
    <row r="47" spans="1:8" x14ac:dyDescent="0.2">
      <c r="B47" s="129">
        <v>2021</v>
      </c>
      <c r="C47" s="130">
        <f>C46-D47</f>
        <v>47217827.373311378</v>
      </c>
      <c r="D47" s="130">
        <f>C46*-$H$44</f>
        <v>262594.45758538094</v>
      </c>
      <c r="E47" s="131"/>
      <c r="F47" s="131"/>
    </row>
  </sheetData>
  <mergeCells count="9">
    <mergeCell ref="J16:J17"/>
    <mergeCell ref="B16:B17"/>
    <mergeCell ref="C16:C17"/>
    <mergeCell ref="D16:D17"/>
    <mergeCell ref="E16:E17"/>
    <mergeCell ref="F16:F17"/>
    <mergeCell ref="G16:G17"/>
    <mergeCell ref="H16:H17"/>
    <mergeCell ref="I16:I17"/>
  </mergeCells>
  <hyperlinks>
    <hyperlink ref="B25" r:id="rId1" display="https://www.globalforestwatch.org/dashboards/country/MEX?map=eyJkYXRhc2V0cyI6W3siZGF0YXNldCI6IjBiMDIwOGI2LWI0MjQtNGI1Ny05ODRmLWNhZGRmYTI1YmEyMiIsImxheWVycyI6WyJjYzM1NDMyZC0zOGQ3LTRhMDMtODcyZS0zYTcxYTJmNTU1ZmMiLCJiNDUzNTBlMy01YTc2LTQ0Y2QtYjBhOS01MDM4YTBkOGJmYWUiXSwiYm91bmRhcnkiOnRydWUsIm9wYWNpdHkiOjEsInZpc2liaWxpdHkiOnRydWV9LHsiZGF0YXNldCI6ImVhYjk2NTVmLWRkMzctNGJiMy1iMjIzLTRjNWRmMTY2NTY0YyIsImxheWVycyI6WyJkY2U4MDA0Zi00ZDBmLTRjMmQtYWU0Yi1kY2Y1NWUxNDAzNWYiXSwib3BhY2l0eSI6MSwidmlzaWJpbGl0eSI6dHJ1ZSwidGltZWxpbmVQYXJhbXMiOnsic3RhcnREYXRlIjoiMjAwMS0wMS0wMSIsImVuZERhdGUiOiIyMDAxLTEyLTMxIiwidHJpbUVuZERhdGUiOiIyMDAxLTEyLTMxIn0sInBhcmFtcyI6eyJ0aHJlc2giOjMwLCJ2aXNpYmlsaXR5Ijp0cnVlfX1dLCJjZW50ZXIiOnsibGF0IjoyMy45NDQ4MDEyNjA2Mjg2MSwibG5nIjotMTAyLjUyODI2MzA4OTk4ODkxfSwiYmVhcmluZyI6MCwicGl0Y2giOjAsInpvb20iOjIsImNhbkJvdW5kIjpmYWxzZSwiYmJveCI6W119&amp;showMap=true&amp;treeLoss=eyJpbnRlcmFjdGlvbiI6e30sImV4dGVudFllYXIiOjIwMDAsInN0YXJ0WWVhciI6MjAwMSwiZW5kWWVhciI6MjAwMX0%3D&amp;widget=treeLoss" xr:uid="{FD08AA8D-AFB6-4B15-901C-8E126B7F9BD3}"/>
  </hyperlinks>
  <pageMargins left="0.7" right="0.7" top="0.75" bottom="0.75" header="0.3" footer="0.3"/>
  <pageSetup orientation="portrait" horizontalDpi="300" verticalDpi="30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31FD85-65B6-4A30-AAEF-1C4CB5FE15A5}">
  <dimension ref="A2:A4"/>
  <sheetViews>
    <sheetView workbookViewId="0">
      <selection activeCell="G30" sqref="G30"/>
    </sheetView>
  </sheetViews>
  <sheetFormatPr baseColWidth="10" defaultColWidth="8.83203125" defaultRowHeight="15" x14ac:dyDescent="0.2"/>
  <sheetData>
    <row r="2" spans="1:1" x14ac:dyDescent="0.2">
      <c r="A2" t="s">
        <v>58</v>
      </c>
    </row>
    <row r="3" spans="1:1" x14ac:dyDescent="0.2">
      <c r="A3" t="s">
        <v>59</v>
      </c>
    </row>
    <row r="4" spans="1:1" x14ac:dyDescent="0.2">
      <c r="A4" t="s">
        <v>60</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853251-6837-4F97-AF45-24DC57C974D5}">
  <dimension ref="B3:N36"/>
  <sheetViews>
    <sheetView zoomScale="68" workbookViewId="0">
      <selection activeCell="G17" sqref="G17"/>
    </sheetView>
  </sheetViews>
  <sheetFormatPr baseColWidth="10" defaultColWidth="8.83203125" defaultRowHeight="15" x14ac:dyDescent="0.2"/>
  <cols>
    <col min="2" max="2" width="27.5" customWidth="1"/>
    <col min="3" max="3" width="45.83203125" bestFit="1" customWidth="1"/>
    <col min="4" max="4" width="27" bestFit="1" customWidth="1"/>
    <col min="5" max="5" width="23.6640625" bestFit="1" customWidth="1"/>
    <col min="6" max="6" width="19.83203125" customWidth="1"/>
    <col min="7" max="7" width="53" customWidth="1"/>
    <col min="8" max="8" width="69" customWidth="1"/>
    <col min="9" max="9" width="28.1640625" customWidth="1"/>
    <col min="10" max="10" width="26" customWidth="1"/>
    <col min="11" max="11" width="25.5" customWidth="1"/>
    <col min="12" max="13" width="20" customWidth="1"/>
    <col min="14" max="14" width="18.5" customWidth="1"/>
    <col min="15" max="15" width="42" customWidth="1"/>
  </cols>
  <sheetData>
    <row r="3" spans="2:14" ht="64" x14ac:dyDescent="0.2">
      <c r="B3" s="31"/>
      <c r="C3" s="31" t="s">
        <v>48</v>
      </c>
      <c r="D3" s="31"/>
      <c r="E3" s="31" t="s">
        <v>47</v>
      </c>
      <c r="G3" s="71" t="s">
        <v>98</v>
      </c>
      <c r="H3" s="71" t="s">
        <v>95</v>
      </c>
      <c r="I3" s="71" t="s">
        <v>96</v>
      </c>
      <c r="J3" s="72" t="s">
        <v>100</v>
      </c>
      <c r="K3" s="66" t="s">
        <v>99</v>
      </c>
      <c r="L3" s="66" t="s">
        <v>101</v>
      </c>
      <c r="M3" s="67" t="s">
        <v>102</v>
      </c>
      <c r="N3" s="66" t="s">
        <v>97</v>
      </c>
    </row>
    <row r="4" spans="2:14" x14ac:dyDescent="0.2">
      <c r="B4" s="30" t="s">
        <v>50</v>
      </c>
      <c r="C4" s="31" t="s">
        <v>56</v>
      </c>
      <c r="D4" s="30" t="s">
        <v>50</v>
      </c>
      <c r="E4" s="30" t="s">
        <v>51</v>
      </c>
      <c r="G4" s="73" t="s">
        <v>88</v>
      </c>
      <c r="H4" s="71">
        <v>1</v>
      </c>
      <c r="I4" s="71">
        <v>40</v>
      </c>
      <c r="J4" s="71">
        <v>10.99</v>
      </c>
      <c r="K4" s="68">
        <v>1.333</v>
      </c>
      <c r="L4" s="68">
        <v>1333</v>
      </c>
      <c r="M4" s="48">
        <f>L4*0.041</f>
        <v>54.653000000000006</v>
      </c>
      <c r="N4" s="65">
        <v>0.2</v>
      </c>
    </row>
    <row r="5" spans="2:14" x14ac:dyDescent="0.2">
      <c r="B5" s="2" t="s">
        <v>81</v>
      </c>
      <c r="C5" s="25">
        <v>252</v>
      </c>
      <c r="D5" s="2" t="s">
        <v>52</v>
      </c>
      <c r="E5" s="25">
        <v>28.1</v>
      </c>
      <c r="G5" s="73" t="s">
        <v>89</v>
      </c>
      <c r="H5" s="71">
        <v>5</v>
      </c>
      <c r="I5" s="71">
        <v>40</v>
      </c>
      <c r="J5" s="71">
        <v>121.44</v>
      </c>
      <c r="K5" s="68">
        <v>14.76</v>
      </c>
      <c r="L5" s="68">
        <v>2951</v>
      </c>
      <c r="M5" s="48">
        <f t="shared" ref="M5:M11" si="0">L5*0.041</f>
        <v>120.991</v>
      </c>
      <c r="N5" s="65">
        <v>0.89</v>
      </c>
    </row>
    <row r="6" spans="2:14" x14ac:dyDescent="0.2">
      <c r="B6" s="2" t="s">
        <v>82</v>
      </c>
      <c r="C6" s="25">
        <v>315</v>
      </c>
      <c r="D6" s="2" t="s">
        <v>53</v>
      </c>
      <c r="E6" s="25">
        <v>3</v>
      </c>
      <c r="G6" s="73" t="s">
        <v>90</v>
      </c>
      <c r="H6" s="71">
        <v>100</v>
      </c>
      <c r="I6" s="71">
        <v>60</v>
      </c>
      <c r="J6" s="71">
        <v>2639.06</v>
      </c>
      <c r="K6" s="68">
        <v>317.04000000000002</v>
      </c>
      <c r="L6" s="68">
        <v>3170</v>
      </c>
      <c r="M6" s="48">
        <f t="shared" si="0"/>
        <v>129.97</v>
      </c>
      <c r="N6" s="65">
        <v>2.71</v>
      </c>
    </row>
    <row r="7" spans="2:14" x14ac:dyDescent="0.2">
      <c r="B7" s="2" t="s">
        <v>84</v>
      </c>
      <c r="C7" s="25">
        <v>212</v>
      </c>
      <c r="D7" s="2" t="s">
        <v>54</v>
      </c>
      <c r="E7" s="25">
        <v>26.2</v>
      </c>
      <c r="G7" s="73" t="s">
        <v>63</v>
      </c>
      <c r="H7" s="71">
        <v>1000</v>
      </c>
      <c r="I7" s="71">
        <v>60</v>
      </c>
      <c r="J7" s="74">
        <v>15914.91</v>
      </c>
      <c r="K7" s="75">
        <v>1911.92</v>
      </c>
      <c r="L7" s="68">
        <v>1911</v>
      </c>
      <c r="M7" s="48">
        <f t="shared" si="0"/>
        <v>78.350999999999999</v>
      </c>
      <c r="N7" s="65">
        <v>0.56999999999999995</v>
      </c>
    </row>
    <row r="8" spans="2:14" x14ac:dyDescent="0.2">
      <c r="B8" s="2" t="s">
        <v>83</v>
      </c>
      <c r="C8" s="25">
        <v>291</v>
      </c>
      <c r="D8" s="2" t="s">
        <v>55</v>
      </c>
      <c r="E8" s="25">
        <v>86.4</v>
      </c>
      <c r="G8" s="73" t="s">
        <v>91</v>
      </c>
      <c r="H8" s="71">
        <v>10</v>
      </c>
      <c r="I8" s="71">
        <v>30</v>
      </c>
      <c r="J8" s="71">
        <v>624.24</v>
      </c>
      <c r="K8" s="68">
        <v>173.17</v>
      </c>
      <c r="L8" s="68">
        <v>17317</v>
      </c>
      <c r="M8" s="48">
        <f t="shared" si="0"/>
        <v>709.99700000000007</v>
      </c>
      <c r="N8" s="65">
        <v>2.2400000000000002</v>
      </c>
    </row>
    <row r="9" spans="2:14" x14ac:dyDescent="0.2">
      <c r="B9" s="30" t="s">
        <v>86</v>
      </c>
      <c r="C9" s="35">
        <v>293</v>
      </c>
      <c r="D9" s="62" t="s">
        <v>85</v>
      </c>
      <c r="E9" s="35">
        <f>SUM(E5:E8)</f>
        <v>143.69999999999999</v>
      </c>
      <c r="G9" s="73" t="s">
        <v>92</v>
      </c>
      <c r="H9" s="71">
        <v>1</v>
      </c>
      <c r="I9" s="71">
        <v>40</v>
      </c>
      <c r="J9" s="71">
        <v>24.13</v>
      </c>
      <c r="K9" s="68">
        <v>2.93</v>
      </c>
      <c r="L9" s="68">
        <v>2926</v>
      </c>
      <c r="M9" s="48">
        <f t="shared" si="0"/>
        <v>119.96600000000001</v>
      </c>
      <c r="N9" s="65">
        <v>0.52</v>
      </c>
    </row>
    <row r="10" spans="2:14" x14ac:dyDescent="0.2">
      <c r="G10" s="73" t="s">
        <v>93</v>
      </c>
      <c r="H10" s="71">
        <v>200</v>
      </c>
      <c r="I10" s="71">
        <v>50</v>
      </c>
      <c r="J10" s="71">
        <v>285.82</v>
      </c>
      <c r="K10" s="68">
        <v>34.42</v>
      </c>
      <c r="L10" s="68">
        <v>172</v>
      </c>
      <c r="M10" s="48">
        <f t="shared" si="0"/>
        <v>7.0520000000000005</v>
      </c>
      <c r="N10" s="65">
        <v>-0.01</v>
      </c>
    </row>
    <row r="11" spans="2:14" x14ac:dyDescent="0.2">
      <c r="G11" s="73" t="s">
        <v>94</v>
      </c>
      <c r="H11" s="71">
        <v>5</v>
      </c>
      <c r="I11" s="71">
        <v>40</v>
      </c>
      <c r="J11" s="71">
        <v>212.67</v>
      </c>
      <c r="K11" s="68">
        <v>25.79</v>
      </c>
      <c r="L11" s="68">
        <v>5160</v>
      </c>
      <c r="M11" s="48">
        <f t="shared" si="0"/>
        <v>211.56</v>
      </c>
      <c r="N11" s="65">
        <v>0.68</v>
      </c>
    </row>
    <row r="12" spans="2:14" x14ac:dyDescent="0.2">
      <c r="G12" s="69"/>
      <c r="H12" s="70"/>
      <c r="I12" s="70"/>
      <c r="J12" s="1"/>
      <c r="K12" s="1"/>
    </row>
    <row r="14" spans="2:14" x14ac:dyDescent="0.2">
      <c r="B14" s="200" t="s">
        <v>188</v>
      </c>
      <c r="C14" s="200" t="s">
        <v>189</v>
      </c>
      <c r="D14" s="2" t="s">
        <v>190</v>
      </c>
      <c r="E14" s="145"/>
    </row>
    <row r="15" spans="2:14" x14ac:dyDescent="0.2">
      <c r="B15" s="201"/>
      <c r="C15" s="201"/>
      <c r="D15" s="2" t="s">
        <v>191</v>
      </c>
      <c r="E15" s="2" t="s">
        <v>192</v>
      </c>
    </row>
    <row r="16" spans="2:14" ht="320" x14ac:dyDescent="0.2">
      <c r="B16" s="146" t="s">
        <v>197</v>
      </c>
      <c r="C16" s="116" t="s">
        <v>199</v>
      </c>
      <c r="D16" s="116" t="s">
        <v>198</v>
      </c>
      <c r="E16" s="116" t="s">
        <v>194</v>
      </c>
    </row>
    <row r="17" spans="2:12" ht="208" x14ac:dyDescent="0.2">
      <c r="B17" s="146" t="s">
        <v>196</v>
      </c>
      <c r="C17" s="116" t="s">
        <v>201</v>
      </c>
      <c r="D17" s="116" t="s">
        <v>193</v>
      </c>
      <c r="E17" s="116" t="s">
        <v>200</v>
      </c>
    </row>
    <row r="18" spans="2:12" ht="288" x14ac:dyDescent="0.2">
      <c r="B18" s="146" t="s">
        <v>195</v>
      </c>
      <c r="C18" s="147" t="s">
        <v>203</v>
      </c>
      <c r="D18" s="116" t="s">
        <v>202</v>
      </c>
      <c r="E18" s="116" t="s">
        <v>204</v>
      </c>
    </row>
    <row r="20" spans="2:12" x14ac:dyDescent="0.2">
      <c r="B20" s="22"/>
      <c r="C20" s="22"/>
      <c r="D20" s="22"/>
      <c r="E20" s="22"/>
      <c r="G20" s="142" t="s">
        <v>174</v>
      </c>
      <c r="H20" s="44">
        <v>2021</v>
      </c>
      <c r="I20" s="44">
        <v>2022</v>
      </c>
      <c r="J20" s="44">
        <v>2023</v>
      </c>
      <c r="K20" s="44">
        <v>2024</v>
      </c>
      <c r="L20" s="44">
        <v>2025</v>
      </c>
    </row>
    <row r="21" spans="2:12" x14ac:dyDescent="0.2">
      <c r="B21" s="22"/>
      <c r="C21" s="22"/>
      <c r="D21" s="22"/>
      <c r="E21" s="22"/>
      <c r="G21" s="136" t="s">
        <v>179</v>
      </c>
      <c r="H21" s="1">
        <v>29200</v>
      </c>
      <c r="I21" s="1">
        <v>87600</v>
      </c>
      <c r="J21" s="1">
        <v>175200</v>
      </c>
      <c r="K21" s="1">
        <v>292000</v>
      </c>
      <c r="L21" s="1">
        <v>438000</v>
      </c>
    </row>
    <row r="22" spans="2:12" x14ac:dyDescent="0.2">
      <c r="B22" s="22"/>
      <c r="C22" s="22"/>
      <c r="D22" s="22"/>
      <c r="E22" s="22"/>
      <c r="G22" s="136" t="s">
        <v>169</v>
      </c>
      <c r="H22" s="1">
        <v>300</v>
      </c>
      <c r="I22" s="1">
        <v>900</v>
      </c>
      <c r="J22" s="1">
        <v>1800</v>
      </c>
      <c r="K22" s="1">
        <v>3000</v>
      </c>
      <c r="L22" s="1">
        <v>4500</v>
      </c>
    </row>
    <row r="23" spans="2:12" x14ac:dyDescent="0.2">
      <c r="B23" s="22"/>
      <c r="C23" s="22"/>
      <c r="D23" s="22"/>
      <c r="E23" s="22"/>
      <c r="G23" s="136" t="s">
        <v>170</v>
      </c>
      <c r="H23" s="151">
        <v>73.333333333333329</v>
      </c>
      <c r="I23" s="151">
        <v>220</v>
      </c>
      <c r="J23" s="151">
        <v>440</v>
      </c>
      <c r="K23" s="151">
        <v>733.33333333333326</v>
      </c>
      <c r="L23" s="151">
        <v>1100</v>
      </c>
    </row>
    <row r="24" spans="2:12" x14ac:dyDescent="0.2">
      <c r="B24" s="22"/>
      <c r="C24" s="22"/>
      <c r="D24" s="22"/>
      <c r="E24" s="22"/>
      <c r="G24" s="136" t="s">
        <v>171</v>
      </c>
      <c r="H24" s="151">
        <v>26.666666666666668</v>
      </c>
      <c r="I24" s="151">
        <v>80</v>
      </c>
      <c r="J24" s="151">
        <v>160</v>
      </c>
      <c r="K24" s="151">
        <v>266.66666666666669</v>
      </c>
      <c r="L24" s="151">
        <v>400</v>
      </c>
    </row>
    <row r="25" spans="2:12" x14ac:dyDescent="0.2">
      <c r="B25" s="22"/>
      <c r="C25" s="22"/>
      <c r="D25" s="22"/>
      <c r="E25" s="22"/>
      <c r="G25" s="136" t="s">
        <v>172</v>
      </c>
      <c r="H25" s="1">
        <v>400</v>
      </c>
      <c r="I25" s="1">
        <v>800</v>
      </c>
      <c r="J25" s="1">
        <v>1200</v>
      </c>
      <c r="K25" s="1">
        <v>1600</v>
      </c>
      <c r="L25" s="1">
        <v>2000</v>
      </c>
    </row>
    <row r="26" spans="2:12" x14ac:dyDescent="0.2">
      <c r="B26" s="22"/>
      <c r="C26" s="22"/>
      <c r="D26" s="22"/>
      <c r="E26" s="22"/>
      <c r="G26" s="117" t="s">
        <v>173</v>
      </c>
      <c r="H26" s="3">
        <f>SUM(H21:H25)</f>
        <v>30000</v>
      </c>
      <c r="I26" s="3">
        <f>SUM(I21:I25)</f>
        <v>89600</v>
      </c>
      <c r="J26" s="3">
        <f>SUM(J21:J25)</f>
        <v>178800</v>
      </c>
      <c r="K26" s="3">
        <f>SUM(K21:K25)</f>
        <v>297600</v>
      </c>
      <c r="L26" s="3">
        <f>SUM(L21:L25)</f>
        <v>446000</v>
      </c>
    </row>
    <row r="27" spans="2:12" x14ac:dyDescent="0.2">
      <c r="B27" s="22"/>
      <c r="C27" s="22"/>
      <c r="D27" s="22"/>
      <c r="E27" s="22"/>
      <c r="H27" s="1"/>
      <c r="I27" s="1"/>
      <c r="J27" s="1"/>
      <c r="K27" s="1"/>
      <c r="L27" s="1"/>
    </row>
    <row r="28" spans="2:12" x14ac:dyDescent="0.2">
      <c r="B28" s="22"/>
      <c r="C28" s="22"/>
      <c r="D28" s="22"/>
      <c r="E28" s="22"/>
    </row>
    <row r="29" spans="2:12" x14ac:dyDescent="0.2">
      <c r="B29" s="22"/>
      <c r="C29" s="22"/>
      <c r="D29" s="22"/>
      <c r="E29" s="22"/>
    </row>
    <row r="32" spans="2:12" ht="16" x14ac:dyDescent="0.2">
      <c r="G32" s="38"/>
      <c r="H32" s="96" t="s">
        <v>6</v>
      </c>
      <c r="I32" s="96" t="s">
        <v>5</v>
      </c>
      <c r="J32" s="96" t="s">
        <v>0</v>
      </c>
      <c r="K32" s="96" t="s">
        <v>8</v>
      </c>
      <c r="L32" s="96" t="s">
        <v>16</v>
      </c>
    </row>
    <row r="33" spans="7:12" ht="16" x14ac:dyDescent="0.2">
      <c r="G33" s="138" t="s">
        <v>128</v>
      </c>
      <c r="H33" s="19"/>
      <c r="I33" s="19">
        <v>1000</v>
      </c>
      <c r="J33" s="19">
        <v>1000</v>
      </c>
      <c r="K33" s="19">
        <v>2500</v>
      </c>
      <c r="L33" s="101">
        <v>4500</v>
      </c>
    </row>
    <row r="34" spans="7:12" x14ac:dyDescent="0.2">
      <c r="G34" s="139" t="s">
        <v>180</v>
      </c>
      <c r="H34" s="19"/>
      <c r="I34" s="19">
        <v>300</v>
      </c>
      <c r="J34" s="19">
        <v>400</v>
      </c>
      <c r="K34" s="19">
        <v>400</v>
      </c>
      <c r="L34" s="101">
        <v>1100</v>
      </c>
    </row>
    <row r="35" spans="7:12" x14ac:dyDescent="0.2">
      <c r="G35" s="139" t="s">
        <v>181</v>
      </c>
      <c r="H35" s="19">
        <v>400</v>
      </c>
      <c r="I35" s="19"/>
      <c r="J35" s="19"/>
      <c r="K35" s="19"/>
      <c r="L35" s="101">
        <v>400</v>
      </c>
    </row>
    <row r="36" spans="7:12" x14ac:dyDescent="0.2">
      <c r="G36" s="139" t="s">
        <v>182</v>
      </c>
      <c r="H36" s="19">
        <v>1500</v>
      </c>
      <c r="I36" s="19">
        <v>1500</v>
      </c>
      <c r="J36" s="19">
        <v>1500</v>
      </c>
      <c r="K36" s="19">
        <v>1500</v>
      </c>
      <c r="L36" s="19">
        <v>6000</v>
      </c>
    </row>
  </sheetData>
  <mergeCells count="2">
    <mergeCell ref="C14:C15"/>
    <mergeCell ref="B14:B15"/>
  </mergeCells>
  <pageMargins left="0.7" right="0.7" top="0.75" bottom="0.75" header="0.3" footer="0.3"/>
  <pageSetup orientation="portrait"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4F9ED3-F33B-3E41-BBC7-AD6BEB26198F}">
  <dimension ref="A1"/>
  <sheetViews>
    <sheetView workbookViewId="0"/>
  </sheetViews>
  <sheetFormatPr baseColWidth="10" defaultRowHeight="15" x14ac:dyDescent="0.2"/>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4" ma:contentTypeDescription="Create a new document." ma:contentTypeScope="" ma:versionID="20e30d4e9bb08fd08cde126d5a8214c5">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1e4dae1d9d17e89866f720decb35dab9"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3EFD83CC-23FB-4AE8-A90E-0849DAE32553}"/>
</file>

<file path=customXml/itemProps2.xml><?xml version="1.0" encoding="utf-8"?>
<ds:datastoreItem xmlns:ds="http://schemas.openxmlformats.org/officeDocument/2006/customXml" ds:itemID="{976E839A-4444-4176-AD89-902C176AE2B6}">
  <ds:schemaRefs>
    <ds:schemaRef ds:uri="http://schemas.microsoft.com/sharepoint/v3/contenttype/forms"/>
  </ds:schemaRefs>
</ds:datastoreItem>
</file>

<file path=customXml/itemProps3.xml><?xml version="1.0" encoding="utf-8"?>
<ds:datastoreItem xmlns:ds="http://schemas.openxmlformats.org/officeDocument/2006/customXml" ds:itemID="{2B86335D-7DA0-44F4-B32F-FD1260E1F0CA}">
  <ds:schemaRefs>
    <ds:schemaRef ds:uri="http://schemas.microsoft.com/office/2006/documentManagement/types"/>
    <ds:schemaRef ds:uri="60c75bb3-2e3f-4394-b4f4-3e2677e21dfa"/>
    <ds:schemaRef ds:uri="http://www.w3.org/XML/1998/namespace"/>
    <ds:schemaRef ds:uri="http://schemas.openxmlformats.org/package/2006/metadata/core-properties"/>
    <ds:schemaRef ds:uri="http://purl.org/dc/dcmitype/"/>
    <ds:schemaRef ds:uri="http://schemas.microsoft.com/office/infopath/2007/PartnerControls"/>
    <ds:schemaRef ds:uri="http://purl.org/dc/elements/1.1/"/>
    <ds:schemaRef ds:uri="9c83b91e-5ffe-420f-9ed1-9dac5903eaec"/>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7</vt:i4>
      </vt:variant>
    </vt:vector>
  </HeadingPairs>
  <TitlesOfParts>
    <vt:vector size="7" baseType="lpstr">
      <vt:lpstr>Results Table </vt:lpstr>
      <vt:lpstr>Benefit-Cost Total</vt:lpstr>
      <vt:lpstr>Datos cuenca</vt:lpstr>
      <vt:lpstr>Datos</vt:lpstr>
      <vt:lpstr>References</vt:lpstr>
      <vt:lpstr>Tablas</vt: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Chrissie Pantoja</dc:creator>
  <cp:lastModifiedBy>Graciela Reyes Retana De La Torre,</cp:lastModifiedBy>
  <dcterms:created xsi:type="dcterms:W3CDTF">2020-04-16T22:38:36Z</dcterms:created>
  <dcterms:modified xsi:type="dcterms:W3CDTF">2020-11-26T19:04:45Z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